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drawings/drawing16.xml" ContentType="application/vnd.openxmlformats-officedocument.drawing+xml"/>
  <Override PartName="/xl/comments16.xml" ContentType="application/vnd.openxmlformats-officedocument.spreadsheetml.comments+xml"/>
  <Override PartName="/xl/drawings/drawing17.xml" ContentType="application/vnd.openxmlformats-officedocument.drawing+xml"/>
  <Override PartName="/xl/comments17.xml" ContentType="application/vnd.openxmlformats-officedocument.spreadsheetml.comments+xml"/>
  <Override PartName="/xl/drawings/drawing18.xml" ContentType="application/vnd.openxmlformats-officedocument.drawing+xml"/>
  <Override PartName="/xl/comments18.xml" ContentType="application/vnd.openxmlformats-officedocument.spreadsheetml.comments+xml"/>
  <Override PartName="/xl/drawings/drawing19.xml" ContentType="application/vnd.openxmlformats-officedocument.drawing+xml"/>
  <Override PartName="/xl/comments19.xml" ContentType="application/vnd.openxmlformats-officedocument.spreadsheetml.comments+xml"/>
  <Override PartName="/xl/drawings/drawing20.xml" ContentType="application/vnd.openxmlformats-officedocument.drawing+xml"/>
  <Override PartName="/xl/comments20.xml" ContentType="application/vnd.openxmlformats-officedocument.spreadsheetml.comments+xml"/>
  <Override PartName="/xl/drawings/drawing21.xml" ContentType="application/vnd.openxmlformats-officedocument.drawing+xml"/>
  <Override PartName="/xl/comments21.xml" ContentType="application/vnd.openxmlformats-officedocument.spreadsheetml.comments+xml"/>
  <Override PartName="/xl/drawings/drawing22.xml" ContentType="application/vnd.openxmlformats-officedocument.drawing+xml"/>
  <Override PartName="/xl/comments22.xml" ContentType="application/vnd.openxmlformats-officedocument.spreadsheetml.comments+xml"/>
  <Override PartName="/xl/drawings/drawing23.xml" ContentType="application/vnd.openxmlformats-officedocument.drawing+xml"/>
  <Override PartName="/xl/comments23.xml" ContentType="application/vnd.openxmlformats-officedocument.spreadsheetml.comments+xml"/>
  <Override PartName="/xl/drawings/drawing24.xml" ContentType="application/vnd.openxmlformats-officedocument.drawing+xml"/>
  <Override PartName="/xl/comments24.xml" ContentType="application/vnd.openxmlformats-officedocument.spreadsheetml.comments+xml"/>
  <Override PartName="/xl/drawings/drawing25.xml" ContentType="application/vnd.openxmlformats-officedocument.drawing+xml"/>
  <Override PartName="/xl/comments2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 defaultThemeVersion="124226"/>
  <bookViews>
    <workbookView xWindow="480" yWindow="150" windowWidth="8505" windowHeight="4500" tabRatio="702" firstSheet="4" activeTab="20"/>
  </bookViews>
  <sheets>
    <sheet name="3" sheetId="516" r:id="rId1"/>
    <sheet name="4" sheetId="517" r:id="rId2"/>
    <sheet name="5" sheetId="518" r:id="rId3"/>
    <sheet name="6" sheetId="519" r:id="rId4"/>
    <sheet name="7" sheetId="520" r:id="rId5"/>
    <sheet name="8" sheetId="521" r:id="rId6"/>
    <sheet name="9" sheetId="522" r:id="rId7"/>
    <sheet name="10" sheetId="523" r:id="rId8"/>
    <sheet name="11" sheetId="524" r:id="rId9"/>
    <sheet name="12" sheetId="525" r:id="rId10"/>
    <sheet name="13" sheetId="526" r:id="rId11"/>
    <sheet name="14" sheetId="527" r:id="rId12"/>
    <sheet name="15" sheetId="528" r:id="rId13"/>
    <sheet name="16" sheetId="529" r:id="rId14"/>
    <sheet name="17" sheetId="530" r:id="rId15"/>
    <sheet name="18" sheetId="531" r:id="rId16"/>
    <sheet name="19" sheetId="532" r:id="rId17"/>
    <sheet name="20" sheetId="533" r:id="rId18"/>
    <sheet name="21" sheetId="535" r:id="rId19"/>
    <sheet name="22" sheetId="536" r:id="rId20"/>
    <sheet name="23" sheetId="537" r:id="rId21"/>
    <sheet name="表样" sheetId="434" r:id="rId22"/>
    <sheet name="周汇总" sheetId="508" r:id="rId23"/>
    <sheet name="汇总" sheetId="505" r:id="rId24"/>
    <sheet name="直接人工成本" sheetId="489" r:id="rId25"/>
    <sheet name="分类汇总" sheetId="534" r:id="rId26"/>
  </sheets>
  <definedNames>
    <definedName name="_xlnm._FilterDatabase" localSheetId="23" hidden="1">汇总!$A$1:$BA$533</definedName>
    <definedName name="_xlnm._FilterDatabase" localSheetId="24" hidden="1">直接人工成本!$A$1:$BA$504</definedName>
    <definedName name="_xlnm._FilterDatabase" localSheetId="22" hidden="1">周汇总!$A$1:$BA$533</definedName>
  </definedNames>
  <calcPr calcId="145621"/>
</workbook>
</file>

<file path=xl/calcChain.xml><?xml version="1.0" encoding="utf-8"?>
<calcChain xmlns="http://schemas.openxmlformats.org/spreadsheetml/2006/main">
  <c r="P532" i="505" l="1"/>
  <c r="O532" i="505"/>
  <c r="N532" i="505"/>
  <c r="M532" i="505"/>
  <c r="L532" i="505"/>
  <c r="K532" i="505"/>
  <c r="I532" i="505"/>
  <c r="H532" i="505"/>
  <c r="G532" i="505"/>
  <c r="F532" i="505"/>
  <c r="E532" i="505"/>
  <c r="D532" i="505"/>
  <c r="C532" i="505"/>
  <c r="P531" i="505"/>
  <c r="O531" i="505"/>
  <c r="N531" i="505"/>
  <c r="M531" i="505"/>
  <c r="L531" i="505"/>
  <c r="K531" i="505"/>
  <c r="I531" i="505"/>
  <c r="H531" i="505"/>
  <c r="G531" i="505"/>
  <c r="F531" i="505"/>
  <c r="E531" i="505"/>
  <c r="D531" i="505"/>
  <c r="P530" i="505"/>
  <c r="O530" i="505"/>
  <c r="N530" i="505"/>
  <c r="M530" i="505"/>
  <c r="L530" i="505"/>
  <c r="K530" i="505"/>
  <c r="I530" i="505"/>
  <c r="H530" i="505"/>
  <c r="G530" i="505"/>
  <c r="F530" i="505"/>
  <c r="E530" i="505"/>
  <c r="D530" i="505"/>
  <c r="C530" i="505"/>
  <c r="C508" i="505"/>
  <c r="C507" i="505"/>
  <c r="C506" i="505"/>
  <c r="AA502" i="505"/>
  <c r="Z502" i="505"/>
  <c r="Y502" i="505"/>
  <c r="X502" i="505"/>
  <c r="U502" i="505"/>
  <c r="T502" i="505"/>
  <c r="S502" i="505"/>
  <c r="R502" i="505"/>
  <c r="Q502" i="505"/>
  <c r="P502" i="505"/>
  <c r="O502" i="505"/>
  <c r="I502" i="505"/>
  <c r="G502" i="505"/>
  <c r="AA501" i="505"/>
  <c r="Z501" i="505"/>
  <c r="Y501" i="505"/>
  <c r="X501" i="505"/>
  <c r="U501" i="505"/>
  <c r="T501" i="505"/>
  <c r="S501" i="505"/>
  <c r="R501" i="505"/>
  <c r="Q501" i="505"/>
  <c r="P501" i="505"/>
  <c r="O501" i="505"/>
  <c r="I501" i="505"/>
  <c r="G501" i="505"/>
  <c r="I500" i="505"/>
  <c r="G500" i="505"/>
  <c r="AA499" i="505"/>
  <c r="Z499" i="505"/>
  <c r="Y499" i="505"/>
  <c r="X499" i="505"/>
  <c r="U499" i="505"/>
  <c r="T499" i="505"/>
  <c r="S499" i="505"/>
  <c r="R499" i="505"/>
  <c r="Q499" i="505"/>
  <c r="P499" i="505"/>
  <c r="O499" i="505"/>
  <c r="I499" i="505"/>
  <c r="G499" i="505"/>
  <c r="AA498" i="505"/>
  <c r="Z498" i="505"/>
  <c r="Y498" i="505"/>
  <c r="X498" i="505"/>
  <c r="U498" i="505"/>
  <c r="T498" i="505"/>
  <c r="S498" i="505"/>
  <c r="R498" i="505"/>
  <c r="Q498" i="505"/>
  <c r="P498" i="505"/>
  <c r="O498" i="505"/>
  <c r="I498" i="505"/>
  <c r="G498" i="505"/>
  <c r="G497" i="505"/>
  <c r="G496" i="505"/>
  <c r="AA495" i="505"/>
  <c r="Z495" i="505"/>
  <c r="Y495" i="505"/>
  <c r="X495" i="505"/>
  <c r="U495" i="505"/>
  <c r="T495" i="505"/>
  <c r="S495" i="505"/>
  <c r="R495" i="505"/>
  <c r="Q495" i="505"/>
  <c r="P495" i="505"/>
  <c r="O495" i="505"/>
  <c r="I495" i="505"/>
  <c r="G495" i="505"/>
  <c r="AA494" i="505"/>
  <c r="Z494" i="505"/>
  <c r="Y494" i="505"/>
  <c r="X494" i="505"/>
  <c r="U494" i="505"/>
  <c r="T494" i="505"/>
  <c r="S494" i="505"/>
  <c r="R494" i="505"/>
  <c r="Q494" i="505"/>
  <c r="P494" i="505"/>
  <c r="O494" i="505"/>
  <c r="I494" i="505"/>
  <c r="G494" i="505"/>
  <c r="AA493" i="505"/>
  <c r="Z493" i="505"/>
  <c r="Y493" i="505"/>
  <c r="X493" i="505"/>
  <c r="U493" i="505"/>
  <c r="T493" i="505"/>
  <c r="S493" i="505"/>
  <c r="R493" i="505"/>
  <c r="Q493" i="505"/>
  <c r="P493" i="505"/>
  <c r="O493" i="505"/>
  <c r="I493" i="505"/>
  <c r="G493" i="505"/>
  <c r="AA492" i="505"/>
  <c r="Z492" i="505"/>
  <c r="Y492" i="505"/>
  <c r="X492" i="505"/>
  <c r="U492" i="505"/>
  <c r="T492" i="505"/>
  <c r="S492" i="505"/>
  <c r="R492" i="505"/>
  <c r="Q492" i="505"/>
  <c r="P492" i="505"/>
  <c r="O492" i="505"/>
  <c r="I492" i="505"/>
  <c r="G492" i="505"/>
  <c r="AA491" i="505"/>
  <c r="Z491" i="505"/>
  <c r="Y491" i="505"/>
  <c r="X491" i="505"/>
  <c r="U491" i="505"/>
  <c r="T491" i="505"/>
  <c r="S491" i="505"/>
  <c r="R491" i="505"/>
  <c r="Q491" i="505"/>
  <c r="P491" i="505"/>
  <c r="O491" i="505"/>
  <c r="I491" i="505"/>
  <c r="G491" i="505"/>
  <c r="AA490" i="505"/>
  <c r="Z490" i="505"/>
  <c r="Y490" i="505"/>
  <c r="X490" i="505"/>
  <c r="U490" i="505"/>
  <c r="T490" i="505"/>
  <c r="S490" i="505"/>
  <c r="R490" i="505"/>
  <c r="Q490" i="505"/>
  <c r="P490" i="505"/>
  <c r="O490" i="505"/>
  <c r="I490" i="505"/>
  <c r="G490" i="505"/>
  <c r="AA489" i="505"/>
  <c r="Z489" i="505"/>
  <c r="Y489" i="505"/>
  <c r="X489" i="505"/>
  <c r="U489" i="505"/>
  <c r="T489" i="505"/>
  <c r="S489" i="505"/>
  <c r="R489" i="505"/>
  <c r="Q489" i="505"/>
  <c r="P489" i="505"/>
  <c r="O489" i="505"/>
  <c r="I489" i="505"/>
  <c r="G489" i="505"/>
  <c r="AA488" i="505"/>
  <c r="Z488" i="505"/>
  <c r="Y488" i="505"/>
  <c r="X488" i="505"/>
  <c r="U488" i="505"/>
  <c r="T488" i="505"/>
  <c r="S488" i="505"/>
  <c r="R488" i="505"/>
  <c r="Q488" i="505"/>
  <c r="P488" i="505"/>
  <c r="O488" i="505"/>
  <c r="I488" i="505"/>
  <c r="G488" i="505"/>
  <c r="AA486" i="505"/>
  <c r="Z486" i="505"/>
  <c r="Y486" i="505"/>
  <c r="X486" i="505"/>
  <c r="U486" i="505"/>
  <c r="T486" i="505"/>
  <c r="S486" i="505"/>
  <c r="R486" i="505"/>
  <c r="Q486" i="505"/>
  <c r="P486" i="505"/>
  <c r="O486" i="505"/>
  <c r="I486" i="505"/>
  <c r="G486" i="505"/>
  <c r="G485" i="505"/>
  <c r="I484" i="505"/>
  <c r="G484" i="505"/>
  <c r="I483" i="505"/>
  <c r="G483" i="505"/>
  <c r="AA482" i="505"/>
  <c r="Z482" i="505"/>
  <c r="Y482" i="505"/>
  <c r="X482" i="505"/>
  <c r="U482" i="505"/>
  <c r="T482" i="505"/>
  <c r="S482" i="505"/>
  <c r="R482" i="505"/>
  <c r="Q482" i="505"/>
  <c r="P482" i="505"/>
  <c r="O482" i="505"/>
  <c r="I482" i="505"/>
  <c r="G482" i="505"/>
  <c r="AA481" i="505"/>
  <c r="Z481" i="505"/>
  <c r="Y481" i="505"/>
  <c r="X481" i="505"/>
  <c r="U481" i="505"/>
  <c r="T481" i="505"/>
  <c r="S481" i="505"/>
  <c r="R481" i="505"/>
  <c r="Q481" i="505"/>
  <c r="P481" i="505"/>
  <c r="O481" i="505"/>
  <c r="I481" i="505"/>
  <c r="G481" i="505"/>
  <c r="AA480" i="505"/>
  <c r="Z480" i="505"/>
  <c r="Y480" i="505"/>
  <c r="X480" i="505"/>
  <c r="U480" i="505"/>
  <c r="T480" i="505"/>
  <c r="S480" i="505"/>
  <c r="R480" i="505"/>
  <c r="Q480" i="505"/>
  <c r="P480" i="505"/>
  <c r="O480" i="505"/>
  <c r="I480" i="505"/>
  <c r="G480" i="505"/>
  <c r="AA479" i="505"/>
  <c r="Z479" i="505"/>
  <c r="Y479" i="505"/>
  <c r="X479" i="505"/>
  <c r="U479" i="505"/>
  <c r="T479" i="505"/>
  <c r="S479" i="505"/>
  <c r="R479" i="505"/>
  <c r="Q479" i="505"/>
  <c r="P479" i="505"/>
  <c r="O479" i="505"/>
  <c r="I479" i="505"/>
  <c r="G479" i="505"/>
  <c r="AA478" i="505"/>
  <c r="Z478" i="505"/>
  <c r="Y478" i="505"/>
  <c r="X478" i="505"/>
  <c r="U478" i="505"/>
  <c r="T478" i="505"/>
  <c r="S478" i="505"/>
  <c r="R478" i="505"/>
  <c r="Q478" i="505"/>
  <c r="P478" i="505"/>
  <c r="O478" i="505"/>
  <c r="I478" i="505"/>
  <c r="G478" i="505"/>
  <c r="AA476" i="505"/>
  <c r="Z476" i="505"/>
  <c r="Y476" i="505"/>
  <c r="X476" i="505"/>
  <c r="U476" i="505"/>
  <c r="T476" i="505"/>
  <c r="S476" i="505"/>
  <c r="R476" i="505"/>
  <c r="Q476" i="505"/>
  <c r="P476" i="505"/>
  <c r="O476" i="505"/>
  <c r="I476" i="505"/>
  <c r="G476" i="505"/>
  <c r="AA475" i="505"/>
  <c r="Z475" i="505"/>
  <c r="Y475" i="505"/>
  <c r="X475" i="505"/>
  <c r="U475" i="505"/>
  <c r="T475" i="505"/>
  <c r="S475" i="505"/>
  <c r="R475" i="505"/>
  <c r="Q475" i="505"/>
  <c r="P475" i="505"/>
  <c r="O475" i="505"/>
  <c r="I475" i="505"/>
  <c r="G475" i="505"/>
  <c r="AA474" i="505"/>
  <c r="Z474" i="505"/>
  <c r="Y474" i="505"/>
  <c r="X474" i="505"/>
  <c r="U474" i="505"/>
  <c r="T474" i="505"/>
  <c r="S474" i="505"/>
  <c r="R474" i="505"/>
  <c r="Q474" i="505"/>
  <c r="P474" i="505"/>
  <c r="O474" i="505"/>
  <c r="I474" i="505"/>
  <c r="G474" i="505"/>
  <c r="AA473" i="505"/>
  <c r="Z473" i="505"/>
  <c r="Y473" i="505"/>
  <c r="X473" i="505"/>
  <c r="U473" i="505"/>
  <c r="T473" i="505"/>
  <c r="S473" i="505"/>
  <c r="R473" i="505"/>
  <c r="Q473" i="505"/>
  <c r="P473" i="505"/>
  <c r="O473" i="505"/>
  <c r="I473" i="505"/>
  <c r="G473" i="505"/>
  <c r="AA472" i="505"/>
  <c r="Z472" i="505"/>
  <c r="Y472" i="505"/>
  <c r="X472" i="505"/>
  <c r="U472" i="505"/>
  <c r="T472" i="505"/>
  <c r="S472" i="505"/>
  <c r="R472" i="505"/>
  <c r="Q472" i="505"/>
  <c r="P472" i="505"/>
  <c r="O472" i="505"/>
  <c r="I472" i="505"/>
  <c r="G472" i="505"/>
  <c r="AA471" i="505"/>
  <c r="Z471" i="505"/>
  <c r="Y471" i="505"/>
  <c r="X471" i="505"/>
  <c r="U471" i="505"/>
  <c r="T471" i="505"/>
  <c r="S471" i="505"/>
  <c r="R471" i="505"/>
  <c r="Q471" i="505"/>
  <c r="P471" i="505"/>
  <c r="O471" i="505"/>
  <c r="I471" i="505"/>
  <c r="G471" i="505"/>
  <c r="AA470" i="505"/>
  <c r="Z470" i="505"/>
  <c r="Y470" i="505"/>
  <c r="X470" i="505"/>
  <c r="U470" i="505"/>
  <c r="T470" i="505"/>
  <c r="S470" i="505"/>
  <c r="R470" i="505"/>
  <c r="Q470" i="505"/>
  <c r="P470" i="505"/>
  <c r="O470" i="505"/>
  <c r="I470" i="505"/>
  <c r="G470" i="505"/>
  <c r="AA469" i="505"/>
  <c r="Z469" i="505"/>
  <c r="Y469" i="505"/>
  <c r="X469" i="505"/>
  <c r="U469" i="505"/>
  <c r="T469" i="505"/>
  <c r="S469" i="505"/>
  <c r="R469" i="505"/>
  <c r="Q469" i="505"/>
  <c r="P469" i="505"/>
  <c r="O469" i="505"/>
  <c r="I469" i="505"/>
  <c r="G469" i="505"/>
  <c r="AA468" i="505"/>
  <c r="Z468" i="505"/>
  <c r="Y468" i="505"/>
  <c r="X468" i="505"/>
  <c r="U468" i="505"/>
  <c r="T468" i="505"/>
  <c r="S468" i="505"/>
  <c r="R468" i="505"/>
  <c r="Q468" i="505"/>
  <c r="P468" i="505"/>
  <c r="O468" i="505"/>
  <c r="I468" i="505"/>
  <c r="G468" i="505"/>
  <c r="AA467" i="505"/>
  <c r="Z467" i="505"/>
  <c r="Y467" i="505"/>
  <c r="X467" i="505"/>
  <c r="U467" i="505"/>
  <c r="T467" i="505"/>
  <c r="S467" i="505"/>
  <c r="R467" i="505"/>
  <c r="Q467" i="505"/>
  <c r="P467" i="505"/>
  <c r="O467" i="505"/>
  <c r="I467" i="505"/>
  <c r="G467" i="505"/>
  <c r="AA466" i="505"/>
  <c r="Z466" i="505"/>
  <c r="Y466" i="505"/>
  <c r="X466" i="505"/>
  <c r="U466" i="505"/>
  <c r="T466" i="505"/>
  <c r="S466" i="505"/>
  <c r="R466" i="505"/>
  <c r="Q466" i="505"/>
  <c r="P466" i="505"/>
  <c r="O466" i="505"/>
  <c r="I466" i="505"/>
  <c r="G466" i="505"/>
  <c r="AA465" i="505"/>
  <c r="Z465" i="505"/>
  <c r="Y465" i="505"/>
  <c r="X465" i="505"/>
  <c r="U465" i="505"/>
  <c r="T465" i="505"/>
  <c r="S465" i="505"/>
  <c r="R465" i="505"/>
  <c r="Q465" i="505"/>
  <c r="P465" i="505"/>
  <c r="O465" i="505"/>
  <c r="I465" i="505"/>
  <c r="G465" i="505"/>
  <c r="AA464" i="505"/>
  <c r="Z464" i="505"/>
  <c r="Y464" i="505"/>
  <c r="X464" i="505"/>
  <c r="U464" i="505"/>
  <c r="T464" i="505"/>
  <c r="S464" i="505"/>
  <c r="R464" i="505"/>
  <c r="Q464" i="505"/>
  <c r="P464" i="505"/>
  <c r="O464" i="505"/>
  <c r="I464" i="505"/>
  <c r="G464" i="505"/>
  <c r="AA463" i="505"/>
  <c r="Z463" i="505"/>
  <c r="Y463" i="505"/>
  <c r="X463" i="505"/>
  <c r="U463" i="505"/>
  <c r="T463" i="505"/>
  <c r="S463" i="505"/>
  <c r="R463" i="505"/>
  <c r="Q463" i="505"/>
  <c r="P463" i="505"/>
  <c r="O463" i="505"/>
  <c r="I463" i="505"/>
  <c r="G463" i="505"/>
  <c r="AA462" i="505"/>
  <c r="Z462" i="505"/>
  <c r="Y462" i="505"/>
  <c r="X462" i="505"/>
  <c r="U462" i="505"/>
  <c r="T462" i="505"/>
  <c r="S462" i="505"/>
  <c r="R462" i="505"/>
  <c r="Q462" i="505"/>
  <c r="P462" i="505"/>
  <c r="O462" i="505"/>
  <c r="I462" i="505"/>
  <c r="G462" i="505"/>
  <c r="AA460" i="505"/>
  <c r="Z460" i="505"/>
  <c r="Y460" i="505"/>
  <c r="X460" i="505"/>
  <c r="U460" i="505"/>
  <c r="T460" i="505"/>
  <c r="S460" i="505"/>
  <c r="R460" i="505"/>
  <c r="Q460" i="505"/>
  <c r="P460" i="505"/>
  <c r="O460" i="505"/>
  <c r="I460" i="505"/>
  <c r="G460" i="505"/>
  <c r="AA459" i="505"/>
  <c r="Z459" i="505"/>
  <c r="Y459" i="505"/>
  <c r="X459" i="505"/>
  <c r="U459" i="505"/>
  <c r="T459" i="505"/>
  <c r="S459" i="505"/>
  <c r="R459" i="505"/>
  <c r="Q459" i="505"/>
  <c r="P459" i="505"/>
  <c r="O459" i="505"/>
  <c r="I459" i="505"/>
  <c r="G459" i="505"/>
  <c r="AA458" i="505"/>
  <c r="Z458" i="505"/>
  <c r="Y458" i="505"/>
  <c r="X458" i="505"/>
  <c r="U458" i="505"/>
  <c r="T458" i="505"/>
  <c r="S458" i="505"/>
  <c r="R458" i="505"/>
  <c r="Q458" i="505"/>
  <c r="P458" i="505"/>
  <c r="O458" i="505"/>
  <c r="I458" i="505"/>
  <c r="G458" i="505"/>
  <c r="I457" i="505"/>
  <c r="G457" i="505"/>
  <c r="I456" i="505"/>
  <c r="G456" i="505"/>
  <c r="I455" i="505"/>
  <c r="G455" i="505"/>
  <c r="AA454" i="505"/>
  <c r="Z454" i="505"/>
  <c r="Y454" i="505"/>
  <c r="X454" i="505"/>
  <c r="U454" i="505"/>
  <c r="T454" i="505"/>
  <c r="S454" i="505"/>
  <c r="R454" i="505"/>
  <c r="Q454" i="505"/>
  <c r="P454" i="505"/>
  <c r="O454" i="505"/>
  <c r="I454" i="505"/>
  <c r="G454" i="505"/>
  <c r="AA453" i="505"/>
  <c r="Z453" i="505"/>
  <c r="Y453" i="505"/>
  <c r="X453" i="505"/>
  <c r="U453" i="505"/>
  <c r="T453" i="505"/>
  <c r="S453" i="505"/>
  <c r="R453" i="505"/>
  <c r="Q453" i="505"/>
  <c r="P453" i="505"/>
  <c r="O453" i="505"/>
  <c r="I453" i="505"/>
  <c r="G453" i="505"/>
  <c r="AA452" i="505"/>
  <c r="Z452" i="505"/>
  <c r="Y452" i="505"/>
  <c r="X452" i="505"/>
  <c r="U452" i="505"/>
  <c r="T452" i="505"/>
  <c r="S452" i="505"/>
  <c r="R452" i="505"/>
  <c r="Q452" i="505"/>
  <c r="P452" i="505"/>
  <c r="O452" i="505"/>
  <c r="I452" i="505"/>
  <c r="G452" i="505"/>
  <c r="AA451" i="505"/>
  <c r="Z451" i="505"/>
  <c r="Y451" i="505"/>
  <c r="X451" i="505"/>
  <c r="U451" i="505"/>
  <c r="T451" i="505"/>
  <c r="S451" i="505"/>
  <c r="R451" i="505"/>
  <c r="Q451" i="505"/>
  <c r="P451" i="505"/>
  <c r="O451" i="505"/>
  <c r="I451" i="505"/>
  <c r="G451" i="505"/>
  <c r="AA450" i="505"/>
  <c r="Z450" i="505"/>
  <c r="Y450" i="505"/>
  <c r="X450" i="505"/>
  <c r="U450" i="505"/>
  <c r="T450" i="505"/>
  <c r="S450" i="505"/>
  <c r="R450" i="505"/>
  <c r="Q450" i="505"/>
  <c r="P450" i="505"/>
  <c r="O450" i="505"/>
  <c r="I450" i="505"/>
  <c r="G450" i="505"/>
  <c r="AA449" i="505"/>
  <c r="Z449" i="505"/>
  <c r="Y449" i="505"/>
  <c r="X449" i="505"/>
  <c r="U449" i="505"/>
  <c r="T449" i="505"/>
  <c r="S449" i="505"/>
  <c r="R449" i="505"/>
  <c r="Q449" i="505"/>
  <c r="P449" i="505"/>
  <c r="O449" i="505"/>
  <c r="I449" i="505"/>
  <c r="G449" i="505"/>
  <c r="AA448" i="505"/>
  <c r="Z448" i="505"/>
  <c r="Y448" i="505"/>
  <c r="X448" i="505"/>
  <c r="U448" i="505"/>
  <c r="T448" i="505"/>
  <c r="S448" i="505"/>
  <c r="R448" i="505"/>
  <c r="Q448" i="505"/>
  <c r="P448" i="505"/>
  <c r="O448" i="505"/>
  <c r="I448" i="505"/>
  <c r="G448" i="505"/>
  <c r="AA447" i="505"/>
  <c r="Z447" i="505"/>
  <c r="Y447" i="505"/>
  <c r="X447" i="505"/>
  <c r="U447" i="505"/>
  <c r="T447" i="505"/>
  <c r="S447" i="505"/>
  <c r="R447" i="505"/>
  <c r="Q447" i="505"/>
  <c r="P447" i="505"/>
  <c r="O447" i="505"/>
  <c r="I447" i="505"/>
  <c r="G447" i="505"/>
  <c r="AA446" i="505"/>
  <c r="Z446" i="505"/>
  <c r="Y446" i="505"/>
  <c r="X446" i="505"/>
  <c r="U446" i="505"/>
  <c r="T446" i="505"/>
  <c r="S446" i="505"/>
  <c r="R446" i="505"/>
  <c r="Q446" i="505"/>
  <c r="P446" i="505"/>
  <c r="O446" i="505"/>
  <c r="I446" i="505"/>
  <c r="G446" i="505"/>
  <c r="AA445" i="505"/>
  <c r="Z445" i="505"/>
  <c r="Y445" i="505"/>
  <c r="X445" i="505"/>
  <c r="U445" i="505"/>
  <c r="T445" i="505"/>
  <c r="S445" i="505"/>
  <c r="R445" i="505"/>
  <c r="Q445" i="505"/>
  <c r="P445" i="505"/>
  <c r="O445" i="505"/>
  <c r="I445" i="505"/>
  <c r="G445" i="505"/>
  <c r="AA444" i="505"/>
  <c r="Z444" i="505"/>
  <c r="Y444" i="505"/>
  <c r="X444" i="505"/>
  <c r="U444" i="505"/>
  <c r="T444" i="505"/>
  <c r="S444" i="505"/>
  <c r="R444" i="505"/>
  <c r="Q444" i="505"/>
  <c r="P444" i="505"/>
  <c r="O444" i="505"/>
  <c r="I444" i="505"/>
  <c r="G444" i="505"/>
  <c r="AA443" i="505"/>
  <c r="Z443" i="505"/>
  <c r="Y443" i="505"/>
  <c r="X443" i="505"/>
  <c r="U443" i="505"/>
  <c r="T443" i="505"/>
  <c r="S443" i="505"/>
  <c r="R443" i="505"/>
  <c r="Q443" i="505"/>
  <c r="P443" i="505"/>
  <c r="O443" i="505"/>
  <c r="I443" i="505"/>
  <c r="G443" i="505"/>
  <c r="AA442" i="505"/>
  <c r="Z442" i="505"/>
  <c r="Y442" i="505"/>
  <c r="X442" i="505"/>
  <c r="U442" i="505"/>
  <c r="T442" i="505"/>
  <c r="S442" i="505"/>
  <c r="R442" i="505"/>
  <c r="Q442" i="505"/>
  <c r="P442" i="505"/>
  <c r="O442" i="505"/>
  <c r="I442" i="505"/>
  <c r="G442" i="505"/>
  <c r="AA441" i="505"/>
  <c r="Z441" i="505"/>
  <c r="Y441" i="505"/>
  <c r="X441" i="505"/>
  <c r="U441" i="505"/>
  <c r="T441" i="505"/>
  <c r="S441" i="505"/>
  <c r="R441" i="505"/>
  <c r="Q441" i="505"/>
  <c r="P441" i="505"/>
  <c r="O441" i="505"/>
  <c r="I441" i="505"/>
  <c r="G441" i="505"/>
  <c r="AA440" i="505"/>
  <c r="Z440" i="505"/>
  <c r="Y440" i="505"/>
  <c r="X440" i="505"/>
  <c r="U440" i="505"/>
  <c r="T440" i="505"/>
  <c r="S440" i="505"/>
  <c r="R440" i="505"/>
  <c r="Q440" i="505"/>
  <c r="P440" i="505"/>
  <c r="O440" i="505"/>
  <c r="I440" i="505"/>
  <c r="G440" i="505"/>
  <c r="AA439" i="505"/>
  <c r="Z439" i="505"/>
  <c r="Y439" i="505"/>
  <c r="X439" i="505"/>
  <c r="U439" i="505"/>
  <c r="T439" i="505"/>
  <c r="S439" i="505"/>
  <c r="R439" i="505"/>
  <c r="Q439" i="505"/>
  <c r="P439" i="505"/>
  <c r="O439" i="505"/>
  <c r="I439" i="505"/>
  <c r="G439" i="505"/>
  <c r="AA438" i="505"/>
  <c r="Z438" i="505"/>
  <c r="Y438" i="505"/>
  <c r="X438" i="505"/>
  <c r="U438" i="505"/>
  <c r="T438" i="505"/>
  <c r="S438" i="505"/>
  <c r="R438" i="505"/>
  <c r="Q438" i="505"/>
  <c r="P438" i="505"/>
  <c r="O438" i="505"/>
  <c r="I438" i="505"/>
  <c r="G438" i="505"/>
  <c r="AA437" i="505"/>
  <c r="Z437" i="505"/>
  <c r="Y437" i="505"/>
  <c r="X437" i="505"/>
  <c r="U437" i="505"/>
  <c r="T437" i="505"/>
  <c r="S437" i="505"/>
  <c r="R437" i="505"/>
  <c r="Q437" i="505"/>
  <c r="P437" i="505"/>
  <c r="O437" i="505"/>
  <c r="I437" i="505"/>
  <c r="G437" i="505"/>
  <c r="AA436" i="505"/>
  <c r="Z436" i="505"/>
  <c r="Y436" i="505"/>
  <c r="X436" i="505"/>
  <c r="U436" i="505"/>
  <c r="T436" i="505"/>
  <c r="S436" i="505"/>
  <c r="R436" i="505"/>
  <c r="Q436" i="505"/>
  <c r="P436" i="505"/>
  <c r="O436" i="505"/>
  <c r="I436" i="505"/>
  <c r="G436" i="505"/>
  <c r="AA435" i="505"/>
  <c r="Z435" i="505"/>
  <c r="Y435" i="505"/>
  <c r="X435" i="505"/>
  <c r="U435" i="505"/>
  <c r="T435" i="505"/>
  <c r="S435" i="505"/>
  <c r="R435" i="505"/>
  <c r="Q435" i="505"/>
  <c r="P435" i="505"/>
  <c r="O435" i="505"/>
  <c r="I435" i="505"/>
  <c r="G435" i="505"/>
  <c r="AA434" i="505"/>
  <c r="Z434" i="505"/>
  <c r="Y434" i="505"/>
  <c r="X434" i="505"/>
  <c r="U434" i="505"/>
  <c r="T434" i="505"/>
  <c r="S434" i="505"/>
  <c r="R434" i="505"/>
  <c r="Q434" i="505"/>
  <c r="P434" i="505"/>
  <c r="O434" i="505"/>
  <c r="I434" i="505"/>
  <c r="G434" i="505"/>
  <c r="AA433" i="505"/>
  <c r="Z433" i="505"/>
  <c r="Y433" i="505"/>
  <c r="X433" i="505"/>
  <c r="U433" i="505"/>
  <c r="T433" i="505"/>
  <c r="S433" i="505"/>
  <c r="R433" i="505"/>
  <c r="Q433" i="505"/>
  <c r="P433" i="505"/>
  <c r="O433" i="505"/>
  <c r="I433" i="505"/>
  <c r="G433" i="505"/>
  <c r="AA432" i="505"/>
  <c r="Z432" i="505"/>
  <c r="Y432" i="505"/>
  <c r="X432" i="505"/>
  <c r="U432" i="505"/>
  <c r="T432" i="505"/>
  <c r="S432" i="505"/>
  <c r="R432" i="505"/>
  <c r="Q432" i="505"/>
  <c r="P432" i="505"/>
  <c r="O432" i="505"/>
  <c r="I432" i="505"/>
  <c r="G432" i="505"/>
  <c r="AA431" i="505"/>
  <c r="Z431" i="505"/>
  <c r="Y431" i="505"/>
  <c r="X431" i="505"/>
  <c r="U431" i="505"/>
  <c r="T431" i="505"/>
  <c r="S431" i="505"/>
  <c r="R431" i="505"/>
  <c r="Q431" i="505"/>
  <c r="P431" i="505"/>
  <c r="O431" i="505"/>
  <c r="I431" i="505"/>
  <c r="G431" i="505"/>
  <c r="AA430" i="505"/>
  <c r="Z430" i="505"/>
  <c r="Y430" i="505"/>
  <c r="X430" i="505"/>
  <c r="U430" i="505"/>
  <c r="T430" i="505"/>
  <c r="S430" i="505"/>
  <c r="R430" i="505"/>
  <c r="Q430" i="505"/>
  <c r="P430" i="505"/>
  <c r="O430" i="505"/>
  <c r="I430" i="505"/>
  <c r="G430" i="505"/>
  <c r="AA429" i="505"/>
  <c r="Z429" i="505"/>
  <c r="Y429" i="505"/>
  <c r="X429" i="505"/>
  <c r="U429" i="505"/>
  <c r="T429" i="505"/>
  <c r="S429" i="505"/>
  <c r="R429" i="505"/>
  <c r="Q429" i="505"/>
  <c r="P429" i="505"/>
  <c r="O429" i="505"/>
  <c r="I429" i="505"/>
  <c r="G429" i="505"/>
  <c r="AA428" i="505"/>
  <c r="Z428" i="505"/>
  <c r="Y428" i="505"/>
  <c r="X428" i="505"/>
  <c r="U428" i="505"/>
  <c r="T428" i="505"/>
  <c r="S428" i="505"/>
  <c r="R428" i="505"/>
  <c r="Q428" i="505"/>
  <c r="P428" i="505"/>
  <c r="O428" i="505"/>
  <c r="I428" i="505"/>
  <c r="G428" i="505"/>
  <c r="AA427" i="505"/>
  <c r="Z427" i="505"/>
  <c r="Y427" i="505"/>
  <c r="X427" i="505"/>
  <c r="U427" i="505"/>
  <c r="T427" i="505"/>
  <c r="S427" i="505"/>
  <c r="R427" i="505"/>
  <c r="Q427" i="505"/>
  <c r="P427" i="505"/>
  <c r="O427" i="505"/>
  <c r="I427" i="505"/>
  <c r="G427" i="505"/>
  <c r="AA425" i="505"/>
  <c r="Z425" i="505"/>
  <c r="Y425" i="505"/>
  <c r="X425" i="505"/>
  <c r="U425" i="505"/>
  <c r="T425" i="505"/>
  <c r="S425" i="505"/>
  <c r="R425" i="505"/>
  <c r="Q425" i="505"/>
  <c r="P425" i="505"/>
  <c r="O425" i="505"/>
  <c r="I425" i="505"/>
  <c r="G425" i="505"/>
  <c r="AA424" i="505"/>
  <c r="Z424" i="505"/>
  <c r="Y424" i="505"/>
  <c r="X424" i="505"/>
  <c r="U424" i="505"/>
  <c r="T424" i="505"/>
  <c r="S424" i="505"/>
  <c r="R424" i="505"/>
  <c r="Q424" i="505"/>
  <c r="P424" i="505"/>
  <c r="O424" i="505"/>
  <c r="I424" i="505"/>
  <c r="G424" i="505"/>
  <c r="AA423" i="505"/>
  <c r="Z423" i="505"/>
  <c r="Y423" i="505"/>
  <c r="X423" i="505"/>
  <c r="U423" i="505"/>
  <c r="T423" i="505"/>
  <c r="S423" i="505"/>
  <c r="R423" i="505"/>
  <c r="Q423" i="505"/>
  <c r="P423" i="505"/>
  <c r="O423" i="505"/>
  <c r="I423" i="505"/>
  <c r="G423" i="505"/>
  <c r="I422" i="505"/>
  <c r="G422" i="505"/>
  <c r="I421" i="505"/>
  <c r="G421" i="505"/>
  <c r="I420" i="505"/>
  <c r="G420" i="505"/>
  <c r="AA419" i="505"/>
  <c r="Z419" i="505"/>
  <c r="Y419" i="505"/>
  <c r="X419" i="505"/>
  <c r="U419" i="505"/>
  <c r="T419" i="505"/>
  <c r="S419" i="505"/>
  <c r="R419" i="505"/>
  <c r="Q419" i="505"/>
  <c r="P419" i="505"/>
  <c r="O419" i="505"/>
  <c r="I419" i="505"/>
  <c r="G419" i="505"/>
  <c r="AA418" i="505"/>
  <c r="Z418" i="505"/>
  <c r="Y418" i="505"/>
  <c r="X418" i="505"/>
  <c r="U418" i="505"/>
  <c r="T418" i="505"/>
  <c r="S418" i="505"/>
  <c r="R418" i="505"/>
  <c r="Q418" i="505"/>
  <c r="P418" i="505"/>
  <c r="O418" i="505"/>
  <c r="I418" i="505"/>
  <c r="G418" i="505"/>
  <c r="AA417" i="505"/>
  <c r="Z417" i="505"/>
  <c r="Y417" i="505"/>
  <c r="X417" i="505"/>
  <c r="U417" i="505"/>
  <c r="T417" i="505"/>
  <c r="S417" i="505"/>
  <c r="R417" i="505"/>
  <c r="Q417" i="505"/>
  <c r="P417" i="505"/>
  <c r="O417" i="505"/>
  <c r="I417" i="505"/>
  <c r="G417" i="505"/>
  <c r="AA416" i="505"/>
  <c r="Z416" i="505"/>
  <c r="Y416" i="505"/>
  <c r="X416" i="505"/>
  <c r="U416" i="505"/>
  <c r="T416" i="505"/>
  <c r="S416" i="505"/>
  <c r="R416" i="505"/>
  <c r="Q416" i="505"/>
  <c r="P416" i="505"/>
  <c r="O416" i="505"/>
  <c r="I416" i="505"/>
  <c r="G416" i="505"/>
  <c r="AA415" i="505"/>
  <c r="Z415" i="505"/>
  <c r="Y415" i="505"/>
  <c r="X415" i="505"/>
  <c r="U415" i="505"/>
  <c r="T415" i="505"/>
  <c r="S415" i="505"/>
  <c r="R415" i="505"/>
  <c r="Q415" i="505"/>
  <c r="P415" i="505"/>
  <c r="O415" i="505"/>
  <c r="I415" i="505"/>
  <c r="G415" i="505"/>
  <c r="AA414" i="505"/>
  <c r="Z414" i="505"/>
  <c r="Y414" i="505"/>
  <c r="X414" i="505"/>
  <c r="U414" i="505"/>
  <c r="T414" i="505"/>
  <c r="S414" i="505"/>
  <c r="R414" i="505"/>
  <c r="Q414" i="505"/>
  <c r="P414" i="505"/>
  <c r="O414" i="505"/>
  <c r="I414" i="505"/>
  <c r="G414" i="505"/>
  <c r="AA413" i="505"/>
  <c r="Z413" i="505"/>
  <c r="Y413" i="505"/>
  <c r="X413" i="505"/>
  <c r="U413" i="505"/>
  <c r="T413" i="505"/>
  <c r="S413" i="505"/>
  <c r="R413" i="505"/>
  <c r="Q413" i="505"/>
  <c r="P413" i="505"/>
  <c r="O413" i="505"/>
  <c r="I413" i="505"/>
  <c r="G413" i="505"/>
  <c r="AA412" i="505"/>
  <c r="Z412" i="505"/>
  <c r="Y412" i="505"/>
  <c r="X412" i="505"/>
  <c r="U412" i="505"/>
  <c r="T412" i="505"/>
  <c r="S412" i="505"/>
  <c r="R412" i="505"/>
  <c r="Q412" i="505"/>
  <c r="P412" i="505"/>
  <c r="O412" i="505"/>
  <c r="I412" i="505"/>
  <c r="G412" i="505"/>
  <c r="AA411" i="505"/>
  <c r="Z411" i="505"/>
  <c r="Y411" i="505"/>
  <c r="X411" i="505"/>
  <c r="U411" i="505"/>
  <c r="T411" i="505"/>
  <c r="S411" i="505"/>
  <c r="R411" i="505"/>
  <c r="Q411" i="505"/>
  <c r="P411" i="505"/>
  <c r="O411" i="505"/>
  <c r="I411" i="505"/>
  <c r="G411" i="505"/>
  <c r="AA410" i="505"/>
  <c r="Z410" i="505"/>
  <c r="Y410" i="505"/>
  <c r="X410" i="505"/>
  <c r="U410" i="505"/>
  <c r="T410" i="505"/>
  <c r="S410" i="505"/>
  <c r="R410" i="505"/>
  <c r="Q410" i="505"/>
  <c r="P410" i="505"/>
  <c r="O410" i="505"/>
  <c r="I410" i="505"/>
  <c r="G410" i="505"/>
  <c r="AA409" i="505"/>
  <c r="Z409" i="505"/>
  <c r="Y409" i="505"/>
  <c r="X409" i="505"/>
  <c r="U409" i="505"/>
  <c r="T409" i="505"/>
  <c r="S409" i="505"/>
  <c r="R409" i="505"/>
  <c r="Q409" i="505"/>
  <c r="P409" i="505"/>
  <c r="O409" i="505"/>
  <c r="I409" i="505"/>
  <c r="G409" i="505"/>
  <c r="AA408" i="505"/>
  <c r="Z408" i="505"/>
  <c r="Y408" i="505"/>
  <c r="X408" i="505"/>
  <c r="U408" i="505"/>
  <c r="T408" i="505"/>
  <c r="S408" i="505"/>
  <c r="R408" i="505"/>
  <c r="Q408" i="505"/>
  <c r="P408" i="505"/>
  <c r="O408" i="505"/>
  <c r="I408" i="505"/>
  <c r="G408" i="505"/>
  <c r="G407" i="505"/>
  <c r="AA406" i="505"/>
  <c r="Z406" i="505"/>
  <c r="Y406" i="505"/>
  <c r="X406" i="505"/>
  <c r="U406" i="505"/>
  <c r="T406" i="505"/>
  <c r="S406" i="505"/>
  <c r="R406" i="505"/>
  <c r="Q406" i="505"/>
  <c r="P406" i="505"/>
  <c r="O406" i="505"/>
  <c r="I406" i="505"/>
  <c r="G406" i="505"/>
  <c r="AA405" i="505"/>
  <c r="Z405" i="505"/>
  <c r="Y405" i="505"/>
  <c r="X405" i="505"/>
  <c r="U405" i="505"/>
  <c r="T405" i="505"/>
  <c r="S405" i="505"/>
  <c r="R405" i="505"/>
  <c r="Q405" i="505"/>
  <c r="P405" i="505"/>
  <c r="O405" i="505"/>
  <c r="I405" i="505"/>
  <c r="G405" i="505"/>
  <c r="AA404" i="505"/>
  <c r="Z404" i="505"/>
  <c r="Y404" i="505"/>
  <c r="X404" i="505"/>
  <c r="U404" i="505"/>
  <c r="T404" i="505"/>
  <c r="S404" i="505"/>
  <c r="R404" i="505"/>
  <c r="Q404" i="505"/>
  <c r="P404" i="505"/>
  <c r="O404" i="505"/>
  <c r="I404" i="505"/>
  <c r="G404" i="505"/>
  <c r="AA403" i="505"/>
  <c r="Z403" i="505"/>
  <c r="Y403" i="505"/>
  <c r="X403" i="505"/>
  <c r="U403" i="505"/>
  <c r="T403" i="505"/>
  <c r="S403" i="505"/>
  <c r="R403" i="505"/>
  <c r="Q403" i="505"/>
  <c r="P403" i="505"/>
  <c r="O403" i="505"/>
  <c r="I403" i="505"/>
  <c r="G403" i="505"/>
  <c r="AA402" i="505"/>
  <c r="Z402" i="505"/>
  <c r="Y402" i="505"/>
  <c r="X402" i="505"/>
  <c r="U402" i="505"/>
  <c r="T402" i="505"/>
  <c r="S402" i="505"/>
  <c r="R402" i="505"/>
  <c r="Q402" i="505"/>
  <c r="P402" i="505"/>
  <c r="O402" i="505"/>
  <c r="I402" i="505"/>
  <c r="G402" i="505"/>
  <c r="AA401" i="505"/>
  <c r="Z401" i="505"/>
  <c r="Y401" i="505"/>
  <c r="X401" i="505"/>
  <c r="U401" i="505"/>
  <c r="T401" i="505"/>
  <c r="S401" i="505"/>
  <c r="R401" i="505"/>
  <c r="Q401" i="505"/>
  <c r="P401" i="505"/>
  <c r="O401" i="505"/>
  <c r="I401" i="505"/>
  <c r="G401" i="505"/>
  <c r="AA400" i="505"/>
  <c r="Z400" i="505"/>
  <c r="Y400" i="505"/>
  <c r="X400" i="505"/>
  <c r="U400" i="505"/>
  <c r="T400" i="505"/>
  <c r="S400" i="505"/>
  <c r="R400" i="505"/>
  <c r="Q400" i="505"/>
  <c r="P400" i="505"/>
  <c r="O400" i="505"/>
  <c r="I400" i="505"/>
  <c r="G400" i="505"/>
  <c r="AA399" i="505"/>
  <c r="Z399" i="505"/>
  <c r="Y399" i="505"/>
  <c r="X399" i="505"/>
  <c r="U399" i="505"/>
  <c r="T399" i="505"/>
  <c r="S399" i="505"/>
  <c r="R399" i="505"/>
  <c r="Q399" i="505"/>
  <c r="P399" i="505"/>
  <c r="O399" i="505"/>
  <c r="I399" i="505"/>
  <c r="G399" i="505"/>
  <c r="AA398" i="505"/>
  <c r="Z398" i="505"/>
  <c r="Y398" i="505"/>
  <c r="X398" i="505"/>
  <c r="U398" i="505"/>
  <c r="T398" i="505"/>
  <c r="S398" i="505"/>
  <c r="R398" i="505"/>
  <c r="Q398" i="505"/>
  <c r="P398" i="505"/>
  <c r="O398" i="505"/>
  <c r="I398" i="505"/>
  <c r="G398" i="505"/>
  <c r="AA397" i="505"/>
  <c r="Z397" i="505"/>
  <c r="Y397" i="505"/>
  <c r="X397" i="505"/>
  <c r="U397" i="505"/>
  <c r="T397" i="505"/>
  <c r="S397" i="505"/>
  <c r="R397" i="505"/>
  <c r="Q397" i="505"/>
  <c r="P397" i="505"/>
  <c r="O397" i="505"/>
  <c r="I397" i="505"/>
  <c r="G397" i="505"/>
  <c r="AA396" i="505"/>
  <c r="Z396" i="505"/>
  <c r="Y396" i="505"/>
  <c r="X396" i="505"/>
  <c r="U396" i="505"/>
  <c r="T396" i="505"/>
  <c r="S396" i="505"/>
  <c r="R396" i="505"/>
  <c r="Q396" i="505"/>
  <c r="P396" i="505"/>
  <c r="O396" i="505"/>
  <c r="I396" i="505"/>
  <c r="G396" i="505"/>
  <c r="AA395" i="505"/>
  <c r="Z395" i="505"/>
  <c r="Y395" i="505"/>
  <c r="X395" i="505"/>
  <c r="U395" i="505"/>
  <c r="T395" i="505"/>
  <c r="S395" i="505"/>
  <c r="R395" i="505"/>
  <c r="Q395" i="505"/>
  <c r="P395" i="505"/>
  <c r="O395" i="505"/>
  <c r="I395" i="505"/>
  <c r="G395" i="505"/>
  <c r="AA394" i="505"/>
  <c r="Z394" i="505"/>
  <c r="Y394" i="505"/>
  <c r="X394" i="505"/>
  <c r="U394" i="505"/>
  <c r="T394" i="505"/>
  <c r="S394" i="505"/>
  <c r="R394" i="505"/>
  <c r="Q394" i="505"/>
  <c r="P394" i="505"/>
  <c r="O394" i="505"/>
  <c r="I394" i="505"/>
  <c r="G394" i="505"/>
  <c r="AA393" i="505"/>
  <c r="Z393" i="505"/>
  <c r="Y393" i="505"/>
  <c r="X393" i="505"/>
  <c r="U393" i="505"/>
  <c r="T393" i="505"/>
  <c r="S393" i="505"/>
  <c r="R393" i="505"/>
  <c r="Q393" i="505"/>
  <c r="P393" i="505"/>
  <c r="O393" i="505"/>
  <c r="I393" i="505"/>
  <c r="G393" i="505"/>
  <c r="AA392" i="505"/>
  <c r="Z392" i="505"/>
  <c r="Y392" i="505"/>
  <c r="X392" i="505"/>
  <c r="U392" i="505"/>
  <c r="T392" i="505"/>
  <c r="S392" i="505"/>
  <c r="R392" i="505"/>
  <c r="Q392" i="505"/>
  <c r="P392" i="505"/>
  <c r="O392" i="505"/>
  <c r="I392" i="505"/>
  <c r="G392" i="505"/>
  <c r="AA391" i="505"/>
  <c r="Z391" i="505"/>
  <c r="Y391" i="505"/>
  <c r="X391" i="505"/>
  <c r="U391" i="505"/>
  <c r="T391" i="505"/>
  <c r="S391" i="505"/>
  <c r="R391" i="505"/>
  <c r="Q391" i="505"/>
  <c r="P391" i="505"/>
  <c r="O391" i="505"/>
  <c r="I391" i="505"/>
  <c r="G391" i="505"/>
  <c r="AA390" i="505"/>
  <c r="Z390" i="505"/>
  <c r="Y390" i="505"/>
  <c r="X390" i="505"/>
  <c r="U390" i="505"/>
  <c r="T390" i="505"/>
  <c r="S390" i="505"/>
  <c r="R390" i="505"/>
  <c r="Q390" i="505"/>
  <c r="P390" i="505"/>
  <c r="O390" i="505"/>
  <c r="I390" i="505"/>
  <c r="G390" i="505"/>
  <c r="AA389" i="505"/>
  <c r="Z389" i="505"/>
  <c r="Y389" i="505"/>
  <c r="X389" i="505"/>
  <c r="U389" i="505"/>
  <c r="T389" i="505"/>
  <c r="S389" i="505"/>
  <c r="R389" i="505"/>
  <c r="Q389" i="505"/>
  <c r="P389" i="505"/>
  <c r="O389" i="505"/>
  <c r="I389" i="505"/>
  <c r="G389" i="505"/>
  <c r="AA388" i="505"/>
  <c r="Z388" i="505"/>
  <c r="Y388" i="505"/>
  <c r="X388" i="505"/>
  <c r="U388" i="505"/>
  <c r="T388" i="505"/>
  <c r="S388" i="505"/>
  <c r="R388" i="505"/>
  <c r="Q388" i="505"/>
  <c r="P388" i="505"/>
  <c r="O388" i="505"/>
  <c r="I388" i="505"/>
  <c r="G388" i="505"/>
  <c r="AA387" i="505"/>
  <c r="Z387" i="505"/>
  <c r="Y387" i="505"/>
  <c r="X387" i="505"/>
  <c r="U387" i="505"/>
  <c r="T387" i="505"/>
  <c r="S387" i="505"/>
  <c r="R387" i="505"/>
  <c r="Q387" i="505"/>
  <c r="P387" i="505"/>
  <c r="O387" i="505"/>
  <c r="I387" i="505"/>
  <c r="G387" i="505"/>
  <c r="AA386" i="505"/>
  <c r="Z386" i="505"/>
  <c r="Y386" i="505"/>
  <c r="X386" i="505"/>
  <c r="U386" i="505"/>
  <c r="T386" i="505"/>
  <c r="S386" i="505"/>
  <c r="R386" i="505"/>
  <c r="Q386" i="505"/>
  <c r="P386" i="505"/>
  <c r="O386" i="505"/>
  <c r="I386" i="505"/>
  <c r="G386" i="505"/>
  <c r="AA385" i="505"/>
  <c r="Z385" i="505"/>
  <c r="Y385" i="505"/>
  <c r="X385" i="505"/>
  <c r="U385" i="505"/>
  <c r="T385" i="505"/>
  <c r="S385" i="505"/>
  <c r="R385" i="505"/>
  <c r="Q385" i="505"/>
  <c r="P385" i="505"/>
  <c r="O385" i="505"/>
  <c r="I385" i="505"/>
  <c r="G385" i="505"/>
  <c r="AA384" i="505"/>
  <c r="Z384" i="505"/>
  <c r="Y384" i="505"/>
  <c r="X384" i="505"/>
  <c r="U384" i="505"/>
  <c r="T384" i="505"/>
  <c r="S384" i="505"/>
  <c r="R384" i="505"/>
  <c r="Q384" i="505"/>
  <c r="P384" i="505"/>
  <c r="O384" i="505"/>
  <c r="I384" i="505"/>
  <c r="G384" i="505"/>
  <c r="AA383" i="505"/>
  <c r="Z383" i="505"/>
  <c r="Y383" i="505"/>
  <c r="X383" i="505"/>
  <c r="U383" i="505"/>
  <c r="T383" i="505"/>
  <c r="S383" i="505"/>
  <c r="R383" i="505"/>
  <c r="Q383" i="505"/>
  <c r="P383" i="505"/>
  <c r="O383" i="505"/>
  <c r="I383" i="505"/>
  <c r="G383" i="505"/>
  <c r="AA382" i="505"/>
  <c r="Z382" i="505"/>
  <c r="Y382" i="505"/>
  <c r="X382" i="505"/>
  <c r="U382" i="505"/>
  <c r="T382" i="505"/>
  <c r="S382" i="505"/>
  <c r="R382" i="505"/>
  <c r="Q382" i="505"/>
  <c r="P382" i="505"/>
  <c r="O382" i="505"/>
  <c r="I382" i="505"/>
  <c r="G382" i="505"/>
  <c r="AA381" i="505"/>
  <c r="Z381" i="505"/>
  <c r="Y381" i="505"/>
  <c r="X381" i="505"/>
  <c r="U381" i="505"/>
  <c r="T381" i="505"/>
  <c r="S381" i="505"/>
  <c r="R381" i="505"/>
  <c r="Q381" i="505"/>
  <c r="P381" i="505"/>
  <c r="O381" i="505"/>
  <c r="I381" i="505"/>
  <c r="G381" i="505"/>
  <c r="AA380" i="505"/>
  <c r="Z380" i="505"/>
  <c r="Y380" i="505"/>
  <c r="X380" i="505"/>
  <c r="U380" i="505"/>
  <c r="T380" i="505"/>
  <c r="S380" i="505"/>
  <c r="R380" i="505"/>
  <c r="Q380" i="505"/>
  <c r="P380" i="505"/>
  <c r="O380" i="505"/>
  <c r="I380" i="505"/>
  <c r="G380" i="505"/>
  <c r="AA379" i="505"/>
  <c r="Z379" i="505"/>
  <c r="Y379" i="505"/>
  <c r="X379" i="505"/>
  <c r="U379" i="505"/>
  <c r="T379" i="505"/>
  <c r="S379" i="505"/>
  <c r="R379" i="505"/>
  <c r="Q379" i="505"/>
  <c r="P379" i="505"/>
  <c r="O379" i="505"/>
  <c r="I379" i="505"/>
  <c r="G379" i="505"/>
  <c r="AA378" i="505"/>
  <c r="Z378" i="505"/>
  <c r="Y378" i="505"/>
  <c r="X378" i="505"/>
  <c r="U378" i="505"/>
  <c r="T378" i="505"/>
  <c r="S378" i="505"/>
  <c r="R378" i="505"/>
  <c r="Q378" i="505"/>
  <c r="P378" i="505"/>
  <c r="O378" i="505"/>
  <c r="I378" i="505"/>
  <c r="G378" i="505"/>
  <c r="AA377" i="505"/>
  <c r="Z377" i="505"/>
  <c r="Y377" i="505"/>
  <c r="X377" i="505"/>
  <c r="U377" i="505"/>
  <c r="T377" i="505"/>
  <c r="S377" i="505"/>
  <c r="R377" i="505"/>
  <c r="Q377" i="505"/>
  <c r="P377" i="505"/>
  <c r="O377" i="505"/>
  <c r="I377" i="505"/>
  <c r="G377" i="505"/>
  <c r="I376" i="505"/>
  <c r="G376" i="505"/>
  <c r="I375" i="505"/>
  <c r="G375" i="505"/>
  <c r="I374" i="505"/>
  <c r="G374" i="505"/>
  <c r="AA373" i="505"/>
  <c r="Z373" i="505"/>
  <c r="Y373" i="505"/>
  <c r="X373" i="505"/>
  <c r="U373" i="505"/>
  <c r="T373" i="505"/>
  <c r="S373" i="505"/>
  <c r="R373" i="505"/>
  <c r="Q373" i="505"/>
  <c r="P373" i="505"/>
  <c r="O373" i="505"/>
  <c r="I373" i="505"/>
  <c r="G373" i="505"/>
  <c r="AA372" i="505"/>
  <c r="Z372" i="505"/>
  <c r="Y372" i="505"/>
  <c r="X372" i="505"/>
  <c r="U372" i="505"/>
  <c r="T372" i="505"/>
  <c r="S372" i="505"/>
  <c r="R372" i="505"/>
  <c r="Q372" i="505"/>
  <c r="P372" i="505"/>
  <c r="O372" i="505"/>
  <c r="I372" i="505"/>
  <c r="G372" i="505"/>
  <c r="AA371" i="505"/>
  <c r="Z371" i="505"/>
  <c r="Y371" i="505"/>
  <c r="X371" i="505"/>
  <c r="U371" i="505"/>
  <c r="T371" i="505"/>
  <c r="S371" i="505"/>
  <c r="R371" i="505"/>
  <c r="Q371" i="505"/>
  <c r="P371" i="505"/>
  <c r="O371" i="505"/>
  <c r="I371" i="505"/>
  <c r="G371" i="505"/>
  <c r="G370" i="505"/>
  <c r="AA369" i="505"/>
  <c r="Z369" i="505"/>
  <c r="Y369" i="505"/>
  <c r="X369" i="505"/>
  <c r="U369" i="505"/>
  <c r="T369" i="505"/>
  <c r="S369" i="505"/>
  <c r="R369" i="505"/>
  <c r="Q369" i="505"/>
  <c r="P369" i="505"/>
  <c r="O369" i="505"/>
  <c r="I369" i="505"/>
  <c r="G369" i="505"/>
  <c r="AA367" i="505"/>
  <c r="Z367" i="505"/>
  <c r="Y367" i="505"/>
  <c r="X367" i="505"/>
  <c r="U367" i="505"/>
  <c r="T367" i="505"/>
  <c r="S367" i="505"/>
  <c r="R367" i="505"/>
  <c r="Q367" i="505"/>
  <c r="P367" i="505"/>
  <c r="O367" i="505"/>
  <c r="I367" i="505"/>
  <c r="G367" i="505"/>
  <c r="AA366" i="505"/>
  <c r="Z366" i="505"/>
  <c r="Y366" i="505"/>
  <c r="X366" i="505"/>
  <c r="U366" i="505"/>
  <c r="T366" i="505"/>
  <c r="S366" i="505"/>
  <c r="R366" i="505"/>
  <c r="Q366" i="505"/>
  <c r="P366" i="505"/>
  <c r="O366" i="505"/>
  <c r="I366" i="505"/>
  <c r="G366" i="505"/>
  <c r="AA365" i="505"/>
  <c r="Z365" i="505"/>
  <c r="Y365" i="505"/>
  <c r="X365" i="505"/>
  <c r="U365" i="505"/>
  <c r="T365" i="505"/>
  <c r="S365" i="505"/>
  <c r="R365" i="505"/>
  <c r="Q365" i="505"/>
  <c r="P365" i="505"/>
  <c r="O365" i="505"/>
  <c r="I365" i="505"/>
  <c r="G365" i="505"/>
  <c r="AA364" i="505"/>
  <c r="Z364" i="505"/>
  <c r="Y364" i="505"/>
  <c r="X364" i="505"/>
  <c r="U364" i="505"/>
  <c r="T364" i="505"/>
  <c r="S364" i="505"/>
  <c r="R364" i="505"/>
  <c r="Q364" i="505"/>
  <c r="P364" i="505"/>
  <c r="O364" i="505"/>
  <c r="I364" i="505"/>
  <c r="G364" i="505"/>
  <c r="AA363" i="505"/>
  <c r="Z363" i="505"/>
  <c r="Y363" i="505"/>
  <c r="X363" i="505"/>
  <c r="U363" i="505"/>
  <c r="T363" i="505"/>
  <c r="S363" i="505"/>
  <c r="R363" i="505"/>
  <c r="Q363" i="505"/>
  <c r="P363" i="505"/>
  <c r="O363" i="505"/>
  <c r="I363" i="505"/>
  <c r="G363" i="505"/>
  <c r="AA362" i="505"/>
  <c r="Z362" i="505"/>
  <c r="Y362" i="505"/>
  <c r="X362" i="505"/>
  <c r="U362" i="505"/>
  <c r="T362" i="505"/>
  <c r="S362" i="505"/>
  <c r="R362" i="505"/>
  <c r="Q362" i="505"/>
  <c r="P362" i="505"/>
  <c r="O362" i="505"/>
  <c r="I362" i="505"/>
  <c r="G362" i="505"/>
  <c r="AA361" i="505"/>
  <c r="Z361" i="505"/>
  <c r="Y361" i="505"/>
  <c r="X361" i="505"/>
  <c r="U361" i="505"/>
  <c r="T361" i="505"/>
  <c r="S361" i="505"/>
  <c r="R361" i="505"/>
  <c r="Q361" i="505"/>
  <c r="P361" i="505"/>
  <c r="O361" i="505"/>
  <c r="I361" i="505"/>
  <c r="G361" i="505"/>
  <c r="AA360" i="505"/>
  <c r="Z360" i="505"/>
  <c r="Y360" i="505"/>
  <c r="X360" i="505"/>
  <c r="U360" i="505"/>
  <c r="T360" i="505"/>
  <c r="S360" i="505"/>
  <c r="R360" i="505"/>
  <c r="Q360" i="505"/>
  <c r="P360" i="505"/>
  <c r="O360" i="505"/>
  <c r="I360" i="505"/>
  <c r="G360" i="505"/>
  <c r="AA359" i="505"/>
  <c r="Z359" i="505"/>
  <c r="Y359" i="505"/>
  <c r="X359" i="505"/>
  <c r="U359" i="505"/>
  <c r="T359" i="505"/>
  <c r="S359" i="505"/>
  <c r="R359" i="505"/>
  <c r="Q359" i="505"/>
  <c r="P359" i="505"/>
  <c r="O359" i="505"/>
  <c r="I359" i="505"/>
  <c r="G359" i="505"/>
  <c r="G358" i="505"/>
  <c r="G357" i="505"/>
  <c r="AA356" i="505"/>
  <c r="Z356" i="505"/>
  <c r="Y356" i="505"/>
  <c r="X356" i="505"/>
  <c r="U356" i="505"/>
  <c r="T356" i="505"/>
  <c r="S356" i="505"/>
  <c r="R356" i="505"/>
  <c r="Q356" i="505"/>
  <c r="P356" i="505"/>
  <c r="O356" i="505"/>
  <c r="I356" i="505"/>
  <c r="G356" i="505"/>
  <c r="AA355" i="505"/>
  <c r="Z355" i="505"/>
  <c r="Y355" i="505"/>
  <c r="X355" i="505"/>
  <c r="U355" i="505"/>
  <c r="T355" i="505"/>
  <c r="S355" i="505"/>
  <c r="R355" i="505"/>
  <c r="Q355" i="505"/>
  <c r="P355" i="505"/>
  <c r="O355" i="505"/>
  <c r="I355" i="505"/>
  <c r="G355" i="505"/>
  <c r="AA354" i="505"/>
  <c r="Z354" i="505"/>
  <c r="Y354" i="505"/>
  <c r="X354" i="505"/>
  <c r="U354" i="505"/>
  <c r="T354" i="505"/>
  <c r="S354" i="505"/>
  <c r="R354" i="505"/>
  <c r="Q354" i="505"/>
  <c r="P354" i="505"/>
  <c r="O354" i="505"/>
  <c r="I354" i="505"/>
  <c r="G354" i="505"/>
  <c r="AA353" i="505"/>
  <c r="Z353" i="505"/>
  <c r="Y353" i="505"/>
  <c r="X353" i="505"/>
  <c r="U353" i="505"/>
  <c r="T353" i="505"/>
  <c r="S353" i="505"/>
  <c r="R353" i="505"/>
  <c r="Q353" i="505"/>
  <c r="P353" i="505"/>
  <c r="O353" i="505"/>
  <c r="I353" i="505"/>
  <c r="G353" i="505"/>
  <c r="AA352" i="505"/>
  <c r="Z352" i="505"/>
  <c r="Y352" i="505"/>
  <c r="X352" i="505"/>
  <c r="U352" i="505"/>
  <c r="T352" i="505"/>
  <c r="S352" i="505"/>
  <c r="R352" i="505"/>
  <c r="Q352" i="505"/>
  <c r="P352" i="505"/>
  <c r="O352" i="505"/>
  <c r="I352" i="505"/>
  <c r="G352" i="505"/>
  <c r="AA351" i="505"/>
  <c r="Z351" i="505"/>
  <c r="Y351" i="505"/>
  <c r="X351" i="505"/>
  <c r="U351" i="505"/>
  <c r="T351" i="505"/>
  <c r="S351" i="505"/>
  <c r="R351" i="505"/>
  <c r="Q351" i="505"/>
  <c r="P351" i="505"/>
  <c r="O351" i="505"/>
  <c r="I351" i="505"/>
  <c r="G351" i="505"/>
  <c r="AA350" i="505"/>
  <c r="Z350" i="505"/>
  <c r="Y350" i="505"/>
  <c r="X350" i="505"/>
  <c r="U350" i="505"/>
  <c r="T350" i="505"/>
  <c r="S350" i="505"/>
  <c r="R350" i="505"/>
  <c r="Q350" i="505"/>
  <c r="P350" i="505"/>
  <c r="O350" i="505"/>
  <c r="I350" i="505"/>
  <c r="G350" i="505"/>
  <c r="AA349" i="505"/>
  <c r="Z349" i="505"/>
  <c r="Y349" i="505"/>
  <c r="X349" i="505"/>
  <c r="U349" i="505"/>
  <c r="T349" i="505"/>
  <c r="S349" i="505"/>
  <c r="R349" i="505"/>
  <c r="Q349" i="505"/>
  <c r="P349" i="505"/>
  <c r="O349" i="505"/>
  <c r="I349" i="505"/>
  <c r="G349" i="505"/>
  <c r="AA348" i="505"/>
  <c r="Z348" i="505"/>
  <c r="Y348" i="505"/>
  <c r="X348" i="505"/>
  <c r="U348" i="505"/>
  <c r="T348" i="505"/>
  <c r="S348" i="505"/>
  <c r="R348" i="505"/>
  <c r="Q348" i="505"/>
  <c r="P348" i="505"/>
  <c r="O348" i="505"/>
  <c r="I348" i="505"/>
  <c r="G348" i="505"/>
  <c r="AA347" i="505"/>
  <c r="Z347" i="505"/>
  <c r="Y347" i="505"/>
  <c r="X347" i="505"/>
  <c r="U347" i="505"/>
  <c r="T347" i="505"/>
  <c r="S347" i="505"/>
  <c r="R347" i="505"/>
  <c r="Q347" i="505"/>
  <c r="P347" i="505"/>
  <c r="O347" i="505"/>
  <c r="I347" i="505"/>
  <c r="G347" i="505"/>
  <c r="G338" i="505"/>
  <c r="C338" i="505"/>
  <c r="G337" i="505"/>
  <c r="C337" i="505"/>
  <c r="G336" i="505"/>
  <c r="C336" i="505"/>
  <c r="G335" i="505"/>
  <c r="C335" i="505"/>
  <c r="AA331" i="505"/>
  <c r="Z331" i="505"/>
  <c r="Y331" i="505"/>
  <c r="X331" i="505"/>
  <c r="U331" i="505"/>
  <c r="T331" i="505"/>
  <c r="S331" i="505"/>
  <c r="R331" i="505"/>
  <c r="Q331" i="505"/>
  <c r="P331" i="505"/>
  <c r="O331" i="505"/>
  <c r="I331" i="505"/>
  <c r="G331" i="505"/>
  <c r="AA330" i="505"/>
  <c r="Z330" i="505"/>
  <c r="Y330" i="505"/>
  <c r="X330" i="505"/>
  <c r="U330" i="505"/>
  <c r="T330" i="505"/>
  <c r="S330" i="505"/>
  <c r="R330" i="505"/>
  <c r="Q330" i="505"/>
  <c r="P330" i="505"/>
  <c r="O330" i="505"/>
  <c r="I330" i="505"/>
  <c r="G330" i="505"/>
  <c r="AA329" i="505"/>
  <c r="Z329" i="505"/>
  <c r="Y329" i="505"/>
  <c r="X329" i="505"/>
  <c r="U329" i="505"/>
  <c r="T329" i="505"/>
  <c r="S329" i="505"/>
  <c r="R329" i="505"/>
  <c r="Q329" i="505"/>
  <c r="P329" i="505"/>
  <c r="O329" i="505"/>
  <c r="I329" i="505"/>
  <c r="G329" i="505"/>
  <c r="AA328" i="505"/>
  <c r="Z328" i="505"/>
  <c r="Y328" i="505"/>
  <c r="X328" i="505"/>
  <c r="U328" i="505"/>
  <c r="T328" i="505"/>
  <c r="S328" i="505"/>
  <c r="R328" i="505"/>
  <c r="Q328" i="505"/>
  <c r="P328" i="505"/>
  <c r="O328" i="505"/>
  <c r="I328" i="505"/>
  <c r="G328" i="505"/>
  <c r="AA326" i="505"/>
  <c r="Z326" i="505"/>
  <c r="Y326" i="505"/>
  <c r="X326" i="505"/>
  <c r="U326" i="505"/>
  <c r="T326" i="505"/>
  <c r="S326" i="505"/>
  <c r="R326" i="505"/>
  <c r="Q326" i="505"/>
  <c r="P326" i="505"/>
  <c r="O326" i="505"/>
  <c r="I326" i="505"/>
  <c r="G326" i="505"/>
  <c r="I325" i="505"/>
  <c r="G325" i="505"/>
  <c r="AA324" i="505"/>
  <c r="Z324" i="505"/>
  <c r="Y324" i="505"/>
  <c r="X324" i="505"/>
  <c r="U324" i="505"/>
  <c r="T324" i="505"/>
  <c r="S324" i="505"/>
  <c r="R324" i="505"/>
  <c r="Q324" i="505"/>
  <c r="P324" i="505"/>
  <c r="O324" i="505"/>
  <c r="I324" i="505"/>
  <c r="G324" i="505"/>
  <c r="AA323" i="505"/>
  <c r="Z323" i="505"/>
  <c r="Y323" i="505"/>
  <c r="X323" i="505"/>
  <c r="U323" i="505"/>
  <c r="T323" i="505"/>
  <c r="S323" i="505"/>
  <c r="R323" i="505"/>
  <c r="Q323" i="505"/>
  <c r="P323" i="505"/>
  <c r="O323" i="505"/>
  <c r="I323" i="505"/>
  <c r="G323" i="505"/>
  <c r="AA322" i="505"/>
  <c r="Z322" i="505"/>
  <c r="Y322" i="505"/>
  <c r="X322" i="505"/>
  <c r="U322" i="505"/>
  <c r="T322" i="505"/>
  <c r="S322" i="505"/>
  <c r="R322" i="505"/>
  <c r="Q322" i="505"/>
  <c r="P322" i="505"/>
  <c r="O322" i="505"/>
  <c r="I322" i="505"/>
  <c r="G322" i="505"/>
  <c r="AA321" i="505"/>
  <c r="Z321" i="505"/>
  <c r="Y321" i="505"/>
  <c r="X321" i="505"/>
  <c r="U321" i="505"/>
  <c r="T321" i="505"/>
  <c r="S321" i="505"/>
  <c r="R321" i="505"/>
  <c r="Q321" i="505"/>
  <c r="P321" i="505"/>
  <c r="O321" i="505"/>
  <c r="I321" i="505"/>
  <c r="G321" i="505"/>
  <c r="AA320" i="505"/>
  <c r="Z320" i="505"/>
  <c r="Y320" i="505"/>
  <c r="X320" i="505"/>
  <c r="U320" i="505"/>
  <c r="T320" i="505"/>
  <c r="S320" i="505"/>
  <c r="R320" i="505"/>
  <c r="Q320" i="505"/>
  <c r="P320" i="505"/>
  <c r="O320" i="505"/>
  <c r="I320" i="505"/>
  <c r="G320" i="505"/>
  <c r="AA319" i="505"/>
  <c r="Z319" i="505"/>
  <c r="Y319" i="505"/>
  <c r="X319" i="505"/>
  <c r="U319" i="505"/>
  <c r="T319" i="505"/>
  <c r="S319" i="505"/>
  <c r="R319" i="505"/>
  <c r="Q319" i="505"/>
  <c r="P319" i="505"/>
  <c r="O319" i="505"/>
  <c r="I319" i="505"/>
  <c r="G319" i="505"/>
  <c r="AA318" i="505"/>
  <c r="Z318" i="505"/>
  <c r="Y318" i="505"/>
  <c r="X318" i="505"/>
  <c r="U318" i="505"/>
  <c r="T318" i="505"/>
  <c r="S318" i="505"/>
  <c r="R318" i="505"/>
  <c r="Q318" i="505"/>
  <c r="P318" i="505"/>
  <c r="O318" i="505"/>
  <c r="I318" i="505"/>
  <c r="G318" i="505"/>
  <c r="AA316" i="505"/>
  <c r="Z316" i="505"/>
  <c r="Y316" i="505"/>
  <c r="X316" i="505"/>
  <c r="U316" i="505"/>
  <c r="T316" i="505"/>
  <c r="S316" i="505"/>
  <c r="R316" i="505"/>
  <c r="Q316" i="505"/>
  <c r="P316" i="505"/>
  <c r="O316" i="505"/>
  <c r="I316" i="505"/>
  <c r="G316" i="505"/>
  <c r="I315" i="505"/>
  <c r="G315" i="505"/>
  <c r="I314" i="505"/>
  <c r="G314" i="505"/>
  <c r="I313" i="505"/>
  <c r="G313" i="505"/>
  <c r="AA312" i="505"/>
  <c r="Z312" i="505"/>
  <c r="Y312" i="505"/>
  <c r="X312" i="505"/>
  <c r="U312" i="505"/>
  <c r="T312" i="505"/>
  <c r="S312" i="505"/>
  <c r="R312" i="505"/>
  <c r="Q312" i="505"/>
  <c r="P312" i="505"/>
  <c r="O312" i="505"/>
  <c r="I312" i="505"/>
  <c r="G312" i="505"/>
  <c r="AA311" i="505"/>
  <c r="Z311" i="505"/>
  <c r="Y311" i="505"/>
  <c r="X311" i="505"/>
  <c r="U311" i="505"/>
  <c r="T311" i="505"/>
  <c r="S311" i="505"/>
  <c r="R311" i="505"/>
  <c r="Q311" i="505"/>
  <c r="P311" i="505"/>
  <c r="O311" i="505"/>
  <c r="I311" i="505"/>
  <c r="G311" i="505"/>
  <c r="AA310" i="505"/>
  <c r="Z310" i="505"/>
  <c r="Y310" i="505"/>
  <c r="X310" i="505"/>
  <c r="U310" i="505"/>
  <c r="T310" i="505"/>
  <c r="S310" i="505"/>
  <c r="R310" i="505"/>
  <c r="Q310" i="505"/>
  <c r="P310" i="505"/>
  <c r="O310" i="505"/>
  <c r="I310" i="505"/>
  <c r="G310" i="505"/>
  <c r="AA309" i="505"/>
  <c r="Z309" i="505"/>
  <c r="Y309" i="505"/>
  <c r="X309" i="505"/>
  <c r="U309" i="505"/>
  <c r="T309" i="505"/>
  <c r="S309" i="505"/>
  <c r="R309" i="505"/>
  <c r="Q309" i="505"/>
  <c r="P309" i="505"/>
  <c r="O309" i="505"/>
  <c r="I309" i="505"/>
  <c r="G309" i="505"/>
  <c r="AA308" i="505"/>
  <c r="Z308" i="505"/>
  <c r="Y308" i="505"/>
  <c r="X308" i="505"/>
  <c r="U308" i="505"/>
  <c r="T308" i="505"/>
  <c r="S308" i="505"/>
  <c r="R308" i="505"/>
  <c r="Q308" i="505"/>
  <c r="P308" i="505"/>
  <c r="O308" i="505"/>
  <c r="I308" i="505"/>
  <c r="G308" i="505"/>
  <c r="AA306" i="505"/>
  <c r="Z306" i="505"/>
  <c r="Y306" i="505"/>
  <c r="X306" i="505"/>
  <c r="U306" i="505"/>
  <c r="T306" i="505"/>
  <c r="S306" i="505"/>
  <c r="R306" i="505"/>
  <c r="Q306" i="505"/>
  <c r="P306" i="505"/>
  <c r="O306" i="505"/>
  <c r="I306" i="505"/>
  <c r="G306" i="505"/>
  <c r="AA305" i="505"/>
  <c r="Z305" i="505"/>
  <c r="Y305" i="505"/>
  <c r="X305" i="505"/>
  <c r="U305" i="505"/>
  <c r="T305" i="505"/>
  <c r="S305" i="505"/>
  <c r="R305" i="505"/>
  <c r="Q305" i="505"/>
  <c r="P305" i="505"/>
  <c r="O305" i="505"/>
  <c r="I305" i="505"/>
  <c r="G305" i="505"/>
  <c r="AA304" i="505"/>
  <c r="Z304" i="505"/>
  <c r="Y304" i="505"/>
  <c r="X304" i="505"/>
  <c r="U304" i="505"/>
  <c r="T304" i="505"/>
  <c r="S304" i="505"/>
  <c r="R304" i="505"/>
  <c r="Q304" i="505"/>
  <c r="P304" i="505"/>
  <c r="O304" i="505"/>
  <c r="I304" i="505"/>
  <c r="G304" i="505"/>
  <c r="AA303" i="505"/>
  <c r="Z303" i="505"/>
  <c r="Y303" i="505"/>
  <c r="X303" i="505"/>
  <c r="U303" i="505"/>
  <c r="T303" i="505"/>
  <c r="S303" i="505"/>
  <c r="R303" i="505"/>
  <c r="Q303" i="505"/>
  <c r="P303" i="505"/>
  <c r="O303" i="505"/>
  <c r="I303" i="505"/>
  <c r="G303" i="505"/>
  <c r="AA302" i="505"/>
  <c r="Z302" i="505"/>
  <c r="Y302" i="505"/>
  <c r="X302" i="505"/>
  <c r="U302" i="505"/>
  <c r="T302" i="505"/>
  <c r="S302" i="505"/>
  <c r="R302" i="505"/>
  <c r="Q302" i="505"/>
  <c r="P302" i="505"/>
  <c r="O302" i="505"/>
  <c r="I302" i="505"/>
  <c r="G302" i="505"/>
  <c r="AA301" i="505"/>
  <c r="Z301" i="505"/>
  <c r="Y301" i="505"/>
  <c r="X301" i="505"/>
  <c r="U301" i="505"/>
  <c r="T301" i="505"/>
  <c r="S301" i="505"/>
  <c r="R301" i="505"/>
  <c r="Q301" i="505"/>
  <c r="P301" i="505"/>
  <c r="O301" i="505"/>
  <c r="I301" i="505"/>
  <c r="G301" i="505"/>
  <c r="AA300" i="505"/>
  <c r="Z300" i="505"/>
  <c r="Y300" i="505"/>
  <c r="X300" i="505"/>
  <c r="U300" i="505"/>
  <c r="T300" i="505"/>
  <c r="S300" i="505"/>
  <c r="R300" i="505"/>
  <c r="Q300" i="505"/>
  <c r="P300" i="505"/>
  <c r="O300" i="505"/>
  <c r="I300" i="505"/>
  <c r="G300" i="505"/>
  <c r="AA299" i="505"/>
  <c r="Z299" i="505"/>
  <c r="Y299" i="505"/>
  <c r="X299" i="505"/>
  <c r="U299" i="505"/>
  <c r="T299" i="505"/>
  <c r="S299" i="505"/>
  <c r="R299" i="505"/>
  <c r="Q299" i="505"/>
  <c r="P299" i="505"/>
  <c r="O299" i="505"/>
  <c r="I299" i="505"/>
  <c r="G299" i="505"/>
  <c r="AA298" i="505"/>
  <c r="Z298" i="505"/>
  <c r="Y298" i="505"/>
  <c r="X298" i="505"/>
  <c r="U298" i="505"/>
  <c r="T298" i="505"/>
  <c r="S298" i="505"/>
  <c r="R298" i="505"/>
  <c r="Q298" i="505"/>
  <c r="P298" i="505"/>
  <c r="O298" i="505"/>
  <c r="I298" i="505"/>
  <c r="G298" i="505"/>
  <c r="AA297" i="505"/>
  <c r="Z297" i="505"/>
  <c r="Y297" i="505"/>
  <c r="X297" i="505"/>
  <c r="U297" i="505"/>
  <c r="T297" i="505"/>
  <c r="S297" i="505"/>
  <c r="R297" i="505"/>
  <c r="Q297" i="505"/>
  <c r="P297" i="505"/>
  <c r="O297" i="505"/>
  <c r="I297" i="505"/>
  <c r="G297" i="505"/>
  <c r="AA296" i="505"/>
  <c r="Z296" i="505"/>
  <c r="Y296" i="505"/>
  <c r="X296" i="505"/>
  <c r="U296" i="505"/>
  <c r="T296" i="505"/>
  <c r="S296" i="505"/>
  <c r="R296" i="505"/>
  <c r="Q296" i="505"/>
  <c r="P296" i="505"/>
  <c r="O296" i="505"/>
  <c r="I296" i="505"/>
  <c r="G296" i="505"/>
  <c r="AA295" i="505"/>
  <c r="Z295" i="505"/>
  <c r="Y295" i="505"/>
  <c r="X295" i="505"/>
  <c r="U295" i="505"/>
  <c r="T295" i="505"/>
  <c r="S295" i="505"/>
  <c r="R295" i="505"/>
  <c r="Q295" i="505"/>
  <c r="P295" i="505"/>
  <c r="O295" i="505"/>
  <c r="I295" i="505"/>
  <c r="G295" i="505"/>
  <c r="AA294" i="505"/>
  <c r="Z294" i="505"/>
  <c r="Y294" i="505"/>
  <c r="X294" i="505"/>
  <c r="U294" i="505"/>
  <c r="T294" i="505"/>
  <c r="S294" i="505"/>
  <c r="R294" i="505"/>
  <c r="Q294" i="505"/>
  <c r="P294" i="505"/>
  <c r="O294" i="505"/>
  <c r="I294" i="505"/>
  <c r="G294" i="505"/>
  <c r="AA293" i="505"/>
  <c r="Z293" i="505"/>
  <c r="Y293" i="505"/>
  <c r="X293" i="505"/>
  <c r="U293" i="505"/>
  <c r="T293" i="505"/>
  <c r="S293" i="505"/>
  <c r="R293" i="505"/>
  <c r="Q293" i="505"/>
  <c r="P293" i="505"/>
  <c r="O293" i="505"/>
  <c r="I293" i="505"/>
  <c r="G293" i="505"/>
  <c r="AA292" i="505"/>
  <c r="Z292" i="505"/>
  <c r="Y292" i="505"/>
  <c r="X292" i="505"/>
  <c r="U292" i="505"/>
  <c r="T292" i="505"/>
  <c r="S292" i="505"/>
  <c r="R292" i="505"/>
  <c r="Q292" i="505"/>
  <c r="P292" i="505"/>
  <c r="O292" i="505"/>
  <c r="I292" i="505"/>
  <c r="G292" i="505"/>
  <c r="AA290" i="505"/>
  <c r="Z290" i="505"/>
  <c r="Y290" i="505"/>
  <c r="X290" i="505"/>
  <c r="U290" i="505"/>
  <c r="T290" i="505"/>
  <c r="S290" i="505"/>
  <c r="R290" i="505"/>
  <c r="Q290" i="505"/>
  <c r="P290" i="505"/>
  <c r="O290" i="505"/>
  <c r="I290" i="505"/>
  <c r="G290" i="505"/>
  <c r="AA289" i="505"/>
  <c r="Z289" i="505"/>
  <c r="Y289" i="505"/>
  <c r="X289" i="505"/>
  <c r="U289" i="505"/>
  <c r="T289" i="505"/>
  <c r="S289" i="505"/>
  <c r="R289" i="505"/>
  <c r="Q289" i="505"/>
  <c r="P289" i="505"/>
  <c r="O289" i="505"/>
  <c r="I289" i="505"/>
  <c r="G289" i="505"/>
  <c r="AA288" i="505"/>
  <c r="Z288" i="505"/>
  <c r="Y288" i="505"/>
  <c r="X288" i="505"/>
  <c r="U288" i="505"/>
  <c r="T288" i="505"/>
  <c r="S288" i="505"/>
  <c r="R288" i="505"/>
  <c r="Q288" i="505"/>
  <c r="P288" i="505"/>
  <c r="O288" i="505"/>
  <c r="I288" i="505"/>
  <c r="G288" i="505"/>
  <c r="I287" i="505"/>
  <c r="G287" i="505"/>
  <c r="I286" i="505"/>
  <c r="G286" i="505"/>
  <c r="I285" i="505"/>
  <c r="G285" i="505"/>
  <c r="AA284" i="505"/>
  <c r="Z284" i="505"/>
  <c r="Y284" i="505"/>
  <c r="X284" i="505"/>
  <c r="U284" i="505"/>
  <c r="T284" i="505"/>
  <c r="S284" i="505"/>
  <c r="R284" i="505"/>
  <c r="Q284" i="505"/>
  <c r="P284" i="505"/>
  <c r="O284" i="505"/>
  <c r="I284" i="505"/>
  <c r="G284" i="505"/>
  <c r="AA283" i="505"/>
  <c r="Z283" i="505"/>
  <c r="Y283" i="505"/>
  <c r="X283" i="505"/>
  <c r="U283" i="505"/>
  <c r="T283" i="505"/>
  <c r="S283" i="505"/>
  <c r="R283" i="505"/>
  <c r="Q283" i="505"/>
  <c r="P283" i="505"/>
  <c r="O283" i="505"/>
  <c r="I283" i="505"/>
  <c r="G283" i="505"/>
  <c r="AA282" i="505"/>
  <c r="Z282" i="505"/>
  <c r="Y282" i="505"/>
  <c r="X282" i="505"/>
  <c r="U282" i="505"/>
  <c r="T282" i="505"/>
  <c r="S282" i="505"/>
  <c r="R282" i="505"/>
  <c r="Q282" i="505"/>
  <c r="P282" i="505"/>
  <c r="O282" i="505"/>
  <c r="I282" i="505"/>
  <c r="G282" i="505"/>
  <c r="AA281" i="505"/>
  <c r="Z281" i="505"/>
  <c r="Y281" i="505"/>
  <c r="X281" i="505"/>
  <c r="U281" i="505"/>
  <c r="T281" i="505"/>
  <c r="S281" i="505"/>
  <c r="R281" i="505"/>
  <c r="Q281" i="505"/>
  <c r="P281" i="505"/>
  <c r="O281" i="505"/>
  <c r="I281" i="505"/>
  <c r="G281" i="505"/>
  <c r="AA280" i="505"/>
  <c r="Z280" i="505"/>
  <c r="Y280" i="505"/>
  <c r="X280" i="505"/>
  <c r="U280" i="505"/>
  <c r="T280" i="505"/>
  <c r="S280" i="505"/>
  <c r="R280" i="505"/>
  <c r="Q280" i="505"/>
  <c r="P280" i="505"/>
  <c r="O280" i="505"/>
  <c r="I280" i="505"/>
  <c r="G280" i="505"/>
  <c r="AA279" i="505"/>
  <c r="Z279" i="505"/>
  <c r="Y279" i="505"/>
  <c r="X279" i="505"/>
  <c r="U279" i="505"/>
  <c r="T279" i="505"/>
  <c r="S279" i="505"/>
  <c r="R279" i="505"/>
  <c r="Q279" i="505"/>
  <c r="P279" i="505"/>
  <c r="O279" i="505"/>
  <c r="I279" i="505"/>
  <c r="G279" i="505"/>
  <c r="AA278" i="505"/>
  <c r="Z278" i="505"/>
  <c r="Y278" i="505"/>
  <c r="X278" i="505"/>
  <c r="U278" i="505"/>
  <c r="T278" i="505"/>
  <c r="S278" i="505"/>
  <c r="R278" i="505"/>
  <c r="Q278" i="505"/>
  <c r="P278" i="505"/>
  <c r="O278" i="505"/>
  <c r="I278" i="505"/>
  <c r="G278" i="505"/>
  <c r="AA277" i="505"/>
  <c r="Z277" i="505"/>
  <c r="Y277" i="505"/>
  <c r="X277" i="505"/>
  <c r="U277" i="505"/>
  <c r="T277" i="505"/>
  <c r="S277" i="505"/>
  <c r="R277" i="505"/>
  <c r="Q277" i="505"/>
  <c r="P277" i="505"/>
  <c r="O277" i="505"/>
  <c r="I277" i="505"/>
  <c r="G277" i="505"/>
  <c r="AA276" i="505"/>
  <c r="Z276" i="505"/>
  <c r="Y276" i="505"/>
  <c r="X276" i="505"/>
  <c r="U276" i="505"/>
  <c r="T276" i="505"/>
  <c r="S276" i="505"/>
  <c r="R276" i="505"/>
  <c r="Q276" i="505"/>
  <c r="P276" i="505"/>
  <c r="O276" i="505"/>
  <c r="I276" i="505"/>
  <c r="G276" i="505"/>
  <c r="AA275" i="505"/>
  <c r="Z275" i="505"/>
  <c r="Y275" i="505"/>
  <c r="X275" i="505"/>
  <c r="U275" i="505"/>
  <c r="T275" i="505"/>
  <c r="S275" i="505"/>
  <c r="R275" i="505"/>
  <c r="Q275" i="505"/>
  <c r="P275" i="505"/>
  <c r="O275" i="505"/>
  <c r="I275" i="505"/>
  <c r="G275" i="505"/>
  <c r="AA274" i="505"/>
  <c r="Z274" i="505"/>
  <c r="Y274" i="505"/>
  <c r="X274" i="505"/>
  <c r="U274" i="505"/>
  <c r="T274" i="505"/>
  <c r="S274" i="505"/>
  <c r="R274" i="505"/>
  <c r="Q274" i="505"/>
  <c r="P274" i="505"/>
  <c r="O274" i="505"/>
  <c r="I274" i="505"/>
  <c r="G274" i="505"/>
  <c r="AA273" i="505"/>
  <c r="Z273" i="505"/>
  <c r="Y273" i="505"/>
  <c r="X273" i="505"/>
  <c r="U273" i="505"/>
  <c r="T273" i="505"/>
  <c r="S273" i="505"/>
  <c r="R273" i="505"/>
  <c r="Q273" i="505"/>
  <c r="P273" i="505"/>
  <c r="O273" i="505"/>
  <c r="I273" i="505"/>
  <c r="G273" i="505"/>
  <c r="AA272" i="505"/>
  <c r="Z272" i="505"/>
  <c r="Y272" i="505"/>
  <c r="X272" i="505"/>
  <c r="U272" i="505"/>
  <c r="T272" i="505"/>
  <c r="S272" i="505"/>
  <c r="R272" i="505"/>
  <c r="Q272" i="505"/>
  <c r="P272" i="505"/>
  <c r="O272" i="505"/>
  <c r="I272" i="505"/>
  <c r="G272" i="505"/>
  <c r="AA271" i="505"/>
  <c r="Z271" i="505"/>
  <c r="Y271" i="505"/>
  <c r="X271" i="505"/>
  <c r="U271" i="505"/>
  <c r="T271" i="505"/>
  <c r="S271" i="505"/>
  <c r="R271" i="505"/>
  <c r="Q271" i="505"/>
  <c r="P271" i="505"/>
  <c r="O271" i="505"/>
  <c r="I271" i="505"/>
  <c r="G271" i="505"/>
  <c r="AA270" i="505"/>
  <c r="Z270" i="505"/>
  <c r="Y270" i="505"/>
  <c r="X270" i="505"/>
  <c r="U270" i="505"/>
  <c r="T270" i="505"/>
  <c r="S270" i="505"/>
  <c r="R270" i="505"/>
  <c r="Q270" i="505"/>
  <c r="P270" i="505"/>
  <c r="O270" i="505"/>
  <c r="I270" i="505"/>
  <c r="G270" i="505"/>
  <c r="AA269" i="505"/>
  <c r="Z269" i="505"/>
  <c r="Y269" i="505"/>
  <c r="X269" i="505"/>
  <c r="U269" i="505"/>
  <c r="T269" i="505"/>
  <c r="S269" i="505"/>
  <c r="R269" i="505"/>
  <c r="Q269" i="505"/>
  <c r="P269" i="505"/>
  <c r="O269" i="505"/>
  <c r="I269" i="505"/>
  <c r="G269" i="505"/>
  <c r="AA268" i="505"/>
  <c r="Z268" i="505"/>
  <c r="Y268" i="505"/>
  <c r="X268" i="505"/>
  <c r="U268" i="505"/>
  <c r="T268" i="505"/>
  <c r="S268" i="505"/>
  <c r="R268" i="505"/>
  <c r="Q268" i="505"/>
  <c r="P268" i="505"/>
  <c r="O268" i="505"/>
  <c r="I268" i="505"/>
  <c r="G268" i="505"/>
  <c r="AA267" i="505"/>
  <c r="Z267" i="505"/>
  <c r="Y267" i="505"/>
  <c r="X267" i="505"/>
  <c r="U267" i="505"/>
  <c r="T267" i="505"/>
  <c r="S267" i="505"/>
  <c r="R267" i="505"/>
  <c r="Q267" i="505"/>
  <c r="P267" i="505"/>
  <c r="O267" i="505"/>
  <c r="I267" i="505"/>
  <c r="G267" i="505"/>
  <c r="AA266" i="505"/>
  <c r="Z266" i="505"/>
  <c r="Y266" i="505"/>
  <c r="X266" i="505"/>
  <c r="U266" i="505"/>
  <c r="T266" i="505"/>
  <c r="S266" i="505"/>
  <c r="R266" i="505"/>
  <c r="Q266" i="505"/>
  <c r="P266" i="505"/>
  <c r="O266" i="505"/>
  <c r="I266" i="505"/>
  <c r="G266" i="505"/>
  <c r="AA265" i="505"/>
  <c r="Z265" i="505"/>
  <c r="Y265" i="505"/>
  <c r="X265" i="505"/>
  <c r="U265" i="505"/>
  <c r="T265" i="505"/>
  <c r="S265" i="505"/>
  <c r="R265" i="505"/>
  <c r="Q265" i="505"/>
  <c r="P265" i="505"/>
  <c r="O265" i="505"/>
  <c r="I265" i="505"/>
  <c r="G265" i="505"/>
  <c r="AA264" i="505"/>
  <c r="Z264" i="505"/>
  <c r="Y264" i="505"/>
  <c r="X264" i="505"/>
  <c r="U264" i="505"/>
  <c r="T264" i="505"/>
  <c r="S264" i="505"/>
  <c r="R264" i="505"/>
  <c r="Q264" i="505"/>
  <c r="P264" i="505"/>
  <c r="O264" i="505"/>
  <c r="I264" i="505"/>
  <c r="G264" i="505"/>
  <c r="AA263" i="505"/>
  <c r="Z263" i="505"/>
  <c r="Y263" i="505"/>
  <c r="X263" i="505"/>
  <c r="U263" i="505"/>
  <c r="T263" i="505"/>
  <c r="S263" i="505"/>
  <c r="R263" i="505"/>
  <c r="Q263" i="505"/>
  <c r="P263" i="505"/>
  <c r="O263" i="505"/>
  <c r="I263" i="505"/>
  <c r="G263" i="505"/>
  <c r="AA262" i="505"/>
  <c r="Z262" i="505"/>
  <c r="Y262" i="505"/>
  <c r="X262" i="505"/>
  <c r="U262" i="505"/>
  <c r="T262" i="505"/>
  <c r="S262" i="505"/>
  <c r="R262" i="505"/>
  <c r="Q262" i="505"/>
  <c r="P262" i="505"/>
  <c r="O262" i="505"/>
  <c r="I262" i="505"/>
  <c r="G262" i="505"/>
  <c r="AA261" i="505"/>
  <c r="Z261" i="505"/>
  <c r="Y261" i="505"/>
  <c r="X261" i="505"/>
  <c r="U261" i="505"/>
  <c r="T261" i="505"/>
  <c r="S261" i="505"/>
  <c r="R261" i="505"/>
  <c r="Q261" i="505"/>
  <c r="P261" i="505"/>
  <c r="O261" i="505"/>
  <c r="I261" i="505"/>
  <c r="G261" i="505"/>
  <c r="AA260" i="505"/>
  <c r="Z260" i="505"/>
  <c r="Y260" i="505"/>
  <c r="X260" i="505"/>
  <c r="U260" i="505"/>
  <c r="T260" i="505"/>
  <c r="S260" i="505"/>
  <c r="R260" i="505"/>
  <c r="Q260" i="505"/>
  <c r="P260" i="505"/>
  <c r="O260" i="505"/>
  <c r="I260" i="505"/>
  <c r="G260" i="505"/>
  <c r="AA259" i="505"/>
  <c r="Z259" i="505"/>
  <c r="Y259" i="505"/>
  <c r="X259" i="505"/>
  <c r="U259" i="505"/>
  <c r="T259" i="505"/>
  <c r="S259" i="505"/>
  <c r="R259" i="505"/>
  <c r="Q259" i="505"/>
  <c r="P259" i="505"/>
  <c r="O259" i="505"/>
  <c r="I259" i="505"/>
  <c r="G259" i="505"/>
  <c r="AA258" i="505"/>
  <c r="Z258" i="505"/>
  <c r="Y258" i="505"/>
  <c r="X258" i="505"/>
  <c r="U258" i="505"/>
  <c r="T258" i="505"/>
  <c r="S258" i="505"/>
  <c r="R258" i="505"/>
  <c r="Q258" i="505"/>
  <c r="P258" i="505"/>
  <c r="O258" i="505"/>
  <c r="I258" i="505"/>
  <c r="G258" i="505"/>
  <c r="AA257" i="505"/>
  <c r="Z257" i="505"/>
  <c r="Y257" i="505"/>
  <c r="X257" i="505"/>
  <c r="U257" i="505"/>
  <c r="T257" i="505"/>
  <c r="S257" i="505"/>
  <c r="R257" i="505"/>
  <c r="Q257" i="505"/>
  <c r="P257" i="505"/>
  <c r="O257" i="505"/>
  <c r="I257" i="505"/>
  <c r="G257" i="505"/>
  <c r="AA255" i="505"/>
  <c r="Z255" i="505"/>
  <c r="Y255" i="505"/>
  <c r="X255" i="505"/>
  <c r="U255" i="505"/>
  <c r="T255" i="505"/>
  <c r="S255" i="505"/>
  <c r="R255" i="505"/>
  <c r="Q255" i="505"/>
  <c r="P255" i="505"/>
  <c r="O255" i="505"/>
  <c r="I255" i="505"/>
  <c r="G255" i="505"/>
  <c r="AA254" i="505"/>
  <c r="Z254" i="505"/>
  <c r="Y254" i="505"/>
  <c r="X254" i="505"/>
  <c r="U254" i="505"/>
  <c r="T254" i="505"/>
  <c r="S254" i="505"/>
  <c r="R254" i="505"/>
  <c r="Q254" i="505"/>
  <c r="P254" i="505"/>
  <c r="O254" i="505"/>
  <c r="I254" i="505"/>
  <c r="G254" i="505"/>
  <c r="AA253" i="505"/>
  <c r="Z253" i="505"/>
  <c r="Y253" i="505"/>
  <c r="X253" i="505"/>
  <c r="U253" i="505"/>
  <c r="T253" i="505"/>
  <c r="S253" i="505"/>
  <c r="R253" i="505"/>
  <c r="Q253" i="505"/>
  <c r="P253" i="505"/>
  <c r="O253" i="505"/>
  <c r="I253" i="505"/>
  <c r="G253" i="505"/>
  <c r="I252" i="505"/>
  <c r="G252" i="505"/>
  <c r="I251" i="505"/>
  <c r="G251" i="505"/>
  <c r="I250" i="505"/>
  <c r="G250" i="505"/>
  <c r="AA249" i="505"/>
  <c r="Z249" i="505"/>
  <c r="Y249" i="505"/>
  <c r="X249" i="505"/>
  <c r="U249" i="505"/>
  <c r="T249" i="505"/>
  <c r="S249" i="505"/>
  <c r="R249" i="505"/>
  <c r="Q249" i="505"/>
  <c r="P249" i="505"/>
  <c r="O249" i="505"/>
  <c r="N249" i="505"/>
  <c r="I249" i="505"/>
  <c r="G249" i="505"/>
  <c r="AA248" i="505"/>
  <c r="Z248" i="505"/>
  <c r="Y248" i="505"/>
  <c r="X248" i="505"/>
  <c r="U248" i="505"/>
  <c r="T248" i="505"/>
  <c r="S248" i="505"/>
  <c r="R248" i="505"/>
  <c r="Q248" i="505"/>
  <c r="P248" i="505"/>
  <c r="O248" i="505"/>
  <c r="N248" i="505"/>
  <c r="I248" i="505"/>
  <c r="G248" i="505"/>
  <c r="AA247" i="505"/>
  <c r="Z247" i="505"/>
  <c r="Y247" i="505"/>
  <c r="X247" i="505"/>
  <c r="U247" i="505"/>
  <c r="T247" i="505"/>
  <c r="S247" i="505"/>
  <c r="R247" i="505"/>
  <c r="Q247" i="505"/>
  <c r="P247" i="505"/>
  <c r="O247" i="505"/>
  <c r="N247" i="505"/>
  <c r="I247" i="505"/>
  <c r="G247" i="505"/>
  <c r="AA246" i="505"/>
  <c r="Z246" i="505"/>
  <c r="Y246" i="505"/>
  <c r="X246" i="505"/>
  <c r="U246" i="505"/>
  <c r="T246" i="505"/>
  <c r="S246" i="505"/>
  <c r="R246" i="505"/>
  <c r="Q246" i="505"/>
  <c r="P246" i="505"/>
  <c r="O246" i="505"/>
  <c r="N246" i="505"/>
  <c r="I246" i="505"/>
  <c r="G246" i="505"/>
  <c r="AA245" i="505"/>
  <c r="Z245" i="505"/>
  <c r="Y245" i="505"/>
  <c r="X245" i="505"/>
  <c r="U245" i="505"/>
  <c r="T245" i="505"/>
  <c r="S245" i="505"/>
  <c r="R245" i="505"/>
  <c r="Q245" i="505"/>
  <c r="P245" i="505"/>
  <c r="O245" i="505"/>
  <c r="N245" i="505"/>
  <c r="I245" i="505"/>
  <c r="G245" i="505"/>
  <c r="AA244" i="505"/>
  <c r="Z244" i="505"/>
  <c r="Y244" i="505"/>
  <c r="X244" i="505"/>
  <c r="U244" i="505"/>
  <c r="T244" i="505"/>
  <c r="S244" i="505"/>
  <c r="R244" i="505"/>
  <c r="Q244" i="505"/>
  <c r="P244" i="505"/>
  <c r="O244" i="505"/>
  <c r="N244" i="505"/>
  <c r="I244" i="505"/>
  <c r="G244" i="505"/>
  <c r="AA243" i="505"/>
  <c r="Z243" i="505"/>
  <c r="Y243" i="505"/>
  <c r="X243" i="505"/>
  <c r="U243" i="505"/>
  <c r="T243" i="505"/>
  <c r="S243" i="505"/>
  <c r="R243" i="505"/>
  <c r="Q243" i="505"/>
  <c r="P243" i="505"/>
  <c r="O243" i="505"/>
  <c r="N243" i="505"/>
  <c r="I243" i="505"/>
  <c r="G243" i="505"/>
  <c r="AA242" i="505"/>
  <c r="Z242" i="505"/>
  <c r="Y242" i="505"/>
  <c r="X242" i="505"/>
  <c r="U242" i="505"/>
  <c r="T242" i="505"/>
  <c r="S242" i="505"/>
  <c r="R242" i="505"/>
  <c r="Q242" i="505"/>
  <c r="P242" i="505"/>
  <c r="O242" i="505"/>
  <c r="N242" i="505"/>
  <c r="I242" i="505"/>
  <c r="G242" i="505"/>
  <c r="AA241" i="505"/>
  <c r="Z241" i="505"/>
  <c r="Y241" i="505"/>
  <c r="X241" i="505"/>
  <c r="U241" i="505"/>
  <c r="T241" i="505"/>
  <c r="S241" i="505"/>
  <c r="R241" i="505"/>
  <c r="Q241" i="505"/>
  <c r="P241" i="505"/>
  <c r="O241" i="505"/>
  <c r="N241" i="505"/>
  <c r="I241" i="505"/>
  <c r="G241" i="505"/>
  <c r="AA240" i="505"/>
  <c r="Z240" i="505"/>
  <c r="Y240" i="505"/>
  <c r="X240" i="505"/>
  <c r="U240" i="505"/>
  <c r="T240" i="505"/>
  <c r="S240" i="505"/>
  <c r="R240" i="505"/>
  <c r="Q240" i="505"/>
  <c r="P240" i="505"/>
  <c r="O240" i="505"/>
  <c r="N240" i="505"/>
  <c r="I240" i="505"/>
  <c r="G240" i="505"/>
  <c r="AA239" i="505"/>
  <c r="Z239" i="505"/>
  <c r="Y239" i="505"/>
  <c r="X239" i="505"/>
  <c r="U239" i="505"/>
  <c r="T239" i="505"/>
  <c r="S239" i="505"/>
  <c r="R239" i="505"/>
  <c r="Q239" i="505"/>
  <c r="P239" i="505"/>
  <c r="O239" i="505"/>
  <c r="N239" i="505"/>
  <c r="I239" i="505"/>
  <c r="G239" i="505"/>
  <c r="AA238" i="505"/>
  <c r="Z238" i="505"/>
  <c r="Y238" i="505"/>
  <c r="X238" i="505"/>
  <c r="U238" i="505"/>
  <c r="T238" i="505"/>
  <c r="S238" i="505"/>
  <c r="R238" i="505"/>
  <c r="Q238" i="505"/>
  <c r="P238" i="505"/>
  <c r="O238" i="505"/>
  <c r="N238" i="505"/>
  <c r="I238" i="505"/>
  <c r="G238" i="505"/>
  <c r="I237" i="505"/>
  <c r="G237" i="505"/>
  <c r="AA236" i="505"/>
  <c r="Z236" i="505"/>
  <c r="Y236" i="505"/>
  <c r="X236" i="505"/>
  <c r="U236" i="505"/>
  <c r="T236" i="505"/>
  <c r="S236" i="505"/>
  <c r="R236" i="505"/>
  <c r="Q236" i="505"/>
  <c r="P236" i="505"/>
  <c r="O236" i="505"/>
  <c r="N236" i="505"/>
  <c r="I236" i="505"/>
  <c r="G236" i="505"/>
  <c r="AA235" i="505"/>
  <c r="Z235" i="505"/>
  <c r="Y235" i="505"/>
  <c r="X235" i="505"/>
  <c r="U235" i="505"/>
  <c r="T235" i="505"/>
  <c r="S235" i="505"/>
  <c r="R235" i="505"/>
  <c r="Q235" i="505"/>
  <c r="P235" i="505"/>
  <c r="O235" i="505"/>
  <c r="N235" i="505"/>
  <c r="I235" i="505"/>
  <c r="G235" i="505"/>
  <c r="AA234" i="505"/>
  <c r="Z234" i="505"/>
  <c r="Y234" i="505"/>
  <c r="X234" i="505"/>
  <c r="U234" i="505"/>
  <c r="T234" i="505"/>
  <c r="S234" i="505"/>
  <c r="R234" i="505"/>
  <c r="Q234" i="505"/>
  <c r="P234" i="505"/>
  <c r="O234" i="505"/>
  <c r="N234" i="505"/>
  <c r="I234" i="505"/>
  <c r="G234" i="505"/>
  <c r="AA233" i="505"/>
  <c r="Z233" i="505"/>
  <c r="Y233" i="505"/>
  <c r="X233" i="505"/>
  <c r="U233" i="505"/>
  <c r="T233" i="505"/>
  <c r="S233" i="505"/>
  <c r="R233" i="505"/>
  <c r="Q233" i="505"/>
  <c r="P233" i="505"/>
  <c r="O233" i="505"/>
  <c r="N233" i="505"/>
  <c r="I233" i="505"/>
  <c r="G233" i="505"/>
  <c r="AA232" i="505"/>
  <c r="Z232" i="505"/>
  <c r="Y232" i="505"/>
  <c r="X232" i="505"/>
  <c r="U232" i="505"/>
  <c r="T232" i="505"/>
  <c r="S232" i="505"/>
  <c r="R232" i="505"/>
  <c r="Q232" i="505"/>
  <c r="P232" i="505"/>
  <c r="O232" i="505"/>
  <c r="N232" i="505"/>
  <c r="I232" i="505"/>
  <c r="G232" i="505"/>
  <c r="AA231" i="505"/>
  <c r="Z231" i="505"/>
  <c r="Y231" i="505"/>
  <c r="X231" i="505"/>
  <c r="U231" i="505"/>
  <c r="T231" i="505"/>
  <c r="S231" i="505"/>
  <c r="R231" i="505"/>
  <c r="Q231" i="505"/>
  <c r="P231" i="505"/>
  <c r="O231" i="505"/>
  <c r="N231" i="505"/>
  <c r="I231" i="505"/>
  <c r="G231" i="505"/>
  <c r="AA230" i="505"/>
  <c r="Z230" i="505"/>
  <c r="Y230" i="505"/>
  <c r="X230" i="505"/>
  <c r="U230" i="505"/>
  <c r="T230" i="505"/>
  <c r="S230" i="505"/>
  <c r="R230" i="505"/>
  <c r="Q230" i="505"/>
  <c r="P230" i="505"/>
  <c r="O230" i="505"/>
  <c r="N230" i="505"/>
  <c r="I230" i="505"/>
  <c r="G230" i="505"/>
  <c r="AA229" i="505"/>
  <c r="Z229" i="505"/>
  <c r="Y229" i="505"/>
  <c r="X229" i="505"/>
  <c r="U229" i="505"/>
  <c r="T229" i="505"/>
  <c r="S229" i="505"/>
  <c r="R229" i="505"/>
  <c r="Q229" i="505"/>
  <c r="P229" i="505"/>
  <c r="O229" i="505"/>
  <c r="N229" i="505"/>
  <c r="I229" i="505"/>
  <c r="G229" i="505"/>
  <c r="AA228" i="505"/>
  <c r="Z228" i="505"/>
  <c r="Y228" i="505"/>
  <c r="X228" i="505"/>
  <c r="U228" i="505"/>
  <c r="T228" i="505"/>
  <c r="S228" i="505"/>
  <c r="R228" i="505"/>
  <c r="Q228" i="505"/>
  <c r="P228" i="505"/>
  <c r="O228" i="505"/>
  <c r="N228" i="505"/>
  <c r="I228" i="505"/>
  <c r="G228" i="505"/>
  <c r="AA227" i="505"/>
  <c r="Z227" i="505"/>
  <c r="Y227" i="505"/>
  <c r="X227" i="505"/>
  <c r="U227" i="505"/>
  <c r="T227" i="505"/>
  <c r="S227" i="505"/>
  <c r="R227" i="505"/>
  <c r="Q227" i="505"/>
  <c r="P227" i="505"/>
  <c r="O227" i="505"/>
  <c r="N227" i="505"/>
  <c r="I227" i="505"/>
  <c r="G227" i="505"/>
  <c r="AA226" i="505"/>
  <c r="Z226" i="505"/>
  <c r="Y226" i="505"/>
  <c r="X226" i="505"/>
  <c r="U226" i="505"/>
  <c r="T226" i="505"/>
  <c r="S226" i="505"/>
  <c r="R226" i="505"/>
  <c r="Q226" i="505"/>
  <c r="P226" i="505"/>
  <c r="O226" i="505"/>
  <c r="N226" i="505"/>
  <c r="I226" i="505"/>
  <c r="G226" i="505"/>
  <c r="AA225" i="505"/>
  <c r="Z225" i="505"/>
  <c r="Y225" i="505"/>
  <c r="X225" i="505"/>
  <c r="U225" i="505"/>
  <c r="T225" i="505"/>
  <c r="S225" i="505"/>
  <c r="R225" i="505"/>
  <c r="Q225" i="505"/>
  <c r="P225" i="505"/>
  <c r="O225" i="505"/>
  <c r="N225" i="505"/>
  <c r="I225" i="505"/>
  <c r="G225" i="505"/>
  <c r="AA224" i="505"/>
  <c r="Z224" i="505"/>
  <c r="Y224" i="505"/>
  <c r="X224" i="505"/>
  <c r="U224" i="505"/>
  <c r="T224" i="505"/>
  <c r="S224" i="505"/>
  <c r="R224" i="505"/>
  <c r="Q224" i="505"/>
  <c r="P224" i="505"/>
  <c r="O224" i="505"/>
  <c r="N224" i="505"/>
  <c r="I224" i="505"/>
  <c r="G224" i="505"/>
  <c r="AA223" i="505"/>
  <c r="Z223" i="505"/>
  <c r="Y223" i="505"/>
  <c r="X223" i="505"/>
  <c r="U223" i="505"/>
  <c r="T223" i="505"/>
  <c r="S223" i="505"/>
  <c r="R223" i="505"/>
  <c r="Q223" i="505"/>
  <c r="P223" i="505"/>
  <c r="O223" i="505"/>
  <c r="N223" i="505"/>
  <c r="I223" i="505"/>
  <c r="G223" i="505"/>
  <c r="AA222" i="505"/>
  <c r="Z222" i="505"/>
  <c r="Y222" i="505"/>
  <c r="X222" i="505"/>
  <c r="U222" i="505"/>
  <c r="T222" i="505"/>
  <c r="S222" i="505"/>
  <c r="R222" i="505"/>
  <c r="Q222" i="505"/>
  <c r="P222" i="505"/>
  <c r="O222" i="505"/>
  <c r="N222" i="505"/>
  <c r="I222" i="505"/>
  <c r="G222" i="505"/>
  <c r="AA221" i="505"/>
  <c r="Z221" i="505"/>
  <c r="Y221" i="505"/>
  <c r="X221" i="505"/>
  <c r="U221" i="505"/>
  <c r="T221" i="505"/>
  <c r="S221" i="505"/>
  <c r="R221" i="505"/>
  <c r="Q221" i="505"/>
  <c r="P221" i="505"/>
  <c r="O221" i="505"/>
  <c r="N221" i="505"/>
  <c r="I221" i="505"/>
  <c r="G221" i="505"/>
  <c r="AA220" i="505"/>
  <c r="Z220" i="505"/>
  <c r="Y220" i="505"/>
  <c r="X220" i="505"/>
  <c r="U220" i="505"/>
  <c r="T220" i="505"/>
  <c r="S220" i="505"/>
  <c r="R220" i="505"/>
  <c r="Q220" i="505"/>
  <c r="P220" i="505"/>
  <c r="O220" i="505"/>
  <c r="N220" i="505"/>
  <c r="I220" i="505"/>
  <c r="G220" i="505"/>
  <c r="AA219" i="505"/>
  <c r="Z219" i="505"/>
  <c r="Y219" i="505"/>
  <c r="X219" i="505"/>
  <c r="U219" i="505"/>
  <c r="T219" i="505"/>
  <c r="S219" i="505"/>
  <c r="R219" i="505"/>
  <c r="Q219" i="505"/>
  <c r="P219" i="505"/>
  <c r="O219" i="505"/>
  <c r="N219" i="505"/>
  <c r="I219" i="505"/>
  <c r="G219" i="505"/>
  <c r="AA218" i="505"/>
  <c r="Z218" i="505"/>
  <c r="Y218" i="505"/>
  <c r="X218" i="505"/>
  <c r="U218" i="505"/>
  <c r="T218" i="505"/>
  <c r="S218" i="505"/>
  <c r="R218" i="505"/>
  <c r="Q218" i="505"/>
  <c r="P218" i="505"/>
  <c r="O218" i="505"/>
  <c r="N218" i="505"/>
  <c r="I218" i="505"/>
  <c r="G218" i="505"/>
  <c r="AA217" i="505"/>
  <c r="Z217" i="505"/>
  <c r="Y217" i="505"/>
  <c r="X217" i="505"/>
  <c r="U217" i="505"/>
  <c r="T217" i="505"/>
  <c r="S217" i="505"/>
  <c r="R217" i="505"/>
  <c r="Q217" i="505"/>
  <c r="P217" i="505"/>
  <c r="O217" i="505"/>
  <c r="N217" i="505"/>
  <c r="I217" i="505"/>
  <c r="G217" i="505"/>
  <c r="AA216" i="505"/>
  <c r="Z216" i="505"/>
  <c r="Y216" i="505"/>
  <c r="X216" i="505"/>
  <c r="U216" i="505"/>
  <c r="T216" i="505"/>
  <c r="S216" i="505"/>
  <c r="R216" i="505"/>
  <c r="Q216" i="505"/>
  <c r="P216" i="505"/>
  <c r="O216" i="505"/>
  <c r="N216" i="505"/>
  <c r="I216" i="505"/>
  <c r="G216" i="505"/>
  <c r="AA215" i="505"/>
  <c r="Z215" i="505"/>
  <c r="Y215" i="505"/>
  <c r="X215" i="505"/>
  <c r="U215" i="505"/>
  <c r="T215" i="505"/>
  <c r="S215" i="505"/>
  <c r="R215" i="505"/>
  <c r="Q215" i="505"/>
  <c r="P215" i="505"/>
  <c r="O215" i="505"/>
  <c r="N215" i="505"/>
  <c r="I215" i="505"/>
  <c r="G215" i="505"/>
  <c r="AA214" i="505"/>
  <c r="Z214" i="505"/>
  <c r="Y214" i="505"/>
  <c r="X214" i="505"/>
  <c r="U214" i="505"/>
  <c r="T214" i="505"/>
  <c r="S214" i="505"/>
  <c r="R214" i="505"/>
  <c r="Q214" i="505"/>
  <c r="P214" i="505"/>
  <c r="O214" i="505"/>
  <c r="N214" i="505"/>
  <c r="I214" i="505"/>
  <c r="G214" i="505"/>
  <c r="AA213" i="505"/>
  <c r="Z213" i="505"/>
  <c r="Y213" i="505"/>
  <c r="X213" i="505"/>
  <c r="U213" i="505"/>
  <c r="T213" i="505"/>
  <c r="S213" i="505"/>
  <c r="R213" i="505"/>
  <c r="Q213" i="505"/>
  <c r="P213" i="505"/>
  <c r="O213" i="505"/>
  <c r="N213" i="505"/>
  <c r="I213" i="505"/>
  <c r="G213" i="505"/>
  <c r="AA212" i="505"/>
  <c r="Z212" i="505"/>
  <c r="Y212" i="505"/>
  <c r="X212" i="505"/>
  <c r="U212" i="505"/>
  <c r="T212" i="505"/>
  <c r="S212" i="505"/>
  <c r="R212" i="505"/>
  <c r="Q212" i="505"/>
  <c r="P212" i="505"/>
  <c r="O212" i="505"/>
  <c r="N212" i="505"/>
  <c r="I212" i="505"/>
  <c r="G212" i="505"/>
  <c r="AA211" i="505"/>
  <c r="Z211" i="505"/>
  <c r="Y211" i="505"/>
  <c r="X211" i="505"/>
  <c r="U211" i="505"/>
  <c r="T211" i="505"/>
  <c r="S211" i="505"/>
  <c r="R211" i="505"/>
  <c r="Q211" i="505"/>
  <c r="P211" i="505"/>
  <c r="O211" i="505"/>
  <c r="N211" i="505"/>
  <c r="I211" i="505"/>
  <c r="G211" i="505"/>
  <c r="AA210" i="505"/>
  <c r="Z210" i="505"/>
  <c r="Y210" i="505"/>
  <c r="X210" i="505"/>
  <c r="U210" i="505"/>
  <c r="T210" i="505"/>
  <c r="S210" i="505"/>
  <c r="R210" i="505"/>
  <c r="Q210" i="505"/>
  <c r="P210" i="505"/>
  <c r="O210" i="505"/>
  <c r="N210" i="505"/>
  <c r="I210" i="505"/>
  <c r="G210" i="505"/>
  <c r="AA209" i="505"/>
  <c r="Z209" i="505"/>
  <c r="Y209" i="505"/>
  <c r="X209" i="505"/>
  <c r="U209" i="505"/>
  <c r="T209" i="505"/>
  <c r="S209" i="505"/>
  <c r="R209" i="505"/>
  <c r="Q209" i="505"/>
  <c r="P209" i="505"/>
  <c r="O209" i="505"/>
  <c r="N209" i="505"/>
  <c r="I209" i="505"/>
  <c r="G209" i="505"/>
  <c r="AA208" i="505"/>
  <c r="Z208" i="505"/>
  <c r="Y208" i="505"/>
  <c r="X208" i="505"/>
  <c r="U208" i="505"/>
  <c r="T208" i="505"/>
  <c r="S208" i="505"/>
  <c r="R208" i="505"/>
  <c r="Q208" i="505"/>
  <c r="P208" i="505"/>
  <c r="O208" i="505"/>
  <c r="N208" i="505"/>
  <c r="I208" i="505"/>
  <c r="G208" i="505"/>
  <c r="AA207" i="505"/>
  <c r="Z207" i="505"/>
  <c r="Y207" i="505"/>
  <c r="X207" i="505"/>
  <c r="U207" i="505"/>
  <c r="T207" i="505"/>
  <c r="S207" i="505"/>
  <c r="R207" i="505"/>
  <c r="Q207" i="505"/>
  <c r="P207" i="505"/>
  <c r="O207" i="505"/>
  <c r="N207" i="505"/>
  <c r="I207" i="505"/>
  <c r="G207" i="505"/>
  <c r="I206" i="505"/>
  <c r="G206" i="505"/>
  <c r="I205" i="505"/>
  <c r="G205" i="505"/>
  <c r="I204" i="505"/>
  <c r="G204" i="505"/>
  <c r="AA203" i="505"/>
  <c r="Z203" i="505"/>
  <c r="Y203" i="505"/>
  <c r="X203" i="505"/>
  <c r="U203" i="505"/>
  <c r="T203" i="505"/>
  <c r="S203" i="505"/>
  <c r="R203" i="505"/>
  <c r="Q203" i="505"/>
  <c r="P203" i="505"/>
  <c r="O203" i="505"/>
  <c r="N203" i="505"/>
  <c r="I203" i="505"/>
  <c r="G203" i="505"/>
  <c r="AA202" i="505"/>
  <c r="Z202" i="505"/>
  <c r="Y202" i="505"/>
  <c r="X202" i="505"/>
  <c r="U202" i="505"/>
  <c r="T202" i="505"/>
  <c r="S202" i="505"/>
  <c r="R202" i="505"/>
  <c r="Q202" i="505"/>
  <c r="P202" i="505"/>
  <c r="O202" i="505"/>
  <c r="N202" i="505"/>
  <c r="I202" i="505"/>
  <c r="G202" i="505"/>
  <c r="AA201" i="505"/>
  <c r="Z201" i="505"/>
  <c r="Y201" i="505"/>
  <c r="X201" i="505"/>
  <c r="U201" i="505"/>
  <c r="T201" i="505"/>
  <c r="S201" i="505"/>
  <c r="R201" i="505"/>
  <c r="Q201" i="505"/>
  <c r="P201" i="505"/>
  <c r="O201" i="505"/>
  <c r="N201" i="505"/>
  <c r="I201" i="505"/>
  <c r="G201" i="505"/>
  <c r="I200" i="505"/>
  <c r="G200" i="505"/>
  <c r="AA199" i="505"/>
  <c r="Z199" i="505"/>
  <c r="Y199" i="505"/>
  <c r="X199" i="505"/>
  <c r="U199" i="505"/>
  <c r="T199" i="505"/>
  <c r="S199" i="505"/>
  <c r="R199" i="505"/>
  <c r="Q199" i="505"/>
  <c r="P199" i="505"/>
  <c r="O199" i="505"/>
  <c r="N199" i="505"/>
  <c r="I199" i="505"/>
  <c r="G199" i="505"/>
  <c r="AA197" i="505"/>
  <c r="Z197" i="505"/>
  <c r="Y197" i="505"/>
  <c r="X197" i="505"/>
  <c r="U197" i="505"/>
  <c r="T197" i="505"/>
  <c r="S197" i="505"/>
  <c r="R197" i="505"/>
  <c r="Q197" i="505"/>
  <c r="P197" i="505"/>
  <c r="O197" i="505"/>
  <c r="N197" i="505"/>
  <c r="I197" i="505"/>
  <c r="G197" i="505"/>
  <c r="AA196" i="505"/>
  <c r="Z196" i="505"/>
  <c r="Y196" i="505"/>
  <c r="X196" i="505"/>
  <c r="U196" i="505"/>
  <c r="T196" i="505"/>
  <c r="S196" i="505"/>
  <c r="R196" i="505"/>
  <c r="Q196" i="505"/>
  <c r="P196" i="505"/>
  <c r="O196" i="505"/>
  <c r="N196" i="505"/>
  <c r="I196" i="505"/>
  <c r="G196" i="505"/>
  <c r="AA195" i="505"/>
  <c r="Z195" i="505"/>
  <c r="Y195" i="505"/>
  <c r="X195" i="505"/>
  <c r="U195" i="505"/>
  <c r="T195" i="505"/>
  <c r="S195" i="505"/>
  <c r="R195" i="505"/>
  <c r="Q195" i="505"/>
  <c r="P195" i="505"/>
  <c r="O195" i="505"/>
  <c r="N195" i="505"/>
  <c r="I195" i="505"/>
  <c r="G195" i="505"/>
  <c r="AA194" i="505"/>
  <c r="Z194" i="505"/>
  <c r="Y194" i="505"/>
  <c r="X194" i="505"/>
  <c r="U194" i="505"/>
  <c r="T194" i="505"/>
  <c r="S194" i="505"/>
  <c r="R194" i="505"/>
  <c r="Q194" i="505"/>
  <c r="P194" i="505"/>
  <c r="O194" i="505"/>
  <c r="N194" i="505"/>
  <c r="I194" i="505"/>
  <c r="G194" i="505"/>
  <c r="AA193" i="505"/>
  <c r="Z193" i="505"/>
  <c r="Y193" i="505"/>
  <c r="X193" i="505"/>
  <c r="U193" i="505"/>
  <c r="T193" i="505"/>
  <c r="S193" i="505"/>
  <c r="R193" i="505"/>
  <c r="Q193" i="505"/>
  <c r="P193" i="505"/>
  <c r="O193" i="505"/>
  <c r="N193" i="505"/>
  <c r="I193" i="505"/>
  <c r="G193" i="505"/>
  <c r="AA192" i="505"/>
  <c r="Z192" i="505"/>
  <c r="Y192" i="505"/>
  <c r="X192" i="505"/>
  <c r="U192" i="505"/>
  <c r="T192" i="505"/>
  <c r="S192" i="505"/>
  <c r="R192" i="505"/>
  <c r="Q192" i="505"/>
  <c r="P192" i="505"/>
  <c r="O192" i="505"/>
  <c r="N192" i="505"/>
  <c r="I192" i="505"/>
  <c r="G192" i="505"/>
  <c r="AA191" i="505"/>
  <c r="Z191" i="505"/>
  <c r="Y191" i="505"/>
  <c r="X191" i="505"/>
  <c r="U191" i="505"/>
  <c r="T191" i="505"/>
  <c r="S191" i="505"/>
  <c r="R191" i="505"/>
  <c r="Q191" i="505"/>
  <c r="P191" i="505"/>
  <c r="O191" i="505"/>
  <c r="N191" i="505"/>
  <c r="I191" i="505"/>
  <c r="G191" i="505"/>
  <c r="AA190" i="505"/>
  <c r="Z190" i="505"/>
  <c r="Y190" i="505"/>
  <c r="X190" i="505"/>
  <c r="U190" i="505"/>
  <c r="T190" i="505"/>
  <c r="S190" i="505"/>
  <c r="R190" i="505"/>
  <c r="Q190" i="505"/>
  <c r="P190" i="505"/>
  <c r="O190" i="505"/>
  <c r="N190" i="505"/>
  <c r="I190" i="505"/>
  <c r="G190" i="505"/>
  <c r="AA189" i="505"/>
  <c r="Z189" i="505"/>
  <c r="Y189" i="505"/>
  <c r="X189" i="505"/>
  <c r="U189" i="505"/>
  <c r="T189" i="505"/>
  <c r="S189" i="505"/>
  <c r="R189" i="505"/>
  <c r="Q189" i="505"/>
  <c r="P189" i="505"/>
  <c r="O189" i="505"/>
  <c r="N189" i="505"/>
  <c r="I189" i="505"/>
  <c r="G189" i="505"/>
  <c r="AA188" i="505"/>
  <c r="Z188" i="505"/>
  <c r="Y188" i="505"/>
  <c r="X188" i="505"/>
  <c r="U188" i="505"/>
  <c r="T188" i="505"/>
  <c r="S188" i="505"/>
  <c r="R188" i="505"/>
  <c r="Q188" i="505"/>
  <c r="P188" i="505"/>
  <c r="O188" i="505"/>
  <c r="N188" i="505"/>
  <c r="I188" i="505"/>
  <c r="G188" i="505"/>
  <c r="AA187" i="505"/>
  <c r="Z187" i="505"/>
  <c r="Y187" i="505"/>
  <c r="X187" i="505"/>
  <c r="U187" i="505"/>
  <c r="T187" i="505"/>
  <c r="S187" i="505"/>
  <c r="R187" i="505"/>
  <c r="Q187" i="505"/>
  <c r="P187" i="505"/>
  <c r="O187" i="505"/>
  <c r="N187" i="505"/>
  <c r="I187" i="505"/>
  <c r="G187" i="505"/>
  <c r="AA186" i="505"/>
  <c r="Z186" i="505"/>
  <c r="Y186" i="505"/>
  <c r="X186" i="505"/>
  <c r="U186" i="505"/>
  <c r="T186" i="505"/>
  <c r="S186" i="505"/>
  <c r="R186" i="505"/>
  <c r="Q186" i="505"/>
  <c r="P186" i="505"/>
  <c r="O186" i="505"/>
  <c r="N186" i="505"/>
  <c r="I186" i="505"/>
  <c r="G186" i="505"/>
  <c r="AA185" i="505"/>
  <c r="Z185" i="505"/>
  <c r="Y185" i="505"/>
  <c r="X185" i="505"/>
  <c r="U185" i="505"/>
  <c r="T185" i="505"/>
  <c r="S185" i="505"/>
  <c r="R185" i="505"/>
  <c r="Q185" i="505"/>
  <c r="P185" i="505"/>
  <c r="O185" i="505"/>
  <c r="N185" i="505"/>
  <c r="I185" i="505"/>
  <c r="G185" i="505"/>
  <c r="AA184" i="505"/>
  <c r="Z184" i="505"/>
  <c r="Y184" i="505"/>
  <c r="X184" i="505"/>
  <c r="U184" i="505"/>
  <c r="T184" i="505"/>
  <c r="S184" i="505"/>
  <c r="R184" i="505"/>
  <c r="Q184" i="505"/>
  <c r="P184" i="505"/>
  <c r="O184" i="505"/>
  <c r="N184" i="505"/>
  <c r="I184" i="505"/>
  <c r="G184" i="505"/>
  <c r="AA183" i="505"/>
  <c r="Z183" i="505"/>
  <c r="Y183" i="505"/>
  <c r="X183" i="505"/>
  <c r="U183" i="505"/>
  <c r="T183" i="505"/>
  <c r="S183" i="505"/>
  <c r="R183" i="505"/>
  <c r="Q183" i="505"/>
  <c r="P183" i="505"/>
  <c r="O183" i="505"/>
  <c r="N183" i="505"/>
  <c r="I183" i="505"/>
  <c r="G183" i="505"/>
  <c r="AA182" i="505"/>
  <c r="Z182" i="505"/>
  <c r="Y182" i="505"/>
  <c r="X182" i="505"/>
  <c r="U182" i="505"/>
  <c r="T182" i="505"/>
  <c r="S182" i="505"/>
  <c r="R182" i="505"/>
  <c r="Q182" i="505"/>
  <c r="P182" i="505"/>
  <c r="O182" i="505"/>
  <c r="N182" i="505"/>
  <c r="I182" i="505"/>
  <c r="G182" i="505"/>
  <c r="AA181" i="505"/>
  <c r="Z181" i="505"/>
  <c r="Y181" i="505"/>
  <c r="X181" i="505"/>
  <c r="U181" i="505"/>
  <c r="T181" i="505"/>
  <c r="S181" i="505"/>
  <c r="R181" i="505"/>
  <c r="Q181" i="505"/>
  <c r="P181" i="505"/>
  <c r="O181" i="505"/>
  <c r="N181" i="505"/>
  <c r="I181" i="505"/>
  <c r="G181" i="505"/>
  <c r="AA180" i="505"/>
  <c r="Z180" i="505"/>
  <c r="Y180" i="505"/>
  <c r="X180" i="505"/>
  <c r="U180" i="505"/>
  <c r="T180" i="505"/>
  <c r="S180" i="505"/>
  <c r="R180" i="505"/>
  <c r="Q180" i="505"/>
  <c r="P180" i="505"/>
  <c r="O180" i="505"/>
  <c r="N180" i="505"/>
  <c r="I180" i="505"/>
  <c r="G180" i="505"/>
  <c r="AA179" i="505"/>
  <c r="Z179" i="505"/>
  <c r="Y179" i="505"/>
  <c r="X179" i="505"/>
  <c r="U179" i="505"/>
  <c r="T179" i="505"/>
  <c r="S179" i="505"/>
  <c r="R179" i="505"/>
  <c r="Q179" i="505"/>
  <c r="P179" i="505"/>
  <c r="O179" i="505"/>
  <c r="N179" i="505"/>
  <c r="I179" i="505"/>
  <c r="G179" i="505"/>
  <c r="AA178" i="505"/>
  <c r="Z178" i="505"/>
  <c r="Y178" i="505"/>
  <c r="X178" i="505"/>
  <c r="U178" i="505"/>
  <c r="T178" i="505"/>
  <c r="S178" i="505"/>
  <c r="R178" i="505"/>
  <c r="Q178" i="505"/>
  <c r="P178" i="505"/>
  <c r="O178" i="505"/>
  <c r="N178" i="505"/>
  <c r="I178" i="505"/>
  <c r="G178" i="505"/>
  <c r="AA177" i="505"/>
  <c r="Z177" i="505"/>
  <c r="Y177" i="505"/>
  <c r="X177" i="505"/>
  <c r="U177" i="505"/>
  <c r="T177" i="505"/>
  <c r="S177" i="505"/>
  <c r="R177" i="505"/>
  <c r="Q177" i="505"/>
  <c r="P177" i="505"/>
  <c r="O177" i="505"/>
  <c r="N177" i="505"/>
  <c r="I177" i="505"/>
  <c r="G177" i="505"/>
  <c r="G168" i="505"/>
  <c r="C168" i="505"/>
  <c r="G167" i="505"/>
  <c r="C167" i="505"/>
  <c r="G166" i="505"/>
  <c r="C166" i="505"/>
  <c r="G165" i="505"/>
  <c r="C165" i="505"/>
  <c r="I161" i="505"/>
  <c r="H161" i="505"/>
  <c r="G161" i="505"/>
  <c r="AA160" i="505"/>
  <c r="Z160" i="505"/>
  <c r="Y160" i="505"/>
  <c r="X160" i="505"/>
  <c r="U160" i="505"/>
  <c r="T160" i="505"/>
  <c r="S160" i="505"/>
  <c r="R160" i="505"/>
  <c r="Q160" i="505"/>
  <c r="P160" i="505"/>
  <c r="O160" i="505"/>
  <c r="N160" i="505"/>
  <c r="I160" i="505"/>
  <c r="H160" i="505"/>
  <c r="G160" i="505"/>
  <c r="AA159" i="505"/>
  <c r="Z159" i="505"/>
  <c r="Y159" i="505"/>
  <c r="X159" i="505"/>
  <c r="U159" i="505"/>
  <c r="T159" i="505"/>
  <c r="S159" i="505"/>
  <c r="R159" i="505"/>
  <c r="Q159" i="505"/>
  <c r="P159" i="505"/>
  <c r="O159" i="505"/>
  <c r="N159" i="505"/>
  <c r="I159" i="505"/>
  <c r="H159" i="505"/>
  <c r="G159" i="505"/>
  <c r="AA158" i="505"/>
  <c r="Z158" i="505"/>
  <c r="Y158" i="505"/>
  <c r="X158" i="505"/>
  <c r="U158" i="505"/>
  <c r="T158" i="505"/>
  <c r="S158" i="505"/>
  <c r="R158" i="505"/>
  <c r="Q158" i="505"/>
  <c r="P158" i="505"/>
  <c r="O158" i="505"/>
  <c r="N158" i="505"/>
  <c r="I158" i="505"/>
  <c r="H158" i="505"/>
  <c r="G158" i="505"/>
  <c r="AA157" i="505"/>
  <c r="Z157" i="505"/>
  <c r="Y157" i="505"/>
  <c r="X157" i="505"/>
  <c r="U157" i="505"/>
  <c r="T157" i="505"/>
  <c r="S157" i="505"/>
  <c r="R157" i="505"/>
  <c r="Q157" i="505"/>
  <c r="P157" i="505"/>
  <c r="O157" i="505"/>
  <c r="N157" i="505"/>
  <c r="I157" i="505"/>
  <c r="H157" i="505"/>
  <c r="G157" i="505"/>
  <c r="H156" i="505"/>
  <c r="G156" i="505"/>
  <c r="I155" i="505"/>
  <c r="H155" i="505"/>
  <c r="G155" i="505"/>
  <c r="AA154" i="505"/>
  <c r="Z154" i="505"/>
  <c r="Y154" i="505"/>
  <c r="X154" i="505"/>
  <c r="U154" i="505"/>
  <c r="T154" i="505"/>
  <c r="S154" i="505"/>
  <c r="R154" i="505"/>
  <c r="Q154" i="505"/>
  <c r="P154" i="505"/>
  <c r="O154" i="505"/>
  <c r="N154" i="505"/>
  <c r="I154" i="505"/>
  <c r="H154" i="505"/>
  <c r="G154" i="505"/>
  <c r="AA153" i="505"/>
  <c r="Z153" i="505"/>
  <c r="Y153" i="505"/>
  <c r="X153" i="505"/>
  <c r="U153" i="505"/>
  <c r="T153" i="505"/>
  <c r="S153" i="505"/>
  <c r="R153" i="505"/>
  <c r="Q153" i="505"/>
  <c r="P153" i="505"/>
  <c r="O153" i="505"/>
  <c r="N153" i="505"/>
  <c r="I153" i="505"/>
  <c r="H153" i="505"/>
  <c r="G153" i="505"/>
  <c r="AA152" i="505"/>
  <c r="Z152" i="505"/>
  <c r="Y152" i="505"/>
  <c r="X152" i="505"/>
  <c r="U152" i="505"/>
  <c r="T152" i="505"/>
  <c r="S152" i="505"/>
  <c r="R152" i="505"/>
  <c r="Q152" i="505"/>
  <c r="P152" i="505"/>
  <c r="O152" i="505"/>
  <c r="N152" i="505"/>
  <c r="I152" i="505"/>
  <c r="H152" i="505"/>
  <c r="G152" i="505"/>
  <c r="AA151" i="505"/>
  <c r="Z151" i="505"/>
  <c r="Y151" i="505"/>
  <c r="X151" i="505"/>
  <c r="U151" i="505"/>
  <c r="T151" i="505"/>
  <c r="S151" i="505"/>
  <c r="R151" i="505"/>
  <c r="Q151" i="505"/>
  <c r="P151" i="505"/>
  <c r="O151" i="505"/>
  <c r="N151" i="505"/>
  <c r="I151" i="505"/>
  <c r="H151" i="505"/>
  <c r="G151" i="505"/>
  <c r="AA150" i="505"/>
  <c r="Z150" i="505"/>
  <c r="Y150" i="505"/>
  <c r="X150" i="505"/>
  <c r="U150" i="505"/>
  <c r="T150" i="505"/>
  <c r="S150" i="505"/>
  <c r="R150" i="505"/>
  <c r="Q150" i="505"/>
  <c r="P150" i="505"/>
  <c r="O150" i="505"/>
  <c r="N150" i="505"/>
  <c r="I150" i="505"/>
  <c r="H150" i="505"/>
  <c r="G150" i="505"/>
  <c r="AA149" i="505"/>
  <c r="Z149" i="505"/>
  <c r="Y149" i="505"/>
  <c r="X149" i="505"/>
  <c r="U149" i="505"/>
  <c r="T149" i="505"/>
  <c r="S149" i="505"/>
  <c r="R149" i="505"/>
  <c r="Q149" i="505"/>
  <c r="P149" i="505"/>
  <c r="O149" i="505"/>
  <c r="N149" i="505"/>
  <c r="I149" i="505"/>
  <c r="H149" i="505"/>
  <c r="G149" i="505"/>
  <c r="AA148" i="505"/>
  <c r="Z148" i="505"/>
  <c r="Y148" i="505"/>
  <c r="X148" i="505"/>
  <c r="U148" i="505"/>
  <c r="T148" i="505"/>
  <c r="S148" i="505"/>
  <c r="R148" i="505"/>
  <c r="Q148" i="505"/>
  <c r="P148" i="505"/>
  <c r="O148" i="505"/>
  <c r="N148" i="505"/>
  <c r="I148" i="505"/>
  <c r="H148" i="505"/>
  <c r="G148" i="505"/>
  <c r="AA146" i="505"/>
  <c r="Z146" i="505"/>
  <c r="Y146" i="505"/>
  <c r="X146" i="505"/>
  <c r="U146" i="505"/>
  <c r="T146" i="505"/>
  <c r="S146" i="505"/>
  <c r="R146" i="505"/>
  <c r="Q146" i="505"/>
  <c r="P146" i="505"/>
  <c r="O146" i="505"/>
  <c r="N146" i="505"/>
  <c r="I146" i="505"/>
  <c r="H146" i="505"/>
  <c r="G146" i="505"/>
  <c r="I145" i="505"/>
  <c r="H145" i="505"/>
  <c r="G145" i="505"/>
  <c r="I144" i="505"/>
  <c r="H144" i="505"/>
  <c r="G144" i="505"/>
  <c r="I143" i="505"/>
  <c r="H143" i="505"/>
  <c r="G143" i="505"/>
  <c r="AA142" i="505"/>
  <c r="Z142" i="505"/>
  <c r="Y142" i="505"/>
  <c r="X142" i="505"/>
  <c r="U142" i="505"/>
  <c r="T142" i="505"/>
  <c r="S142" i="505"/>
  <c r="R142" i="505"/>
  <c r="Q142" i="505"/>
  <c r="P142" i="505"/>
  <c r="O142" i="505"/>
  <c r="N142" i="505"/>
  <c r="I142" i="505"/>
  <c r="H142" i="505"/>
  <c r="G142" i="505"/>
  <c r="AA141" i="505"/>
  <c r="Z141" i="505"/>
  <c r="Y141" i="505"/>
  <c r="X141" i="505"/>
  <c r="U141" i="505"/>
  <c r="T141" i="505"/>
  <c r="S141" i="505"/>
  <c r="R141" i="505"/>
  <c r="Q141" i="505"/>
  <c r="P141" i="505"/>
  <c r="O141" i="505"/>
  <c r="N141" i="505"/>
  <c r="I141" i="505"/>
  <c r="H141" i="505"/>
  <c r="G141" i="505"/>
  <c r="AA140" i="505"/>
  <c r="Z140" i="505"/>
  <c r="Y140" i="505"/>
  <c r="X140" i="505"/>
  <c r="U140" i="505"/>
  <c r="T140" i="505"/>
  <c r="S140" i="505"/>
  <c r="R140" i="505"/>
  <c r="Q140" i="505"/>
  <c r="P140" i="505"/>
  <c r="O140" i="505"/>
  <c r="N140" i="505"/>
  <c r="I140" i="505"/>
  <c r="H140" i="505"/>
  <c r="G140" i="505"/>
  <c r="AA139" i="505"/>
  <c r="Z139" i="505"/>
  <c r="Y139" i="505"/>
  <c r="X139" i="505"/>
  <c r="U139" i="505"/>
  <c r="T139" i="505"/>
  <c r="S139" i="505"/>
  <c r="R139" i="505"/>
  <c r="Q139" i="505"/>
  <c r="P139" i="505"/>
  <c r="O139" i="505"/>
  <c r="N139" i="505"/>
  <c r="I139" i="505"/>
  <c r="H139" i="505"/>
  <c r="G139" i="505"/>
  <c r="AA138" i="505"/>
  <c r="Z138" i="505"/>
  <c r="Y138" i="505"/>
  <c r="X138" i="505"/>
  <c r="U138" i="505"/>
  <c r="T138" i="505"/>
  <c r="S138" i="505"/>
  <c r="R138" i="505"/>
  <c r="Q138" i="505"/>
  <c r="P138" i="505"/>
  <c r="O138" i="505"/>
  <c r="N138" i="505"/>
  <c r="I138" i="505"/>
  <c r="H138" i="505"/>
  <c r="G138" i="505"/>
  <c r="AA137" i="505"/>
  <c r="Z137" i="505"/>
  <c r="Y137" i="505"/>
  <c r="X137" i="505"/>
  <c r="U137" i="505"/>
  <c r="T137" i="505"/>
  <c r="S137" i="505"/>
  <c r="R137" i="505"/>
  <c r="Q137" i="505"/>
  <c r="P137" i="505"/>
  <c r="O137" i="505"/>
  <c r="AA136" i="505"/>
  <c r="Z136" i="505"/>
  <c r="Y136" i="505"/>
  <c r="X136" i="505"/>
  <c r="U136" i="505"/>
  <c r="T136" i="505"/>
  <c r="S136" i="505"/>
  <c r="R136" i="505"/>
  <c r="Q136" i="505"/>
  <c r="P136" i="505"/>
  <c r="O136" i="505"/>
  <c r="N136" i="505"/>
  <c r="I136" i="505"/>
  <c r="H136" i="505"/>
  <c r="G136" i="505"/>
  <c r="AA135" i="505"/>
  <c r="Z135" i="505"/>
  <c r="Y135" i="505"/>
  <c r="X135" i="505"/>
  <c r="U135" i="505"/>
  <c r="T135" i="505"/>
  <c r="S135" i="505"/>
  <c r="R135" i="505"/>
  <c r="Q135" i="505"/>
  <c r="P135" i="505"/>
  <c r="O135" i="505"/>
  <c r="N135" i="505"/>
  <c r="I135" i="505"/>
  <c r="H135" i="505"/>
  <c r="G135" i="505"/>
  <c r="AA134" i="505"/>
  <c r="Z134" i="505"/>
  <c r="Y134" i="505"/>
  <c r="X134" i="505"/>
  <c r="U134" i="505"/>
  <c r="T134" i="505"/>
  <c r="S134" i="505"/>
  <c r="R134" i="505"/>
  <c r="Q134" i="505"/>
  <c r="P134" i="505"/>
  <c r="O134" i="505"/>
  <c r="N134" i="505"/>
  <c r="I134" i="505"/>
  <c r="H134" i="505"/>
  <c r="G134" i="505"/>
  <c r="AA133" i="505"/>
  <c r="Z133" i="505"/>
  <c r="Y133" i="505"/>
  <c r="X133" i="505"/>
  <c r="U133" i="505"/>
  <c r="T133" i="505"/>
  <c r="S133" i="505"/>
  <c r="R133" i="505"/>
  <c r="Q133" i="505"/>
  <c r="P133" i="505"/>
  <c r="O133" i="505"/>
  <c r="N133" i="505"/>
  <c r="I133" i="505"/>
  <c r="H133" i="505"/>
  <c r="G133" i="505"/>
  <c r="AA132" i="505"/>
  <c r="Z132" i="505"/>
  <c r="Y132" i="505"/>
  <c r="X132" i="505"/>
  <c r="U132" i="505"/>
  <c r="T132" i="505"/>
  <c r="S132" i="505"/>
  <c r="R132" i="505"/>
  <c r="Q132" i="505"/>
  <c r="P132" i="505"/>
  <c r="O132" i="505"/>
  <c r="N132" i="505"/>
  <c r="I132" i="505"/>
  <c r="H132" i="505"/>
  <c r="G132" i="505"/>
  <c r="AA131" i="505"/>
  <c r="Z131" i="505"/>
  <c r="Y131" i="505"/>
  <c r="X131" i="505"/>
  <c r="U131" i="505"/>
  <c r="T131" i="505"/>
  <c r="S131" i="505"/>
  <c r="R131" i="505"/>
  <c r="Q131" i="505"/>
  <c r="P131" i="505"/>
  <c r="O131" i="505"/>
  <c r="N131" i="505"/>
  <c r="I131" i="505"/>
  <c r="H131" i="505"/>
  <c r="G131" i="505"/>
  <c r="AA130" i="505"/>
  <c r="Z130" i="505"/>
  <c r="Y130" i="505"/>
  <c r="X130" i="505"/>
  <c r="U130" i="505"/>
  <c r="T130" i="505"/>
  <c r="S130" i="505"/>
  <c r="R130" i="505"/>
  <c r="Q130" i="505"/>
  <c r="P130" i="505"/>
  <c r="O130" i="505"/>
  <c r="N130" i="505"/>
  <c r="I130" i="505"/>
  <c r="H130" i="505"/>
  <c r="G130" i="505"/>
  <c r="AA129" i="505"/>
  <c r="Z129" i="505"/>
  <c r="Y129" i="505"/>
  <c r="X129" i="505"/>
  <c r="U129" i="505"/>
  <c r="T129" i="505"/>
  <c r="S129" i="505"/>
  <c r="R129" i="505"/>
  <c r="Q129" i="505"/>
  <c r="P129" i="505"/>
  <c r="O129" i="505"/>
  <c r="N129" i="505"/>
  <c r="I129" i="505"/>
  <c r="H129" i="505"/>
  <c r="G129" i="505"/>
  <c r="AA128" i="505"/>
  <c r="Z128" i="505"/>
  <c r="Y128" i="505"/>
  <c r="X128" i="505"/>
  <c r="U128" i="505"/>
  <c r="T128" i="505"/>
  <c r="S128" i="505"/>
  <c r="R128" i="505"/>
  <c r="Q128" i="505"/>
  <c r="P128" i="505"/>
  <c r="O128" i="505"/>
  <c r="N128" i="505"/>
  <c r="I128" i="505"/>
  <c r="H128" i="505"/>
  <c r="G128" i="505"/>
  <c r="AA127" i="505"/>
  <c r="Z127" i="505"/>
  <c r="Y127" i="505"/>
  <c r="X127" i="505"/>
  <c r="U127" i="505"/>
  <c r="T127" i="505"/>
  <c r="S127" i="505"/>
  <c r="R127" i="505"/>
  <c r="Q127" i="505"/>
  <c r="P127" i="505"/>
  <c r="O127" i="505"/>
  <c r="N127" i="505"/>
  <c r="I127" i="505"/>
  <c r="H127" i="505"/>
  <c r="G127" i="505"/>
  <c r="AA126" i="505"/>
  <c r="Z126" i="505"/>
  <c r="Y126" i="505"/>
  <c r="X126" i="505"/>
  <c r="U126" i="505"/>
  <c r="T126" i="505"/>
  <c r="S126" i="505"/>
  <c r="R126" i="505"/>
  <c r="Q126" i="505"/>
  <c r="P126" i="505"/>
  <c r="O126" i="505"/>
  <c r="N126" i="505"/>
  <c r="I126" i="505"/>
  <c r="H126" i="505"/>
  <c r="G126" i="505"/>
  <c r="AA125" i="505"/>
  <c r="Z125" i="505"/>
  <c r="Y125" i="505"/>
  <c r="X125" i="505"/>
  <c r="U125" i="505"/>
  <c r="T125" i="505"/>
  <c r="S125" i="505"/>
  <c r="R125" i="505"/>
  <c r="Q125" i="505"/>
  <c r="P125" i="505"/>
  <c r="O125" i="505"/>
  <c r="N125" i="505"/>
  <c r="I125" i="505"/>
  <c r="H125" i="505"/>
  <c r="G125" i="505"/>
  <c r="AA124" i="505"/>
  <c r="Z124" i="505"/>
  <c r="Y124" i="505"/>
  <c r="X124" i="505"/>
  <c r="U124" i="505"/>
  <c r="T124" i="505"/>
  <c r="S124" i="505"/>
  <c r="R124" i="505"/>
  <c r="Q124" i="505"/>
  <c r="P124" i="505"/>
  <c r="O124" i="505"/>
  <c r="N124" i="505"/>
  <c r="I124" i="505"/>
  <c r="H124" i="505"/>
  <c r="G124" i="505"/>
  <c r="AA123" i="505"/>
  <c r="Z123" i="505"/>
  <c r="Y123" i="505"/>
  <c r="X123" i="505"/>
  <c r="U123" i="505"/>
  <c r="T123" i="505"/>
  <c r="S123" i="505"/>
  <c r="R123" i="505"/>
  <c r="Q123" i="505"/>
  <c r="P123" i="505"/>
  <c r="O123" i="505"/>
  <c r="N123" i="505"/>
  <c r="I123" i="505"/>
  <c r="H123" i="505"/>
  <c r="G123" i="505"/>
  <c r="AA122" i="505"/>
  <c r="Z122" i="505"/>
  <c r="Y122" i="505"/>
  <c r="X122" i="505"/>
  <c r="U122" i="505"/>
  <c r="T122" i="505"/>
  <c r="S122" i="505"/>
  <c r="R122" i="505"/>
  <c r="Q122" i="505"/>
  <c r="P122" i="505"/>
  <c r="O122" i="505"/>
  <c r="N122" i="505"/>
  <c r="I122" i="505"/>
  <c r="H122" i="505"/>
  <c r="G122" i="505"/>
  <c r="AA120" i="505"/>
  <c r="Z120" i="505"/>
  <c r="Y120" i="505"/>
  <c r="X120" i="505"/>
  <c r="U120" i="505"/>
  <c r="T120" i="505"/>
  <c r="S120" i="505"/>
  <c r="R120" i="505"/>
  <c r="Q120" i="505"/>
  <c r="P120" i="505"/>
  <c r="O120" i="505"/>
  <c r="N120" i="505"/>
  <c r="I120" i="505"/>
  <c r="H120" i="505"/>
  <c r="G120" i="505"/>
  <c r="AA119" i="505"/>
  <c r="Z119" i="505"/>
  <c r="Y119" i="505"/>
  <c r="X119" i="505"/>
  <c r="U119" i="505"/>
  <c r="T119" i="505"/>
  <c r="S119" i="505"/>
  <c r="R119" i="505"/>
  <c r="Q119" i="505"/>
  <c r="P119" i="505"/>
  <c r="O119" i="505"/>
  <c r="N119" i="505"/>
  <c r="I119" i="505"/>
  <c r="H119" i="505"/>
  <c r="G119" i="505"/>
  <c r="AA118" i="505"/>
  <c r="Z118" i="505"/>
  <c r="Y118" i="505"/>
  <c r="X118" i="505"/>
  <c r="U118" i="505"/>
  <c r="T118" i="505"/>
  <c r="S118" i="505"/>
  <c r="R118" i="505"/>
  <c r="Q118" i="505"/>
  <c r="P118" i="505"/>
  <c r="O118" i="505"/>
  <c r="N118" i="505"/>
  <c r="I118" i="505"/>
  <c r="H118" i="505"/>
  <c r="G118" i="505"/>
  <c r="I117" i="505"/>
  <c r="H117" i="505"/>
  <c r="G117" i="505"/>
  <c r="I116" i="505"/>
  <c r="H116" i="505"/>
  <c r="G116" i="505"/>
  <c r="I115" i="505"/>
  <c r="H115" i="505"/>
  <c r="G115" i="505"/>
  <c r="AA114" i="505"/>
  <c r="Z114" i="505"/>
  <c r="Y114" i="505"/>
  <c r="X114" i="505"/>
  <c r="U114" i="505"/>
  <c r="T114" i="505"/>
  <c r="S114" i="505"/>
  <c r="R114" i="505"/>
  <c r="Q114" i="505"/>
  <c r="P114" i="505"/>
  <c r="O114" i="505"/>
  <c r="N114" i="505"/>
  <c r="I114" i="505"/>
  <c r="H114" i="505"/>
  <c r="G114" i="505"/>
  <c r="AA113" i="505"/>
  <c r="Z113" i="505"/>
  <c r="Y113" i="505"/>
  <c r="X113" i="505"/>
  <c r="U113" i="505"/>
  <c r="T113" i="505"/>
  <c r="S113" i="505"/>
  <c r="R113" i="505"/>
  <c r="Q113" i="505"/>
  <c r="P113" i="505"/>
  <c r="O113" i="505"/>
  <c r="N113" i="505"/>
  <c r="I113" i="505"/>
  <c r="H113" i="505"/>
  <c r="G113" i="505"/>
  <c r="AA112" i="505"/>
  <c r="Z112" i="505"/>
  <c r="Y112" i="505"/>
  <c r="X112" i="505"/>
  <c r="U112" i="505"/>
  <c r="T112" i="505"/>
  <c r="S112" i="505"/>
  <c r="R112" i="505"/>
  <c r="Q112" i="505"/>
  <c r="P112" i="505"/>
  <c r="O112" i="505"/>
  <c r="N112" i="505"/>
  <c r="I112" i="505"/>
  <c r="H112" i="505"/>
  <c r="G112" i="505"/>
  <c r="AA111" i="505"/>
  <c r="Z111" i="505"/>
  <c r="Y111" i="505"/>
  <c r="X111" i="505"/>
  <c r="U111" i="505"/>
  <c r="T111" i="505"/>
  <c r="S111" i="505"/>
  <c r="R111" i="505"/>
  <c r="Q111" i="505"/>
  <c r="P111" i="505"/>
  <c r="O111" i="505"/>
  <c r="N111" i="505"/>
  <c r="I111" i="505"/>
  <c r="H111" i="505"/>
  <c r="G111" i="505"/>
  <c r="AA110" i="505"/>
  <c r="Z110" i="505"/>
  <c r="Y110" i="505"/>
  <c r="X110" i="505"/>
  <c r="U110" i="505"/>
  <c r="T110" i="505"/>
  <c r="S110" i="505"/>
  <c r="R110" i="505"/>
  <c r="Q110" i="505"/>
  <c r="P110" i="505"/>
  <c r="O110" i="505"/>
  <c r="N110" i="505"/>
  <c r="I110" i="505"/>
  <c r="H110" i="505"/>
  <c r="G110" i="505"/>
  <c r="AA109" i="505"/>
  <c r="Z109" i="505"/>
  <c r="Y109" i="505"/>
  <c r="X109" i="505"/>
  <c r="U109" i="505"/>
  <c r="T109" i="505"/>
  <c r="S109" i="505"/>
  <c r="R109" i="505"/>
  <c r="Q109" i="505"/>
  <c r="P109" i="505"/>
  <c r="O109" i="505"/>
  <c r="N109" i="505"/>
  <c r="I109" i="505"/>
  <c r="H109" i="505"/>
  <c r="G109" i="505"/>
  <c r="AA108" i="505"/>
  <c r="Z108" i="505"/>
  <c r="Y108" i="505"/>
  <c r="X108" i="505"/>
  <c r="U108" i="505"/>
  <c r="T108" i="505"/>
  <c r="S108" i="505"/>
  <c r="R108" i="505"/>
  <c r="Q108" i="505"/>
  <c r="P108" i="505"/>
  <c r="O108" i="505"/>
  <c r="N108" i="505"/>
  <c r="I108" i="505"/>
  <c r="H108" i="505"/>
  <c r="G108" i="505"/>
  <c r="AA107" i="505"/>
  <c r="Z107" i="505"/>
  <c r="Y107" i="505"/>
  <c r="X107" i="505"/>
  <c r="U107" i="505"/>
  <c r="T107" i="505"/>
  <c r="S107" i="505"/>
  <c r="R107" i="505"/>
  <c r="Q107" i="505"/>
  <c r="P107" i="505"/>
  <c r="O107" i="505"/>
  <c r="N107" i="505"/>
  <c r="I107" i="505"/>
  <c r="H107" i="505"/>
  <c r="G107" i="505"/>
  <c r="AA106" i="505"/>
  <c r="Z106" i="505"/>
  <c r="Y106" i="505"/>
  <c r="X106" i="505"/>
  <c r="U106" i="505"/>
  <c r="T106" i="505"/>
  <c r="S106" i="505"/>
  <c r="R106" i="505"/>
  <c r="Q106" i="505"/>
  <c r="P106" i="505"/>
  <c r="O106" i="505"/>
  <c r="N106" i="505"/>
  <c r="I106" i="505"/>
  <c r="H106" i="505"/>
  <c r="G106" i="505"/>
  <c r="AA105" i="505"/>
  <c r="Z105" i="505"/>
  <c r="Y105" i="505"/>
  <c r="X105" i="505"/>
  <c r="U105" i="505"/>
  <c r="T105" i="505"/>
  <c r="S105" i="505"/>
  <c r="R105" i="505"/>
  <c r="Q105" i="505"/>
  <c r="P105" i="505"/>
  <c r="O105" i="505"/>
  <c r="N105" i="505"/>
  <c r="I105" i="505"/>
  <c r="H105" i="505"/>
  <c r="G105" i="505"/>
  <c r="AA104" i="505"/>
  <c r="Z104" i="505"/>
  <c r="Y104" i="505"/>
  <c r="X104" i="505"/>
  <c r="U104" i="505"/>
  <c r="T104" i="505"/>
  <c r="S104" i="505"/>
  <c r="R104" i="505"/>
  <c r="Q104" i="505"/>
  <c r="P104" i="505"/>
  <c r="O104" i="505"/>
  <c r="N104" i="505"/>
  <c r="I104" i="505"/>
  <c r="H104" i="505"/>
  <c r="G104" i="505"/>
  <c r="AA103" i="505"/>
  <c r="Z103" i="505"/>
  <c r="Y103" i="505"/>
  <c r="X103" i="505"/>
  <c r="U103" i="505"/>
  <c r="T103" i="505"/>
  <c r="S103" i="505"/>
  <c r="R103" i="505"/>
  <c r="Q103" i="505"/>
  <c r="P103" i="505"/>
  <c r="O103" i="505"/>
  <c r="N103" i="505"/>
  <c r="I103" i="505"/>
  <c r="H103" i="505"/>
  <c r="G103" i="505"/>
  <c r="AA102" i="505"/>
  <c r="Z102" i="505"/>
  <c r="Y102" i="505"/>
  <c r="X102" i="505"/>
  <c r="U102" i="505"/>
  <c r="T102" i="505"/>
  <c r="S102" i="505"/>
  <c r="R102" i="505"/>
  <c r="Q102" i="505"/>
  <c r="P102" i="505"/>
  <c r="O102" i="505"/>
  <c r="N102" i="505"/>
  <c r="I102" i="505"/>
  <c r="H102" i="505"/>
  <c r="G102" i="505"/>
  <c r="AA101" i="505"/>
  <c r="Z101" i="505"/>
  <c r="Y101" i="505"/>
  <c r="X101" i="505"/>
  <c r="U101" i="505"/>
  <c r="T101" i="505"/>
  <c r="S101" i="505"/>
  <c r="R101" i="505"/>
  <c r="Q101" i="505"/>
  <c r="P101" i="505"/>
  <c r="O101" i="505"/>
  <c r="N101" i="505"/>
  <c r="I101" i="505"/>
  <c r="H101" i="505"/>
  <c r="G101" i="505"/>
  <c r="AA100" i="505"/>
  <c r="Z100" i="505"/>
  <c r="Y100" i="505"/>
  <c r="X100" i="505"/>
  <c r="U100" i="505"/>
  <c r="T100" i="505"/>
  <c r="S100" i="505"/>
  <c r="R100" i="505"/>
  <c r="Q100" i="505"/>
  <c r="P100" i="505"/>
  <c r="O100" i="505"/>
  <c r="N100" i="505"/>
  <c r="I100" i="505"/>
  <c r="H100" i="505"/>
  <c r="G100" i="505"/>
  <c r="AA99" i="505"/>
  <c r="Z99" i="505"/>
  <c r="Y99" i="505"/>
  <c r="X99" i="505"/>
  <c r="U99" i="505"/>
  <c r="T99" i="505"/>
  <c r="S99" i="505"/>
  <c r="R99" i="505"/>
  <c r="Q99" i="505"/>
  <c r="P99" i="505"/>
  <c r="O99" i="505"/>
  <c r="N99" i="505"/>
  <c r="I99" i="505"/>
  <c r="H99" i="505"/>
  <c r="G99" i="505"/>
  <c r="AA98" i="505"/>
  <c r="Z98" i="505"/>
  <c r="Y98" i="505"/>
  <c r="X98" i="505"/>
  <c r="U98" i="505"/>
  <c r="T98" i="505"/>
  <c r="S98" i="505"/>
  <c r="R98" i="505"/>
  <c r="Q98" i="505"/>
  <c r="P98" i="505"/>
  <c r="O98" i="505"/>
  <c r="N98" i="505"/>
  <c r="I98" i="505"/>
  <c r="H98" i="505"/>
  <c r="G98" i="505"/>
  <c r="AA97" i="505"/>
  <c r="Z97" i="505"/>
  <c r="Y97" i="505"/>
  <c r="X97" i="505"/>
  <c r="U97" i="505"/>
  <c r="T97" i="505"/>
  <c r="S97" i="505"/>
  <c r="R97" i="505"/>
  <c r="Q97" i="505"/>
  <c r="P97" i="505"/>
  <c r="O97" i="505"/>
  <c r="N97" i="505"/>
  <c r="I97" i="505"/>
  <c r="H97" i="505"/>
  <c r="G97" i="505"/>
  <c r="AA96" i="505"/>
  <c r="Z96" i="505"/>
  <c r="Y96" i="505"/>
  <c r="X96" i="505"/>
  <c r="U96" i="505"/>
  <c r="T96" i="505"/>
  <c r="S96" i="505"/>
  <c r="R96" i="505"/>
  <c r="Q96" i="505"/>
  <c r="P96" i="505"/>
  <c r="O96" i="505"/>
  <c r="N96" i="505"/>
  <c r="I96" i="505"/>
  <c r="H96" i="505"/>
  <c r="G96" i="505"/>
  <c r="AA95" i="505"/>
  <c r="Z95" i="505"/>
  <c r="Y95" i="505"/>
  <c r="X95" i="505"/>
  <c r="U95" i="505"/>
  <c r="T95" i="505"/>
  <c r="S95" i="505"/>
  <c r="R95" i="505"/>
  <c r="Q95" i="505"/>
  <c r="P95" i="505"/>
  <c r="O95" i="505"/>
  <c r="N95" i="505"/>
  <c r="I95" i="505"/>
  <c r="H95" i="505"/>
  <c r="G95" i="505"/>
  <c r="AA94" i="505"/>
  <c r="Z94" i="505"/>
  <c r="Y94" i="505"/>
  <c r="X94" i="505"/>
  <c r="U94" i="505"/>
  <c r="T94" i="505"/>
  <c r="S94" i="505"/>
  <c r="R94" i="505"/>
  <c r="Q94" i="505"/>
  <c r="P94" i="505"/>
  <c r="O94" i="505"/>
  <c r="N94" i="505"/>
  <c r="I94" i="505"/>
  <c r="H94" i="505"/>
  <c r="G94" i="505"/>
  <c r="AA93" i="505"/>
  <c r="Z93" i="505"/>
  <c r="Y93" i="505"/>
  <c r="X93" i="505"/>
  <c r="U93" i="505"/>
  <c r="T93" i="505"/>
  <c r="S93" i="505"/>
  <c r="R93" i="505"/>
  <c r="Q93" i="505"/>
  <c r="P93" i="505"/>
  <c r="O93" i="505"/>
  <c r="N93" i="505"/>
  <c r="I93" i="505"/>
  <c r="H93" i="505"/>
  <c r="G93" i="505"/>
  <c r="AA92" i="505"/>
  <c r="Z92" i="505"/>
  <c r="Y92" i="505"/>
  <c r="X92" i="505"/>
  <c r="U92" i="505"/>
  <c r="T92" i="505"/>
  <c r="S92" i="505"/>
  <c r="R92" i="505"/>
  <c r="Q92" i="505"/>
  <c r="P92" i="505"/>
  <c r="O92" i="505"/>
  <c r="N92" i="505"/>
  <c r="I92" i="505"/>
  <c r="H92" i="505"/>
  <c r="G92" i="505"/>
  <c r="AA91" i="505"/>
  <c r="Z91" i="505"/>
  <c r="Y91" i="505"/>
  <c r="X91" i="505"/>
  <c r="U91" i="505"/>
  <c r="T91" i="505"/>
  <c r="S91" i="505"/>
  <c r="R91" i="505"/>
  <c r="Q91" i="505"/>
  <c r="P91" i="505"/>
  <c r="O91" i="505"/>
  <c r="N91" i="505"/>
  <c r="I91" i="505"/>
  <c r="H91" i="505"/>
  <c r="G91" i="505"/>
  <c r="AA90" i="505"/>
  <c r="Z90" i="505"/>
  <c r="Y90" i="505"/>
  <c r="X90" i="505"/>
  <c r="U90" i="505"/>
  <c r="T90" i="505"/>
  <c r="S90" i="505"/>
  <c r="R90" i="505"/>
  <c r="Q90" i="505"/>
  <c r="P90" i="505"/>
  <c r="O90" i="505"/>
  <c r="N90" i="505"/>
  <c r="I90" i="505"/>
  <c r="H90" i="505"/>
  <c r="G90" i="505"/>
  <c r="AA89" i="505"/>
  <c r="Z89" i="505"/>
  <c r="Y89" i="505"/>
  <c r="X89" i="505"/>
  <c r="U89" i="505"/>
  <c r="T89" i="505"/>
  <c r="S89" i="505"/>
  <c r="R89" i="505"/>
  <c r="Q89" i="505"/>
  <c r="P89" i="505"/>
  <c r="O89" i="505"/>
  <c r="N89" i="505"/>
  <c r="I89" i="505"/>
  <c r="H89" i="505"/>
  <c r="G89" i="505"/>
  <c r="AA88" i="505"/>
  <c r="Z88" i="505"/>
  <c r="Y88" i="505"/>
  <c r="X88" i="505"/>
  <c r="U88" i="505"/>
  <c r="T88" i="505"/>
  <c r="S88" i="505"/>
  <c r="R88" i="505"/>
  <c r="Q88" i="505"/>
  <c r="P88" i="505"/>
  <c r="O88" i="505"/>
  <c r="N88" i="505"/>
  <c r="I88" i="505"/>
  <c r="H88" i="505"/>
  <c r="G88" i="505"/>
  <c r="AA87" i="505"/>
  <c r="Z87" i="505"/>
  <c r="Y87" i="505"/>
  <c r="X87" i="505"/>
  <c r="U87" i="505"/>
  <c r="T87" i="505"/>
  <c r="S87" i="505"/>
  <c r="R87" i="505"/>
  <c r="Q87" i="505"/>
  <c r="P87" i="505"/>
  <c r="O87" i="505"/>
  <c r="N87" i="505"/>
  <c r="I87" i="505"/>
  <c r="H87" i="505"/>
  <c r="G87" i="505"/>
  <c r="AA85" i="505"/>
  <c r="Z85" i="505"/>
  <c r="Y85" i="505"/>
  <c r="X85" i="505"/>
  <c r="U85" i="505"/>
  <c r="T85" i="505"/>
  <c r="S85" i="505"/>
  <c r="R85" i="505"/>
  <c r="Q85" i="505"/>
  <c r="P85" i="505"/>
  <c r="O85" i="505"/>
  <c r="N85" i="505"/>
  <c r="I85" i="505"/>
  <c r="G85" i="505"/>
  <c r="AA84" i="505"/>
  <c r="Z84" i="505"/>
  <c r="Y84" i="505"/>
  <c r="X84" i="505"/>
  <c r="U84" i="505"/>
  <c r="T84" i="505"/>
  <c r="S84" i="505"/>
  <c r="R84" i="505"/>
  <c r="Q84" i="505"/>
  <c r="P84" i="505"/>
  <c r="O84" i="505"/>
  <c r="N84" i="505"/>
  <c r="I84" i="505"/>
  <c r="G84" i="505"/>
  <c r="AA83" i="505"/>
  <c r="Z83" i="505"/>
  <c r="Y83" i="505"/>
  <c r="X83" i="505"/>
  <c r="U83" i="505"/>
  <c r="T83" i="505"/>
  <c r="S83" i="505"/>
  <c r="R83" i="505"/>
  <c r="Q83" i="505"/>
  <c r="P83" i="505"/>
  <c r="O83" i="505"/>
  <c r="N83" i="505"/>
  <c r="I83" i="505"/>
  <c r="G83" i="505"/>
  <c r="N82" i="505"/>
  <c r="I82" i="505"/>
  <c r="G82" i="505"/>
  <c r="N81" i="505"/>
  <c r="I81" i="505"/>
  <c r="G81" i="505"/>
  <c r="N80" i="505"/>
  <c r="I80" i="505"/>
  <c r="G80" i="505"/>
  <c r="AA79" i="505"/>
  <c r="Z79" i="505"/>
  <c r="Y79" i="505"/>
  <c r="X79" i="505"/>
  <c r="U79" i="505"/>
  <c r="T79" i="505"/>
  <c r="S79" i="505"/>
  <c r="R79" i="505"/>
  <c r="Q79" i="505"/>
  <c r="P79" i="505"/>
  <c r="O79" i="505"/>
  <c r="N79" i="505"/>
  <c r="I79" i="505"/>
  <c r="G79" i="505"/>
  <c r="AA78" i="505"/>
  <c r="Z78" i="505"/>
  <c r="Y78" i="505"/>
  <c r="X78" i="505"/>
  <c r="U78" i="505"/>
  <c r="T78" i="505"/>
  <c r="S78" i="505"/>
  <c r="R78" i="505"/>
  <c r="Q78" i="505"/>
  <c r="P78" i="505"/>
  <c r="O78" i="505"/>
  <c r="N78" i="505"/>
  <c r="I78" i="505"/>
  <c r="G78" i="505"/>
  <c r="AA77" i="505"/>
  <c r="Z77" i="505"/>
  <c r="Y77" i="505"/>
  <c r="X77" i="505"/>
  <c r="U77" i="505"/>
  <c r="T77" i="505"/>
  <c r="S77" i="505"/>
  <c r="R77" i="505"/>
  <c r="Q77" i="505"/>
  <c r="P77" i="505"/>
  <c r="O77" i="505"/>
  <c r="N77" i="505"/>
  <c r="I77" i="505"/>
  <c r="G77" i="505"/>
  <c r="AA76" i="505"/>
  <c r="Z76" i="505"/>
  <c r="Y76" i="505"/>
  <c r="X76" i="505"/>
  <c r="U76" i="505"/>
  <c r="T76" i="505"/>
  <c r="S76" i="505"/>
  <c r="R76" i="505"/>
  <c r="Q76" i="505"/>
  <c r="P76" i="505"/>
  <c r="O76" i="505"/>
  <c r="N76" i="505"/>
  <c r="I76" i="505"/>
  <c r="G76" i="505"/>
  <c r="AA75" i="505"/>
  <c r="Z75" i="505"/>
  <c r="Y75" i="505"/>
  <c r="X75" i="505"/>
  <c r="U75" i="505"/>
  <c r="T75" i="505"/>
  <c r="S75" i="505"/>
  <c r="R75" i="505"/>
  <c r="Q75" i="505"/>
  <c r="P75" i="505"/>
  <c r="O75" i="505"/>
  <c r="N75" i="505"/>
  <c r="I75" i="505"/>
  <c r="G75" i="505"/>
  <c r="AA74" i="505"/>
  <c r="Z74" i="505"/>
  <c r="Y74" i="505"/>
  <c r="X74" i="505"/>
  <c r="U74" i="505"/>
  <c r="T74" i="505"/>
  <c r="S74" i="505"/>
  <c r="R74" i="505"/>
  <c r="Q74" i="505"/>
  <c r="P74" i="505"/>
  <c r="O74" i="505"/>
  <c r="N74" i="505"/>
  <c r="I74" i="505"/>
  <c r="G74" i="505"/>
  <c r="AA73" i="505"/>
  <c r="Z73" i="505"/>
  <c r="Y73" i="505"/>
  <c r="X73" i="505"/>
  <c r="U73" i="505"/>
  <c r="T73" i="505"/>
  <c r="S73" i="505"/>
  <c r="R73" i="505"/>
  <c r="Q73" i="505"/>
  <c r="P73" i="505"/>
  <c r="O73" i="505"/>
  <c r="N73" i="505"/>
  <c r="I73" i="505"/>
  <c r="G73" i="505"/>
  <c r="AA72" i="505"/>
  <c r="Z72" i="505"/>
  <c r="Y72" i="505"/>
  <c r="X72" i="505"/>
  <c r="U72" i="505"/>
  <c r="T72" i="505"/>
  <c r="S72" i="505"/>
  <c r="R72" i="505"/>
  <c r="Q72" i="505"/>
  <c r="P72" i="505"/>
  <c r="O72" i="505"/>
  <c r="N72" i="505"/>
  <c r="I72" i="505"/>
  <c r="G72" i="505"/>
  <c r="AA71" i="505"/>
  <c r="Z71" i="505"/>
  <c r="Y71" i="505"/>
  <c r="X71" i="505"/>
  <c r="U71" i="505"/>
  <c r="T71" i="505"/>
  <c r="S71" i="505"/>
  <c r="R71" i="505"/>
  <c r="Q71" i="505"/>
  <c r="P71" i="505"/>
  <c r="O71" i="505"/>
  <c r="N71" i="505"/>
  <c r="I71" i="505"/>
  <c r="G71" i="505"/>
  <c r="AA70" i="505"/>
  <c r="Z70" i="505"/>
  <c r="Y70" i="505"/>
  <c r="X70" i="505"/>
  <c r="U70" i="505"/>
  <c r="T70" i="505"/>
  <c r="S70" i="505"/>
  <c r="R70" i="505"/>
  <c r="Q70" i="505"/>
  <c r="P70" i="505"/>
  <c r="O70" i="505"/>
  <c r="N70" i="505"/>
  <c r="I70" i="505"/>
  <c r="G70" i="505"/>
  <c r="AA69" i="505"/>
  <c r="Z69" i="505"/>
  <c r="Y69" i="505"/>
  <c r="X69" i="505"/>
  <c r="U69" i="505"/>
  <c r="T69" i="505"/>
  <c r="S69" i="505"/>
  <c r="R69" i="505"/>
  <c r="Q69" i="505"/>
  <c r="P69" i="505"/>
  <c r="O69" i="505"/>
  <c r="N69" i="505"/>
  <c r="I69" i="505"/>
  <c r="G69" i="505"/>
  <c r="AA68" i="505"/>
  <c r="Z68" i="505"/>
  <c r="Y68" i="505"/>
  <c r="X68" i="505"/>
  <c r="U68" i="505"/>
  <c r="T68" i="505"/>
  <c r="S68" i="505"/>
  <c r="R68" i="505"/>
  <c r="Q68" i="505"/>
  <c r="P68" i="505"/>
  <c r="O68" i="505"/>
  <c r="N68" i="505"/>
  <c r="I68" i="505"/>
  <c r="G68" i="505"/>
  <c r="I67" i="505"/>
  <c r="G67" i="505"/>
  <c r="AA66" i="505"/>
  <c r="Z66" i="505"/>
  <c r="Y66" i="505"/>
  <c r="X66" i="505"/>
  <c r="U66" i="505"/>
  <c r="T66" i="505"/>
  <c r="S66" i="505"/>
  <c r="R66" i="505"/>
  <c r="Q66" i="505"/>
  <c r="P66" i="505"/>
  <c r="O66" i="505"/>
  <c r="N66" i="505"/>
  <c r="I66" i="505"/>
  <c r="G66" i="505"/>
  <c r="AA65" i="505"/>
  <c r="Z65" i="505"/>
  <c r="Y65" i="505"/>
  <c r="X65" i="505"/>
  <c r="U65" i="505"/>
  <c r="T65" i="505"/>
  <c r="S65" i="505"/>
  <c r="R65" i="505"/>
  <c r="Q65" i="505"/>
  <c r="P65" i="505"/>
  <c r="O65" i="505"/>
  <c r="N65" i="505"/>
  <c r="I65" i="505"/>
  <c r="G65" i="505"/>
  <c r="AA64" i="505"/>
  <c r="Z64" i="505"/>
  <c r="Y64" i="505"/>
  <c r="X64" i="505"/>
  <c r="U64" i="505"/>
  <c r="T64" i="505"/>
  <c r="S64" i="505"/>
  <c r="R64" i="505"/>
  <c r="Q64" i="505"/>
  <c r="P64" i="505"/>
  <c r="O64" i="505"/>
  <c r="N64" i="505"/>
  <c r="I64" i="505"/>
  <c r="G64" i="505"/>
  <c r="AA63" i="505"/>
  <c r="Z63" i="505"/>
  <c r="Y63" i="505"/>
  <c r="X63" i="505"/>
  <c r="U63" i="505"/>
  <c r="T63" i="505"/>
  <c r="S63" i="505"/>
  <c r="R63" i="505"/>
  <c r="Q63" i="505"/>
  <c r="P63" i="505"/>
  <c r="O63" i="505"/>
  <c r="N63" i="505"/>
  <c r="I63" i="505"/>
  <c r="G63" i="505"/>
  <c r="AA62" i="505"/>
  <c r="Z62" i="505"/>
  <c r="Y62" i="505"/>
  <c r="X62" i="505"/>
  <c r="U62" i="505"/>
  <c r="T62" i="505"/>
  <c r="S62" i="505"/>
  <c r="R62" i="505"/>
  <c r="Q62" i="505"/>
  <c r="P62" i="505"/>
  <c r="O62" i="505"/>
  <c r="N62" i="505"/>
  <c r="I62" i="505"/>
  <c r="G62" i="505"/>
  <c r="AA61" i="505"/>
  <c r="Z61" i="505"/>
  <c r="Y61" i="505"/>
  <c r="X61" i="505"/>
  <c r="U61" i="505"/>
  <c r="T61" i="505"/>
  <c r="S61" i="505"/>
  <c r="R61" i="505"/>
  <c r="Q61" i="505"/>
  <c r="P61" i="505"/>
  <c r="O61" i="505"/>
  <c r="N61" i="505"/>
  <c r="I61" i="505"/>
  <c r="G61" i="505"/>
  <c r="AA60" i="505"/>
  <c r="Z60" i="505"/>
  <c r="Y60" i="505"/>
  <c r="X60" i="505"/>
  <c r="U60" i="505"/>
  <c r="T60" i="505"/>
  <c r="S60" i="505"/>
  <c r="R60" i="505"/>
  <c r="Q60" i="505"/>
  <c r="P60" i="505"/>
  <c r="O60" i="505"/>
  <c r="N60" i="505"/>
  <c r="I60" i="505"/>
  <c r="G60" i="505"/>
  <c r="AA59" i="505"/>
  <c r="Z59" i="505"/>
  <c r="Y59" i="505"/>
  <c r="X59" i="505"/>
  <c r="U59" i="505"/>
  <c r="T59" i="505"/>
  <c r="S59" i="505"/>
  <c r="R59" i="505"/>
  <c r="Q59" i="505"/>
  <c r="P59" i="505"/>
  <c r="O59" i="505"/>
  <c r="N59" i="505"/>
  <c r="I59" i="505"/>
  <c r="G59" i="505"/>
  <c r="AA58" i="505"/>
  <c r="Z58" i="505"/>
  <c r="Y58" i="505"/>
  <c r="X58" i="505"/>
  <c r="U58" i="505"/>
  <c r="T58" i="505"/>
  <c r="S58" i="505"/>
  <c r="R58" i="505"/>
  <c r="Q58" i="505"/>
  <c r="P58" i="505"/>
  <c r="O58" i="505"/>
  <c r="N58" i="505"/>
  <c r="I58" i="505"/>
  <c r="G58" i="505"/>
  <c r="AA57" i="505"/>
  <c r="Z57" i="505"/>
  <c r="Y57" i="505"/>
  <c r="X57" i="505"/>
  <c r="U57" i="505"/>
  <c r="T57" i="505"/>
  <c r="S57" i="505"/>
  <c r="R57" i="505"/>
  <c r="Q57" i="505"/>
  <c r="P57" i="505"/>
  <c r="O57" i="505"/>
  <c r="N57" i="505"/>
  <c r="I57" i="505"/>
  <c r="G57" i="505"/>
  <c r="AA56" i="505"/>
  <c r="Z56" i="505"/>
  <c r="Y56" i="505"/>
  <c r="X56" i="505"/>
  <c r="U56" i="505"/>
  <c r="T56" i="505"/>
  <c r="S56" i="505"/>
  <c r="R56" i="505"/>
  <c r="Q56" i="505"/>
  <c r="P56" i="505"/>
  <c r="O56" i="505"/>
  <c r="N56" i="505"/>
  <c r="I56" i="505"/>
  <c r="G56" i="505"/>
  <c r="AA55" i="505"/>
  <c r="Z55" i="505"/>
  <c r="Y55" i="505"/>
  <c r="X55" i="505"/>
  <c r="U55" i="505"/>
  <c r="T55" i="505"/>
  <c r="S55" i="505"/>
  <c r="R55" i="505"/>
  <c r="Q55" i="505"/>
  <c r="P55" i="505"/>
  <c r="O55" i="505"/>
  <c r="N55" i="505"/>
  <c r="I55" i="505"/>
  <c r="G55" i="505"/>
  <c r="AA54" i="505"/>
  <c r="Z54" i="505"/>
  <c r="Y54" i="505"/>
  <c r="X54" i="505"/>
  <c r="U54" i="505"/>
  <c r="T54" i="505"/>
  <c r="S54" i="505"/>
  <c r="R54" i="505"/>
  <c r="Q54" i="505"/>
  <c r="P54" i="505"/>
  <c r="O54" i="505"/>
  <c r="N54" i="505"/>
  <c r="I54" i="505"/>
  <c r="G54" i="505"/>
  <c r="AA53" i="505"/>
  <c r="Z53" i="505"/>
  <c r="Y53" i="505"/>
  <c r="X53" i="505"/>
  <c r="U53" i="505"/>
  <c r="T53" i="505"/>
  <c r="S53" i="505"/>
  <c r="R53" i="505"/>
  <c r="Q53" i="505"/>
  <c r="P53" i="505"/>
  <c r="O53" i="505"/>
  <c r="N53" i="505"/>
  <c r="I53" i="505"/>
  <c r="G53" i="505"/>
  <c r="AA52" i="505"/>
  <c r="Z52" i="505"/>
  <c r="Y52" i="505"/>
  <c r="X52" i="505"/>
  <c r="U52" i="505"/>
  <c r="T52" i="505"/>
  <c r="S52" i="505"/>
  <c r="R52" i="505"/>
  <c r="Q52" i="505"/>
  <c r="P52" i="505"/>
  <c r="O52" i="505"/>
  <c r="N52" i="505"/>
  <c r="I52" i="505"/>
  <c r="G52" i="505"/>
  <c r="AA51" i="505"/>
  <c r="Z51" i="505"/>
  <c r="Y51" i="505"/>
  <c r="X51" i="505"/>
  <c r="U51" i="505"/>
  <c r="T51" i="505"/>
  <c r="S51" i="505"/>
  <c r="R51" i="505"/>
  <c r="Q51" i="505"/>
  <c r="P51" i="505"/>
  <c r="O51" i="505"/>
  <c r="N51" i="505"/>
  <c r="I51" i="505"/>
  <c r="G51" i="505"/>
  <c r="AA50" i="505"/>
  <c r="Z50" i="505"/>
  <c r="Y50" i="505"/>
  <c r="X50" i="505"/>
  <c r="U50" i="505"/>
  <c r="T50" i="505"/>
  <c r="S50" i="505"/>
  <c r="R50" i="505"/>
  <c r="Q50" i="505"/>
  <c r="P50" i="505"/>
  <c r="O50" i="505"/>
  <c r="N50" i="505"/>
  <c r="I50" i="505"/>
  <c r="G50" i="505"/>
  <c r="AA49" i="505"/>
  <c r="Z49" i="505"/>
  <c r="Y49" i="505"/>
  <c r="X49" i="505"/>
  <c r="U49" i="505"/>
  <c r="T49" i="505"/>
  <c r="S49" i="505"/>
  <c r="R49" i="505"/>
  <c r="Q49" i="505"/>
  <c r="P49" i="505"/>
  <c r="O49" i="505"/>
  <c r="N49" i="505"/>
  <c r="I49" i="505"/>
  <c r="G49" i="505"/>
  <c r="AA48" i="505"/>
  <c r="Z48" i="505"/>
  <c r="Y48" i="505"/>
  <c r="X48" i="505"/>
  <c r="U48" i="505"/>
  <c r="T48" i="505"/>
  <c r="S48" i="505"/>
  <c r="R48" i="505"/>
  <c r="Q48" i="505"/>
  <c r="P48" i="505"/>
  <c r="O48" i="505"/>
  <c r="N48" i="505"/>
  <c r="I48" i="505"/>
  <c r="G48" i="505"/>
  <c r="AA47" i="505"/>
  <c r="Z47" i="505"/>
  <c r="Y47" i="505"/>
  <c r="X47" i="505"/>
  <c r="U47" i="505"/>
  <c r="T47" i="505"/>
  <c r="S47" i="505"/>
  <c r="R47" i="505"/>
  <c r="Q47" i="505"/>
  <c r="P47" i="505"/>
  <c r="O47" i="505"/>
  <c r="N47" i="505"/>
  <c r="I47" i="505"/>
  <c r="G47" i="505"/>
  <c r="AA46" i="505"/>
  <c r="Z46" i="505"/>
  <c r="Y46" i="505"/>
  <c r="X46" i="505"/>
  <c r="U46" i="505"/>
  <c r="T46" i="505"/>
  <c r="S46" i="505"/>
  <c r="R46" i="505"/>
  <c r="Q46" i="505"/>
  <c r="P46" i="505"/>
  <c r="O46" i="505"/>
  <c r="N46" i="505"/>
  <c r="I46" i="505"/>
  <c r="G46" i="505"/>
  <c r="AA45" i="505"/>
  <c r="Z45" i="505"/>
  <c r="Y45" i="505"/>
  <c r="X45" i="505"/>
  <c r="U45" i="505"/>
  <c r="T45" i="505"/>
  <c r="S45" i="505"/>
  <c r="R45" i="505"/>
  <c r="Q45" i="505"/>
  <c r="P45" i="505"/>
  <c r="O45" i="505"/>
  <c r="N45" i="505"/>
  <c r="I45" i="505"/>
  <c r="G45" i="505"/>
  <c r="AA44" i="505"/>
  <c r="Z44" i="505"/>
  <c r="Y44" i="505"/>
  <c r="X44" i="505"/>
  <c r="U44" i="505"/>
  <c r="T44" i="505"/>
  <c r="S44" i="505"/>
  <c r="R44" i="505"/>
  <c r="Q44" i="505"/>
  <c r="P44" i="505"/>
  <c r="O44" i="505"/>
  <c r="N44" i="505"/>
  <c r="I44" i="505"/>
  <c r="G44" i="505"/>
  <c r="AA43" i="505"/>
  <c r="Z43" i="505"/>
  <c r="Y43" i="505"/>
  <c r="X43" i="505"/>
  <c r="U43" i="505"/>
  <c r="T43" i="505"/>
  <c r="S43" i="505"/>
  <c r="R43" i="505"/>
  <c r="Q43" i="505"/>
  <c r="P43" i="505"/>
  <c r="O43" i="505"/>
  <c r="N43" i="505"/>
  <c r="I43" i="505"/>
  <c r="G43" i="505"/>
  <c r="AA42" i="505"/>
  <c r="Z42" i="505"/>
  <c r="Y42" i="505"/>
  <c r="X42" i="505"/>
  <c r="U42" i="505"/>
  <c r="T42" i="505"/>
  <c r="S42" i="505"/>
  <c r="R42" i="505"/>
  <c r="Q42" i="505"/>
  <c r="P42" i="505"/>
  <c r="O42" i="505"/>
  <c r="N42" i="505"/>
  <c r="I42" i="505"/>
  <c r="G42" i="505"/>
  <c r="AA41" i="505"/>
  <c r="Z41" i="505"/>
  <c r="Y41" i="505"/>
  <c r="X41" i="505"/>
  <c r="U41" i="505"/>
  <c r="T41" i="505"/>
  <c r="S41" i="505"/>
  <c r="R41" i="505"/>
  <c r="Q41" i="505"/>
  <c r="P41" i="505"/>
  <c r="O41" i="505"/>
  <c r="N41" i="505"/>
  <c r="I41" i="505"/>
  <c r="G41" i="505"/>
  <c r="AA40" i="505"/>
  <c r="Z40" i="505"/>
  <c r="Y40" i="505"/>
  <c r="X40" i="505"/>
  <c r="U40" i="505"/>
  <c r="T40" i="505"/>
  <c r="S40" i="505"/>
  <c r="R40" i="505"/>
  <c r="Q40" i="505"/>
  <c r="P40" i="505"/>
  <c r="O40" i="505"/>
  <c r="N40" i="505"/>
  <c r="I40" i="505"/>
  <c r="G40" i="505"/>
  <c r="AA39" i="505"/>
  <c r="Z39" i="505"/>
  <c r="Y39" i="505"/>
  <c r="X39" i="505"/>
  <c r="U39" i="505"/>
  <c r="T39" i="505"/>
  <c r="S39" i="505"/>
  <c r="R39" i="505"/>
  <c r="Q39" i="505"/>
  <c r="P39" i="505"/>
  <c r="O39" i="505"/>
  <c r="N39" i="505"/>
  <c r="I39" i="505"/>
  <c r="G39" i="505"/>
  <c r="AA38" i="505"/>
  <c r="Z38" i="505"/>
  <c r="Y38" i="505"/>
  <c r="X38" i="505"/>
  <c r="U38" i="505"/>
  <c r="T38" i="505"/>
  <c r="S38" i="505"/>
  <c r="R38" i="505"/>
  <c r="Q38" i="505"/>
  <c r="P38" i="505"/>
  <c r="O38" i="505"/>
  <c r="N38" i="505"/>
  <c r="I38" i="505"/>
  <c r="G38" i="505"/>
  <c r="AA37" i="505"/>
  <c r="Z37" i="505"/>
  <c r="Y37" i="505"/>
  <c r="X37" i="505"/>
  <c r="U37" i="505"/>
  <c r="T37" i="505"/>
  <c r="S37" i="505"/>
  <c r="R37" i="505"/>
  <c r="Q37" i="505"/>
  <c r="P37" i="505"/>
  <c r="O37" i="505"/>
  <c r="N37" i="505"/>
  <c r="I37" i="505"/>
  <c r="G37" i="505"/>
  <c r="I36" i="505"/>
  <c r="G36" i="505"/>
  <c r="I35" i="505"/>
  <c r="G35" i="505"/>
  <c r="I34" i="505"/>
  <c r="G34" i="505"/>
  <c r="AA33" i="505"/>
  <c r="Z33" i="505"/>
  <c r="Y33" i="505"/>
  <c r="X33" i="505"/>
  <c r="U33" i="505"/>
  <c r="T33" i="505"/>
  <c r="S33" i="505"/>
  <c r="R33" i="505"/>
  <c r="Q33" i="505"/>
  <c r="P33" i="505"/>
  <c r="O33" i="505"/>
  <c r="N33" i="505"/>
  <c r="I33" i="505"/>
  <c r="G33" i="505"/>
  <c r="AA32" i="505"/>
  <c r="Z32" i="505"/>
  <c r="Y32" i="505"/>
  <c r="X32" i="505"/>
  <c r="U32" i="505"/>
  <c r="T32" i="505"/>
  <c r="S32" i="505"/>
  <c r="R32" i="505"/>
  <c r="Q32" i="505"/>
  <c r="P32" i="505"/>
  <c r="O32" i="505"/>
  <c r="N32" i="505"/>
  <c r="I32" i="505"/>
  <c r="G32" i="505"/>
  <c r="AA31" i="505"/>
  <c r="Z31" i="505"/>
  <c r="Y31" i="505"/>
  <c r="X31" i="505"/>
  <c r="U31" i="505"/>
  <c r="T31" i="505"/>
  <c r="S31" i="505"/>
  <c r="R31" i="505"/>
  <c r="Q31" i="505"/>
  <c r="P31" i="505"/>
  <c r="O31" i="505"/>
  <c r="N31" i="505"/>
  <c r="I31" i="505"/>
  <c r="G31" i="505"/>
  <c r="I30" i="505"/>
  <c r="G30" i="505"/>
  <c r="AA29" i="505"/>
  <c r="Z29" i="505"/>
  <c r="Y29" i="505"/>
  <c r="X29" i="505"/>
  <c r="U29" i="505"/>
  <c r="T29" i="505"/>
  <c r="S29" i="505"/>
  <c r="R29" i="505"/>
  <c r="Q29" i="505"/>
  <c r="P29" i="505"/>
  <c r="O29" i="505"/>
  <c r="N29" i="505"/>
  <c r="I29" i="505"/>
  <c r="G29" i="505"/>
  <c r="AA27" i="505"/>
  <c r="Z27" i="505"/>
  <c r="Y27" i="505"/>
  <c r="X27" i="505"/>
  <c r="U27" i="505"/>
  <c r="T27" i="505"/>
  <c r="S27" i="505"/>
  <c r="R27" i="505"/>
  <c r="Q27" i="505"/>
  <c r="P27" i="505"/>
  <c r="O27" i="505"/>
  <c r="N27" i="505"/>
  <c r="I27" i="505"/>
  <c r="G27" i="505"/>
  <c r="AA26" i="505"/>
  <c r="Z26" i="505"/>
  <c r="Y26" i="505"/>
  <c r="X26" i="505"/>
  <c r="U26" i="505"/>
  <c r="T26" i="505"/>
  <c r="S26" i="505"/>
  <c r="R26" i="505"/>
  <c r="Q26" i="505"/>
  <c r="P26" i="505"/>
  <c r="O26" i="505"/>
  <c r="N26" i="505"/>
  <c r="I26" i="505"/>
  <c r="G26" i="505"/>
  <c r="AA25" i="505"/>
  <c r="Z25" i="505"/>
  <c r="Y25" i="505"/>
  <c r="X25" i="505"/>
  <c r="U25" i="505"/>
  <c r="T25" i="505"/>
  <c r="S25" i="505"/>
  <c r="R25" i="505"/>
  <c r="Q25" i="505"/>
  <c r="P25" i="505"/>
  <c r="O25" i="505"/>
  <c r="N25" i="505"/>
  <c r="I25" i="505"/>
  <c r="G25" i="505"/>
  <c r="AA24" i="505"/>
  <c r="Z24" i="505"/>
  <c r="Y24" i="505"/>
  <c r="X24" i="505"/>
  <c r="U24" i="505"/>
  <c r="T24" i="505"/>
  <c r="S24" i="505"/>
  <c r="R24" i="505"/>
  <c r="Q24" i="505"/>
  <c r="P24" i="505"/>
  <c r="O24" i="505"/>
  <c r="N24" i="505"/>
  <c r="I24" i="505"/>
  <c r="G24" i="505"/>
  <c r="AA23" i="505"/>
  <c r="Z23" i="505"/>
  <c r="Y23" i="505"/>
  <c r="X23" i="505"/>
  <c r="U23" i="505"/>
  <c r="T23" i="505"/>
  <c r="S23" i="505"/>
  <c r="R23" i="505"/>
  <c r="Q23" i="505"/>
  <c r="P23" i="505"/>
  <c r="O23" i="505"/>
  <c r="N23" i="505"/>
  <c r="I23" i="505"/>
  <c r="G23" i="505"/>
  <c r="AA22" i="505"/>
  <c r="Z22" i="505"/>
  <c r="Y22" i="505"/>
  <c r="X22" i="505"/>
  <c r="U22" i="505"/>
  <c r="T22" i="505"/>
  <c r="S22" i="505"/>
  <c r="R22" i="505"/>
  <c r="Q22" i="505"/>
  <c r="P22" i="505"/>
  <c r="O22" i="505"/>
  <c r="N22" i="505"/>
  <c r="I22" i="505"/>
  <c r="G22" i="505"/>
  <c r="AA21" i="505"/>
  <c r="Z21" i="505"/>
  <c r="Y21" i="505"/>
  <c r="X21" i="505"/>
  <c r="U21" i="505"/>
  <c r="T21" i="505"/>
  <c r="S21" i="505"/>
  <c r="R21" i="505"/>
  <c r="Q21" i="505"/>
  <c r="P21" i="505"/>
  <c r="O21" i="505"/>
  <c r="N21" i="505"/>
  <c r="I21" i="505"/>
  <c r="G21" i="505"/>
  <c r="AA20" i="505"/>
  <c r="Z20" i="505"/>
  <c r="Y20" i="505"/>
  <c r="X20" i="505"/>
  <c r="U20" i="505"/>
  <c r="T20" i="505"/>
  <c r="S20" i="505"/>
  <c r="R20" i="505"/>
  <c r="Q20" i="505"/>
  <c r="P20" i="505"/>
  <c r="O20" i="505"/>
  <c r="N20" i="505"/>
  <c r="I20" i="505"/>
  <c r="G20" i="505"/>
  <c r="AA19" i="505"/>
  <c r="Z19" i="505"/>
  <c r="Y19" i="505"/>
  <c r="X19" i="505"/>
  <c r="U19" i="505"/>
  <c r="T19" i="505"/>
  <c r="S19" i="505"/>
  <c r="R19" i="505"/>
  <c r="Q19" i="505"/>
  <c r="P19" i="505"/>
  <c r="O19" i="505"/>
  <c r="N19" i="505"/>
  <c r="I19" i="505"/>
  <c r="G19" i="505"/>
  <c r="AA18" i="505"/>
  <c r="Z18" i="505"/>
  <c r="Y18" i="505"/>
  <c r="X18" i="505"/>
  <c r="U18" i="505"/>
  <c r="T18" i="505"/>
  <c r="S18" i="505"/>
  <c r="R18" i="505"/>
  <c r="Q18" i="505"/>
  <c r="P18" i="505"/>
  <c r="O18" i="505"/>
  <c r="N18" i="505"/>
  <c r="I18" i="505"/>
  <c r="G18" i="505"/>
  <c r="AA17" i="505"/>
  <c r="Z17" i="505"/>
  <c r="Y17" i="505"/>
  <c r="X17" i="505"/>
  <c r="U17" i="505"/>
  <c r="T17" i="505"/>
  <c r="S17" i="505"/>
  <c r="R17" i="505"/>
  <c r="Q17" i="505"/>
  <c r="P17" i="505"/>
  <c r="O17" i="505"/>
  <c r="N17" i="505"/>
  <c r="I17" i="505"/>
  <c r="G17" i="505"/>
  <c r="AA16" i="505"/>
  <c r="Z16" i="505"/>
  <c r="Y16" i="505"/>
  <c r="X16" i="505"/>
  <c r="U16" i="505"/>
  <c r="T16" i="505"/>
  <c r="S16" i="505"/>
  <c r="R16" i="505"/>
  <c r="Q16" i="505"/>
  <c r="P16" i="505"/>
  <c r="O16" i="505"/>
  <c r="N16" i="505"/>
  <c r="I16" i="505"/>
  <c r="G16" i="505"/>
  <c r="AA15" i="505"/>
  <c r="Z15" i="505"/>
  <c r="Y15" i="505"/>
  <c r="X15" i="505"/>
  <c r="U15" i="505"/>
  <c r="T15" i="505"/>
  <c r="S15" i="505"/>
  <c r="R15" i="505"/>
  <c r="Q15" i="505"/>
  <c r="P15" i="505"/>
  <c r="O15" i="505"/>
  <c r="N15" i="505"/>
  <c r="I15" i="505"/>
  <c r="G15" i="505"/>
  <c r="AA14" i="505"/>
  <c r="Z14" i="505"/>
  <c r="Y14" i="505"/>
  <c r="X14" i="505"/>
  <c r="U14" i="505"/>
  <c r="T14" i="505"/>
  <c r="S14" i="505"/>
  <c r="R14" i="505"/>
  <c r="Q14" i="505"/>
  <c r="P14" i="505"/>
  <c r="O14" i="505"/>
  <c r="N14" i="505"/>
  <c r="I14" i="505"/>
  <c r="G14" i="505"/>
  <c r="AA13" i="505"/>
  <c r="Z13" i="505"/>
  <c r="Y13" i="505"/>
  <c r="X13" i="505"/>
  <c r="U13" i="505"/>
  <c r="T13" i="505"/>
  <c r="S13" i="505"/>
  <c r="R13" i="505"/>
  <c r="Q13" i="505"/>
  <c r="P13" i="505"/>
  <c r="O13" i="505"/>
  <c r="N13" i="505"/>
  <c r="I13" i="505"/>
  <c r="G13" i="505"/>
  <c r="AA12" i="505"/>
  <c r="Z12" i="505"/>
  <c r="Y12" i="505"/>
  <c r="X12" i="505"/>
  <c r="U12" i="505"/>
  <c r="T12" i="505"/>
  <c r="S12" i="505"/>
  <c r="R12" i="505"/>
  <c r="Q12" i="505"/>
  <c r="P12" i="505"/>
  <c r="O12" i="505"/>
  <c r="N12" i="505"/>
  <c r="I12" i="505"/>
  <c r="G12" i="505"/>
  <c r="AA11" i="505"/>
  <c r="Z11" i="505"/>
  <c r="Y11" i="505"/>
  <c r="X11" i="505"/>
  <c r="U11" i="505"/>
  <c r="T11" i="505"/>
  <c r="S11" i="505"/>
  <c r="R11" i="505"/>
  <c r="Q11" i="505"/>
  <c r="P11" i="505"/>
  <c r="O11" i="505"/>
  <c r="N11" i="505"/>
  <c r="I11" i="505"/>
  <c r="G11" i="505"/>
  <c r="AA10" i="505"/>
  <c r="Z10" i="505"/>
  <c r="Y10" i="505"/>
  <c r="X10" i="505"/>
  <c r="U10" i="505"/>
  <c r="T10" i="505"/>
  <c r="S10" i="505"/>
  <c r="R10" i="505"/>
  <c r="Q10" i="505"/>
  <c r="P10" i="505"/>
  <c r="O10" i="505"/>
  <c r="N10" i="505"/>
  <c r="I10" i="505"/>
  <c r="G10" i="505"/>
  <c r="AA9" i="505"/>
  <c r="Z9" i="505"/>
  <c r="Y9" i="505"/>
  <c r="X9" i="505"/>
  <c r="U9" i="505"/>
  <c r="T9" i="505"/>
  <c r="S9" i="505"/>
  <c r="R9" i="505"/>
  <c r="Q9" i="505"/>
  <c r="P9" i="505"/>
  <c r="O9" i="505"/>
  <c r="N9" i="505"/>
  <c r="I9" i="505"/>
  <c r="G9" i="505"/>
  <c r="AA8" i="505"/>
  <c r="Z8" i="505"/>
  <c r="Y8" i="505"/>
  <c r="X8" i="505"/>
  <c r="U8" i="505"/>
  <c r="T8" i="505"/>
  <c r="S8" i="505"/>
  <c r="R8" i="505"/>
  <c r="Q8" i="505"/>
  <c r="P8" i="505"/>
  <c r="O8" i="505"/>
  <c r="N8" i="505"/>
  <c r="I8" i="505"/>
  <c r="G8" i="505"/>
  <c r="AA7" i="505"/>
  <c r="Z7" i="505"/>
  <c r="Y7" i="505"/>
  <c r="X7" i="505"/>
  <c r="U7" i="505"/>
  <c r="T7" i="505"/>
  <c r="S7" i="505"/>
  <c r="R7" i="505"/>
  <c r="Q7" i="505"/>
  <c r="P7" i="505"/>
  <c r="O7" i="505"/>
  <c r="N7" i="505"/>
  <c r="I7" i="505"/>
  <c r="G7" i="505"/>
  <c r="I433" i="537"/>
  <c r="I428" i="537"/>
  <c r="I429" i="537"/>
  <c r="I430" i="537"/>
  <c r="J116" i="537" a="1"/>
  <c r="J116" i="537" s="1"/>
  <c r="J115" i="537" a="1"/>
  <c r="J115" i="537" s="1"/>
  <c r="J114" i="537" a="1"/>
  <c r="J114" i="537" s="1"/>
  <c r="J113" i="537" a="1"/>
  <c r="J113" i="537" s="1"/>
  <c r="J112" i="537" a="1"/>
  <c r="J112" i="537" s="1"/>
  <c r="J111" i="537" a="1"/>
  <c r="J111" i="537" s="1"/>
  <c r="J110" i="537" a="1"/>
  <c r="J110" i="537" s="1"/>
  <c r="J109" i="537" a="1"/>
  <c r="J109" i="537" s="1"/>
  <c r="J108" i="537" a="1"/>
  <c r="J108" i="537" s="1"/>
  <c r="J107" i="537" a="1"/>
  <c r="J107" i="537" s="1"/>
  <c r="J52" i="537" a="1"/>
  <c r="J52" i="537" s="1"/>
  <c r="J51" i="537" a="1"/>
  <c r="J51" i="537" s="1"/>
  <c r="J50" i="537" a="1"/>
  <c r="J50" i="537" s="1"/>
  <c r="I93" i="537"/>
  <c r="I107" i="537"/>
  <c r="I26" i="537"/>
  <c r="I21" i="537"/>
  <c r="I28" i="537"/>
  <c r="I116" i="537"/>
  <c r="J222" i="537" a="1"/>
  <c r="J222" i="537" s="1"/>
  <c r="J221" i="537" a="1"/>
  <c r="J221" i="537" s="1"/>
  <c r="J220" i="537" a="1"/>
  <c r="J220" i="537" s="1"/>
  <c r="M287" i="537"/>
  <c r="M286" i="537"/>
  <c r="M285" i="537"/>
  <c r="K287" i="537" a="1"/>
  <c r="K287" i="537" s="1"/>
  <c r="K286" i="537" a="1"/>
  <c r="K286" i="537" s="1"/>
  <c r="K285" i="537" a="1"/>
  <c r="K285" i="537" s="1"/>
  <c r="J288" i="537" a="1"/>
  <c r="J288" i="537" s="1"/>
  <c r="J287" i="537" a="1"/>
  <c r="J287" i="537" s="1"/>
  <c r="J286" i="537" a="1"/>
  <c r="J286" i="537" s="1"/>
  <c r="J285" i="537" a="1"/>
  <c r="J285" i="537" s="1"/>
  <c r="J284" i="537" a="1"/>
  <c r="J284" i="537" s="1"/>
  <c r="J283" i="537" a="1"/>
  <c r="J283" i="537" s="1"/>
  <c r="J282" i="537" a="1"/>
  <c r="J282" i="537" s="1"/>
  <c r="J281" i="537" a="1"/>
  <c r="J281" i="537" s="1"/>
  <c r="J280" i="537" a="1"/>
  <c r="J280" i="537" s="1"/>
  <c r="J279" i="537" a="1"/>
  <c r="J279" i="537" s="1"/>
  <c r="J278" i="537" a="1"/>
  <c r="J278" i="537" s="1"/>
  <c r="J277" i="537" a="1"/>
  <c r="J277" i="537" s="1"/>
  <c r="I191" i="537"/>
  <c r="I263" i="537"/>
  <c r="I260" i="537"/>
  <c r="I288" i="537"/>
  <c r="I290" i="537"/>
  <c r="I285" i="537"/>
  <c r="I279" i="537"/>
  <c r="I278" i="537"/>
  <c r="I277" i="537"/>
  <c r="I287" i="537"/>
  <c r="I286" i="537"/>
  <c r="I222" i="537"/>
  <c r="I210" i="537"/>
  <c r="I220" i="537"/>
  <c r="G220" i="537"/>
  <c r="G210" i="537"/>
  <c r="G430" i="537"/>
  <c r="D531" i="537"/>
  <c r="D532" i="537"/>
  <c r="D530" i="537"/>
  <c r="G429" i="537"/>
  <c r="G433" i="537"/>
  <c r="G428" i="537"/>
  <c r="G278" i="537"/>
  <c r="G263" i="537"/>
  <c r="G218" i="537"/>
  <c r="G260" i="537"/>
  <c r="G222" i="537"/>
  <c r="G191" i="537"/>
  <c r="G279" i="537"/>
  <c r="G52" i="537"/>
  <c r="G26" i="537"/>
  <c r="G93" i="537"/>
  <c r="G46" i="537"/>
  <c r="G107" i="537"/>
  <c r="G109" i="537"/>
  <c r="P533" i="537"/>
  <c r="O533" i="537"/>
  <c r="N533" i="537"/>
  <c r="M533" i="537"/>
  <c r="L533" i="537"/>
  <c r="K533" i="537"/>
  <c r="I533" i="537"/>
  <c r="H533" i="537"/>
  <c r="G533" i="537"/>
  <c r="F533" i="537"/>
  <c r="E533" i="537"/>
  <c r="D533" i="537"/>
  <c r="C532" i="537"/>
  <c r="T532" i="537" s="1" a="1"/>
  <c r="T532" i="537" s="1"/>
  <c r="C531" i="537"/>
  <c r="T531" i="537" s="1" a="1"/>
  <c r="T531" i="537" s="1"/>
  <c r="C530" i="537"/>
  <c r="N514" i="537"/>
  <c r="G514" i="537"/>
  <c r="X512" i="537"/>
  <c r="X511" i="537"/>
  <c r="X510" i="537"/>
  <c r="G510" i="537"/>
  <c r="E510" i="537"/>
  <c r="C510" i="537"/>
  <c r="X509" i="537"/>
  <c r="I509" i="537"/>
  <c r="K509" i="537" s="1"/>
  <c r="M509" i="537" s="1"/>
  <c r="E509" i="537"/>
  <c r="X508" i="537"/>
  <c r="I508" i="537"/>
  <c r="K508" i="537" s="1"/>
  <c r="M508" i="537" s="1"/>
  <c r="E508" i="537"/>
  <c r="M507" i="537"/>
  <c r="I507" i="537"/>
  <c r="K507" i="537" s="1"/>
  <c r="E507" i="537"/>
  <c r="M506" i="537"/>
  <c r="I506" i="537"/>
  <c r="K506" i="537" s="1"/>
  <c r="E506" i="537"/>
  <c r="AA503" i="537"/>
  <c r="Z503" i="537"/>
  <c r="Y503" i="537"/>
  <c r="X503" i="537"/>
  <c r="U503" i="537"/>
  <c r="T503" i="537"/>
  <c r="S503" i="537"/>
  <c r="R503" i="537"/>
  <c r="Q503" i="537"/>
  <c r="P503" i="537"/>
  <c r="O503" i="537"/>
  <c r="R511" i="537" s="1"/>
  <c r="I503" i="537"/>
  <c r="G503" i="537"/>
  <c r="H502" i="537"/>
  <c r="H501" i="537"/>
  <c r="H500" i="537"/>
  <c r="H499" i="537"/>
  <c r="D499" i="537"/>
  <c r="W498" i="537"/>
  <c r="V498" i="537"/>
  <c r="N498" i="537"/>
  <c r="K498" i="537" a="1"/>
  <c r="K498" i="537" s="1"/>
  <c r="M498" i="537" s="1"/>
  <c r="J498" i="537" a="1"/>
  <c r="J498" i="537" s="1"/>
  <c r="H498" i="537"/>
  <c r="H497" i="537"/>
  <c r="H496" i="537"/>
  <c r="V495" i="537"/>
  <c r="W495" i="537" s="1"/>
  <c r="N495" i="537"/>
  <c r="K495" i="537" a="1"/>
  <c r="K495" i="537" s="1"/>
  <c r="M495" i="537" s="1"/>
  <c r="J495" i="537" a="1"/>
  <c r="J495" i="537" s="1"/>
  <c r="H495" i="537"/>
  <c r="V494" i="537"/>
  <c r="W494" i="537" s="1"/>
  <c r="N494" i="537"/>
  <c r="K494" i="537"/>
  <c r="M494" i="537" s="1"/>
  <c r="K494" i="537" a="1"/>
  <c r="J494" i="537"/>
  <c r="J494" i="537" a="1"/>
  <c r="H494" i="537"/>
  <c r="H493" i="537"/>
  <c r="H492" i="537"/>
  <c r="V491" i="537"/>
  <c r="W491" i="537" s="1"/>
  <c r="N491" i="537"/>
  <c r="K491" i="537" a="1"/>
  <c r="K491" i="537" s="1"/>
  <c r="M491" i="537" s="1"/>
  <c r="J491" i="537" a="1"/>
  <c r="J491" i="537" s="1"/>
  <c r="H491" i="537"/>
  <c r="W490" i="537"/>
  <c r="V490" i="537"/>
  <c r="N490" i="537"/>
  <c r="K490" i="537" a="1"/>
  <c r="K490" i="537" s="1"/>
  <c r="M490" i="537" s="1"/>
  <c r="J490" i="537" a="1"/>
  <c r="J490" i="537" s="1"/>
  <c r="H490" i="537"/>
  <c r="V489" i="537"/>
  <c r="W489" i="537" s="1"/>
  <c r="N489" i="537"/>
  <c r="K489" i="537" a="1"/>
  <c r="K489" i="537" s="1"/>
  <c r="M489" i="537" s="1"/>
  <c r="J489" i="537" a="1"/>
  <c r="J489" i="537" s="1"/>
  <c r="H489" i="537"/>
  <c r="V488" i="537"/>
  <c r="V503" i="537" s="1"/>
  <c r="N488" i="537"/>
  <c r="N503" i="537" s="1"/>
  <c r="K488" i="537"/>
  <c r="K488" i="537" a="1"/>
  <c r="J488" i="537"/>
  <c r="J488" i="537" a="1"/>
  <c r="H488" i="537"/>
  <c r="H503" i="537" s="1"/>
  <c r="AA487" i="537"/>
  <c r="Z487" i="537"/>
  <c r="Y487" i="537"/>
  <c r="X487" i="537"/>
  <c r="U487" i="537"/>
  <c r="T487" i="537"/>
  <c r="S487" i="537"/>
  <c r="Q487" i="537"/>
  <c r="P487" i="537"/>
  <c r="O487" i="537"/>
  <c r="R510" i="537" s="1"/>
  <c r="I487" i="537"/>
  <c r="G487" i="537"/>
  <c r="V486" i="537"/>
  <c r="W486" i="537" s="1"/>
  <c r="N486" i="537"/>
  <c r="K486" i="537" a="1"/>
  <c r="K486" i="537" s="1"/>
  <c r="M486" i="537" s="1"/>
  <c r="J486" i="537" a="1"/>
  <c r="J486" i="537" s="1"/>
  <c r="H486" i="537"/>
  <c r="H485" i="537"/>
  <c r="H484" i="537"/>
  <c r="H483" i="537"/>
  <c r="V482" i="537"/>
  <c r="W482" i="537" s="1"/>
  <c r="N482" i="537"/>
  <c r="K482" i="537" a="1"/>
  <c r="K482" i="537" s="1"/>
  <c r="M482" i="537" s="1"/>
  <c r="J482" i="537" a="1"/>
  <c r="J482" i="537" s="1"/>
  <c r="H482" i="537"/>
  <c r="V481" i="537"/>
  <c r="W481" i="537" s="1"/>
  <c r="N481" i="537"/>
  <c r="K481" i="537"/>
  <c r="M481" i="537" s="1"/>
  <c r="K481" i="537" a="1"/>
  <c r="J481" i="537"/>
  <c r="J481" i="537" a="1"/>
  <c r="H481" i="537"/>
  <c r="V480" i="537"/>
  <c r="W480" i="537" s="1"/>
  <c r="N480" i="537"/>
  <c r="K480" i="537" a="1"/>
  <c r="K480" i="537" s="1"/>
  <c r="M480" i="537" s="1"/>
  <c r="J480" i="537" a="1"/>
  <c r="J480" i="537" s="1"/>
  <c r="H480" i="537"/>
  <c r="W479" i="537"/>
  <c r="V479" i="537"/>
  <c r="N479" i="537"/>
  <c r="K479" i="537" a="1"/>
  <c r="K479" i="537" s="1"/>
  <c r="M479" i="537" s="1"/>
  <c r="J479" i="537" a="1"/>
  <c r="J479" i="537" s="1"/>
  <c r="H479" i="537"/>
  <c r="V478" i="537"/>
  <c r="W478" i="537" s="1"/>
  <c r="N478" i="537"/>
  <c r="M478" i="537"/>
  <c r="K478" i="537" a="1"/>
  <c r="K478" i="537" s="1"/>
  <c r="J478" i="537" a="1"/>
  <c r="J478" i="537" s="1"/>
  <c r="H478" i="537"/>
  <c r="H487" i="537" s="1"/>
  <c r="AA477" i="537"/>
  <c r="Z477" i="537"/>
  <c r="Y477" i="537"/>
  <c r="X477" i="537"/>
  <c r="U477" i="537"/>
  <c r="T477" i="537"/>
  <c r="S477" i="537"/>
  <c r="Q477" i="537"/>
  <c r="P477" i="537"/>
  <c r="O477" i="537"/>
  <c r="I477" i="537"/>
  <c r="G477" i="537"/>
  <c r="J477" i="537" s="1" a="1"/>
  <c r="J477" i="537" s="1"/>
  <c r="V476" i="537"/>
  <c r="W476" i="537" s="1"/>
  <c r="N476" i="537"/>
  <c r="K476" i="537" a="1"/>
  <c r="K476" i="537" s="1"/>
  <c r="M476" i="537" s="1"/>
  <c r="J476" i="537" a="1"/>
  <c r="J476" i="537" s="1"/>
  <c r="H476" i="537"/>
  <c r="V475" i="537"/>
  <c r="W475" i="537" s="1"/>
  <c r="N475" i="537"/>
  <c r="K475" i="537" a="1"/>
  <c r="K475" i="537" s="1"/>
  <c r="M475" i="537" s="1"/>
  <c r="J475" i="537" a="1"/>
  <c r="J475" i="537" s="1"/>
  <c r="H475" i="537"/>
  <c r="V474" i="537"/>
  <c r="W474" i="537" s="1"/>
  <c r="N474" i="537"/>
  <c r="K474" i="537"/>
  <c r="M474" i="537" s="1"/>
  <c r="K474" i="537" a="1"/>
  <c r="J474" i="537"/>
  <c r="J474" i="537" a="1"/>
  <c r="H474" i="537"/>
  <c r="V473" i="537"/>
  <c r="W473" i="537" s="1"/>
  <c r="N473" i="537"/>
  <c r="K473" i="537" a="1"/>
  <c r="K473" i="537" s="1"/>
  <c r="M473" i="537" s="1"/>
  <c r="J473" i="537" a="1"/>
  <c r="J473" i="537" s="1"/>
  <c r="H473" i="537"/>
  <c r="W472" i="537"/>
  <c r="V472" i="537"/>
  <c r="N472" i="537"/>
  <c r="K472" i="537" a="1"/>
  <c r="K472" i="537" s="1"/>
  <c r="M472" i="537" s="1"/>
  <c r="J472" i="537" a="1"/>
  <c r="J472" i="537" s="1"/>
  <c r="H472" i="537"/>
  <c r="V471" i="537"/>
  <c r="W471" i="537" s="1"/>
  <c r="N471" i="537"/>
  <c r="K471" i="537" a="1"/>
  <c r="K471" i="537" s="1"/>
  <c r="M471" i="537" s="1"/>
  <c r="J471" i="537" a="1"/>
  <c r="J471" i="537" s="1"/>
  <c r="H471" i="537"/>
  <c r="V470" i="537"/>
  <c r="W470" i="537" s="1"/>
  <c r="N470" i="537"/>
  <c r="K470" i="537"/>
  <c r="M470" i="537" s="1"/>
  <c r="K470" i="537" a="1"/>
  <c r="J470" i="537"/>
  <c r="J470" i="537" a="1"/>
  <c r="H470" i="537"/>
  <c r="V469" i="537"/>
  <c r="W469" i="537" s="1"/>
  <c r="N469" i="537"/>
  <c r="K469" i="537" a="1"/>
  <c r="K469" i="537" s="1"/>
  <c r="M469" i="537" s="1"/>
  <c r="J469" i="537" a="1"/>
  <c r="J469" i="537" s="1"/>
  <c r="H469" i="537"/>
  <c r="W468" i="537"/>
  <c r="V468" i="537"/>
  <c r="N468" i="537"/>
  <c r="K468" i="537" a="1"/>
  <c r="K468" i="537" s="1"/>
  <c r="M468" i="537" s="1"/>
  <c r="J468" i="537" a="1"/>
  <c r="J468" i="537" s="1"/>
  <c r="H468" i="537"/>
  <c r="V467" i="537"/>
  <c r="W467" i="537" s="1"/>
  <c r="N467" i="537"/>
  <c r="K467" i="537" a="1"/>
  <c r="K467" i="537" s="1"/>
  <c r="M467" i="537" s="1"/>
  <c r="J467" i="537" a="1"/>
  <c r="J467" i="537" s="1"/>
  <c r="H467" i="537"/>
  <c r="V466" i="537"/>
  <c r="W466" i="537" s="1"/>
  <c r="N466" i="537"/>
  <c r="K466" i="537"/>
  <c r="M466" i="537" s="1"/>
  <c r="K466" i="537" a="1"/>
  <c r="J466" i="537"/>
  <c r="J466" i="537" a="1"/>
  <c r="H466" i="537"/>
  <c r="V465" i="537"/>
  <c r="W465" i="537" s="1"/>
  <c r="N465" i="537"/>
  <c r="K465" i="537" a="1"/>
  <c r="K465" i="537" s="1"/>
  <c r="M465" i="537" s="1"/>
  <c r="J465" i="537" a="1"/>
  <c r="J465" i="537" s="1"/>
  <c r="H465" i="537"/>
  <c r="W464" i="537"/>
  <c r="V464" i="537"/>
  <c r="N464" i="537"/>
  <c r="K464" i="537" a="1"/>
  <c r="K464" i="537" s="1"/>
  <c r="M464" i="537" s="1"/>
  <c r="J464" i="537" a="1"/>
  <c r="J464" i="537" s="1"/>
  <c r="H464" i="537"/>
  <c r="V463" i="537"/>
  <c r="W463" i="537" s="1"/>
  <c r="N463" i="537"/>
  <c r="K463" i="537" a="1"/>
  <c r="K463" i="537" s="1"/>
  <c r="M463" i="537" s="1"/>
  <c r="J463" i="537" a="1"/>
  <c r="J463" i="537" s="1"/>
  <c r="H463" i="537"/>
  <c r="V462" i="537"/>
  <c r="V477" i="537" s="1"/>
  <c r="W477" i="537" s="1"/>
  <c r="N462" i="537"/>
  <c r="K462" i="537"/>
  <c r="M462" i="537" s="1"/>
  <c r="K462" i="537" a="1"/>
  <c r="J462" i="537"/>
  <c r="J462" i="537" a="1"/>
  <c r="H462" i="537"/>
  <c r="H477" i="537" s="1"/>
  <c r="AA461" i="537"/>
  <c r="Z461" i="537"/>
  <c r="Y461" i="537"/>
  <c r="X461" i="537"/>
  <c r="U461" i="537"/>
  <c r="T461" i="537"/>
  <c r="S461" i="537"/>
  <c r="R461" i="537"/>
  <c r="Q461" i="537"/>
  <c r="P461" i="537"/>
  <c r="O461" i="537"/>
  <c r="R508" i="537" s="1"/>
  <c r="I461" i="537"/>
  <c r="G461" i="537"/>
  <c r="V460" i="537"/>
  <c r="W460" i="537" s="1"/>
  <c r="N460" i="537"/>
  <c r="K460" i="537"/>
  <c r="M460" i="537" s="1"/>
  <c r="K460" i="537" a="1"/>
  <c r="J460" i="537"/>
  <c r="J460" i="537" a="1"/>
  <c r="H460" i="537"/>
  <c r="V459" i="537"/>
  <c r="W459" i="537" s="1"/>
  <c r="N459" i="537"/>
  <c r="K459" i="537" a="1"/>
  <c r="K459" i="537" s="1"/>
  <c r="M459" i="537" s="1"/>
  <c r="J459" i="537" a="1"/>
  <c r="J459" i="537" s="1"/>
  <c r="H459" i="537"/>
  <c r="W458" i="537"/>
  <c r="V458" i="537"/>
  <c r="N458" i="537"/>
  <c r="K458" i="537" a="1"/>
  <c r="K458" i="537" s="1"/>
  <c r="M458" i="537" s="1"/>
  <c r="J458" i="537" a="1"/>
  <c r="J458" i="537" s="1"/>
  <c r="H458" i="537"/>
  <c r="K457" i="537"/>
  <c r="M457" i="537" s="1"/>
  <c r="K457" i="537" a="1"/>
  <c r="H457" i="537"/>
  <c r="K456" i="537" a="1"/>
  <c r="K456" i="537" s="1"/>
  <c r="M456" i="537" s="1"/>
  <c r="H456" i="537"/>
  <c r="K455" i="537"/>
  <c r="M455" i="537" s="1"/>
  <c r="K455" i="537" a="1"/>
  <c r="H455" i="537"/>
  <c r="V454" i="537"/>
  <c r="W454" i="537" s="1"/>
  <c r="N454" i="537"/>
  <c r="K454" i="537" a="1"/>
  <c r="K454" i="537" s="1"/>
  <c r="M454" i="537" s="1"/>
  <c r="J454" i="537" a="1"/>
  <c r="J454" i="537" s="1"/>
  <c r="H454" i="537"/>
  <c r="V453" i="537"/>
  <c r="W453" i="537" s="1"/>
  <c r="N453" i="537"/>
  <c r="K453" i="537"/>
  <c r="M453" i="537" s="1"/>
  <c r="K453" i="537" a="1"/>
  <c r="J453" i="537"/>
  <c r="J453" i="537" a="1"/>
  <c r="H453" i="537"/>
  <c r="N452" i="537"/>
  <c r="K452" i="537" a="1"/>
  <c r="K452" i="537" s="1"/>
  <c r="M452" i="537" s="1"/>
  <c r="H452" i="537"/>
  <c r="N451" i="537"/>
  <c r="K451" i="537" a="1"/>
  <c r="K451" i="537" s="1"/>
  <c r="M451" i="537" s="1"/>
  <c r="H451" i="537"/>
  <c r="N450" i="537"/>
  <c r="K450" i="537" a="1"/>
  <c r="K450" i="537" s="1"/>
  <c r="M450" i="537" s="1"/>
  <c r="H450" i="537"/>
  <c r="N449" i="537"/>
  <c r="K449" i="537" a="1"/>
  <c r="K449" i="537" s="1"/>
  <c r="M449" i="537" s="1"/>
  <c r="H449" i="537"/>
  <c r="N448" i="537"/>
  <c r="K448" i="537" a="1"/>
  <c r="K448" i="537" s="1"/>
  <c r="M448" i="537" s="1"/>
  <c r="H448" i="537"/>
  <c r="N447" i="537"/>
  <c r="K447" i="537" a="1"/>
  <c r="K447" i="537" s="1"/>
  <c r="M447" i="537" s="1"/>
  <c r="H447" i="537"/>
  <c r="V446" i="537"/>
  <c r="W446" i="537" s="1"/>
  <c r="N446" i="537"/>
  <c r="M446" i="537"/>
  <c r="K446" i="537" a="1"/>
  <c r="K446" i="537" s="1"/>
  <c r="J446" i="537" a="1"/>
  <c r="J446" i="537" s="1"/>
  <c r="H446" i="537"/>
  <c r="W445" i="537"/>
  <c r="V445" i="537"/>
  <c r="N445" i="537"/>
  <c r="K445" i="537" a="1"/>
  <c r="K445" i="537" s="1"/>
  <c r="M445" i="537" s="1"/>
  <c r="J445" i="537" a="1"/>
  <c r="J445" i="537" s="1"/>
  <c r="H445" i="537"/>
  <c r="W444" i="537"/>
  <c r="V444" i="537"/>
  <c r="N444" i="537"/>
  <c r="K444" i="537" a="1"/>
  <c r="K444" i="537" s="1"/>
  <c r="M444" i="537" s="1"/>
  <c r="J444" i="537" a="1"/>
  <c r="J444" i="537" s="1"/>
  <c r="H444" i="537"/>
  <c r="V443" i="537"/>
  <c r="W443" i="537" s="1"/>
  <c r="N443" i="537"/>
  <c r="K443" i="537" a="1"/>
  <c r="K443" i="537" s="1"/>
  <c r="M443" i="537" s="1"/>
  <c r="J443" i="537" a="1"/>
  <c r="J443" i="537" s="1"/>
  <c r="H443" i="537"/>
  <c r="V442" i="537"/>
  <c r="W442" i="537" s="1"/>
  <c r="N442" i="537"/>
  <c r="K442" i="537"/>
  <c r="M442" i="537" s="1"/>
  <c r="K442" i="537" a="1"/>
  <c r="J442" i="537"/>
  <c r="J442" i="537" a="1"/>
  <c r="H442" i="537"/>
  <c r="V441" i="537"/>
  <c r="W441" i="537" s="1"/>
  <c r="N441" i="537"/>
  <c r="K441" i="537" a="1"/>
  <c r="K441" i="537" s="1"/>
  <c r="M441" i="537" s="1"/>
  <c r="J441" i="537" a="1"/>
  <c r="J441" i="537" s="1"/>
  <c r="H441" i="537"/>
  <c r="W440" i="537"/>
  <c r="V440" i="537"/>
  <c r="N440" i="537"/>
  <c r="K440" i="537" a="1"/>
  <c r="K440" i="537" s="1"/>
  <c r="M440" i="537" s="1"/>
  <c r="J440" i="537" a="1"/>
  <c r="J440" i="537" s="1"/>
  <c r="H440" i="537"/>
  <c r="V439" i="537"/>
  <c r="W439" i="537" s="1"/>
  <c r="N439" i="537"/>
  <c r="K439" i="537" a="1"/>
  <c r="K439" i="537" s="1"/>
  <c r="M439" i="537" s="1"/>
  <c r="J439" i="537" a="1"/>
  <c r="J439" i="537" s="1"/>
  <c r="H439" i="537"/>
  <c r="V438" i="537"/>
  <c r="W438" i="537" s="1"/>
  <c r="N438" i="537"/>
  <c r="K438" i="537"/>
  <c r="M438" i="537" s="1"/>
  <c r="K438" i="537" a="1"/>
  <c r="J438" i="537"/>
  <c r="J438" i="537" a="1"/>
  <c r="H438" i="537"/>
  <c r="V437" i="537"/>
  <c r="W437" i="537" s="1"/>
  <c r="N437" i="537"/>
  <c r="K437" i="537" a="1"/>
  <c r="K437" i="537" s="1"/>
  <c r="M437" i="537" s="1"/>
  <c r="J437" i="537" a="1"/>
  <c r="J437" i="537" s="1"/>
  <c r="H437" i="537"/>
  <c r="W436" i="537"/>
  <c r="V436" i="537"/>
  <c r="N436" i="537"/>
  <c r="K436" i="537" a="1"/>
  <c r="K436" i="537" s="1"/>
  <c r="M436" i="537" s="1"/>
  <c r="J436" i="537" a="1"/>
  <c r="J436" i="537" s="1"/>
  <c r="H436" i="537"/>
  <c r="V435" i="537"/>
  <c r="W435" i="537" s="1"/>
  <c r="N435" i="537"/>
  <c r="K435" i="537" a="1"/>
  <c r="K435" i="537" s="1"/>
  <c r="M435" i="537" s="1"/>
  <c r="J435" i="537" a="1"/>
  <c r="J435" i="537" s="1"/>
  <c r="H435" i="537"/>
  <c r="N434" i="537"/>
  <c r="K434" i="537"/>
  <c r="M434" i="537" s="1"/>
  <c r="K434" i="537" a="1"/>
  <c r="H434" i="537"/>
  <c r="V433" i="537"/>
  <c r="W433" i="537" s="1"/>
  <c r="N433" i="537"/>
  <c r="K433" i="537" a="1"/>
  <c r="K433" i="537" s="1"/>
  <c r="M433" i="537" s="1"/>
  <c r="J433" i="537" a="1"/>
  <c r="J433" i="537" s="1"/>
  <c r="H433" i="537"/>
  <c r="V432" i="537"/>
  <c r="W432" i="537" s="1"/>
  <c r="N432" i="537"/>
  <c r="K432" i="537" a="1"/>
  <c r="K432" i="537" s="1"/>
  <c r="M432" i="537" s="1"/>
  <c r="J432" i="537" a="1"/>
  <c r="J432" i="537" s="1"/>
  <c r="H432" i="537"/>
  <c r="V431" i="537"/>
  <c r="W431" i="537" s="1"/>
  <c r="N431" i="537"/>
  <c r="K431" i="537" a="1"/>
  <c r="K431" i="537" s="1"/>
  <c r="M431" i="537" s="1"/>
  <c r="J431" i="537" a="1"/>
  <c r="J431" i="537" s="1"/>
  <c r="H431" i="537"/>
  <c r="V430" i="537"/>
  <c r="W430" i="537" s="1"/>
  <c r="N430" i="537"/>
  <c r="K430" i="537" a="1"/>
  <c r="K430" i="537" s="1"/>
  <c r="M430" i="537" s="1"/>
  <c r="J430" i="537" a="1"/>
  <c r="J430" i="537" s="1"/>
  <c r="H430" i="537"/>
  <c r="V429" i="537"/>
  <c r="W429" i="537" s="1"/>
  <c r="N429" i="537"/>
  <c r="K429" i="537" a="1"/>
  <c r="K429" i="537" s="1"/>
  <c r="M429" i="537" s="1"/>
  <c r="J429" i="537" a="1"/>
  <c r="J429" i="537" s="1"/>
  <c r="H429" i="537"/>
  <c r="W428" i="537"/>
  <c r="V428" i="537"/>
  <c r="N428" i="537"/>
  <c r="K428" i="537" a="1"/>
  <c r="K428" i="537" s="1"/>
  <c r="M428" i="537" s="1"/>
  <c r="J428" i="537" a="1"/>
  <c r="J428" i="537" s="1"/>
  <c r="H428" i="537"/>
  <c r="V427" i="537"/>
  <c r="V461" i="537" s="1"/>
  <c r="W461" i="537" s="1"/>
  <c r="N427" i="537"/>
  <c r="N461" i="537" s="1"/>
  <c r="K427" i="537" a="1"/>
  <c r="K427" i="537" s="1"/>
  <c r="J427" i="537" a="1"/>
  <c r="J427" i="537" s="1"/>
  <c r="H427" i="537"/>
  <c r="H461" i="537" s="1"/>
  <c r="AA426" i="537"/>
  <c r="Z426" i="537"/>
  <c r="Y426" i="537"/>
  <c r="X426" i="537"/>
  <c r="U426" i="537"/>
  <c r="T426" i="537"/>
  <c r="S426" i="537"/>
  <c r="R426" i="537"/>
  <c r="Q426" i="537"/>
  <c r="P426" i="537"/>
  <c r="O426" i="537"/>
  <c r="R507" i="537" s="1"/>
  <c r="I426" i="537"/>
  <c r="G426" i="537"/>
  <c r="J426" i="537" s="1" a="1"/>
  <c r="J426" i="537" s="1"/>
  <c r="K425" i="537" a="1"/>
  <c r="K425" i="537" s="1"/>
  <c r="M425" i="537" s="1"/>
  <c r="H425" i="537"/>
  <c r="K424" i="537"/>
  <c r="M424" i="537" s="1"/>
  <c r="K424" i="537" a="1"/>
  <c r="H424" i="537"/>
  <c r="K423" i="537" a="1"/>
  <c r="K423" i="537" s="1"/>
  <c r="M423" i="537" s="1"/>
  <c r="H423" i="537"/>
  <c r="K422" i="537"/>
  <c r="M422" i="537" s="1"/>
  <c r="K422" i="537" a="1"/>
  <c r="H422" i="537"/>
  <c r="K421" i="537" a="1"/>
  <c r="K421" i="537" s="1"/>
  <c r="M421" i="537" s="1"/>
  <c r="H421" i="537"/>
  <c r="K420" i="537"/>
  <c r="M420" i="537" s="1"/>
  <c r="K420" i="537" a="1"/>
  <c r="H420" i="537"/>
  <c r="K419" i="537" a="1"/>
  <c r="K419" i="537" s="1"/>
  <c r="M419" i="537" s="1"/>
  <c r="H419" i="537"/>
  <c r="K418" i="537"/>
  <c r="M418" i="537" s="1"/>
  <c r="K418" i="537" a="1"/>
  <c r="H418" i="537"/>
  <c r="K417" i="537" a="1"/>
  <c r="K417" i="537" s="1"/>
  <c r="M417" i="537" s="1"/>
  <c r="H417" i="537"/>
  <c r="K416" i="537"/>
  <c r="M416" i="537" s="1"/>
  <c r="K416" i="537" a="1"/>
  <c r="H416" i="537"/>
  <c r="V415" i="537"/>
  <c r="W415" i="537" s="1"/>
  <c r="N415" i="537"/>
  <c r="K415" i="537" a="1"/>
  <c r="K415" i="537" s="1"/>
  <c r="M415" i="537" s="1"/>
  <c r="J415" i="537" a="1"/>
  <c r="J415" i="537" s="1"/>
  <c r="H415" i="537"/>
  <c r="V414" i="537"/>
  <c r="W414" i="537" s="1"/>
  <c r="N414" i="537"/>
  <c r="K414" i="537"/>
  <c r="M414" i="537" s="1"/>
  <c r="K414" i="537" a="1"/>
  <c r="J414" i="537"/>
  <c r="J414" i="537" a="1"/>
  <c r="H414" i="537"/>
  <c r="V413" i="537"/>
  <c r="W413" i="537" s="1"/>
  <c r="N413" i="537"/>
  <c r="K413" i="537" a="1"/>
  <c r="K413" i="537" s="1"/>
  <c r="M413" i="537" s="1"/>
  <c r="J413" i="537" a="1"/>
  <c r="J413" i="537" s="1"/>
  <c r="H413" i="537"/>
  <c r="W412" i="537"/>
  <c r="V412" i="537"/>
  <c r="N412" i="537"/>
  <c r="K412" i="537" a="1"/>
  <c r="K412" i="537" s="1"/>
  <c r="M412" i="537" s="1"/>
  <c r="J412" i="537" a="1"/>
  <c r="J412" i="537" s="1"/>
  <c r="H412" i="537"/>
  <c r="H411" i="537"/>
  <c r="V410" i="537"/>
  <c r="W410" i="537" s="1"/>
  <c r="N410" i="537"/>
  <c r="K410" i="537"/>
  <c r="M410" i="537" s="1"/>
  <c r="K410" i="537" a="1"/>
  <c r="J410" i="537"/>
  <c r="J410" i="537" a="1"/>
  <c r="H410" i="537"/>
  <c r="V409" i="537"/>
  <c r="W409" i="537" s="1"/>
  <c r="N409" i="537"/>
  <c r="K409" i="537" a="1"/>
  <c r="K409" i="537" s="1"/>
  <c r="M409" i="537" s="1"/>
  <c r="J409" i="537" a="1"/>
  <c r="J409" i="537" s="1"/>
  <c r="H409" i="537"/>
  <c r="H408" i="537"/>
  <c r="K407" i="537" a="1"/>
  <c r="K407" i="537" s="1"/>
  <c r="H407" i="537"/>
  <c r="V406" i="537"/>
  <c r="W406" i="537" s="1"/>
  <c r="N406" i="537"/>
  <c r="K406" i="537"/>
  <c r="M406" i="537" s="1"/>
  <c r="K406" i="537" a="1"/>
  <c r="J406" i="537"/>
  <c r="J406" i="537" a="1"/>
  <c r="H406" i="537"/>
  <c r="V405" i="537"/>
  <c r="W405" i="537" s="1"/>
  <c r="N405" i="537"/>
  <c r="K405" i="537" a="1"/>
  <c r="K405" i="537" s="1"/>
  <c r="M405" i="537" s="1"/>
  <c r="J405" i="537" a="1"/>
  <c r="J405" i="537" s="1"/>
  <c r="H405" i="537"/>
  <c r="W404" i="537"/>
  <c r="V404" i="537"/>
  <c r="N404" i="537"/>
  <c r="K404" i="537" a="1"/>
  <c r="K404" i="537" s="1"/>
  <c r="M404" i="537" s="1"/>
  <c r="J404" i="537" a="1"/>
  <c r="J404" i="537" s="1"/>
  <c r="H404" i="537"/>
  <c r="V403" i="537"/>
  <c r="W403" i="537" s="1"/>
  <c r="N403" i="537"/>
  <c r="K403" i="537" a="1"/>
  <c r="K403" i="537" s="1"/>
  <c r="M403" i="537" s="1"/>
  <c r="J403" i="537" a="1"/>
  <c r="J403" i="537" s="1"/>
  <c r="H403" i="537"/>
  <c r="V402" i="537"/>
  <c r="W402" i="537" s="1"/>
  <c r="N402" i="537"/>
  <c r="K402" i="537"/>
  <c r="M402" i="537" s="1"/>
  <c r="K402" i="537" a="1"/>
  <c r="J402" i="537"/>
  <c r="J402" i="537" a="1"/>
  <c r="H402" i="537"/>
  <c r="V401" i="537"/>
  <c r="W401" i="537" s="1"/>
  <c r="N401" i="537"/>
  <c r="K401" i="537" a="1"/>
  <c r="K401" i="537" s="1"/>
  <c r="M401" i="537" s="1"/>
  <c r="J401" i="537" a="1"/>
  <c r="J401" i="537" s="1"/>
  <c r="H401" i="537"/>
  <c r="W400" i="537"/>
  <c r="V400" i="537"/>
  <c r="N400" i="537"/>
  <c r="K400" i="537" a="1"/>
  <c r="K400" i="537" s="1"/>
  <c r="M400" i="537" s="1"/>
  <c r="J400" i="537" a="1"/>
  <c r="J400" i="537" s="1"/>
  <c r="H400" i="537"/>
  <c r="V399" i="537"/>
  <c r="W399" i="537" s="1"/>
  <c r="N399" i="537"/>
  <c r="K399" i="537" a="1"/>
  <c r="K399" i="537" s="1"/>
  <c r="M399" i="537" s="1"/>
  <c r="J399" i="537" a="1"/>
  <c r="J399" i="537" s="1"/>
  <c r="H399" i="537"/>
  <c r="V398" i="537"/>
  <c r="W398" i="537" s="1"/>
  <c r="N398" i="537"/>
  <c r="K398" i="537"/>
  <c r="M398" i="537" s="1"/>
  <c r="K398" i="537" a="1"/>
  <c r="J398" i="537"/>
  <c r="J398" i="537" a="1"/>
  <c r="H398" i="537"/>
  <c r="V397" i="537"/>
  <c r="W397" i="537" s="1"/>
  <c r="N397" i="537"/>
  <c r="K397" i="537" a="1"/>
  <c r="K397" i="537" s="1"/>
  <c r="M397" i="537" s="1"/>
  <c r="J397" i="537" a="1"/>
  <c r="J397" i="537" s="1"/>
  <c r="H397" i="537"/>
  <c r="K396" i="537" a="1"/>
  <c r="K396" i="537" s="1"/>
  <c r="M396" i="537" s="1"/>
  <c r="H396" i="537"/>
  <c r="K395" i="537" a="1"/>
  <c r="K395" i="537" s="1"/>
  <c r="M395" i="537" s="1"/>
  <c r="H395" i="537"/>
  <c r="K394" i="537" a="1"/>
  <c r="K394" i="537" s="1"/>
  <c r="M394" i="537" s="1"/>
  <c r="H394" i="537"/>
  <c r="K393" i="537" a="1"/>
  <c r="K393" i="537" s="1"/>
  <c r="M393" i="537" s="1"/>
  <c r="H393" i="537"/>
  <c r="N392" i="537"/>
  <c r="K392" i="537" a="1"/>
  <c r="K392" i="537" s="1"/>
  <c r="M392" i="537" s="1"/>
  <c r="H392" i="537"/>
  <c r="N391" i="537"/>
  <c r="K391" i="537" a="1"/>
  <c r="K391" i="537" s="1"/>
  <c r="M391" i="537" s="1"/>
  <c r="H391" i="537"/>
  <c r="N390" i="537"/>
  <c r="K390" i="537"/>
  <c r="M390" i="537" s="1"/>
  <c r="K390" i="537" a="1"/>
  <c r="H390" i="537"/>
  <c r="N389" i="537"/>
  <c r="K389" i="537" a="1"/>
  <c r="K389" i="537" s="1"/>
  <c r="M389" i="537" s="1"/>
  <c r="H389" i="537"/>
  <c r="W388" i="537"/>
  <c r="V388" i="537"/>
  <c r="N388" i="537"/>
  <c r="K388" i="537" a="1"/>
  <c r="K388" i="537" s="1"/>
  <c r="M388" i="537" s="1"/>
  <c r="J388" i="537" a="1"/>
  <c r="J388" i="537" s="1"/>
  <c r="H388" i="537"/>
  <c r="V387" i="537"/>
  <c r="W387" i="537" s="1"/>
  <c r="N387" i="537"/>
  <c r="K387" i="537" a="1"/>
  <c r="K387" i="537" s="1"/>
  <c r="M387" i="537" s="1"/>
  <c r="J387" i="537" a="1"/>
  <c r="J387" i="537" s="1"/>
  <c r="H387" i="537"/>
  <c r="V386" i="537"/>
  <c r="W386" i="537" s="1"/>
  <c r="N386" i="537"/>
  <c r="K386" i="537"/>
  <c r="M386" i="537" s="1"/>
  <c r="K386" i="537" a="1"/>
  <c r="J386" i="537"/>
  <c r="J386" i="537" a="1"/>
  <c r="H386" i="537"/>
  <c r="V385" i="537"/>
  <c r="W385" i="537" s="1"/>
  <c r="N385" i="537"/>
  <c r="K385" i="537" a="1"/>
  <c r="K385" i="537" s="1"/>
  <c r="M385" i="537" s="1"/>
  <c r="J385" i="537" a="1"/>
  <c r="J385" i="537" s="1"/>
  <c r="H385" i="537"/>
  <c r="W384" i="537"/>
  <c r="V384" i="537"/>
  <c r="N384" i="537"/>
  <c r="K384" i="537" a="1"/>
  <c r="K384" i="537" s="1"/>
  <c r="M384" i="537" s="1"/>
  <c r="J384" i="537" a="1"/>
  <c r="J384" i="537" s="1"/>
  <c r="H384" i="537"/>
  <c r="V383" i="537"/>
  <c r="W383" i="537" s="1"/>
  <c r="N383" i="537"/>
  <c r="K383" i="537" a="1"/>
  <c r="K383" i="537" s="1"/>
  <c r="M383" i="537" s="1"/>
  <c r="J383" i="537" a="1"/>
  <c r="J383" i="537" s="1"/>
  <c r="H383" i="537"/>
  <c r="V382" i="537"/>
  <c r="W382" i="537" s="1"/>
  <c r="N382" i="537"/>
  <c r="K382" i="537"/>
  <c r="M382" i="537" s="1"/>
  <c r="K382" i="537" a="1"/>
  <c r="J382" i="537"/>
  <c r="J382" i="537" a="1"/>
  <c r="H382" i="537"/>
  <c r="V381" i="537"/>
  <c r="W381" i="537" s="1"/>
  <c r="N381" i="537"/>
  <c r="K381" i="537" a="1"/>
  <c r="K381" i="537" s="1"/>
  <c r="M381" i="537" s="1"/>
  <c r="J381" i="537" a="1"/>
  <c r="J381" i="537" s="1"/>
  <c r="H381" i="537"/>
  <c r="W380" i="537"/>
  <c r="V380" i="537"/>
  <c r="N380" i="537"/>
  <c r="K380" i="537" a="1"/>
  <c r="K380" i="537" s="1"/>
  <c r="M380" i="537" s="1"/>
  <c r="J380" i="537" a="1"/>
  <c r="J380" i="537" s="1"/>
  <c r="H380" i="537"/>
  <c r="V379" i="537"/>
  <c r="W379" i="537" s="1"/>
  <c r="N379" i="537"/>
  <c r="K379" i="537" a="1"/>
  <c r="K379" i="537" s="1"/>
  <c r="M379" i="537" s="1"/>
  <c r="J379" i="537" a="1"/>
  <c r="J379" i="537" s="1"/>
  <c r="H379" i="537"/>
  <c r="V378" i="537"/>
  <c r="W378" i="537" s="1"/>
  <c r="N378" i="537"/>
  <c r="K378" i="537"/>
  <c r="M378" i="537" s="1"/>
  <c r="K378" i="537" a="1"/>
  <c r="J378" i="537"/>
  <c r="J378" i="537" a="1"/>
  <c r="H378" i="537"/>
  <c r="V377" i="537"/>
  <c r="W377" i="537" s="1"/>
  <c r="N377" i="537"/>
  <c r="K377" i="537" a="1"/>
  <c r="K377" i="537" s="1"/>
  <c r="M377" i="537" s="1"/>
  <c r="J377" i="537" a="1"/>
  <c r="J377" i="537" s="1"/>
  <c r="H377" i="537"/>
  <c r="K376" i="537" a="1"/>
  <c r="K376" i="537" s="1"/>
  <c r="M376" i="537" s="1"/>
  <c r="H376" i="537"/>
  <c r="K375" i="537" a="1"/>
  <c r="K375" i="537" s="1"/>
  <c r="M375" i="537" s="1"/>
  <c r="H375" i="537"/>
  <c r="K374" i="537" a="1"/>
  <c r="K374" i="537" s="1"/>
  <c r="M374" i="537" s="1"/>
  <c r="H374" i="537"/>
  <c r="W373" i="537"/>
  <c r="V373" i="537"/>
  <c r="N373" i="537"/>
  <c r="K373" i="537" a="1"/>
  <c r="K373" i="537" s="1"/>
  <c r="M373" i="537" s="1"/>
  <c r="J373" i="537" a="1"/>
  <c r="J373" i="537" s="1"/>
  <c r="H373" i="537"/>
  <c r="V372" i="537"/>
  <c r="W372" i="537" s="1"/>
  <c r="N372" i="537"/>
  <c r="K372" i="537" a="1"/>
  <c r="K372" i="537" s="1"/>
  <c r="M372" i="537" s="1"/>
  <c r="J372" i="537" a="1"/>
  <c r="J372" i="537" s="1"/>
  <c r="H372" i="537"/>
  <c r="V371" i="537"/>
  <c r="W371" i="537" s="1"/>
  <c r="N371" i="537"/>
  <c r="K371" i="537"/>
  <c r="M371" i="537" s="1"/>
  <c r="K371" i="537" a="1"/>
  <c r="J371" i="537"/>
  <c r="J371" i="537" a="1"/>
  <c r="H371" i="537"/>
  <c r="K370" i="537" a="1"/>
  <c r="K370" i="537" s="1"/>
  <c r="H370" i="537"/>
  <c r="V369" i="537"/>
  <c r="V426" i="537" s="1"/>
  <c r="W426" i="537" s="1"/>
  <c r="N369" i="537"/>
  <c r="N426" i="537" s="1"/>
  <c r="K369" i="537"/>
  <c r="K369" i="537" a="1"/>
  <c r="J369" i="537"/>
  <c r="J369" i="537" a="1"/>
  <c r="H369" i="537"/>
  <c r="H426" i="537" s="1"/>
  <c r="AA368" i="537"/>
  <c r="AA504" i="537" s="1"/>
  <c r="Z368" i="537"/>
  <c r="Z504" i="537" s="1"/>
  <c r="Y368" i="537"/>
  <c r="Y504" i="537" s="1"/>
  <c r="X368" i="537"/>
  <c r="X504" i="537" s="1"/>
  <c r="U368" i="537"/>
  <c r="U504" i="537" s="1"/>
  <c r="T368" i="537"/>
  <c r="T504" i="537" s="1"/>
  <c r="S368" i="537"/>
  <c r="S504" i="537" s="1"/>
  <c r="R368" i="537"/>
  <c r="R504" i="537" s="1"/>
  <c r="Q368" i="537"/>
  <c r="Q504" i="537" s="1"/>
  <c r="P368" i="537"/>
  <c r="P504" i="537" s="1"/>
  <c r="O368" i="537"/>
  <c r="O504" i="537" s="1"/>
  <c r="X507" i="537" s="1"/>
  <c r="I368" i="537"/>
  <c r="I504" i="537" s="1"/>
  <c r="B512" i="537" s="1"/>
  <c r="G368" i="537"/>
  <c r="G504" i="537" s="1"/>
  <c r="V367" i="537"/>
  <c r="W367" i="537" s="1"/>
  <c r="N367" i="537"/>
  <c r="K367" i="537" a="1"/>
  <c r="K367" i="537" s="1"/>
  <c r="M367" i="537" s="1"/>
  <c r="J367" i="537" a="1"/>
  <c r="J367" i="537" s="1"/>
  <c r="H367" i="537"/>
  <c r="V366" i="537"/>
  <c r="W366" i="537" s="1"/>
  <c r="N366" i="537"/>
  <c r="M366" i="537"/>
  <c r="K366" i="537" a="1"/>
  <c r="K366" i="537" s="1"/>
  <c r="J366" i="537" a="1"/>
  <c r="J366" i="537" s="1"/>
  <c r="H366" i="537"/>
  <c r="M365" i="537"/>
  <c r="K365" i="537" a="1"/>
  <c r="K365" i="537" s="1"/>
  <c r="H365" i="537"/>
  <c r="K364" i="537" a="1"/>
  <c r="K364" i="537" s="1"/>
  <c r="M364" i="537" s="1"/>
  <c r="H364" i="537"/>
  <c r="K363" i="537" a="1"/>
  <c r="K363" i="537" s="1"/>
  <c r="M363" i="537" s="1"/>
  <c r="H363" i="537"/>
  <c r="K362" i="537" a="1"/>
  <c r="K362" i="537" s="1"/>
  <c r="M362" i="537" s="1"/>
  <c r="H362" i="537"/>
  <c r="W361" i="537"/>
  <c r="V361" i="537"/>
  <c r="N361" i="537"/>
  <c r="K361" i="537" a="1"/>
  <c r="K361" i="537" s="1"/>
  <c r="M361" i="537" s="1"/>
  <c r="J361" i="537" a="1"/>
  <c r="J361" i="537" s="1"/>
  <c r="H361" i="537"/>
  <c r="V360" i="537"/>
  <c r="W360" i="537" s="1"/>
  <c r="N360" i="537"/>
  <c r="M360" i="537"/>
  <c r="K360" i="537" a="1"/>
  <c r="K360" i="537" s="1"/>
  <c r="J360" i="537" a="1"/>
  <c r="J360" i="537" s="1"/>
  <c r="H360" i="537"/>
  <c r="W359" i="537"/>
  <c r="V359" i="537"/>
  <c r="N359" i="537"/>
  <c r="K359" i="537" a="1"/>
  <c r="K359" i="537" s="1"/>
  <c r="M359" i="537" s="1"/>
  <c r="J359" i="537" a="1"/>
  <c r="J359" i="537" s="1"/>
  <c r="H359" i="537"/>
  <c r="H358" i="537"/>
  <c r="H357" i="537"/>
  <c r="V356" i="537"/>
  <c r="W356" i="537" s="1"/>
  <c r="N356" i="537"/>
  <c r="K356" i="537" a="1"/>
  <c r="K356" i="537" s="1"/>
  <c r="M356" i="537" s="1"/>
  <c r="J356" i="537" a="1"/>
  <c r="J356" i="537" s="1"/>
  <c r="H356" i="537"/>
  <c r="V355" i="537"/>
  <c r="W355" i="537" s="1"/>
  <c r="N355" i="537"/>
  <c r="K355" i="537"/>
  <c r="M355" i="537" s="1"/>
  <c r="K355" i="537" a="1"/>
  <c r="J355" i="537"/>
  <c r="J355" i="537" a="1"/>
  <c r="H355" i="537"/>
  <c r="K354" i="537" a="1"/>
  <c r="K354" i="537" s="1"/>
  <c r="M354" i="537" s="1"/>
  <c r="H354" i="537"/>
  <c r="K353" i="537"/>
  <c r="M353" i="537" s="1"/>
  <c r="K353" i="537" a="1"/>
  <c r="H353" i="537"/>
  <c r="V352" i="537"/>
  <c r="W352" i="537" s="1"/>
  <c r="N352" i="537"/>
  <c r="K352" i="537" a="1"/>
  <c r="K352" i="537" s="1"/>
  <c r="M352" i="537" s="1"/>
  <c r="J352" i="537" a="1"/>
  <c r="J352" i="537" s="1"/>
  <c r="H352" i="537"/>
  <c r="W351" i="537"/>
  <c r="V351" i="537"/>
  <c r="N351" i="537"/>
  <c r="K351" i="537" a="1"/>
  <c r="K351" i="537" s="1"/>
  <c r="M351" i="537" s="1"/>
  <c r="J351" i="537" a="1"/>
  <c r="J351" i="537" s="1"/>
  <c r="H351" i="537"/>
  <c r="V350" i="537"/>
  <c r="W350" i="537" s="1"/>
  <c r="N350" i="537"/>
  <c r="K350" i="537" a="1"/>
  <c r="K350" i="537" s="1"/>
  <c r="M350" i="537" s="1"/>
  <c r="J350" i="537" a="1"/>
  <c r="J350" i="537" s="1"/>
  <c r="H350" i="537"/>
  <c r="V349" i="537"/>
  <c r="W349" i="537" s="1"/>
  <c r="N349" i="537"/>
  <c r="K349" i="537"/>
  <c r="M349" i="537" s="1"/>
  <c r="K349" i="537" a="1"/>
  <c r="J349" i="537"/>
  <c r="J349" i="537" a="1"/>
  <c r="H349" i="537"/>
  <c r="V348" i="537"/>
  <c r="W348" i="537" s="1"/>
  <c r="N348" i="537"/>
  <c r="K348" i="537" a="1"/>
  <c r="K348" i="537" s="1"/>
  <c r="M348" i="537" s="1"/>
  <c r="J348" i="537" a="1"/>
  <c r="J348" i="537" s="1"/>
  <c r="H348" i="537"/>
  <c r="W347" i="537"/>
  <c r="V347" i="537"/>
  <c r="N347" i="537"/>
  <c r="N368" i="537" s="1"/>
  <c r="K347" i="537" a="1"/>
  <c r="K347" i="537" s="1"/>
  <c r="J347" i="537" a="1"/>
  <c r="J347" i="537" s="1"/>
  <c r="H347" i="537"/>
  <c r="X341" i="537"/>
  <c r="X340" i="537"/>
  <c r="X339" i="537"/>
  <c r="G339" i="537"/>
  <c r="C339" i="537"/>
  <c r="X338" i="537"/>
  <c r="I338" i="537"/>
  <c r="E338" i="537"/>
  <c r="K338" i="537" s="1"/>
  <c r="M338" i="537" s="1"/>
  <c r="I337" i="537"/>
  <c r="E337" i="537"/>
  <c r="K337" i="537" s="1"/>
  <c r="M337" i="537" s="1"/>
  <c r="I336" i="537"/>
  <c r="E336" i="537"/>
  <c r="K336" i="537" s="1"/>
  <c r="M336" i="537" s="1"/>
  <c r="X335" i="537"/>
  <c r="I335" i="537"/>
  <c r="I339" i="537" s="1"/>
  <c r="E335" i="537"/>
  <c r="K335" i="537" s="1"/>
  <c r="AA332" i="537"/>
  <c r="Z332" i="537"/>
  <c r="Y332" i="537"/>
  <c r="X332" i="537"/>
  <c r="U332" i="537"/>
  <c r="T332" i="537"/>
  <c r="S332" i="537"/>
  <c r="R332" i="537"/>
  <c r="Q332" i="537"/>
  <c r="P332" i="537"/>
  <c r="O332" i="537"/>
  <c r="R340" i="537" s="1"/>
  <c r="I332" i="537"/>
  <c r="G332" i="537"/>
  <c r="K331" i="537" a="1"/>
  <c r="K331" i="537" s="1"/>
  <c r="H331" i="537"/>
  <c r="K330" i="537" a="1"/>
  <c r="K330" i="537" s="1"/>
  <c r="H330" i="537"/>
  <c r="K329" i="537"/>
  <c r="K329" i="537" a="1"/>
  <c r="H329" i="537"/>
  <c r="V328" i="537"/>
  <c r="W328" i="537" s="1"/>
  <c r="N328" i="537"/>
  <c r="K328" i="537" a="1"/>
  <c r="K328" i="537" s="1"/>
  <c r="H328" i="537"/>
  <c r="D328" i="537"/>
  <c r="H327" i="537"/>
  <c r="K326" i="537" a="1"/>
  <c r="K326" i="537" s="1"/>
  <c r="H326" i="537"/>
  <c r="H325" i="537"/>
  <c r="V324" i="537"/>
  <c r="W324" i="537" s="1"/>
  <c r="N324" i="537"/>
  <c r="K324" i="537" a="1"/>
  <c r="K324" i="537" s="1"/>
  <c r="M324" i="537" s="1"/>
  <c r="J324" i="537" a="1"/>
  <c r="J324" i="537" s="1"/>
  <c r="H324" i="537"/>
  <c r="V323" i="537"/>
  <c r="W323" i="537" s="1"/>
  <c r="N323" i="537"/>
  <c r="K323" i="537" a="1"/>
  <c r="K323" i="537" s="1"/>
  <c r="M323" i="537" s="1"/>
  <c r="J323" i="537" a="1"/>
  <c r="J323" i="537" s="1"/>
  <c r="H323" i="537"/>
  <c r="H322" i="537"/>
  <c r="V321" i="537"/>
  <c r="W321" i="537" s="1"/>
  <c r="N321" i="537"/>
  <c r="K321" i="537"/>
  <c r="M321" i="537" s="1"/>
  <c r="K321" i="537" a="1"/>
  <c r="J321" i="537"/>
  <c r="J321" i="537" a="1"/>
  <c r="H321" i="537"/>
  <c r="V320" i="537"/>
  <c r="W320" i="537" s="1"/>
  <c r="N320" i="537"/>
  <c r="K320" i="537" a="1"/>
  <c r="K320" i="537" s="1"/>
  <c r="M320" i="537" s="1"/>
  <c r="J320" i="537" a="1"/>
  <c r="J320" i="537" s="1"/>
  <c r="H320" i="537"/>
  <c r="V319" i="537"/>
  <c r="W319" i="537" s="1"/>
  <c r="N319" i="537"/>
  <c r="K319" i="537" a="1"/>
  <c r="K319" i="537" s="1"/>
  <c r="M319" i="537" s="1"/>
  <c r="J319" i="537" a="1"/>
  <c r="J319" i="537" s="1"/>
  <c r="H319" i="537"/>
  <c r="V318" i="537"/>
  <c r="V332" i="537" s="1"/>
  <c r="N318" i="537"/>
  <c r="N332" i="537" s="1"/>
  <c r="K318" i="537" a="1"/>
  <c r="K318" i="537" s="1"/>
  <c r="J318" i="537" a="1"/>
  <c r="J318" i="537" s="1"/>
  <c r="H318" i="537"/>
  <c r="H332" i="537" s="1"/>
  <c r="AA317" i="537"/>
  <c r="Z317" i="537"/>
  <c r="Y317" i="537"/>
  <c r="X317" i="537"/>
  <c r="U317" i="537"/>
  <c r="T317" i="537"/>
  <c r="S317" i="537"/>
  <c r="Q317" i="537"/>
  <c r="P317" i="537"/>
  <c r="O317" i="537"/>
  <c r="R339" i="537" s="1"/>
  <c r="I317" i="537"/>
  <c r="G317" i="537"/>
  <c r="J317" i="537" s="1" a="1"/>
  <c r="J317" i="537" s="1"/>
  <c r="W316" i="537"/>
  <c r="V316" i="537"/>
  <c r="N316" i="537"/>
  <c r="K316" i="537" a="1"/>
  <c r="K316" i="537" s="1"/>
  <c r="M316" i="537" s="1"/>
  <c r="J316" i="537" a="1"/>
  <c r="J316" i="537" s="1"/>
  <c r="H316" i="537"/>
  <c r="H315" i="537"/>
  <c r="H314" i="537"/>
  <c r="H313" i="537"/>
  <c r="V312" i="537"/>
  <c r="W312" i="537" s="1"/>
  <c r="N312" i="537"/>
  <c r="K312" i="537"/>
  <c r="M312" i="537" s="1"/>
  <c r="K312" i="537" a="1"/>
  <c r="J312" i="537" a="1"/>
  <c r="J312" i="537" s="1"/>
  <c r="H312" i="537"/>
  <c r="V311" i="537"/>
  <c r="W311" i="537" s="1"/>
  <c r="N311" i="537"/>
  <c r="K311" i="537" a="1"/>
  <c r="K311" i="537" s="1"/>
  <c r="M311" i="537" s="1"/>
  <c r="J311" i="537" a="1"/>
  <c r="J311" i="537" s="1"/>
  <c r="H311" i="537"/>
  <c r="V310" i="537"/>
  <c r="W310" i="537" s="1"/>
  <c r="N310" i="537"/>
  <c r="K310" i="537"/>
  <c r="M310" i="537" s="1"/>
  <c r="K310" i="537" a="1"/>
  <c r="J310" i="537" a="1"/>
  <c r="J310" i="537" s="1"/>
  <c r="H310" i="537"/>
  <c r="V309" i="537"/>
  <c r="W309" i="537" s="1"/>
  <c r="N309" i="537"/>
  <c r="K309" i="537" a="1"/>
  <c r="K309" i="537" s="1"/>
  <c r="M309" i="537" s="1"/>
  <c r="J309" i="537" a="1"/>
  <c r="J309" i="537" s="1"/>
  <c r="H309" i="537"/>
  <c r="V308" i="537"/>
  <c r="V317" i="537" s="1"/>
  <c r="W317" i="537" s="1"/>
  <c r="N308" i="537"/>
  <c r="N317" i="537" s="1"/>
  <c r="K308" i="537"/>
  <c r="K308" i="537" a="1"/>
  <c r="J308" i="537" a="1"/>
  <c r="J308" i="537" s="1"/>
  <c r="H308" i="537"/>
  <c r="AA307" i="537"/>
  <c r="Z307" i="537"/>
  <c r="Y307" i="537"/>
  <c r="X307" i="537"/>
  <c r="U307" i="537"/>
  <c r="T307" i="537"/>
  <c r="S307" i="537"/>
  <c r="Q307" i="537"/>
  <c r="P307" i="537"/>
  <c r="O307" i="537"/>
  <c r="I307" i="537"/>
  <c r="G307" i="537"/>
  <c r="V306" i="537"/>
  <c r="W306" i="537" s="1"/>
  <c r="N306" i="537"/>
  <c r="K306" i="537" a="1"/>
  <c r="K306" i="537" s="1"/>
  <c r="M306" i="537" s="1"/>
  <c r="J306" i="537" a="1"/>
  <c r="J306" i="537" s="1"/>
  <c r="H306" i="537"/>
  <c r="V305" i="537"/>
  <c r="W305" i="537" s="1"/>
  <c r="N305" i="537"/>
  <c r="K305" i="537"/>
  <c r="M305" i="537" s="1"/>
  <c r="K305" i="537" a="1"/>
  <c r="J305" i="537"/>
  <c r="J305" i="537" a="1"/>
  <c r="H305" i="537"/>
  <c r="V304" i="537"/>
  <c r="W304" i="537" s="1"/>
  <c r="N304" i="537"/>
  <c r="K304" i="537" a="1"/>
  <c r="K304" i="537" s="1"/>
  <c r="M304" i="537" s="1"/>
  <c r="J304" i="537" a="1"/>
  <c r="J304" i="537" s="1"/>
  <c r="H304" i="537"/>
  <c r="V303" i="537"/>
  <c r="W303" i="537" s="1"/>
  <c r="N303" i="537"/>
  <c r="K303" i="537"/>
  <c r="M303" i="537" s="1"/>
  <c r="K303" i="537" a="1"/>
  <c r="J303" i="537"/>
  <c r="J303" i="537" a="1"/>
  <c r="H303" i="537"/>
  <c r="V302" i="537"/>
  <c r="W302" i="537" s="1"/>
  <c r="N302" i="537"/>
  <c r="K302" i="537" a="1"/>
  <c r="K302" i="537" s="1"/>
  <c r="M302" i="537" s="1"/>
  <c r="J302" i="537" a="1"/>
  <c r="J302" i="537" s="1"/>
  <c r="H302" i="537"/>
  <c r="W301" i="537"/>
  <c r="V301" i="537"/>
  <c r="N301" i="537"/>
  <c r="K301" i="537" a="1"/>
  <c r="K301" i="537" s="1"/>
  <c r="M301" i="537" s="1"/>
  <c r="J301" i="537" a="1"/>
  <c r="J301" i="537" s="1"/>
  <c r="H301" i="537"/>
  <c r="V300" i="537"/>
  <c r="W300" i="537" s="1"/>
  <c r="N300" i="537"/>
  <c r="K300" i="537" a="1"/>
  <c r="K300" i="537" s="1"/>
  <c r="M300" i="537" s="1"/>
  <c r="J300" i="537" a="1"/>
  <c r="J300" i="537" s="1"/>
  <c r="H300" i="537"/>
  <c r="V299" i="537"/>
  <c r="W299" i="537" s="1"/>
  <c r="N299" i="537"/>
  <c r="K299" i="537"/>
  <c r="M299" i="537" s="1"/>
  <c r="K299" i="537" a="1"/>
  <c r="J299" i="537"/>
  <c r="J299" i="537" a="1"/>
  <c r="H299" i="537"/>
  <c r="V298" i="537"/>
  <c r="W298" i="537" s="1"/>
  <c r="N298" i="537"/>
  <c r="K298" i="537" a="1"/>
  <c r="K298" i="537" s="1"/>
  <c r="M298" i="537" s="1"/>
  <c r="J298" i="537" a="1"/>
  <c r="J298" i="537" s="1"/>
  <c r="H298" i="537"/>
  <c r="W297" i="537"/>
  <c r="V297" i="537"/>
  <c r="N297" i="537"/>
  <c r="K297" i="537" a="1"/>
  <c r="K297" i="537" s="1"/>
  <c r="M297" i="537" s="1"/>
  <c r="J297" i="537" a="1"/>
  <c r="J297" i="537" s="1"/>
  <c r="H297" i="537"/>
  <c r="V296" i="537"/>
  <c r="W296" i="537" s="1"/>
  <c r="N296" i="537"/>
  <c r="K296" i="537" a="1"/>
  <c r="K296" i="537" s="1"/>
  <c r="M296" i="537" s="1"/>
  <c r="J296" i="537" a="1"/>
  <c r="J296" i="537" s="1"/>
  <c r="H296" i="537"/>
  <c r="V295" i="537"/>
  <c r="W295" i="537" s="1"/>
  <c r="N295" i="537"/>
  <c r="K295" i="537"/>
  <c r="M295" i="537" s="1"/>
  <c r="K295" i="537" a="1"/>
  <c r="J295" i="537"/>
  <c r="J295" i="537" a="1"/>
  <c r="H295" i="537"/>
  <c r="V294" i="537"/>
  <c r="W294" i="537" s="1"/>
  <c r="N294" i="537"/>
  <c r="K294" i="537" a="1"/>
  <c r="K294" i="537" s="1"/>
  <c r="M294" i="537" s="1"/>
  <c r="J294" i="537" a="1"/>
  <c r="J294" i="537" s="1"/>
  <c r="H294" i="537"/>
  <c r="W293" i="537"/>
  <c r="V293" i="537"/>
  <c r="N293" i="537"/>
  <c r="K293" i="537" a="1"/>
  <c r="K293" i="537" s="1"/>
  <c r="M293" i="537" s="1"/>
  <c r="J293" i="537" a="1"/>
  <c r="J293" i="537" s="1"/>
  <c r="H293" i="537"/>
  <c r="V292" i="537"/>
  <c r="V307" i="537" s="1"/>
  <c r="W307" i="537" s="1"/>
  <c r="N292" i="537"/>
  <c r="K292" i="537" a="1"/>
  <c r="K292" i="537" s="1"/>
  <c r="J292" i="537" a="1"/>
  <c r="J292" i="537" s="1"/>
  <c r="H292" i="537"/>
  <c r="H307" i="537" s="1"/>
  <c r="AA291" i="537"/>
  <c r="Z291" i="537"/>
  <c r="Y291" i="537"/>
  <c r="X291" i="537"/>
  <c r="U291" i="537"/>
  <c r="T291" i="537"/>
  <c r="S291" i="537"/>
  <c r="R291" i="537"/>
  <c r="Q291" i="537"/>
  <c r="P291" i="537"/>
  <c r="O291" i="537"/>
  <c r="R337" i="537" s="1"/>
  <c r="I291" i="537"/>
  <c r="G291" i="537"/>
  <c r="V290" i="537"/>
  <c r="W290" i="537" s="1"/>
  <c r="N290" i="537"/>
  <c r="K290" i="537" a="1"/>
  <c r="K290" i="537" s="1"/>
  <c r="M290" i="537" s="1"/>
  <c r="J290" i="537" a="1"/>
  <c r="J290" i="537" s="1"/>
  <c r="H290" i="537"/>
  <c r="W289" i="537"/>
  <c r="V289" i="537"/>
  <c r="N289" i="537"/>
  <c r="K289" i="537" a="1"/>
  <c r="K289" i="537" s="1"/>
  <c r="M289" i="537" s="1"/>
  <c r="J289" i="537" a="1"/>
  <c r="J289" i="537" s="1"/>
  <c r="H289" i="537"/>
  <c r="V288" i="537"/>
  <c r="W288" i="537" s="1"/>
  <c r="N288" i="537"/>
  <c r="K288" i="537" a="1"/>
  <c r="K288" i="537" s="1"/>
  <c r="M288" i="537" s="1"/>
  <c r="H288" i="537"/>
  <c r="H287" i="537"/>
  <c r="H286" i="537"/>
  <c r="H285" i="537"/>
  <c r="V284" i="537"/>
  <c r="W284" i="537" s="1"/>
  <c r="N284" i="537"/>
  <c r="K284" i="537" a="1"/>
  <c r="K284" i="537" s="1"/>
  <c r="M284" i="537" s="1"/>
  <c r="H284" i="537"/>
  <c r="V283" i="537"/>
  <c r="W283" i="537" s="1"/>
  <c r="N283" i="537"/>
  <c r="K283" i="537"/>
  <c r="M283" i="537" s="1"/>
  <c r="K283" i="537" a="1"/>
  <c r="H283" i="537"/>
  <c r="N282" i="537"/>
  <c r="K282" i="537" a="1"/>
  <c r="K282" i="537" s="1"/>
  <c r="M282" i="537" s="1"/>
  <c r="H282" i="537"/>
  <c r="N281" i="537"/>
  <c r="K281" i="537" a="1"/>
  <c r="K281" i="537" s="1"/>
  <c r="M281" i="537" s="1"/>
  <c r="H281" i="537"/>
  <c r="N280" i="537"/>
  <c r="K280" i="537" a="1"/>
  <c r="K280" i="537" s="1"/>
  <c r="M280" i="537" s="1"/>
  <c r="H280" i="537"/>
  <c r="N279" i="537"/>
  <c r="K279" i="537"/>
  <c r="M279" i="537" s="1"/>
  <c r="K279" i="537" a="1"/>
  <c r="H279" i="537"/>
  <c r="N278" i="537"/>
  <c r="K278" i="537" a="1"/>
  <c r="K278" i="537" s="1"/>
  <c r="M278" i="537" s="1"/>
  <c r="H278" i="537"/>
  <c r="N277" i="537"/>
  <c r="K277" i="537" a="1"/>
  <c r="K277" i="537" s="1"/>
  <c r="M277" i="537" s="1"/>
  <c r="H277" i="537"/>
  <c r="V276" i="537"/>
  <c r="W276" i="537" s="1"/>
  <c r="N276" i="537"/>
  <c r="K276" i="537" a="1"/>
  <c r="K276" i="537" s="1"/>
  <c r="M276" i="537" s="1"/>
  <c r="J276" i="537" a="1"/>
  <c r="J276" i="537" s="1"/>
  <c r="H276" i="537"/>
  <c r="W275" i="537"/>
  <c r="V275" i="537"/>
  <c r="N275" i="537"/>
  <c r="K275" i="537" a="1"/>
  <c r="K275" i="537" s="1"/>
  <c r="M275" i="537" s="1"/>
  <c r="J275" i="537" a="1"/>
  <c r="J275" i="537" s="1"/>
  <c r="H275" i="537"/>
  <c r="V274" i="537"/>
  <c r="W274" i="537" s="1"/>
  <c r="N274" i="537"/>
  <c r="K274" i="537" a="1"/>
  <c r="K274" i="537" s="1"/>
  <c r="M274" i="537" s="1"/>
  <c r="J274" i="537" a="1"/>
  <c r="J274" i="537" s="1"/>
  <c r="H274" i="537"/>
  <c r="V273" i="537"/>
  <c r="W273" i="537" s="1"/>
  <c r="N273" i="537"/>
  <c r="K273" i="537"/>
  <c r="M273" i="537" s="1"/>
  <c r="K273" i="537" a="1"/>
  <c r="J273" i="537"/>
  <c r="J273" i="537" a="1"/>
  <c r="H273" i="537"/>
  <c r="V272" i="537"/>
  <c r="W272" i="537" s="1"/>
  <c r="N272" i="537"/>
  <c r="K272" i="537" a="1"/>
  <c r="K272" i="537" s="1"/>
  <c r="M272" i="537" s="1"/>
  <c r="J272" i="537" a="1"/>
  <c r="J272" i="537" s="1"/>
  <c r="H272" i="537"/>
  <c r="V271" i="537"/>
  <c r="W271" i="537" s="1"/>
  <c r="N271" i="537"/>
  <c r="K271" i="537"/>
  <c r="M271" i="537" s="1"/>
  <c r="K271" i="537" a="1"/>
  <c r="J271" i="537"/>
  <c r="J271" i="537" a="1"/>
  <c r="H271" i="537"/>
  <c r="V270" i="537"/>
  <c r="W270" i="537" s="1"/>
  <c r="N270" i="537"/>
  <c r="K270" i="537" a="1"/>
  <c r="K270" i="537" s="1"/>
  <c r="M270" i="537" s="1"/>
  <c r="J270" i="537" a="1"/>
  <c r="J270" i="537" s="1"/>
  <c r="H270" i="537"/>
  <c r="W269" i="537"/>
  <c r="V269" i="537"/>
  <c r="N269" i="537"/>
  <c r="K269" i="537" a="1"/>
  <c r="K269" i="537" s="1"/>
  <c r="M269" i="537" s="1"/>
  <c r="J269" i="537" a="1"/>
  <c r="J269" i="537" s="1"/>
  <c r="H269" i="537"/>
  <c r="V268" i="537"/>
  <c r="W268" i="537" s="1"/>
  <c r="N268" i="537"/>
  <c r="K268" i="537" a="1"/>
  <c r="K268" i="537" s="1"/>
  <c r="M268" i="537" s="1"/>
  <c r="J268" i="537" a="1"/>
  <c r="J268" i="537" s="1"/>
  <c r="H268" i="537"/>
  <c r="V267" i="537"/>
  <c r="W267" i="537" s="1"/>
  <c r="N267" i="537"/>
  <c r="K267" i="537"/>
  <c r="M267" i="537" s="1"/>
  <c r="K267" i="537" a="1"/>
  <c r="J267" i="537"/>
  <c r="J267" i="537" a="1"/>
  <c r="H267" i="537"/>
  <c r="V266" i="537"/>
  <c r="W266" i="537" s="1"/>
  <c r="N266" i="537"/>
  <c r="K266" i="537" a="1"/>
  <c r="K266" i="537" s="1"/>
  <c r="M266" i="537" s="1"/>
  <c r="J266" i="537" a="1"/>
  <c r="J266" i="537" s="1"/>
  <c r="H266" i="537"/>
  <c r="W265" i="537"/>
  <c r="V265" i="537"/>
  <c r="N265" i="537"/>
  <c r="K265" i="537" a="1"/>
  <c r="K265" i="537" s="1"/>
  <c r="M265" i="537" s="1"/>
  <c r="J265" i="537" a="1"/>
  <c r="J265" i="537" s="1"/>
  <c r="H265" i="537"/>
  <c r="N264" i="537"/>
  <c r="K264" i="537" a="1"/>
  <c r="K264" i="537" s="1"/>
  <c r="M264" i="537" s="1"/>
  <c r="H264" i="537"/>
  <c r="W263" i="537"/>
  <c r="V263" i="537"/>
  <c r="N263" i="537"/>
  <c r="K263" i="537" a="1"/>
  <c r="K263" i="537" s="1"/>
  <c r="M263" i="537" s="1"/>
  <c r="J263" i="537" a="1"/>
  <c r="J263" i="537" s="1"/>
  <c r="H263" i="537"/>
  <c r="V262" i="537"/>
  <c r="W262" i="537" s="1"/>
  <c r="N262" i="537"/>
  <c r="K262" i="537" a="1"/>
  <c r="K262" i="537" s="1"/>
  <c r="M262" i="537" s="1"/>
  <c r="J262" i="537" a="1"/>
  <c r="J262" i="537" s="1"/>
  <c r="H262" i="537"/>
  <c r="V261" i="537"/>
  <c r="W261" i="537" s="1"/>
  <c r="N261" i="537"/>
  <c r="K261" i="537"/>
  <c r="M261" i="537" s="1"/>
  <c r="K261" i="537" a="1"/>
  <c r="J261" i="537"/>
  <c r="J261" i="537" a="1"/>
  <c r="H261" i="537"/>
  <c r="V260" i="537"/>
  <c r="W260" i="537" s="1"/>
  <c r="N260" i="537"/>
  <c r="K260" i="537" a="1"/>
  <c r="K260" i="537" s="1"/>
  <c r="M260" i="537" s="1"/>
  <c r="J260" i="537" a="1"/>
  <c r="J260" i="537" s="1"/>
  <c r="H260" i="537"/>
  <c r="W259" i="537"/>
  <c r="V259" i="537"/>
  <c r="N259" i="537"/>
  <c r="K259" i="537" a="1"/>
  <c r="K259" i="537" s="1"/>
  <c r="M259" i="537" s="1"/>
  <c r="J259" i="537" a="1"/>
  <c r="J259" i="537" s="1"/>
  <c r="H259" i="537"/>
  <c r="V258" i="537"/>
  <c r="W258" i="537" s="1"/>
  <c r="N258" i="537"/>
  <c r="K258" i="537" a="1"/>
  <c r="K258" i="537" s="1"/>
  <c r="M258" i="537" s="1"/>
  <c r="J258" i="537" a="1"/>
  <c r="J258" i="537" s="1"/>
  <c r="H258" i="537"/>
  <c r="V257" i="537"/>
  <c r="W257" i="537" s="1"/>
  <c r="N257" i="537"/>
  <c r="N291" i="537" s="1"/>
  <c r="K257" i="537"/>
  <c r="K257" i="537" a="1"/>
  <c r="J257" i="537"/>
  <c r="J257" i="537" a="1"/>
  <c r="H257" i="537"/>
  <c r="AA256" i="537"/>
  <c r="Z256" i="537"/>
  <c r="Y256" i="537"/>
  <c r="X256" i="537"/>
  <c r="U256" i="537"/>
  <c r="T256" i="537"/>
  <c r="S256" i="537"/>
  <c r="R256" i="537"/>
  <c r="Q256" i="537"/>
  <c r="P256" i="537"/>
  <c r="O256" i="537"/>
  <c r="I256" i="537"/>
  <c r="G256" i="537"/>
  <c r="H255" i="537"/>
  <c r="H254" i="537"/>
  <c r="H253" i="537"/>
  <c r="H252" i="537"/>
  <c r="H251" i="537"/>
  <c r="H250" i="537"/>
  <c r="K249" i="537" a="1"/>
  <c r="K249" i="537" s="1"/>
  <c r="M249" i="537" s="1"/>
  <c r="H249" i="537"/>
  <c r="K248" i="537" a="1"/>
  <c r="K248" i="537" s="1"/>
  <c r="M248" i="537" s="1"/>
  <c r="H248" i="537"/>
  <c r="K247" i="537" a="1"/>
  <c r="K247" i="537" s="1"/>
  <c r="M247" i="537" s="1"/>
  <c r="H247" i="537"/>
  <c r="K246" i="537" a="1"/>
  <c r="K246" i="537" s="1"/>
  <c r="M246" i="537" s="1"/>
  <c r="H246" i="537"/>
  <c r="W245" i="537"/>
  <c r="V245" i="537"/>
  <c r="N245" i="537"/>
  <c r="K245" i="537" a="1"/>
  <c r="K245" i="537" s="1"/>
  <c r="M245" i="537" s="1"/>
  <c r="J245" i="537" a="1"/>
  <c r="J245" i="537" s="1"/>
  <c r="H245" i="537"/>
  <c r="V244" i="537"/>
  <c r="W244" i="537" s="1"/>
  <c r="N244" i="537"/>
  <c r="K244" i="537" a="1"/>
  <c r="K244" i="537" s="1"/>
  <c r="M244" i="537" s="1"/>
  <c r="J244" i="537" a="1"/>
  <c r="J244" i="537" s="1"/>
  <c r="H244" i="537"/>
  <c r="V243" i="537"/>
  <c r="W243" i="537" s="1"/>
  <c r="N243" i="537"/>
  <c r="K243" i="537"/>
  <c r="M243" i="537" s="1"/>
  <c r="K243" i="537" a="1"/>
  <c r="J243" i="537"/>
  <c r="J243" i="537" a="1"/>
  <c r="H243" i="537"/>
  <c r="V242" i="537"/>
  <c r="W242" i="537" s="1"/>
  <c r="N242" i="537"/>
  <c r="K242" i="537" a="1"/>
  <c r="K242" i="537" s="1"/>
  <c r="M242" i="537" s="1"/>
  <c r="J242" i="537" a="1"/>
  <c r="J242" i="537" s="1"/>
  <c r="H242" i="537"/>
  <c r="M241" i="537"/>
  <c r="H241" i="537"/>
  <c r="W240" i="537"/>
  <c r="V240" i="537"/>
  <c r="N240" i="537"/>
  <c r="K240" i="537" a="1"/>
  <c r="K240" i="537" s="1"/>
  <c r="M240" i="537" s="1"/>
  <c r="J240" i="537" a="1"/>
  <c r="J240" i="537" s="1"/>
  <c r="H240" i="537"/>
  <c r="V239" i="537"/>
  <c r="W239" i="537" s="1"/>
  <c r="N239" i="537"/>
  <c r="K239" i="537" a="1"/>
  <c r="K239" i="537" s="1"/>
  <c r="M239" i="537" s="1"/>
  <c r="J239" i="537" a="1"/>
  <c r="J239" i="537" s="1"/>
  <c r="H239" i="537"/>
  <c r="K238" i="537" a="1"/>
  <c r="K238" i="537" s="1"/>
  <c r="M238" i="537" s="1"/>
  <c r="H238" i="537"/>
  <c r="H237" i="537"/>
  <c r="V236" i="537"/>
  <c r="W236" i="537" s="1"/>
  <c r="N236" i="537"/>
  <c r="K236" i="537" a="1"/>
  <c r="K236" i="537" s="1"/>
  <c r="M236" i="537" s="1"/>
  <c r="J236" i="537" a="1"/>
  <c r="J236" i="537" s="1"/>
  <c r="H236" i="537"/>
  <c r="V235" i="537"/>
  <c r="W235" i="537" s="1"/>
  <c r="N235" i="537"/>
  <c r="K235" i="537"/>
  <c r="M235" i="537" s="1"/>
  <c r="K235" i="537" a="1"/>
  <c r="J235" i="537"/>
  <c r="J235" i="537" a="1"/>
  <c r="H235" i="537"/>
  <c r="V234" i="537"/>
  <c r="W234" i="537" s="1"/>
  <c r="N234" i="537"/>
  <c r="K234" i="537" a="1"/>
  <c r="K234" i="537" s="1"/>
  <c r="M234" i="537" s="1"/>
  <c r="J234" i="537" a="1"/>
  <c r="J234" i="537" s="1"/>
  <c r="H234" i="537"/>
  <c r="W233" i="537"/>
  <c r="V233" i="537"/>
  <c r="N233" i="537"/>
  <c r="K233" i="537" a="1"/>
  <c r="K233" i="537" s="1"/>
  <c r="M233" i="537" s="1"/>
  <c r="J233" i="537" a="1"/>
  <c r="J233" i="537" s="1"/>
  <c r="H233" i="537"/>
  <c r="V232" i="537"/>
  <c r="W232" i="537" s="1"/>
  <c r="N232" i="537"/>
  <c r="K232" i="537" a="1"/>
  <c r="K232" i="537" s="1"/>
  <c r="M232" i="537" s="1"/>
  <c r="J232" i="537" a="1"/>
  <c r="J232" i="537" s="1"/>
  <c r="H232" i="537"/>
  <c r="V231" i="537"/>
  <c r="W231" i="537" s="1"/>
  <c r="N231" i="537"/>
  <c r="K231" i="537"/>
  <c r="M231" i="537" s="1"/>
  <c r="K231" i="537" a="1"/>
  <c r="J231" i="537"/>
  <c r="J231" i="537" a="1"/>
  <c r="H231" i="537"/>
  <c r="V230" i="537"/>
  <c r="W230" i="537" s="1"/>
  <c r="N230" i="537"/>
  <c r="K230" i="537" a="1"/>
  <c r="K230" i="537" s="1"/>
  <c r="M230" i="537" s="1"/>
  <c r="J230" i="537" a="1"/>
  <c r="J230" i="537" s="1"/>
  <c r="H230" i="537"/>
  <c r="W229" i="537"/>
  <c r="V229" i="537"/>
  <c r="N229" i="537"/>
  <c r="K229" i="537" a="1"/>
  <c r="K229" i="537" s="1"/>
  <c r="M229" i="537" s="1"/>
  <c r="J229" i="537" a="1"/>
  <c r="J229" i="537" s="1"/>
  <c r="H229" i="537"/>
  <c r="V228" i="537"/>
  <c r="W228" i="537" s="1"/>
  <c r="N228" i="537"/>
  <c r="K228" i="537" a="1"/>
  <c r="K228" i="537" s="1"/>
  <c r="M228" i="537" s="1"/>
  <c r="J228" i="537" a="1"/>
  <c r="J228" i="537" s="1"/>
  <c r="H228" i="537"/>
  <c r="V227" i="537"/>
  <c r="W227" i="537" s="1"/>
  <c r="N227" i="537"/>
  <c r="K227" i="537"/>
  <c r="M227" i="537" s="1"/>
  <c r="K227" i="537" a="1"/>
  <c r="J227" i="537"/>
  <c r="J227" i="537" a="1"/>
  <c r="H227" i="537"/>
  <c r="N226" i="537"/>
  <c r="K226" i="537" a="1"/>
  <c r="K226" i="537" s="1"/>
  <c r="M226" i="537" s="1"/>
  <c r="H226" i="537"/>
  <c r="N225" i="537"/>
  <c r="K225" i="537" a="1"/>
  <c r="K225" i="537" s="1"/>
  <c r="M225" i="537" s="1"/>
  <c r="H225" i="537"/>
  <c r="N224" i="537"/>
  <c r="K224" i="537" a="1"/>
  <c r="K224" i="537" s="1"/>
  <c r="M224" i="537" s="1"/>
  <c r="H224" i="537"/>
  <c r="N223" i="537"/>
  <c r="K223" i="537"/>
  <c r="M223" i="537" s="1"/>
  <c r="K223" i="537" a="1"/>
  <c r="H223" i="537"/>
  <c r="N222" i="537"/>
  <c r="K222" i="537" a="1"/>
  <c r="K222" i="537" s="1"/>
  <c r="M222" i="537" s="1"/>
  <c r="H222" i="537"/>
  <c r="N221" i="537"/>
  <c r="K221" i="537" a="1"/>
  <c r="K221" i="537" s="1"/>
  <c r="M221" i="537" s="1"/>
  <c r="H221" i="537"/>
  <c r="N220" i="537"/>
  <c r="K220" i="537" a="1"/>
  <c r="K220" i="537" s="1"/>
  <c r="M220" i="537" s="1"/>
  <c r="H220" i="537"/>
  <c r="N219" i="537"/>
  <c r="K219" i="537" a="1"/>
  <c r="K219" i="537" s="1"/>
  <c r="M219" i="537" s="1"/>
  <c r="H219" i="537"/>
  <c r="V218" i="537"/>
  <c r="W218" i="537" s="1"/>
  <c r="N218" i="537"/>
  <c r="K218" i="537" a="1"/>
  <c r="K218" i="537" s="1"/>
  <c r="M218" i="537" s="1"/>
  <c r="J218" i="537" a="1"/>
  <c r="J218" i="537" s="1"/>
  <c r="H218" i="537"/>
  <c r="W217" i="537"/>
  <c r="V217" i="537"/>
  <c r="N217" i="537"/>
  <c r="K217" i="537" a="1"/>
  <c r="K217" i="537" s="1"/>
  <c r="M217" i="537" s="1"/>
  <c r="J217" i="537" a="1"/>
  <c r="J217" i="537" s="1"/>
  <c r="H217" i="537"/>
  <c r="V216" i="537"/>
  <c r="W216" i="537" s="1"/>
  <c r="N216" i="537"/>
  <c r="K216" i="537" a="1"/>
  <c r="K216" i="537" s="1"/>
  <c r="M216" i="537" s="1"/>
  <c r="J216" i="537" a="1"/>
  <c r="J216" i="537" s="1"/>
  <c r="H216" i="537"/>
  <c r="V215" i="537"/>
  <c r="W215" i="537" s="1"/>
  <c r="N215" i="537"/>
  <c r="K215" i="537"/>
  <c r="M215" i="537" s="1"/>
  <c r="K215" i="537" a="1"/>
  <c r="J215" i="537"/>
  <c r="J215" i="537" a="1"/>
  <c r="H215" i="537"/>
  <c r="V214" i="537"/>
  <c r="W214" i="537" s="1"/>
  <c r="N214" i="537"/>
  <c r="K214" i="537" a="1"/>
  <c r="K214" i="537" s="1"/>
  <c r="M214" i="537" s="1"/>
  <c r="J214" i="537" a="1"/>
  <c r="J214" i="537" s="1"/>
  <c r="H214" i="537"/>
  <c r="W213" i="537"/>
  <c r="V213" i="537"/>
  <c r="N213" i="537"/>
  <c r="K213" i="537" a="1"/>
  <c r="K213" i="537" s="1"/>
  <c r="M213" i="537" s="1"/>
  <c r="J213" i="537" a="1"/>
  <c r="J213" i="537" s="1"/>
  <c r="H213" i="537"/>
  <c r="V212" i="537"/>
  <c r="W212" i="537" s="1"/>
  <c r="N212" i="537"/>
  <c r="K212" i="537" a="1"/>
  <c r="K212" i="537" s="1"/>
  <c r="M212" i="537" s="1"/>
  <c r="J212" i="537" a="1"/>
  <c r="J212" i="537" s="1"/>
  <c r="H212" i="537"/>
  <c r="V211" i="537"/>
  <c r="W211" i="537" s="1"/>
  <c r="N211" i="537"/>
  <c r="K211" i="537"/>
  <c r="M211" i="537" s="1"/>
  <c r="K211" i="537" a="1"/>
  <c r="J211" i="537"/>
  <c r="J211" i="537" a="1"/>
  <c r="H211" i="537"/>
  <c r="V210" i="537"/>
  <c r="W210" i="537" s="1"/>
  <c r="N210" i="537"/>
  <c r="K210" i="537" a="1"/>
  <c r="K210" i="537" s="1"/>
  <c r="M210" i="537" s="1"/>
  <c r="J210" i="537" a="1"/>
  <c r="J210" i="537" s="1"/>
  <c r="H210" i="537"/>
  <c r="W209" i="537"/>
  <c r="V209" i="537"/>
  <c r="N209" i="537"/>
  <c r="K209" i="537" a="1"/>
  <c r="K209" i="537" s="1"/>
  <c r="M209" i="537" s="1"/>
  <c r="J209" i="537" a="1"/>
  <c r="J209" i="537" s="1"/>
  <c r="H209" i="537"/>
  <c r="V208" i="537"/>
  <c r="W208" i="537" s="1"/>
  <c r="N208" i="537"/>
  <c r="K208" i="537" a="1"/>
  <c r="K208" i="537" s="1"/>
  <c r="M208" i="537" s="1"/>
  <c r="J208" i="537" a="1"/>
  <c r="J208" i="537" s="1"/>
  <c r="H208" i="537"/>
  <c r="V207" i="537"/>
  <c r="W207" i="537" s="1"/>
  <c r="N207" i="537"/>
  <c r="K207" i="537"/>
  <c r="M207" i="537" s="1"/>
  <c r="K207" i="537" a="1"/>
  <c r="J207" i="537"/>
  <c r="J207" i="537" a="1"/>
  <c r="H207" i="537"/>
  <c r="H206" i="537"/>
  <c r="H205" i="537"/>
  <c r="H204" i="537"/>
  <c r="W203" i="537"/>
  <c r="V203" i="537"/>
  <c r="N203" i="537"/>
  <c r="K203" i="537" a="1"/>
  <c r="K203" i="537" s="1"/>
  <c r="M203" i="537" s="1"/>
  <c r="J203" i="537" a="1"/>
  <c r="J203" i="537" s="1"/>
  <c r="H203" i="537"/>
  <c r="V202" i="537"/>
  <c r="W202" i="537" s="1"/>
  <c r="N202" i="537"/>
  <c r="K202" i="537" a="1"/>
  <c r="K202" i="537" s="1"/>
  <c r="M202" i="537" s="1"/>
  <c r="J202" i="537" a="1"/>
  <c r="J202" i="537" s="1"/>
  <c r="H202" i="537"/>
  <c r="V201" i="537"/>
  <c r="W201" i="537" s="1"/>
  <c r="N201" i="537"/>
  <c r="K201" i="537"/>
  <c r="M201" i="537" s="1"/>
  <c r="K201" i="537" a="1"/>
  <c r="J201" i="537"/>
  <c r="J201" i="537" a="1"/>
  <c r="H201" i="537"/>
  <c r="H200" i="537"/>
  <c r="W199" i="537"/>
  <c r="V199" i="537"/>
  <c r="V256" i="537" s="1"/>
  <c r="W256" i="537" s="1"/>
  <c r="N199" i="537"/>
  <c r="N256" i="537" s="1"/>
  <c r="K199" i="537" a="1"/>
  <c r="K199" i="537" s="1"/>
  <c r="M199" i="537" s="1"/>
  <c r="J199" i="537" a="1"/>
  <c r="J199" i="537" s="1"/>
  <c r="H199" i="537"/>
  <c r="H256" i="537" s="1"/>
  <c r="AA198" i="537"/>
  <c r="AA333" i="537" s="1"/>
  <c r="Z198" i="537"/>
  <c r="Z333" i="537" s="1"/>
  <c r="Y198" i="537"/>
  <c r="Y333" i="537" s="1"/>
  <c r="X198" i="537"/>
  <c r="X333" i="537" s="1"/>
  <c r="U198" i="537"/>
  <c r="U333" i="537" s="1"/>
  <c r="T198" i="537"/>
  <c r="T333" i="537" s="1"/>
  <c r="S198" i="537"/>
  <c r="S333" i="537" s="1"/>
  <c r="R198" i="537"/>
  <c r="R333" i="537" s="1"/>
  <c r="Q198" i="537"/>
  <c r="Q333" i="537" s="1"/>
  <c r="P198" i="537"/>
  <c r="O198" i="537"/>
  <c r="I198" i="537"/>
  <c r="I333" i="537" s="1"/>
  <c r="B341" i="537" s="1"/>
  <c r="G198" i="537"/>
  <c r="G333" i="537" s="1"/>
  <c r="W197" i="537"/>
  <c r="V197" i="537"/>
  <c r="N197" i="537"/>
  <c r="K197" i="537" a="1"/>
  <c r="K197" i="537" s="1"/>
  <c r="M197" i="537" s="1"/>
  <c r="J197" i="537" a="1"/>
  <c r="J197" i="537" s="1"/>
  <c r="H197" i="537"/>
  <c r="V196" i="537"/>
  <c r="W196" i="537" s="1"/>
  <c r="N196" i="537"/>
  <c r="K196" i="537" a="1"/>
  <c r="K196" i="537" s="1"/>
  <c r="M196" i="537" s="1"/>
  <c r="J196" i="537" a="1"/>
  <c r="J196" i="537" s="1"/>
  <c r="H196" i="537"/>
  <c r="K195" i="537" a="1"/>
  <c r="K195" i="537" s="1"/>
  <c r="M195" i="537" s="1"/>
  <c r="H195" i="537"/>
  <c r="K194" i="537" a="1"/>
  <c r="K194" i="537" s="1"/>
  <c r="M194" i="537" s="1"/>
  <c r="H194" i="537"/>
  <c r="K193" i="537" a="1"/>
  <c r="K193" i="537" s="1"/>
  <c r="M193" i="537" s="1"/>
  <c r="H193" i="537"/>
  <c r="K192" i="537" a="1"/>
  <c r="K192" i="537" s="1"/>
  <c r="M192" i="537" s="1"/>
  <c r="H192" i="537"/>
  <c r="W191" i="537"/>
  <c r="V191" i="537"/>
  <c r="N191" i="537"/>
  <c r="K191" i="537" a="1"/>
  <c r="K191" i="537" s="1"/>
  <c r="M191" i="537" s="1"/>
  <c r="J191" i="537" a="1"/>
  <c r="J191" i="537" s="1"/>
  <c r="H191" i="537"/>
  <c r="V190" i="537"/>
  <c r="W190" i="537" s="1"/>
  <c r="N190" i="537"/>
  <c r="K190" i="537" a="1"/>
  <c r="K190" i="537" s="1"/>
  <c r="M190" i="537" s="1"/>
  <c r="J190" i="537" a="1"/>
  <c r="J190" i="537" s="1"/>
  <c r="H190" i="537"/>
  <c r="V189" i="537"/>
  <c r="W189" i="537" s="1"/>
  <c r="N189" i="537"/>
  <c r="K189" i="537" a="1"/>
  <c r="K189" i="537" s="1"/>
  <c r="M189" i="537" s="1"/>
  <c r="J189" i="537" a="1"/>
  <c r="J189" i="537" s="1"/>
  <c r="H189" i="537"/>
  <c r="N188" i="537"/>
  <c r="K188" i="537" a="1"/>
  <c r="K188" i="537" s="1"/>
  <c r="M188" i="537" s="1"/>
  <c r="J188" i="537" a="1"/>
  <c r="J188" i="537" s="1"/>
  <c r="H188" i="537"/>
  <c r="N187" i="537"/>
  <c r="K187" i="537" a="1"/>
  <c r="K187" i="537" s="1"/>
  <c r="M187" i="537" s="1"/>
  <c r="J187" i="537" a="1"/>
  <c r="J187" i="537" s="1"/>
  <c r="H187" i="537"/>
  <c r="V186" i="537"/>
  <c r="W186" i="537" s="1"/>
  <c r="N186" i="537"/>
  <c r="K186" i="537" a="1"/>
  <c r="K186" i="537" s="1"/>
  <c r="M186" i="537" s="1"/>
  <c r="J186" i="537" a="1"/>
  <c r="J186" i="537" s="1"/>
  <c r="H186" i="537"/>
  <c r="V185" i="537"/>
  <c r="W185" i="537" s="1"/>
  <c r="N185" i="537"/>
  <c r="K185" i="537"/>
  <c r="M185" i="537" s="1"/>
  <c r="K185" i="537" a="1"/>
  <c r="J185" i="537"/>
  <c r="J185" i="537" a="1"/>
  <c r="H185" i="537"/>
  <c r="N184" i="537"/>
  <c r="K184" i="537" a="1"/>
  <c r="K184" i="537" s="1"/>
  <c r="M184" i="537" s="1"/>
  <c r="H184" i="537"/>
  <c r="N183" i="537"/>
  <c r="K183" i="537" a="1"/>
  <c r="K183" i="537" s="1"/>
  <c r="M183" i="537" s="1"/>
  <c r="H183" i="537"/>
  <c r="V182" i="537"/>
  <c r="W182" i="537" s="1"/>
  <c r="N182" i="537"/>
  <c r="K182" i="537" a="1"/>
  <c r="K182" i="537" s="1"/>
  <c r="M182" i="537" s="1"/>
  <c r="J182" i="537" a="1"/>
  <c r="J182" i="537" s="1"/>
  <c r="H182" i="537"/>
  <c r="V181" i="537"/>
  <c r="W181" i="537" s="1"/>
  <c r="N181" i="537"/>
  <c r="K181" i="537"/>
  <c r="M181" i="537" s="1"/>
  <c r="K181" i="537" a="1"/>
  <c r="J181" i="537"/>
  <c r="J181" i="537" a="1"/>
  <c r="H181" i="537"/>
  <c r="V180" i="537"/>
  <c r="W180" i="537" s="1"/>
  <c r="N180" i="537"/>
  <c r="K180" i="537" a="1"/>
  <c r="K180" i="537" s="1"/>
  <c r="M180" i="537" s="1"/>
  <c r="J180" i="537" a="1"/>
  <c r="J180" i="537" s="1"/>
  <c r="H180" i="537"/>
  <c r="W179" i="537"/>
  <c r="V179" i="537"/>
  <c r="N179" i="537"/>
  <c r="K179" i="537" a="1"/>
  <c r="K179" i="537" s="1"/>
  <c r="M179" i="537" s="1"/>
  <c r="J179" i="537" a="1"/>
  <c r="J179" i="537" s="1"/>
  <c r="H179" i="537"/>
  <c r="V178" i="537"/>
  <c r="W178" i="537" s="1"/>
  <c r="N178" i="537"/>
  <c r="K178" i="537" a="1"/>
  <c r="K178" i="537" s="1"/>
  <c r="M178" i="537" s="1"/>
  <c r="J178" i="537" a="1"/>
  <c r="J178" i="537" s="1"/>
  <c r="H178" i="537"/>
  <c r="V177" i="537"/>
  <c r="N177" i="537"/>
  <c r="N198" i="537" s="1"/>
  <c r="K177" i="537" a="1"/>
  <c r="K177" i="537" s="1"/>
  <c r="M177" i="537" s="1"/>
  <c r="J177" i="537" a="1"/>
  <c r="J177" i="537" s="1"/>
  <c r="H177" i="537"/>
  <c r="X170" i="537"/>
  <c r="Q526" i="537" s="1"/>
  <c r="X169" i="537"/>
  <c r="Q525" i="537" s="1"/>
  <c r="G169" i="537"/>
  <c r="C169" i="537"/>
  <c r="X168" i="537"/>
  <c r="Q524" i="537" s="1"/>
  <c r="I168" i="537"/>
  <c r="E168" i="537"/>
  <c r="K168" i="537" s="1"/>
  <c r="M168" i="537" s="1"/>
  <c r="I167" i="537"/>
  <c r="E167" i="537"/>
  <c r="K167" i="537" s="1"/>
  <c r="M167" i="537" s="1"/>
  <c r="I166" i="537"/>
  <c r="E166" i="537"/>
  <c r="K166" i="537" s="1"/>
  <c r="M166" i="537" s="1"/>
  <c r="X165" i="537"/>
  <c r="Q521" i="537" s="1"/>
  <c r="I165" i="537"/>
  <c r="I169" i="537" s="1"/>
  <c r="E165" i="537"/>
  <c r="K165" i="537" s="1"/>
  <c r="AA162" i="537"/>
  <c r="Z162" i="537"/>
  <c r="Y162" i="537"/>
  <c r="X162" i="537"/>
  <c r="U162" i="537"/>
  <c r="T162" i="537"/>
  <c r="S162" i="537"/>
  <c r="R162" i="537"/>
  <c r="Q162" i="537"/>
  <c r="P162" i="537"/>
  <c r="O162" i="537"/>
  <c r="R170" i="537" s="1"/>
  <c r="I162" i="537"/>
  <c r="G162" i="537"/>
  <c r="C526" i="537" s="1"/>
  <c r="H161" i="537"/>
  <c r="H160" i="537"/>
  <c r="H159" i="537"/>
  <c r="V158" i="537"/>
  <c r="W158" i="537" s="1"/>
  <c r="N158" i="537"/>
  <c r="K158" i="537" a="1"/>
  <c r="K158" i="537" s="1"/>
  <c r="J158" i="537" a="1"/>
  <c r="J158" i="537" s="1"/>
  <c r="D158" i="537"/>
  <c r="H158" i="537" s="1"/>
  <c r="V157" i="537"/>
  <c r="W157" i="537" s="1"/>
  <c r="N157" i="537"/>
  <c r="K157" i="537" a="1"/>
  <c r="K157" i="537" s="1"/>
  <c r="M157" i="537" s="1"/>
  <c r="J157" i="537" a="1"/>
  <c r="J157" i="537" s="1"/>
  <c r="H157" i="537"/>
  <c r="H156" i="537"/>
  <c r="H155" i="537"/>
  <c r="V154" i="537"/>
  <c r="W154" i="537" s="1"/>
  <c r="N154" i="537"/>
  <c r="K154" i="537"/>
  <c r="M154" i="537" s="1"/>
  <c r="K154" i="537" a="1"/>
  <c r="J154" i="537"/>
  <c r="J154" i="537" a="1"/>
  <c r="H154" i="537"/>
  <c r="V153" i="537"/>
  <c r="W153" i="537" s="1"/>
  <c r="N153" i="537"/>
  <c r="K153" i="537" a="1"/>
  <c r="K153" i="537" s="1"/>
  <c r="M153" i="537" s="1"/>
  <c r="J153" i="537" a="1"/>
  <c r="J153" i="537" s="1"/>
  <c r="H153" i="537"/>
  <c r="H152" i="537"/>
  <c r="V151" i="537"/>
  <c r="W151" i="537" s="1"/>
  <c r="N151" i="537"/>
  <c r="K151" i="537" a="1"/>
  <c r="K151" i="537" s="1"/>
  <c r="M151" i="537" s="1"/>
  <c r="J151" i="537" a="1"/>
  <c r="J151" i="537" s="1"/>
  <c r="H151" i="537"/>
  <c r="W150" i="537"/>
  <c r="V150" i="537"/>
  <c r="N150" i="537"/>
  <c r="K150" i="537" a="1"/>
  <c r="K150" i="537" s="1"/>
  <c r="M150" i="537" s="1"/>
  <c r="J150" i="537" a="1"/>
  <c r="J150" i="537" s="1"/>
  <c r="H150" i="537"/>
  <c r="V149" i="537"/>
  <c r="W149" i="537" s="1"/>
  <c r="N149" i="537"/>
  <c r="K149" i="537" a="1"/>
  <c r="K149" i="537" s="1"/>
  <c r="M149" i="537" s="1"/>
  <c r="J149" i="537" a="1"/>
  <c r="J149" i="537" s="1"/>
  <c r="H149" i="537"/>
  <c r="V148" i="537"/>
  <c r="V162" i="537" s="1"/>
  <c r="W162" i="537" s="1"/>
  <c r="N148" i="537"/>
  <c r="K148" i="537"/>
  <c r="K148" i="537" a="1"/>
  <c r="J148" i="537"/>
  <c r="J148" i="537" a="1"/>
  <c r="H148" i="537"/>
  <c r="H162" i="537" s="1"/>
  <c r="AA147" i="537"/>
  <c r="Z147" i="537"/>
  <c r="Y147" i="537"/>
  <c r="X147" i="537"/>
  <c r="U147" i="537"/>
  <c r="T147" i="537"/>
  <c r="S147" i="537"/>
  <c r="Q147" i="537"/>
  <c r="P147" i="537"/>
  <c r="O147" i="537"/>
  <c r="R169" i="537" s="1"/>
  <c r="I147" i="537"/>
  <c r="G147" i="537"/>
  <c r="C525" i="537" s="1"/>
  <c r="V146" i="537"/>
  <c r="W146" i="537" s="1"/>
  <c r="N146" i="537"/>
  <c r="K146" i="537" a="1"/>
  <c r="K146" i="537" s="1"/>
  <c r="M146" i="537" s="1"/>
  <c r="J146" i="537" a="1"/>
  <c r="J146" i="537" s="1"/>
  <c r="H146" i="537"/>
  <c r="K145" i="537"/>
  <c r="K145" i="537" a="1"/>
  <c r="H145" i="537"/>
  <c r="K144" i="537" a="1"/>
  <c r="K144" i="537" s="1"/>
  <c r="H144" i="537"/>
  <c r="K143" i="537" a="1"/>
  <c r="K143" i="537" s="1"/>
  <c r="H143" i="537"/>
  <c r="V142" i="537"/>
  <c r="W142" i="537" s="1"/>
  <c r="N142" i="537"/>
  <c r="K142" i="537" a="1"/>
  <c r="K142" i="537" s="1"/>
  <c r="M142" i="537" s="1"/>
  <c r="J142" i="537" a="1"/>
  <c r="J142" i="537" s="1"/>
  <c r="H142" i="537"/>
  <c r="V141" i="537"/>
  <c r="W141" i="537" s="1"/>
  <c r="N141" i="537"/>
  <c r="K141" i="537"/>
  <c r="M141" i="537" s="1"/>
  <c r="K141" i="537" a="1"/>
  <c r="J141" i="537"/>
  <c r="J141" i="537" a="1"/>
  <c r="H141" i="537"/>
  <c r="V140" i="537"/>
  <c r="W140" i="537" s="1"/>
  <c r="N140" i="537"/>
  <c r="K140" i="537" a="1"/>
  <c r="K140" i="537" s="1"/>
  <c r="M140" i="537" s="1"/>
  <c r="J140" i="537" a="1"/>
  <c r="J140" i="537" s="1"/>
  <c r="H140" i="537"/>
  <c r="W139" i="537"/>
  <c r="V139" i="537"/>
  <c r="N139" i="537"/>
  <c r="K139" i="537" a="1"/>
  <c r="K139" i="537" s="1"/>
  <c r="M139" i="537" s="1"/>
  <c r="J139" i="537" a="1"/>
  <c r="J139" i="537" s="1"/>
  <c r="H139" i="537"/>
  <c r="V138" i="537"/>
  <c r="W138" i="537" s="1"/>
  <c r="N138" i="537"/>
  <c r="K138" i="537" a="1"/>
  <c r="K138" i="537" s="1"/>
  <c r="J138" i="537" a="1"/>
  <c r="J138" i="537" s="1"/>
  <c r="H138" i="537"/>
  <c r="H147" i="537" s="1"/>
  <c r="AA137" i="537"/>
  <c r="Z137" i="537"/>
  <c r="Y137" i="537"/>
  <c r="X137" i="537"/>
  <c r="U137" i="537"/>
  <c r="T137" i="537"/>
  <c r="S137" i="537"/>
  <c r="Q137" i="537"/>
  <c r="P137" i="537"/>
  <c r="O137" i="537"/>
  <c r="R168" i="537" s="1"/>
  <c r="I137" i="537"/>
  <c r="G137" i="537"/>
  <c r="C524" i="537" s="1"/>
  <c r="W136" i="537"/>
  <c r="V136" i="537"/>
  <c r="N136" i="537"/>
  <c r="K136" i="537" a="1"/>
  <c r="K136" i="537" s="1"/>
  <c r="M136" i="537" s="1"/>
  <c r="J136" i="537" a="1"/>
  <c r="J136" i="537" s="1"/>
  <c r="H136" i="537"/>
  <c r="V135" i="537"/>
  <c r="W135" i="537" s="1"/>
  <c r="N135" i="537"/>
  <c r="K135" i="537" a="1"/>
  <c r="K135" i="537" s="1"/>
  <c r="M135" i="537" s="1"/>
  <c r="J135" i="537" a="1"/>
  <c r="J135" i="537" s="1"/>
  <c r="H135" i="537"/>
  <c r="V134" i="537"/>
  <c r="W134" i="537" s="1"/>
  <c r="N134" i="537"/>
  <c r="K134" i="537"/>
  <c r="M134" i="537" s="1"/>
  <c r="K134" i="537" a="1"/>
  <c r="J134" i="537"/>
  <c r="J134" i="537" a="1"/>
  <c r="H134" i="537"/>
  <c r="V133" i="537"/>
  <c r="W133" i="537" s="1"/>
  <c r="N133" i="537"/>
  <c r="K133" i="537" a="1"/>
  <c r="K133" i="537" s="1"/>
  <c r="M133" i="537" s="1"/>
  <c r="J133" i="537" a="1"/>
  <c r="J133" i="537" s="1"/>
  <c r="H133" i="537"/>
  <c r="W132" i="537"/>
  <c r="V132" i="537"/>
  <c r="N132" i="537"/>
  <c r="K132" i="537" a="1"/>
  <c r="K132" i="537" s="1"/>
  <c r="M132" i="537" s="1"/>
  <c r="J132" i="537" a="1"/>
  <c r="J132" i="537" s="1"/>
  <c r="H132" i="537"/>
  <c r="V131" i="537"/>
  <c r="W131" i="537" s="1"/>
  <c r="N131" i="537"/>
  <c r="K131" i="537" a="1"/>
  <c r="K131" i="537" s="1"/>
  <c r="M131" i="537" s="1"/>
  <c r="J131" i="537" a="1"/>
  <c r="J131" i="537" s="1"/>
  <c r="H131" i="537"/>
  <c r="V130" i="537"/>
  <c r="W130" i="537" s="1"/>
  <c r="N130" i="537"/>
  <c r="K130" i="537"/>
  <c r="M130" i="537" s="1"/>
  <c r="K130" i="537" a="1"/>
  <c r="J130" i="537"/>
  <c r="J130" i="537" a="1"/>
  <c r="H130" i="537"/>
  <c r="V129" i="537"/>
  <c r="W129" i="537" s="1"/>
  <c r="N129" i="537"/>
  <c r="K129" i="537" a="1"/>
  <c r="K129" i="537" s="1"/>
  <c r="M129" i="537" s="1"/>
  <c r="J129" i="537" a="1"/>
  <c r="J129" i="537" s="1"/>
  <c r="H129" i="537"/>
  <c r="W128" i="537"/>
  <c r="V128" i="537"/>
  <c r="N128" i="537"/>
  <c r="K128" i="537" a="1"/>
  <c r="K128" i="537" s="1"/>
  <c r="M128" i="537" s="1"/>
  <c r="J128" i="537" a="1"/>
  <c r="J128" i="537" s="1"/>
  <c r="H128" i="537"/>
  <c r="V127" i="537"/>
  <c r="W127" i="537" s="1"/>
  <c r="N127" i="537"/>
  <c r="K127" i="537" a="1"/>
  <c r="K127" i="537" s="1"/>
  <c r="M127" i="537" s="1"/>
  <c r="J127" i="537" a="1"/>
  <c r="J127" i="537" s="1"/>
  <c r="H127" i="537"/>
  <c r="V126" i="537"/>
  <c r="W126" i="537" s="1"/>
  <c r="N126" i="537"/>
  <c r="K126" i="537"/>
  <c r="M126" i="537" s="1"/>
  <c r="K126" i="537" a="1"/>
  <c r="J126" i="537"/>
  <c r="J126" i="537" a="1"/>
  <c r="H126" i="537"/>
  <c r="V125" i="537"/>
  <c r="W125" i="537" s="1"/>
  <c r="N125" i="537"/>
  <c r="K125" i="537" a="1"/>
  <c r="K125" i="537" s="1"/>
  <c r="M125" i="537" s="1"/>
  <c r="J125" i="537" a="1"/>
  <c r="J125" i="537" s="1"/>
  <c r="H125" i="537"/>
  <c r="W124" i="537"/>
  <c r="V124" i="537"/>
  <c r="N124" i="537"/>
  <c r="K124" i="537" a="1"/>
  <c r="K124" i="537" s="1"/>
  <c r="M124" i="537" s="1"/>
  <c r="J124" i="537" a="1"/>
  <c r="J124" i="537" s="1"/>
  <c r="H124" i="537"/>
  <c r="V123" i="537"/>
  <c r="W123" i="537" s="1"/>
  <c r="N123" i="537"/>
  <c r="K123" i="537" a="1"/>
  <c r="K123" i="537" s="1"/>
  <c r="M123" i="537" s="1"/>
  <c r="J123" i="537" a="1"/>
  <c r="J123" i="537" s="1"/>
  <c r="H123" i="537"/>
  <c r="V122" i="537"/>
  <c r="V137" i="537" s="1"/>
  <c r="W137" i="537" s="1"/>
  <c r="N122" i="537"/>
  <c r="K122" i="537"/>
  <c r="M122" i="537" s="1"/>
  <c r="K122" i="537" a="1"/>
  <c r="J122" i="537"/>
  <c r="J122" i="537" a="1"/>
  <c r="H122" i="537"/>
  <c r="H137" i="537" s="1"/>
  <c r="AA121" i="537"/>
  <c r="Z121" i="537"/>
  <c r="Y121" i="537"/>
  <c r="X121" i="537"/>
  <c r="U121" i="537"/>
  <c r="T121" i="537"/>
  <c r="S121" i="537"/>
  <c r="R121" i="537"/>
  <c r="Q121" i="537"/>
  <c r="P121" i="537"/>
  <c r="O121" i="537"/>
  <c r="R167" i="537" s="1"/>
  <c r="I121" i="537"/>
  <c r="G121" i="537"/>
  <c r="C523" i="537" s="1"/>
  <c r="V120" i="537"/>
  <c r="W120" i="537" s="1"/>
  <c r="N120" i="537"/>
  <c r="K120" i="537" a="1"/>
  <c r="K120" i="537" s="1"/>
  <c r="M120" i="537" s="1"/>
  <c r="J120" i="537" a="1"/>
  <c r="J120" i="537" s="1"/>
  <c r="H120" i="537"/>
  <c r="V119" i="537"/>
  <c r="W119" i="537" s="1"/>
  <c r="N119" i="537"/>
  <c r="K119" i="537"/>
  <c r="M119" i="537" s="1"/>
  <c r="K119" i="537" a="1"/>
  <c r="J119" i="537"/>
  <c r="J119" i="537" a="1"/>
  <c r="H119" i="537"/>
  <c r="V118" i="537"/>
  <c r="W118" i="537" s="1"/>
  <c r="N118" i="537"/>
  <c r="K118" i="537" a="1"/>
  <c r="K118" i="537" s="1"/>
  <c r="M118" i="537" s="1"/>
  <c r="J118" i="537" a="1"/>
  <c r="J118" i="537" s="1"/>
  <c r="H118" i="537"/>
  <c r="K117" i="537" a="1"/>
  <c r="K117" i="537" s="1"/>
  <c r="H117" i="537"/>
  <c r="K116" i="537" a="1"/>
  <c r="K116" i="537" s="1"/>
  <c r="H116" i="537"/>
  <c r="K115" i="537" a="1"/>
  <c r="K115" i="537" s="1"/>
  <c r="H115" i="537"/>
  <c r="V114" i="537"/>
  <c r="W114" i="537" s="1"/>
  <c r="N114" i="537"/>
  <c r="K114" i="537" a="1"/>
  <c r="K114" i="537" s="1"/>
  <c r="M114" i="537" s="1"/>
  <c r="H114" i="537"/>
  <c r="V113" i="537"/>
  <c r="W113" i="537" s="1"/>
  <c r="N113" i="537"/>
  <c r="K113" i="537"/>
  <c r="M113" i="537" s="1"/>
  <c r="K113" i="537" a="1"/>
  <c r="H113" i="537"/>
  <c r="N112" i="537"/>
  <c r="K112" i="537" a="1"/>
  <c r="K112" i="537" s="1"/>
  <c r="M112" i="537" s="1"/>
  <c r="H112" i="537"/>
  <c r="N111" i="537"/>
  <c r="K111" i="537" a="1"/>
  <c r="K111" i="537" s="1"/>
  <c r="M111" i="537" s="1"/>
  <c r="H111" i="537"/>
  <c r="N110" i="537"/>
  <c r="K110" i="537" a="1"/>
  <c r="K110" i="537" s="1"/>
  <c r="M110" i="537" s="1"/>
  <c r="H110" i="537"/>
  <c r="N109" i="537"/>
  <c r="K109" i="537" a="1"/>
  <c r="K109" i="537" s="1"/>
  <c r="M109" i="537" s="1"/>
  <c r="H109" i="537"/>
  <c r="N108" i="537"/>
  <c r="K108" i="537" a="1"/>
  <c r="K108" i="537" s="1"/>
  <c r="M108" i="537" s="1"/>
  <c r="H108" i="537"/>
  <c r="N107" i="537"/>
  <c r="K107" i="537" a="1"/>
  <c r="K107" i="537" s="1"/>
  <c r="M107" i="537" s="1"/>
  <c r="H107" i="537"/>
  <c r="V106" i="537"/>
  <c r="W106" i="537" s="1"/>
  <c r="N106" i="537"/>
  <c r="K106" i="537" a="1"/>
  <c r="K106" i="537" s="1"/>
  <c r="M106" i="537" s="1"/>
  <c r="J106" i="537" a="1"/>
  <c r="J106" i="537" s="1"/>
  <c r="H106" i="537"/>
  <c r="V105" i="537"/>
  <c r="W105" i="537" s="1"/>
  <c r="N105" i="537"/>
  <c r="K105" i="537" a="1"/>
  <c r="K105" i="537" s="1"/>
  <c r="M105" i="537" s="1"/>
  <c r="J105" i="537" a="1"/>
  <c r="J105" i="537" s="1"/>
  <c r="H105" i="537"/>
  <c r="V104" i="537"/>
  <c r="W104" i="537" s="1"/>
  <c r="N104" i="537"/>
  <c r="K104" i="537" a="1"/>
  <c r="K104" i="537" s="1"/>
  <c r="M104" i="537" s="1"/>
  <c r="J104" i="537" a="1"/>
  <c r="J104" i="537" s="1"/>
  <c r="H104" i="537"/>
  <c r="V103" i="537"/>
  <c r="W103" i="537" s="1"/>
  <c r="N103" i="537"/>
  <c r="K103" i="537"/>
  <c r="M103" i="537" s="1"/>
  <c r="K103" i="537" a="1"/>
  <c r="J103" i="537" a="1"/>
  <c r="J103" i="537" s="1"/>
  <c r="H103" i="537"/>
  <c r="V102" i="537"/>
  <c r="W102" i="537" s="1"/>
  <c r="N102" i="537"/>
  <c r="K102" i="537" a="1"/>
  <c r="K102" i="537" s="1"/>
  <c r="M102" i="537" s="1"/>
  <c r="J102" i="537" a="1"/>
  <c r="J102" i="537" s="1"/>
  <c r="H102" i="537"/>
  <c r="V101" i="537"/>
  <c r="W101" i="537" s="1"/>
  <c r="N101" i="537"/>
  <c r="K101" i="537"/>
  <c r="M101" i="537" s="1"/>
  <c r="K101" i="537" a="1"/>
  <c r="J101" i="537" a="1"/>
  <c r="J101" i="537" s="1"/>
  <c r="H101" i="537"/>
  <c r="V100" i="537"/>
  <c r="W100" i="537" s="1"/>
  <c r="N100" i="537"/>
  <c r="K100" i="537" a="1"/>
  <c r="K100" i="537" s="1"/>
  <c r="M100" i="537" s="1"/>
  <c r="J100" i="537" a="1"/>
  <c r="J100" i="537" s="1"/>
  <c r="H100" i="537"/>
  <c r="V99" i="537"/>
  <c r="W99" i="537" s="1"/>
  <c r="N99" i="537"/>
  <c r="K99" i="537"/>
  <c r="M99" i="537" s="1"/>
  <c r="K99" i="537" a="1"/>
  <c r="J99" i="537"/>
  <c r="J99" i="537" a="1"/>
  <c r="H99" i="537"/>
  <c r="V98" i="537"/>
  <c r="W98" i="537" s="1"/>
  <c r="N98" i="537"/>
  <c r="K98" i="537" a="1"/>
  <c r="K98" i="537" s="1"/>
  <c r="M98" i="537" s="1"/>
  <c r="J98" i="537" a="1"/>
  <c r="J98" i="537" s="1"/>
  <c r="H98" i="537"/>
  <c r="W97" i="537"/>
  <c r="V97" i="537"/>
  <c r="N97" i="537"/>
  <c r="K97" i="537" a="1"/>
  <c r="K97" i="537" s="1"/>
  <c r="M97" i="537" s="1"/>
  <c r="J97" i="537" a="1"/>
  <c r="J97" i="537" s="1"/>
  <c r="H97" i="537"/>
  <c r="V96" i="537"/>
  <c r="W96" i="537" s="1"/>
  <c r="N96" i="537"/>
  <c r="K96" i="537" a="1"/>
  <c r="K96" i="537" s="1"/>
  <c r="M96" i="537" s="1"/>
  <c r="J96" i="537" a="1"/>
  <c r="J96" i="537" s="1"/>
  <c r="H96" i="537"/>
  <c r="W95" i="537"/>
  <c r="V95" i="537"/>
  <c r="N95" i="537"/>
  <c r="K95" i="537" a="1"/>
  <c r="K95" i="537" s="1"/>
  <c r="M95" i="537" s="1"/>
  <c r="J95" i="537" a="1"/>
  <c r="J95" i="537" s="1"/>
  <c r="H95" i="537"/>
  <c r="K94" i="537" a="1"/>
  <c r="K94" i="537" s="1"/>
  <c r="M94" i="537" s="1"/>
  <c r="H94" i="537"/>
  <c r="W93" i="537"/>
  <c r="V93" i="537"/>
  <c r="N93" i="537"/>
  <c r="K93" i="537" a="1"/>
  <c r="K93" i="537" s="1"/>
  <c r="M93" i="537" s="1"/>
  <c r="J93" i="537" a="1"/>
  <c r="J93" i="537" s="1"/>
  <c r="H93" i="537"/>
  <c r="W92" i="537"/>
  <c r="V92" i="537"/>
  <c r="N92" i="537"/>
  <c r="K92" i="537" a="1"/>
  <c r="K92" i="537" s="1"/>
  <c r="M92" i="537" s="1"/>
  <c r="J92" i="537" a="1"/>
  <c r="J92" i="537" s="1"/>
  <c r="H92" i="537"/>
  <c r="W91" i="537"/>
  <c r="V91" i="537"/>
  <c r="N91" i="537"/>
  <c r="K91" i="537" a="1"/>
  <c r="K91" i="537" s="1"/>
  <c r="M91" i="537" s="1"/>
  <c r="J91" i="537" a="1"/>
  <c r="J91" i="537" s="1"/>
  <c r="H91" i="537"/>
  <c r="V90" i="537"/>
  <c r="W90" i="537" s="1"/>
  <c r="N90" i="537"/>
  <c r="K90" i="537" a="1"/>
  <c r="K90" i="537" s="1"/>
  <c r="M90" i="537" s="1"/>
  <c r="J90" i="537" a="1"/>
  <c r="J90" i="537" s="1"/>
  <c r="H90" i="537"/>
  <c r="W89" i="537"/>
  <c r="V89" i="537"/>
  <c r="N89" i="537"/>
  <c r="K89" i="537" a="1"/>
  <c r="K89" i="537" s="1"/>
  <c r="M89" i="537" s="1"/>
  <c r="J89" i="537" a="1"/>
  <c r="J89" i="537" s="1"/>
  <c r="H89" i="537"/>
  <c r="V88" i="537"/>
  <c r="W88" i="537" s="1"/>
  <c r="N88" i="537"/>
  <c r="K88" i="537" a="1"/>
  <c r="K88" i="537" s="1"/>
  <c r="M88" i="537" s="1"/>
  <c r="J88" i="537" a="1"/>
  <c r="J88" i="537" s="1"/>
  <c r="H88" i="537"/>
  <c r="V87" i="537"/>
  <c r="N87" i="537"/>
  <c r="N121" i="537" s="1"/>
  <c r="K87" i="537" a="1"/>
  <c r="K87" i="537" s="1"/>
  <c r="M87" i="537" s="1"/>
  <c r="J87" i="537" a="1"/>
  <c r="J87" i="537" s="1"/>
  <c r="H87" i="537"/>
  <c r="AA86" i="537"/>
  <c r="Z86" i="537"/>
  <c r="Y86" i="537"/>
  <c r="X86" i="537"/>
  <c r="U86" i="537"/>
  <c r="T86" i="537"/>
  <c r="S86" i="537"/>
  <c r="R86" i="537"/>
  <c r="Q86" i="537"/>
  <c r="P86" i="537"/>
  <c r="O86" i="537"/>
  <c r="R166" i="537" s="1"/>
  <c r="I86" i="537"/>
  <c r="G86" i="537"/>
  <c r="C522" i="537" s="1"/>
  <c r="K85" i="537" a="1"/>
  <c r="K85" i="537" s="1"/>
  <c r="H85" i="537"/>
  <c r="K84" i="537"/>
  <c r="K84" i="537" a="1"/>
  <c r="H84" i="537"/>
  <c r="K83" i="537" a="1"/>
  <c r="K83" i="537" s="1"/>
  <c r="H83" i="537"/>
  <c r="K82" i="537" a="1"/>
  <c r="K82" i="537" s="1"/>
  <c r="H82" i="537"/>
  <c r="K81" i="537" a="1"/>
  <c r="K81" i="537" s="1"/>
  <c r="H81" i="537"/>
  <c r="K80" i="537" a="1"/>
  <c r="K80" i="537" s="1"/>
  <c r="H80" i="537"/>
  <c r="K79" i="537" a="1"/>
  <c r="K79" i="537" s="1"/>
  <c r="M79" i="537" s="1"/>
  <c r="H79" i="537"/>
  <c r="K78" i="537" a="1"/>
  <c r="K78" i="537" s="1"/>
  <c r="M78" i="537" s="1"/>
  <c r="H78" i="537"/>
  <c r="K77" i="537" a="1"/>
  <c r="K77" i="537" s="1"/>
  <c r="M77" i="537" s="1"/>
  <c r="H77" i="537"/>
  <c r="K76" i="537" a="1"/>
  <c r="K76" i="537" s="1"/>
  <c r="M76" i="537" s="1"/>
  <c r="H76" i="537"/>
  <c r="W75" i="537"/>
  <c r="V75" i="537"/>
  <c r="N75" i="537"/>
  <c r="K75" i="537" a="1"/>
  <c r="K75" i="537" s="1"/>
  <c r="M75" i="537" s="1"/>
  <c r="J75" i="537" a="1"/>
  <c r="J75" i="537" s="1"/>
  <c r="H75" i="537"/>
  <c r="V74" i="537"/>
  <c r="W74" i="537" s="1"/>
  <c r="N74" i="537"/>
  <c r="K74" i="537" a="1"/>
  <c r="K74" i="537" s="1"/>
  <c r="M74" i="537" s="1"/>
  <c r="J74" i="537" a="1"/>
  <c r="J74" i="537" s="1"/>
  <c r="H74" i="537"/>
  <c r="V73" i="537"/>
  <c r="W73" i="537" s="1"/>
  <c r="N73" i="537"/>
  <c r="K73" i="537"/>
  <c r="M73" i="537" s="1"/>
  <c r="K73" i="537" a="1"/>
  <c r="J73" i="537" a="1"/>
  <c r="J73" i="537" s="1"/>
  <c r="H73" i="537"/>
  <c r="V72" i="537"/>
  <c r="W72" i="537" s="1"/>
  <c r="N72" i="537"/>
  <c r="K72" i="537" a="1"/>
  <c r="K72" i="537" s="1"/>
  <c r="M72" i="537" s="1"/>
  <c r="J72" i="537" a="1"/>
  <c r="J72" i="537" s="1"/>
  <c r="H72" i="537"/>
  <c r="H71" i="537"/>
  <c r="V70" i="537"/>
  <c r="W70" i="537" s="1"/>
  <c r="N70" i="537"/>
  <c r="K70" i="537" a="1"/>
  <c r="K70" i="537" s="1"/>
  <c r="M70" i="537" s="1"/>
  <c r="J70" i="537" a="1"/>
  <c r="J70" i="537" s="1"/>
  <c r="H70" i="537"/>
  <c r="V69" i="537"/>
  <c r="W69" i="537" s="1"/>
  <c r="N69" i="537"/>
  <c r="K69" i="537"/>
  <c r="M69" i="537" s="1"/>
  <c r="K69" i="537" a="1"/>
  <c r="J69" i="537"/>
  <c r="J69" i="537" a="1"/>
  <c r="H69" i="537"/>
  <c r="K68" i="537" a="1"/>
  <c r="K68" i="537" s="1"/>
  <c r="H68" i="537"/>
  <c r="K67" i="537" a="1"/>
  <c r="K67" i="537" s="1"/>
  <c r="H67" i="537"/>
  <c r="V66" i="537"/>
  <c r="W66" i="537" s="1"/>
  <c r="N66" i="537"/>
  <c r="K66" i="537" a="1"/>
  <c r="K66" i="537" s="1"/>
  <c r="M66" i="537" s="1"/>
  <c r="J66" i="537" a="1"/>
  <c r="J66" i="537" s="1"/>
  <c r="H66" i="537"/>
  <c r="V65" i="537"/>
  <c r="W65" i="537" s="1"/>
  <c r="N65" i="537"/>
  <c r="K65" i="537"/>
  <c r="M65" i="537" s="1"/>
  <c r="K65" i="537" a="1"/>
  <c r="J65" i="537"/>
  <c r="J65" i="537" a="1"/>
  <c r="H65" i="537"/>
  <c r="V64" i="537"/>
  <c r="W64" i="537" s="1"/>
  <c r="N64" i="537"/>
  <c r="K64" i="537" a="1"/>
  <c r="K64" i="537" s="1"/>
  <c r="M64" i="537" s="1"/>
  <c r="J64" i="537" a="1"/>
  <c r="J64" i="537" s="1"/>
  <c r="H64" i="537"/>
  <c r="W63" i="537"/>
  <c r="V63" i="537"/>
  <c r="N63" i="537"/>
  <c r="K63" i="537" a="1"/>
  <c r="K63" i="537" s="1"/>
  <c r="M63" i="537" s="1"/>
  <c r="J63" i="537" a="1"/>
  <c r="J63" i="537" s="1"/>
  <c r="H63" i="537"/>
  <c r="V62" i="537"/>
  <c r="W62" i="537" s="1"/>
  <c r="N62" i="537"/>
  <c r="K62" i="537" a="1"/>
  <c r="K62" i="537" s="1"/>
  <c r="M62" i="537" s="1"/>
  <c r="J62" i="537" a="1"/>
  <c r="J62" i="537" s="1"/>
  <c r="H62" i="537"/>
  <c r="V61" i="537"/>
  <c r="W61" i="537" s="1"/>
  <c r="N61" i="537"/>
  <c r="K61" i="537"/>
  <c r="M61" i="537" s="1"/>
  <c r="K61" i="537" a="1"/>
  <c r="J61" i="537"/>
  <c r="J61" i="537" a="1"/>
  <c r="H61" i="537"/>
  <c r="V60" i="537"/>
  <c r="W60" i="537" s="1"/>
  <c r="N60" i="537"/>
  <c r="K60" i="537" a="1"/>
  <c r="K60" i="537" s="1"/>
  <c r="M60" i="537" s="1"/>
  <c r="J60" i="537" a="1"/>
  <c r="J60" i="537" s="1"/>
  <c r="H60" i="537"/>
  <c r="W59" i="537"/>
  <c r="V59" i="537"/>
  <c r="N59" i="537"/>
  <c r="K59" i="537" a="1"/>
  <c r="K59" i="537" s="1"/>
  <c r="M59" i="537" s="1"/>
  <c r="J59" i="537" a="1"/>
  <c r="J59" i="537" s="1"/>
  <c r="H59" i="537"/>
  <c r="V58" i="537"/>
  <c r="W58" i="537" s="1"/>
  <c r="N58" i="537"/>
  <c r="K58" i="537" a="1"/>
  <c r="K58" i="537" s="1"/>
  <c r="M58" i="537" s="1"/>
  <c r="J58" i="537" a="1"/>
  <c r="J58" i="537" s="1"/>
  <c r="H58" i="537"/>
  <c r="V57" i="537"/>
  <c r="W57" i="537" s="1"/>
  <c r="N57" i="537"/>
  <c r="K57" i="537"/>
  <c r="M57" i="537" s="1"/>
  <c r="K57" i="537" a="1"/>
  <c r="J57" i="537"/>
  <c r="J57" i="537" a="1"/>
  <c r="H57" i="537"/>
  <c r="K56" i="537" a="1"/>
  <c r="K56" i="537" s="1"/>
  <c r="M56" i="537" s="1"/>
  <c r="H56" i="537"/>
  <c r="K55" i="537"/>
  <c r="M55" i="537" s="1"/>
  <c r="K55" i="537" a="1"/>
  <c r="H55" i="537"/>
  <c r="K54" i="537" a="1"/>
  <c r="K54" i="537" s="1"/>
  <c r="M54" i="537" s="1"/>
  <c r="H54" i="537"/>
  <c r="K53" i="537"/>
  <c r="M53" i="537" s="1"/>
  <c r="K53" i="537" a="1"/>
  <c r="H53" i="537"/>
  <c r="N52" i="537"/>
  <c r="K52" i="537" a="1"/>
  <c r="K52" i="537" s="1"/>
  <c r="M52" i="537" s="1"/>
  <c r="H52" i="537"/>
  <c r="N51" i="537"/>
  <c r="K51" i="537" a="1"/>
  <c r="K51" i="537" s="1"/>
  <c r="M51" i="537" s="1"/>
  <c r="H51" i="537"/>
  <c r="N50" i="537"/>
  <c r="K50" i="537" a="1"/>
  <c r="K50" i="537" s="1"/>
  <c r="M50" i="537" s="1"/>
  <c r="H50" i="537"/>
  <c r="N49" i="537"/>
  <c r="K49" i="537" a="1"/>
  <c r="K49" i="537" s="1"/>
  <c r="M49" i="537" s="1"/>
  <c r="H49" i="537"/>
  <c r="V48" i="537"/>
  <c r="W48" i="537" s="1"/>
  <c r="N48" i="537"/>
  <c r="K48" i="537" a="1"/>
  <c r="K48" i="537" s="1"/>
  <c r="M48" i="537" s="1"/>
  <c r="J48" i="537" a="1"/>
  <c r="J48" i="537" s="1"/>
  <c r="H48" i="537"/>
  <c r="V47" i="537"/>
  <c r="W47" i="537" s="1"/>
  <c r="N47" i="537"/>
  <c r="K47" i="537" a="1"/>
  <c r="K47" i="537" s="1"/>
  <c r="M47" i="537" s="1"/>
  <c r="J47" i="537" a="1"/>
  <c r="J47" i="537" s="1"/>
  <c r="H47" i="537"/>
  <c r="W46" i="537"/>
  <c r="V46" i="537"/>
  <c r="N46" i="537"/>
  <c r="K46" i="537" a="1"/>
  <c r="K46" i="537" s="1"/>
  <c r="M46" i="537" s="1"/>
  <c r="J46" i="537" a="1"/>
  <c r="J46" i="537" s="1"/>
  <c r="H46" i="537"/>
  <c r="V45" i="537"/>
  <c r="W45" i="537" s="1"/>
  <c r="N45" i="537"/>
  <c r="K45" i="537" a="1"/>
  <c r="K45" i="537" s="1"/>
  <c r="M45" i="537" s="1"/>
  <c r="J45" i="537" a="1"/>
  <c r="J45" i="537" s="1"/>
  <c r="H45" i="537"/>
  <c r="V44" i="537"/>
  <c r="W44" i="537" s="1"/>
  <c r="N44" i="537"/>
  <c r="K44" i="537" a="1"/>
  <c r="K44" i="537" s="1"/>
  <c r="M44" i="537" s="1"/>
  <c r="J44" i="537" a="1"/>
  <c r="J44" i="537" s="1"/>
  <c r="H44" i="537"/>
  <c r="V43" i="537"/>
  <c r="W43" i="537" s="1"/>
  <c r="N43" i="537"/>
  <c r="K43" i="537" a="1"/>
  <c r="K43" i="537" s="1"/>
  <c r="M43" i="537" s="1"/>
  <c r="J43" i="537" a="1"/>
  <c r="J43" i="537" s="1"/>
  <c r="H43" i="537"/>
  <c r="V42" i="537"/>
  <c r="W42" i="537" s="1"/>
  <c r="N42" i="537"/>
  <c r="K42" i="537"/>
  <c r="M42" i="537" s="1"/>
  <c r="K42" i="537" a="1"/>
  <c r="J42" i="537"/>
  <c r="J42" i="537" a="1"/>
  <c r="H42" i="537"/>
  <c r="V41" i="537"/>
  <c r="W41" i="537" s="1"/>
  <c r="N41" i="537"/>
  <c r="K41" i="537" a="1"/>
  <c r="K41" i="537" s="1"/>
  <c r="M41" i="537" s="1"/>
  <c r="J41" i="537" a="1"/>
  <c r="J41" i="537" s="1"/>
  <c r="H41" i="537"/>
  <c r="V40" i="537"/>
  <c r="W40" i="537" s="1"/>
  <c r="N40" i="537"/>
  <c r="K40" i="537" a="1"/>
  <c r="K40" i="537" s="1"/>
  <c r="M40" i="537" s="1"/>
  <c r="J40" i="537" a="1"/>
  <c r="J40" i="537" s="1"/>
  <c r="H40" i="537"/>
  <c r="V39" i="537"/>
  <c r="W39" i="537" s="1"/>
  <c r="N39" i="537"/>
  <c r="K39" i="537" a="1"/>
  <c r="K39" i="537" s="1"/>
  <c r="M39" i="537" s="1"/>
  <c r="J39" i="537" a="1"/>
  <c r="J39" i="537" s="1"/>
  <c r="H39" i="537"/>
  <c r="V38" i="537"/>
  <c r="W38" i="537" s="1"/>
  <c r="N38" i="537"/>
  <c r="K38" i="537"/>
  <c r="M38" i="537" s="1"/>
  <c r="K38" i="537" a="1"/>
  <c r="J38" i="537"/>
  <c r="J38" i="537" a="1"/>
  <c r="H38" i="537"/>
  <c r="V37" i="537"/>
  <c r="W37" i="537" s="1"/>
  <c r="N37" i="537"/>
  <c r="K37" i="537" a="1"/>
  <c r="K37" i="537" s="1"/>
  <c r="M37" i="537" s="1"/>
  <c r="J37" i="537" a="1"/>
  <c r="J37" i="537" s="1"/>
  <c r="H37" i="537"/>
  <c r="H36" i="537"/>
  <c r="H35" i="537"/>
  <c r="H34" i="537"/>
  <c r="V33" i="537"/>
  <c r="W33" i="537" s="1"/>
  <c r="N33" i="537"/>
  <c r="K33" i="537" a="1"/>
  <c r="K33" i="537" s="1"/>
  <c r="M33" i="537" s="1"/>
  <c r="J33" i="537" a="1"/>
  <c r="J33" i="537" s="1"/>
  <c r="H33" i="537"/>
  <c r="V32" i="537"/>
  <c r="W32" i="537" s="1"/>
  <c r="N32" i="537"/>
  <c r="K32" i="537" a="1"/>
  <c r="K32" i="537" s="1"/>
  <c r="M32" i="537" s="1"/>
  <c r="J32" i="537" a="1"/>
  <c r="J32" i="537" s="1"/>
  <c r="H32" i="537"/>
  <c r="V31" i="537"/>
  <c r="W31" i="537" s="1"/>
  <c r="N31" i="537"/>
  <c r="K31" i="537" a="1"/>
  <c r="K31" i="537" s="1"/>
  <c r="M31" i="537" s="1"/>
  <c r="J31" i="537" a="1"/>
  <c r="J31" i="537" s="1"/>
  <c r="H31" i="537"/>
  <c r="K30" i="537" a="1"/>
  <c r="K30" i="537" s="1"/>
  <c r="H30" i="537"/>
  <c r="V29" i="537"/>
  <c r="V86" i="537" s="1"/>
  <c r="W86" i="537" s="1"/>
  <c r="N29" i="537"/>
  <c r="K29" i="537" a="1"/>
  <c r="K29" i="537" s="1"/>
  <c r="J29" i="537" a="1"/>
  <c r="J29" i="537" s="1"/>
  <c r="H29" i="537"/>
  <c r="AA28" i="537"/>
  <c r="AA163" i="537" s="1"/>
  <c r="Z28" i="537"/>
  <c r="Z163" i="537" s="1"/>
  <c r="Y28" i="537"/>
  <c r="Y163" i="537" s="1"/>
  <c r="X28" i="537"/>
  <c r="X163" i="537" s="1"/>
  <c r="U28" i="537"/>
  <c r="U163" i="537" s="1"/>
  <c r="T28" i="537"/>
  <c r="T163" i="537" s="1"/>
  <c r="S28" i="537"/>
  <c r="S163" i="537" s="1"/>
  <c r="R28" i="537"/>
  <c r="R163" i="537" s="1"/>
  <c r="Q28" i="537"/>
  <c r="Q163" i="537" s="1"/>
  <c r="P28" i="537"/>
  <c r="O28" i="537"/>
  <c r="I163" i="537"/>
  <c r="B171" i="537" s="1"/>
  <c r="G28" i="537"/>
  <c r="V27" i="537"/>
  <c r="W27" i="537" s="1"/>
  <c r="N27" i="537"/>
  <c r="K27" i="537" a="1"/>
  <c r="K27" i="537" s="1"/>
  <c r="M27" i="537" s="1"/>
  <c r="J27" i="537" a="1"/>
  <c r="J27" i="537" s="1"/>
  <c r="H27" i="537"/>
  <c r="W26" i="537"/>
  <c r="V26" i="537"/>
  <c r="N26" i="537"/>
  <c r="K26" i="537" a="1"/>
  <c r="K26" i="537" s="1"/>
  <c r="M26" i="537" s="1"/>
  <c r="J26" i="537" a="1"/>
  <c r="J26" i="537" s="1"/>
  <c r="H26" i="537"/>
  <c r="K25" i="537"/>
  <c r="M25" i="537" s="1"/>
  <c r="K25" i="537" a="1"/>
  <c r="J25" i="537"/>
  <c r="J25" i="537" a="1"/>
  <c r="H25" i="537"/>
  <c r="K24" i="537" a="1"/>
  <c r="K24" i="537" s="1"/>
  <c r="M24" i="537" s="1"/>
  <c r="J24" i="537" a="1"/>
  <c r="J24" i="537" s="1"/>
  <c r="H24" i="537"/>
  <c r="K23" i="537"/>
  <c r="M23" i="537" s="1"/>
  <c r="K23" i="537" a="1"/>
  <c r="J23" i="537"/>
  <c r="J23" i="537" a="1"/>
  <c r="H23" i="537"/>
  <c r="K22" i="537" a="1"/>
  <c r="K22" i="537" s="1"/>
  <c r="M22" i="537" s="1"/>
  <c r="J22" i="537" a="1"/>
  <c r="J22" i="537" s="1"/>
  <c r="H22" i="537"/>
  <c r="V21" i="537"/>
  <c r="W21" i="537" s="1"/>
  <c r="N21" i="537"/>
  <c r="K21" i="537" a="1"/>
  <c r="K21" i="537" s="1"/>
  <c r="M21" i="537" s="1"/>
  <c r="J21" i="537" a="1"/>
  <c r="J21" i="537" s="1"/>
  <c r="H21" i="537"/>
  <c r="W20" i="537"/>
  <c r="V20" i="537"/>
  <c r="N20" i="537"/>
  <c r="K20" i="537"/>
  <c r="M20" i="537" s="1"/>
  <c r="K20" i="537" a="1"/>
  <c r="J20" i="537"/>
  <c r="J20" i="537" a="1"/>
  <c r="H20" i="537"/>
  <c r="V19" i="537"/>
  <c r="W19" i="537" s="1"/>
  <c r="N19" i="537"/>
  <c r="K19" i="537" a="1"/>
  <c r="K19" i="537" s="1"/>
  <c r="M19" i="537" s="1"/>
  <c r="J19" i="537" a="1"/>
  <c r="J19" i="537" s="1"/>
  <c r="H19" i="537"/>
  <c r="N18" i="537"/>
  <c r="K18" i="537"/>
  <c r="M18" i="537" s="1"/>
  <c r="K18" i="537" a="1"/>
  <c r="J18" i="537"/>
  <c r="J18" i="537" a="1"/>
  <c r="H18" i="537"/>
  <c r="N17" i="537"/>
  <c r="K17" i="537" a="1"/>
  <c r="K17" i="537" s="1"/>
  <c r="M17" i="537" s="1"/>
  <c r="J17" i="537" a="1"/>
  <c r="J17" i="537" s="1"/>
  <c r="H17" i="537"/>
  <c r="W16" i="537"/>
  <c r="V16" i="537"/>
  <c r="N16" i="537"/>
  <c r="K16" i="537"/>
  <c r="M16" i="537" s="1"/>
  <c r="K16" i="537" a="1"/>
  <c r="J16" i="537"/>
  <c r="J16" i="537" a="1"/>
  <c r="H16" i="537"/>
  <c r="V15" i="537"/>
  <c r="W15" i="537" s="1"/>
  <c r="N15" i="537"/>
  <c r="K15" i="537" a="1"/>
  <c r="K15" i="537" s="1"/>
  <c r="M15" i="537" s="1"/>
  <c r="J15" i="537" a="1"/>
  <c r="J15" i="537" s="1"/>
  <c r="H15" i="537"/>
  <c r="N14" i="537"/>
  <c r="K14" i="537"/>
  <c r="M14" i="537" s="1"/>
  <c r="K14" i="537" a="1"/>
  <c r="H14" i="537"/>
  <c r="N13" i="537"/>
  <c r="K13" i="537" a="1"/>
  <c r="K13" i="537" s="1"/>
  <c r="M13" i="537" s="1"/>
  <c r="H13" i="537"/>
  <c r="W12" i="537"/>
  <c r="V12" i="537"/>
  <c r="N12" i="537"/>
  <c r="K12" i="537"/>
  <c r="M12" i="537" s="1"/>
  <c r="K12" i="537" a="1"/>
  <c r="J12" i="537"/>
  <c r="J12" i="537" a="1"/>
  <c r="H12" i="537"/>
  <c r="V11" i="537"/>
  <c r="W11" i="537" s="1"/>
  <c r="N11" i="537"/>
  <c r="K11" i="537" a="1"/>
  <c r="K11" i="537" s="1"/>
  <c r="M11" i="537" s="1"/>
  <c r="J11" i="537" a="1"/>
  <c r="J11" i="537" s="1"/>
  <c r="H11" i="537"/>
  <c r="W10" i="537"/>
  <c r="V10" i="537"/>
  <c r="N10" i="537"/>
  <c r="K10" i="537"/>
  <c r="M10" i="537" s="1"/>
  <c r="K10" i="537" a="1"/>
  <c r="J10" i="537"/>
  <c r="J10" i="537" a="1"/>
  <c r="H10" i="537"/>
  <c r="V9" i="537"/>
  <c r="W9" i="537" s="1"/>
  <c r="N9" i="537"/>
  <c r="K9" i="537" a="1"/>
  <c r="K9" i="537" s="1"/>
  <c r="M9" i="537" s="1"/>
  <c r="J9" i="537" a="1"/>
  <c r="J9" i="537" s="1"/>
  <c r="H9" i="537"/>
  <c r="W8" i="537"/>
  <c r="V8" i="537"/>
  <c r="N8" i="537"/>
  <c r="K8" i="537"/>
  <c r="M8" i="537" s="1"/>
  <c r="K8" i="537" a="1"/>
  <c r="J8" i="537"/>
  <c r="J8" i="537" a="1"/>
  <c r="H8" i="537"/>
  <c r="V7" i="537"/>
  <c r="V28" i="537" s="1"/>
  <c r="N7" i="537"/>
  <c r="N28" i="537" s="1"/>
  <c r="K7" i="537" a="1"/>
  <c r="K7" i="537" s="1"/>
  <c r="J7" i="537" a="1"/>
  <c r="J7" i="537" s="1"/>
  <c r="H7" i="537"/>
  <c r="H28" i="537" s="1"/>
  <c r="C531" i="505" l="1"/>
  <c r="J461" i="537" a="1"/>
  <c r="J461" i="537" s="1"/>
  <c r="J28" i="537" a="1"/>
  <c r="J28" i="537" s="1"/>
  <c r="J256" i="537" a="1"/>
  <c r="J256" i="537" s="1"/>
  <c r="J291" i="537" a="1"/>
  <c r="J291" i="537" s="1"/>
  <c r="C533" i="537"/>
  <c r="T533" i="537" s="1" a="1"/>
  <c r="T533" i="537" s="1"/>
  <c r="J531" i="537"/>
  <c r="Q531" i="537" s="1"/>
  <c r="R531" i="537" s="1"/>
  <c r="J532" i="537"/>
  <c r="Q532" i="537" s="1"/>
  <c r="J530" i="537"/>
  <c r="T530" i="537" a="1"/>
  <c r="T530" i="537" s="1"/>
  <c r="N477" i="537"/>
  <c r="W462" i="537"/>
  <c r="M487" i="537"/>
  <c r="W488" i="537"/>
  <c r="W503" i="537" s="1"/>
  <c r="R509" i="537"/>
  <c r="K487" i="537"/>
  <c r="K368" i="537"/>
  <c r="W369" i="537"/>
  <c r="H368" i="537"/>
  <c r="H504" i="537" s="1"/>
  <c r="E511" i="537" s="1"/>
  <c r="J368" i="537" a="1"/>
  <c r="J368" i="537" s="1"/>
  <c r="J307" i="537" a="1"/>
  <c r="J307" i="537" s="1"/>
  <c r="R338" i="537"/>
  <c r="H317" i="537"/>
  <c r="W308" i="537"/>
  <c r="N333" i="537"/>
  <c r="B342" i="537" s="1"/>
  <c r="E342" i="537" s="1"/>
  <c r="N307" i="537"/>
  <c r="K317" i="537"/>
  <c r="H291" i="537"/>
  <c r="H198" i="537"/>
  <c r="V198" i="537"/>
  <c r="W177" i="537"/>
  <c r="W198" i="537" s="1"/>
  <c r="M256" i="537"/>
  <c r="J198" i="537" a="1"/>
  <c r="J198" i="537" s="1"/>
  <c r="M198" i="537"/>
  <c r="N137" i="537"/>
  <c r="W122" i="537"/>
  <c r="J137" i="537" a="1"/>
  <c r="J137" i="537" s="1"/>
  <c r="N147" i="537"/>
  <c r="N162" i="537"/>
  <c r="W148" i="537"/>
  <c r="J162" i="537" a="1"/>
  <c r="J162" i="537" s="1"/>
  <c r="M137" i="537"/>
  <c r="K162" i="537"/>
  <c r="H121" i="537"/>
  <c r="V121" i="537"/>
  <c r="W121" i="537" s="1"/>
  <c r="W87" i="537"/>
  <c r="K28" i="537"/>
  <c r="M7" i="537"/>
  <c r="M28" i="537" s="1"/>
  <c r="W28" i="537"/>
  <c r="K86" i="537"/>
  <c r="M29" i="537"/>
  <c r="M86" i="537" s="1"/>
  <c r="W7" i="537"/>
  <c r="X166" i="537"/>
  <c r="P163" i="537"/>
  <c r="X167" i="537" s="1"/>
  <c r="H86" i="537"/>
  <c r="H163" i="537" s="1"/>
  <c r="E170" i="537" s="1"/>
  <c r="N86" i="537"/>
  <c r="N163" i="537" s="1"/>
  <c r="B172" i="537" s="1"/>
  <c r="W29" i="537"/>
  <c r="M121" i="537"/>
  <c r="K523" i="537"/>
  <c r="K169" i="537"/>
  <c r="M165" i="537"/>
  <c r="C521" i="537"/>
  <c r="G163" i="537"/>
  <c r="C517" i="537"/>
  <c r="R165" i="537"/>
  <c r="O163" i="537"/>
  <c r="K522" i="537"/>
  <c r="K524" i="537"/>
  <c r="K147" i="537"/>
  <c r="M138" i="537"/>
  <c r="M147" i="537" s="1"/>
  <c r="K525" i="537"/>
  <c r="K526" i="537"/>
  <c r="J86" i="537" a="1"/>
  <c r="J86" i="537" s="1"/>
  <c r="J121" i="537" a="1"/>
  <c r="J121" i="537" s="1"/>
  <c r="K121" i="537"/>
  <c r="K137" i="537"/>
  <c r="V147" i="537"/>
  <c r="W147" i="537" s="1"/>
  <c r="E169" i="537"/>
  <c r="K198" i="537"/>
  <c r="X336" i="537"/>
  <c r="P333" i="537"/>
  <c r="X337" i="537" s="1"/>
  <c r="K256" i="537"/>
  <c r="K291" i="537"/>
  <c r="K332" i="537"/>
  <c r="M318" i="537"/>
  <c r="M332" i="537" s="1"/>
  <c r="J147" i="537" a="1"/>
  <c r="J147" i="537" s="1"/>
  <c r="M148" i="537"/>
  <c r="M162" i="537" s="1"/>
  <c r="X172" i="537"/>
  <c r="B340" i="537"/>
  <c r="J333" i="537" a="1"/>
  <c r="J333" i="537" s="1"/>
  <c r="M340" i="537" s="1"/>
  <c r="R335" i="537"/>
  <c r="O333" i="537"/>
  <c r="R336" i="537"/>
  <c r="M257" i="537"/>
  <c r="M291" i="537" s="1"/>
  <c r="V291" i="537"/>
  <c r="W291" i="537" s="1"/>
  <c r="M292" i="537"/>
  <c r="M307" i="537" s="1"/>
  <c r="K307" i="537"/>
  <c r="K339" i="537"/>
  <c r="M335" i="537"/>
  <c r="W292" i="537"/>
  <c r="M308" i="537"/>
  <c r="M317" i="537" s="1"/>
  <c r="W318" i="537"/>
  <c r="W332" i="537" s="1"/>
  <c r="E339" i="537"/>
  <c r="M347" i="537"/>
  <c r="M368" i="537" s="1"/>
  <c r="V368" i="537"/>
  <c r="K426" i="537"/>
  <c r="K461" i="537"/>
  <c r="M427" i="537"/>
  <c r="M461" i="537" s="1"/>
  <c r="W368" i="537"/>
  <c r="M477" i="537"/>
  <c r="K477" i="537"/>
  <c r="J487" i="537" a="1"/>
  <c r="J487" i="537" s="1"/>
  <c r="V487" i="537"/>
  <c r="W487" i="537" s="1"/>
  <c r="J503" i="537" a="1"/>
  <c r="J503" i="537" s="1"/>
  <c r="K510" i="537"/>
  <c r="M510" i="537" s="1"/>
  <c r="B511" i="537"/>
  <c r="R506" i="537"/>
  <c r="M369" i="537"/>
  <c r="M426" i="537" s="1"/>
  <c r="W427" i="537"/>
  <c r="N487" i="537"/>
  <c r="N504" i="537" s="1"/>
  <c r="B513" i="537" s="1"/>
  <c r="E513" i="537" s="1"/>
  <c r="K503" i="537"/>
  <c r="M488" i="537"/>
  <c r="M503" i="537" s="1"/>
  <c r="J504" i="537" a="1"/>
  <c r="J504" i="537" s="1"/>
  <c r="M511" i="537" s="1"/>
  <c r="X506" i="537"/>
  <c r="I510" i="537"/>
  <c r="I429" i="536"/>
  <c r="I428" i="536"/>
  <c r="M116" i="536"/>
  <c r="M115" i="536"/>
  <c r="J116" i="536" a="1"/>
  <c r="J116" i="536" s="1"/>
  <c r="J115" i="536" a="1"/>
  <c r="J115" i="536" s="1"/>
  <c r="J114" i="536" a="1"/>
  <c r="J114" i="536" s="1"/>
  <c r="J113" i="536" a="1"/>
  <c r="J113" i="536" s="1"/>
  <c r="J112" i="536" a="1"/>
  <c r="J112" i="536" s="1"/>
  <c r="J111" i="536" a="1"/>
  <c r="J111" i="536" s="1"/>
  <c r="J110" i="536" a="1"/>
  <c r="J110" i="536" s="1"/>
  <c r="J109" i="536" a="1"/>
  <c r="J109" i="536" s="1"/>
  <c r="J108" i="536" a="1"/>
  <c r="J108" i="536" s="1"/>
  <c r="J107" i="536" a="1"/>
  <c r="J107" i="536" s="1"/>
  <c r="J106" i="536" a="1"/>
  <c r="J106" i="536" s="1"/>
  <c r="J105" i="536" a="1"/>
  <c r="J105" i="536" s="1"/>
  <c r="J104" i="536" a="1"/>
  <c r="J104" i="536" s="1"/>
  <c r="J103" i="536" a="1"/>
  <c r="J103" i="536" s="1"/>
  <c r="J102" i="536" a="1"/>
  <c r="J102" i="536" s="1"/>
  <c r="J101" i="536" a="1"/>
  <c r="J101" i="536" s="1"/>
  <c r="J100" i="536" a="1"/>
  <c r="J100" i="536" s="1"/>
  <c r="J99" i="536" a="1"/>
  <c r="J99" i="536" s="1"/>
  <c r="J98" i="536" a="1"/>
  <c r="J98" i="536" s="1"/>
  <c r="J97" i="536" a="1"/>
  <c r="J97" i="536" s="1"/>
  <c r="J96" i="536" a="1"/>
  <c r="J96" i="536" s="1"/>
  <c r="J95" i="536" a="1"/>
  <c r="J95" i="536" s="1"/>
  <c r="J94" i="536" a="1"/>
  <c r="J94" i="536" s="1"/>
  <c r="J50" i="536" a="1"/>
  <c r="J50" i="536" s="1"/>
  <c r="I120" i="536"/>
  <c r="I118" i="536"/>
  <c r="I115" i="536"/>
  <c r="I116" i="536"/>
  <c r="I16" i="536"/>
  <c r="I40" i="536"/>
  <c r="I41" i="536"/>
  <c r="I94" i="536"/>
  <c r="M287" i="536"/>
  <c r="K287" i="536" a="1"/>
  <c r="K287" i="536" s="1"/>
  <c r="J287" i="536" a="1"/>
  <c r="J287" i="536" s="1"/>
  <c r="J286" i="536" a="1"/>
  <c r="J286" i="536" s="1"/>
  <c r="J285" i="536" a="1"/>
  <c r="J285" i="536" s="1"/>
  <c r="J284" i="536" a="1"/>
  <c r="J284" i="536" s="1"/>
  <c r="J283" i="536" a="1"/>
  <c r="J283" i="536" s="1"/>
  <c r="J282" i="536" a="1"/>
  <c r="J282" i="536" s="1"/>
  <c r="J281" i="536" a="1"/>
  <c r="J281" i="536" s="1"/>
  <c r="J220" i="536" a="1"/>
  <c r="J220" i="536" s="1"/>
  <c r="J219" i="536" a="1"/>
  <c r="J219" i="536" s="1"/>
  <c r="I288" i="536"/>
  <c r="I281" i="536"/>
  <c r="I287" i="536"/>
  <c r="I186" i="536"/>
  <c r="I212" i="536"/>
  <c r="I207" i="536"/>
  <c r="I211" i="536"/>
  <c r="S531" i="537" l="1" a="1"/>
  <c r="S531" i="537" s="1"/>
  <c r="R532" i="537"/>
  <c r="S532" i="537" a="1"/>
  <c r="S532" i="537" s="1"/>
  <c r="J533" i="537"/>
  <c r="Q530" i="537"/>
  <c r="K504" i="537"/>
  <c r="E512" i="537" s="1"/>
  <c r="I512" i="537" s="1"/>
  <c r="M512" i="537" s="1"/>
  <c r="M333" i="537"/>
  <c r="W333" i="537"/>
  <c r="X342" i="537"/>
  <c r="Z340" i="537" s="1"/>
  <c r="H333" i="537"/>
  <c r="E340" i="537" s="1"/>
  <c r="G516" i="537" s="1"/>
  <c r="C518" i="537"/>
  <c r="G518" i="537" s="1"/>
  <c r="E172" i="537"/>
  <c r="R513" i="537"/>
  <c r="T506" i="537" s="1" a="1"/>
  <c r="T506" i="537" s="1"/>
  <c r="V504" i="537"/>
  <c r="Z339" i="537"/>
  <c r="Z165" i="537" a="1"/>
  <c r="Z165" i="537" s="1"/>
  <c r="Z171" i="537"/>
  <c r="Z170" i="537"/>
  <c r="Z336" i="537"/>
  <c r="Z169" i="537"/>
  <c r="Z168" i="537"/>
  <c r="K521" i="537"/>
  <c r="R172" i="537"/>
  <c r="T165" i="537" s="1" a="1"/>
  <c r="T165" i="537" s="1"/>
  <c r="C527" i="537"/>
  <c r="E521" i="537" s="1"/>
  <c r="M169" i="537"/>
  <c r="Q522" i="537"/>
  <c r="Z166" i="537"/>
  <c r="V163" i="537"/>
  <c r="I172" i="537" s="1"/>
  <c r="K163" i="537"/>
  <c r="E171" i="537" s="1"/>
  <c r="X513" i="537"/>
  <c r="Z506" i="537" s="1" a="1"/>
  <c r="Z506" i="537" s="1"/>
  <c r="M504" i="537"/>
  <c r="Z341" i="537"/>
  <c r="Z335" i="537" a="1"/>
  <c r="Z335" i="537" s="1"/>
  <c r="M339" i="537"/>
  <c r="R342" i="537"/>
  <c r="T336" i="537" s="1"/>
  <c r="Z338" i="537"/>
  <c r="Z337" i="537"/>
  <c r="K333" i="537"/>
  <c r="B170" i="537"/>
  <c r="C516" i="537" s="1"/>
  <c r="L163" i="537"/>
  <c r="I170" i="537" s="1"/>
  <c r="J163" i="537" a="1"/>
  <c r="J163" i="537" s="1"/>
  <c r="M170" i="537" s="1"/>
  <c r="V333" i="537"/>
  <c r="I342" i="537" s="1"/>
  <c r="M342" i="537" s="1" a="1"/>
  <c r="M342" i="537" s="1"/>
  <c r="Q523" i="537"/>
  <c r="Z167" i="537"/>
  <c r="W163" i="537"/>
  <c r="M163" i="537"/>
  <c r="S530" i="537" l="1" a="1"/>
  <c r="S530" i="537" s="1"/>
  <c r="Q533" i="537"/>
  <c r="S533" i="537" s="1" a="1"/>
  <c r="S533" i="537" s="1"/>
  <c r="R530" i="537"/>
  <c r="R533" i="537" s="1"/>
  <c r="L504" i="537"/>
  <c r="I511" i="537" s="1"/>
  <c r="T335" i="537" a="1"/>
  <c r="T335" i="537" s="1"/>
  <c r="E341" i="537"/>
  <c r="I341" i="537" s="1"/>
  <c r="M341" i="537" s="1"/>
  <c r="L333" i="537"/>
  <c r="I340" i="537" s="1"/>
  <c r="T341" i="537"/>
  <c r="T339" i="537"/>
  <c r="T337" i="537"/>
  <c r="T340" i="537"/>
  <c r="T338" i="537"/>
  <c r="Z510" i="537"/>
  <c r="Z509" i="537"/>
  <c r="Z508" i="537"/>
  <c r="Z511" i="537"/>
  <c r="Z507" i="537"/>
  <c r="Z512" i="537"/>
  <c r="I171" i="537"/>
  <c r="M171" i="537" s="1"/>
  <c r="K527" i="537"/>
  <c r="T171" i="537"/>
  <c r="T167" i="537"/>
  <c r="T166" i="537"/>
  <c r="T168" i="537"/>
  <c r="T169" i="537"/>
  <c r="T170" i="537"/>
  <c r="O516" i="537" a="1"/>
  <c r="O516" i="537" s="1"/>
  <c r="M172" i="537" a="1"/>
  <c r="M172" i="537" s="1"/>
  <c r="Q527" i="537"/>
  <c r="E525" i="537"/>
  <c r="E526" i="537"/>
  <c r="E523" i="537"/>
  <c r="E522" i="537"/>
  <c r="E524" i="537"/>
  <c r="M521" i="537" a="1"/>
  <c r="M521" i="537" s="1"/>
  <c r="I513" i="537"/>
  <c r="M513" i="537" s="1" a="1"/>
  <c r="M513" i="537" s="1"/>
  <c r="W504" i="537"/>
  <c r="T512" i="537"/>
  <c r="T510" i="537"/>
  <c r="T508" i="537"/>
  <c r="T509" i="537"/>
  <c r="T511" i="537"/>
  <c r="T507" i="537"/>
  <c r="G50" i="536"/>
  <c r="D531" i="536"/>
  <c r="D532" i="536"/>
  <c r="D530" i="536"/>
  <c r="D533" i="536" s="1"/>
  <c r="G428" i="536"/>
  <c r="G429" i="536"/>
  <c r="G288" i="536"/>
  <c r="G211" i="536"/>
  <c r="G287" i="536"/>
  <c r="G202" i="536"/>
  <c r="G186" i="536"/>
  <c r="G203" i="536"/>
  <c r="G219" i="536"/>
  <c r="G220" i="536"/>
  <c r="H207" i="536"/>
  <c r="G33" i="536"/>
  <c r="G48" i="536"/>
  <c r="G120" i="536"/>
  <c r="G41" i="536"/>
  <c r="G40" i="536"/>
  <c r="G116" i="536"/>
  <c r="G94" i="536"/>
  <c r="G16" i="536"/>
  <c r="G118" i="536"/>
  <c r="P533" i="536"/>
  <c r="O533" i="536"/>
  <c r="N533" i="536"/>
  <c r="M533" i="536"/>
  <c r="L533" i="536"/>
  <c r="K533" i="536"/>
  <c r="I533" i="536"/>
  <c r="H533" i="536"/>
  <c r="G533" i="536"/>
  <c r="F533" i="536"/>
  <c r="E533" i="536"/>
  <c r="T532" i="536" a="1"/>
  <c r="T532" i="536" s="1"/>
  <c r="Q532" i="536"/>
  <c r="R532" i="536" s="1"/>
  <c r="J532" i="536"/>
  <c r="C532" i="536"/>
  <c r="T531" i="536" a="1"/>
  <c r="T531" i="536" s="1"/>
  <c r="Q531" i="536"/>
  <c r="R531" i="536" s="1"/>
  <c r="J531" i="536"/>
  <c r="C531" i="536"/>
  <c r="C530" i="536"/>
  <c r="C533" i="536" s="1"/>
  <c r="T533" i="536" s="1" a="1"/>
  <c r="T533" i="536" s="1"/>
  <c r="N514" i="536"/>
  <c r="G514" i="536"/>
  <c r="X512" i="536"/>
  <c r="X511" i="536"/>
  <c r="X510" i="536"/>
  <c r="I510" i="536"/>
  <c r="G510" i="536"/>
  <c r="E510" i="536"/>
  <c r="C510" i="536"/>
  <c r="X509" i="536"/>
  <c r="I509" i="536"/>
  <c r="E509" i="536"/>
  <c r="K509" i="536" s="1"/>
  <c r="M509" i="536" s="1"/>
  <c r="X508" i="536"/>
  <c r="I508" i="536"/>
  <c r="E508" i="536"/>
  <c r="K508" i="536" s="1"/>
  <c r="M508" i="536" s="1"/>
  <c r="I507" i="536"/>
  <c r="E507" i="536"/>
  <c r="K507" i="536" s="1"/>
  <c r="M507" i="536" s="1"/>
  <c r="I506" i="536"/>
  <c r="E506" i="536"/>
  <c r="K506" i="536" s="1"/>
  <c r="K510" i="536" s="1"/>
  <c r="M510" i="536" s="1"/>
  <c r="AA503" i="536"/>
  <c r="Z503" i="536"/>
  <c r="Y503" i="536"/>
  <c r="X503" i="536"/>
  <c r="U503" i="536"/>
  <c r="T503" i="536"/>
  <c r="S503" i="536"/>
  <c r="R503" i="536"/>
  <c r="Q503" i="536"/>
  <c r="P503" i="536"/>
  <c r="R511" i="536" s="1"/>
  <c r="O503" i="536"/>
  <c r="I503" i="536"/>
  <c r="G503" i="536"/>
  <c r="J503" i="536" s="1" a="1"/>
  <c r="J503" i="536" s="1"/>
  <c r="H502" i="536"/>
  <c r="H501" i="536"/>
  <c r="H500" i="536"/>
  <c r="H499" i="536"/>
  <c r="D499" i="536"/>
  <c r="V498" i="536"/>
  <c r="W498" i="536" s="1"/>
  <c r="N498" i="536"/>
  <c r="K498" i="536" a="1"/>
  <c r="K498" i="536" s="1"/>
  <c r="M498" i="536" s="1"/>
  <c r="J498" i="536" a="1"/>
  <c r="J498" i="536" s="1"/>
  <c r="H498" i="536"/>
  <c r="H497" i="536"/>
  <c r="H496" i="536"/>
  <c r="V495" i="536"/>
  <c r="W495" i="536" s="1"/>
  <c r="N495" i="536"/>
  <c r="M495" i="536"/>
  <c r="K495" i="536" a="1"/>
  <c r="K495" i="536" s="1"/>
  <c r="J495" i="536" a="1"/>
  <c r="J495" i="536" s="1"/>
  <c r="H495" i="536"/>
  <c r="W494" i="536"/>
  <c r="V494" i="536"/>
  <c r="N494" i="536"/>
  <c r="K494" i="536" a="1"/>
  <c r="K494" i="536" s="1"/>
  <c r="M494" i="536" s="1"/>
  <c r="J494" i="536" a="1"/>
  <c r="J494" i="536" s="1"/>
  <c r="H494" i="536"/>
  <c r="H493" i="536"/>
  <c r="H492" i="536"/>
  <c r="W491" i="536"/>
  <c r="V491" i="536"/>
  <c r="N491" i="536"/>
  <c r="K491" i="536" a="1"/>
  <c r="K491" i="536" s="1"/>
  <c r="M491" i="536" s="1"/>
  <c r="J491" i="536" a="1"/>
  <c r="J491" i="536" s="1"/>
  <c r="H491" i="536"/>
  <c r="V490" i="536"/>
  <c r="W490" i="536" s="1"/>
  <c r="N490" i="536"/>
  <c r="K490" i="536" a="1"/>
  <c r="K490" i="536" s="1"/>
  <c r="M490" i="536" s="1"/>
  <c r="J490" i="536" a="1"/>
  <c r="J490" i="536" s="1"/>
  <c r="H490" i="536"/>
  <c r="V489" i="536"/>
  <c r="W489" i="536" s="1"/>
  <c r="N489" i="536"/>
  <c r="K489" i="536"/>
  <c r="M489" i="536" s="1"/>
  <c r="K489" i="536" a="1"/>
  <c r="J489" i="536"/>
  <c r="J489" i="536" a="1"/>
  <c r="H489" i="536"/>
  <c r="V488" i="536"/>
  <c r="N488" i="536"/>
  <c r="K488" i="536" a="1"/>
  <c r="K488" i="536" s="1"/>
  <c r="J488" i="536" a="1"/>
  <c r="J488" i="536" s="1"/>
  <c r="H488" i="536"/>
  <c r="AA487" i="536"/>
  <c r="Z487" i="536"/>
  <c r="Y487" i="536"/>
  <c r="X487" i="536"/>
  <c r="U487" i="536"/>
  <c r="T487" i="536"/>
  <c r="S487" i="536"/>
  <c r="Q487" i="536"/>
  <c r="P487" i="536"/>
  <c r="O487" i="536"/>
  <c r="I487" i="536"/>
  <c r="G487" i="536"/>
  <c r="J487" i="536" s="1" a="1"/>
  <c r="J487" i="536" s="1"/>
  <c r="V486" i="536"/>
  <c r="W486" i="536" s="1"/>
  <c r="N486" i="536"/>
  <c r="K486" i="536"/>
  <c r="M486" i="536" s="1"/>
  <c r="K486" i="536" a="1"/>
  <c r="J486" i="536"/>
  <c r="J486" i="536" a="1"/>
  <c r="H486" i="536"/>
  <c r="H485" i="536"/>
  <c r="H484" i="536"/>
  <c r="H483" i="536"/>
  <c r="W482" i="536"/>
  <c r="V482" i="536"/>
  <c r="N482" i="536"/>
  <c r="K482" i="536" a="1"/>
  <c r="K482" i="536" s="1"/>
  <c r="M482" i="536" s="1"/>
  <c r="J482" i="536" a="1"/>
  <c r="J482" i="536" s="1"/>
  <c r="H482" i="536"/>
  <c r="V481" i="536"/>
  <c r="W481" i="536" s="1"/>
  <c r="N481" i="536"/>
  <c r="K481" i="536" a="1"/>
  <c r="K481" i="536" s="1"/>
  <c r="M481" i="536" s="1"/>
  <c r="J481" i="536" a="1"/>
  <c r="J481" i="536" s="1"/>
  <c r="H481" i="536"/>
  <c r="V480" i="536"/>
  <c r="W480" i="536" s="1"/>
  <c r="N480" i="536"/>
  <c r="K480" i="536"/>
  <c r="M480" i="536" s="1"/>
  <c r="K480" i="536" a="1"/>
  <c r="J480" i="536"/>
  <c r="J480" i="536" a="1"/>
  <c r="H480" i="536"/>
  <c r="V479" i="536"/>
  <c r="W479" i="536" s="1"/>
  <c r="N479" i="536"/>
  <c r="K479" i="536" a="1"/>
  <c r="K479" i="536" s="1"/>
  <c r="M479" i="536" s="1"/>
  <c r="J479" i="536" a="1"/>
  <c r="J479" i="536" s="1"/>
  <c r="H479" i="536"/>
  <c r="W478" i="536"/>
  <c r="V478" i="536"/>
  <c r="V487" i="536" s="1"/>
  <c r="W487" i="536" s="1"/>
  <c r="N478" i="536"/>
  <c r="N487" i="536" s="1"/>
  <c r="K478" i="536" a="1"/>
  <c r="K478" i="536" s="1"/>
  <c r="K487" i="536" s="1"/>
  <c r="J478" i="536" a="1"/>
  <c r="J478" i="536" s="1"/>
  <c r="H478" i="536"/>
  <c r="H487" i="536" s="1"/>
  <c r="AA477" i="536"/>
  <c r="Z477" i="536"/>
  <c r="Y477" i="536"/>
  <c r="X477" i="536"/>
  <c r="U477" i="536"/>
  <c r="T477" i="536"/>
  <c r="S477" i="536"/>
  <c r="Q477" i="536"/>
  <c r="P477" i="536"/>
  <c r="O477" i="536"/>
  <c r="I477" i="536"/>
  <c r="G477" i="536"/>
  <c r="V476" i="536"/>
  <c r="W476" i="536" s="1"/>
  <c r="N476" i="536"/>
  <c r="K476" i="536" a="1"/>
  <c r="K476" i="536" s="1"/>
  <c r="M476" i="536" s="1"/>
  <c r="J476" i="536" a="1"/>
  <c r="J476" i="536" s="1"/>
  <c r="H476" i="536"/>
  <c r="V475" i="536"/>
  <c r="W475" i="536" s="1"/>
  <c r="N475" i="536"/>
  <c r="K475" i="536"/>
  <c r="M475" i="536" s="1"/>
  <c r="K475" i="536" a="1"/>
  <c r="J475" i="536"/>
  <c r="J475" i="536" a="1"/>
  <c r="H475" i="536"/>
  <c r="V474" i="536"/>
  <c r="W474" i="536" s="1"/>
  <c r="N474" i="536"/>
  <c r="K474" i="536" a="1"/>
  <c r="K474" i="536" s="1"/>
  <c r="M474" i="536" s="1"/>
  <c r="J474" i="536" a="1"/>
  <c r="J474" i="536" s="1"/>
  <c r="H474" i="536"/>
  <c r="V473" i="536"/>
  <c r="W473" i="536" s="1"/>
  <c r="N473" i="536"/>
  <c r="K473" i="536"/>
  <c r="M473" i="536" s="1"/>
  <c r="K473" i="536" a="1"/>
  <c r="J473" i="536"/>
  <c r="J473" i="536" a="1"/>
  <c r="H473" i="536"/>
  <c r="V472" i="536"/>
  <c r="W472" i="536" s="1"/>
  <c r="N472" i="536"/>
  <c r="K472" i="536" a="1"/>
  <c r="K472" i="536" s="1"/>
  <c r="M472" i="536" s="1"/>
  <c r="J472" i="536" a="1"/>
  <c r="J472" i="536" s="1"/>
  <c r="H472" i="536"/>
  <c r="W471" i="536"/>
  <c r="V471" i="536"/>
  <c r="N471" i="536"/>
  <c r="K471" i="536" a="1"/>
  <c r="K471" i="536" s="1"/>
  <c r="M471" i="536" s="1"/>
  <c r="J471" i="536" a="1"/>
  <c r="J471" i="536" s="1"/>
  <c r="H471" i="536"/>
  <c r="V470" i="536"/>
  <c r="W470" i="536" s="1"/>
  <c r="N470" i="536"/>
  <c r="K470" i="536" a="1"/>
  <c r="K470" i="536" s="1"/>
  <c r="M470" i="536" s="1"/>
  <c r="J470" i="536" a="1"/>
  <c r="J470" i="536" s="1"/>
  <c r="H470" i="536"/>
  <c r="V469" i="536"/>
  <c r="W469" i="536" s="1"/>
  <c r="N469" i="536"/>
  <c r="K469" i="536"/>
  <c r="M469" i="536" s="1"/>
  <c r="K469" i="536" a="1"/>
  <c r="J469" i="536"/>
  <c r="J469" i="536" a="1"/>
  <c r="H469" i="536"/>
  <c r="V468" i="536"/>
  <c r="W468" i="536" s="1"/>
  <c r="N468" i="536"/>
  <c r="K468" i="536" a="1"/>
  <c r="K468" i="536" s="1"/>
  <c r="M468" i="536" s="1"/>
  <c r="J468" i="536" a="1"/>
  <c r="J468" i="536" s="1"/>
  <c r="H468" i="536"/>
  <c r="W467" i="536"/>
  <c r="V467" i="536"/>
  <c r="N467" i="536"/>
  <c r="K467" i="536" a="1"/>
  <c r="K467" i="536" s="1"/>
  <c r="M467" i="536" s="1"/>
  <c r="J467" i="536" a="1"/>
  <c r="J467" i="536" s="1"/>
  <c r="H467" i="536"/>
  <c r="V466" i="536"/>
  <c r="W466" i="536" s="1"/>
  <c r="N466" i="536"/>
  <c r="K466" i="536" a="1"/>
  <c r="K466" i="536" s="1"/>
  <c r="M466" i="536" s="1"/>
  <c r="J466" i="536" a="1"/>
  <c r="J466" i="536" s="1"/>
  <c r="H466" i="536"/>
  <c r="V465" i="536"/>
  <c r="W465" i="536" s="1"/>
  <c r="N465" i="536"/>
  <c r="K465" i="536"/>
  <c r="M465" i="536" s="1"/>
  <c r="K465" i="536" a="1"/>
  <c r="J465" i="536"/>
  <c r="J465" i="536" a="1"/>
  <c r="H465" i="536"/>
  <c r="V464" i="536"/>
  <c r="W464" i="536" s="1"/>
  <c r="N464" i="536"/>
  <c r="K464" i="536" a="1"/>
  <c r="K464" i="536" s="1"/>
  <c r="M464" i="536" s="1"/>
  <c r="J464" i="536" a="1"/>
  <c r="J464" i="536" s="1"/>
  <c r="H464" i="536"/>
  <c r="W463" i="536"/>
  <c r="V463" i="536"/>
  <c r="N463" i="536"/>
  <c r="K463" i="536" a="1"/>
  <c r="K463" i="536" s="1"/>
  <c r="M463" i="536" s="1"/>
  <c r="J463" i="536" a="1"/>
  <c r="J463" i="536" s="1"/>
  <c r="H463" i="536"/>
  <c r="V462" i="536"/>
  <c r="V477" i="536" s="1"/>
  <c r="W477" i="536" s="1"/>
  <c r="N462" i="536"/>
  <c r="K462" i="536" a="1"/>
  <c r="K462" i="536" s="1"/>
  <c r="J462" i="536" a="1"/>
  <c r="J462" i="536" s="1"/>
  <c r="H462" i="536"/>
  <c r="H477" i="536" s="1"/>
  <c r="AA461" i="536"/>
  <c r="Z461" i="536"/>
  <c r="Y461" i="536"/>
  <c r="X461" i="536"/>
  <c r="U461" i="536"/>
  <c r="T461" i="536"/>
  <c r="S461" i="536"/>
  <c r="R461" i="536"/>
  <c r="Q461" i="536"/>
  <c r="P461" i="536"/>
  <c r="O461" i="536"/>
  <c r="R508" i="536" s="1"/>
  <c r="I461" i="536"/>
  <c r="G461" i="536"/>
  <c r="V460" i="536"/>
  <c r="W460" i="536" s="1"/>
  <c r="N460" i="536"/>
  <c r="K460" i="536" a="1"/>
  <c r="K460" i="536" s="1"/>
  <c r="M460" i="536" s="1"/>
  <c r="J460" i="536" a="1"/>
  <c r="J460" i="536" s="1"/>
  <c r="H460" i="536"/>
  <c r="V459" i="536"/>
  <c r="W459" i="536" s="1"/>
  <c r="N459" i="536"/>
  <c r="K459" i="536" a="1"/>
  <c r="K459" i="536" s="1"/>
  <c r="M459" i="536" s="1"/>
  <c r="J459" i="536" a="1"/>
  <c r="J459" i="536" s="1"/>
  <c r="H459" i="536"/>
  <c r="V458" i="536"/>
  <c r="W458" i="536" s="1"/>
  <c r="N458" i="536"/>
  <c r="K458" i="536" a="1"/>
  <c r="K458" i="536" s="1"/>
  <c r="M458" i="536" s="1"/>
  <c r="J458" i="536" a="1"/>
  <c r="J458" i="536" s="1"/>
  <c r="H458" i="536"/>
  <c r="K457" i="536" a="1"/>
  <c r="K457" i="536" s="1"/>
  <c r="M457" i="536" s="1"/>
  <c r="H457" i="536"/>
  <c r="K456" i="536" a="1"/>
  <c r="K456" i="536" s="1"/>
  <c r="M456" i="536" s="1"/>
  <c r="H456" i="536"/>
  <c r="K455" i="536" a="1"/>
  <c r="K455" i="536" s="1"/>
  <c r="M455" i="536" s="1"/>
  <c r="H455" i="536"/>
  <c r="W454" i="536"/>
  <c r="V454" i="536"/>
  <c r="N454" i="536"/>
  <c r="K454" i="536" a="1"/>
  <c r="K454" i="536" s="1"/>
  <c r="M454" i="536" s="1"/>
  <c r="J454" i="536" a="1"/>
  <c r="J454" i="536" s="1"/>
  <c r="H454" i="536"/>
  <c r="V453" i="536"/>
  <c r="W453" i="536" s="1"/>
  <c r="N453" i="536"/>
  <c r="K453" i="536" a="1"/>
  <c r="K453" i="536" s="1"/>
  <c r="M453" i="536" s="1"/>
  <c r="J453" i="536" a="1"/>
  <c r="J453" i="536" s="1"/>
  <c r="H453" i="536"/>
  <c r="N452" i="536"/>
  <c r="K452" i="536"/>
  <c r="M452" i="536" s="1"/>
  <c r="K452" i="536" a="1"/>
  <c r="H452" i="536"/>
  <c r="N451" i="536"/>
  <c r="K451" i="536" a="1"/>
  <c r="K451" i="536" s="1"/>
  <c r="M451" i="536" s="1"/>
  <c r="H451" i="536"/>
  <c r="N450" i="536"/>
  <c r="K450" i="536" a="1"/>
  <c r="K450" i="536" s="1"/>
  <c r="M450" i="536" s="1"/>
  <c r="H450" i="536"/>
  <c r="N449" i="536"/>
  <c r="K449" i="536" a="1"/>
  <c r="K449" i="536" s="1"/>
  <c r="M449" i="536" s="1"/>
  <c r="H449" i="536"/>
  <c r="N448" i="536"/>
  <c r="K448" i="536"/>
  <c r="M448" i="536" s="1"/>
  <c r="K448" i="536" a="1"/>
  <c r="H448" i="536"/>
  <c r="N447" i="536"/>
  <c r="K447" i="536" a="1"/>
  <c r="K447" i="536" s="1"/>
  <c r="M447" i="536" s="1"/>
  <c r="H447" i="536"/>
  <c r="W446" i="536"/>
  <c r="V446" i="536"/>
  <c r="N446" i="536"/>
  <c r="K446" i="536" a="1"/>
  <c r="K446" i="536" s="1"/>
  <c r="M446" i="536" s="1"/>
  <c r="J446" i="536" a="1"/>
  <c r="J446" i="536" s="1"/>
  <c r="H446" i="536"/>
  <c r="V445" i="536"/>
  <c r="W445" i="536" s="1"/>
  <c r="N445" i="536"/>
  <c r="K445" i="536" a="1"/>
  <c r="K445" i="536" s="1"/>
  <c r="M445" i="536" s="1"/>
  <c r="J445" i="536" a="1"/>
  <c r="J445" i="536" s="1"/>
  <c r="H445" i="536"/>
  <c r="V444" i="536"/>
  <c r="W444" i="536" s="1"/>
  <c r="N444" i="536"/>
  <c r="K444" i="536"/>
  <c r="M444" i="536" s="1"/>
  <c r="K444" i="536" a="1"/>
  <c r="J444" i="536"/>
  <c r="J444" i="536" a="1"/>
  <c r="H444" i="536"/>
  <c r="V443" i="536"/>
  <c r="W443" i="536" s="1"/>
  <c r="N443" i="536"/>
  <c r="K443" i="536" a="1"/>
  <c r="K443" i="536" s="1"/>
  <c r="M443" i="536" s="1"/>
  <c r="J443" i="536" a="1"/>
  <c r="J443" i="536" s="1"/>
  <c r="H443" i="536"/>
  <c r="W442" i="536"/>
  <c r="V442" i="536"/>
  <c r="N442" i="536"/>
  <c r="K442" i="536" a="1"/>
  <c r="K442" i="536" s="1"/>
  <c r="M442" i="536" s="1"/>
  <c r="J442" i="536" a="1"/>
  <c r="J442" i="536" s="1"/>
  <c r="H442" i="536"/>
  <c r="V441" i="536"/>
  <c r="W441" i="536" s="1"/>
  <c r="N441" i="536"/>
  <c r="K441" i="536" a="1"/>
  <c r="K441" i="536" s="1"/>
  <c r="M441" i="536" s="1"/>
  <c r="J441" i="536" a="1"/>
  <c r="J441" i="536" s="1"/>
  <c r="H441" i="536"/>
  <c r="V440" i="536"/>
  <c r="W440" i="536" s="1"/>
  <c r="N440" i="536"/>
  <c r="K440" i="536"/>
  <c r="M440" i="536" s="1"/>
  <c r="K440" i="536" a="1"/>
  <c r="J440" i="536"/>
  <c r="J440" i="536" a="1"/>
  <c r="H440" i="536"/>
  <c r="V439" i="536"/>
  <c r="W439" i="536" s="1"/>
  <c r="N439" i="536"/>
  <c r="K439" i="536" a="1"/>
  <c r="K439" i="536" s="1"/>
  <c r="M439" i="536" s="1"/>
  <c r="J439" i="536" a="1"/>
  <c r="J439" i="536" s="1"/>
  <c r="H439" i="536"/>
  <c r="W438" i="536"/>
  <c r="V438" i="536"/>
  <c r="N438" i="536"/>
  <c r="K438" i="536" a="1"/>
  <c r="K438" i="536" s="1"/>
  <c r="M438" i="536" s="1"/>
  <c r="J438" i="536" a="1"/>
  <c r="J438" i="536" s="1"/>
  <c r="H438" i="536"/>
  <c r="V437" i="536"/>
  <c r="W437" i="536" s="1"/>
  <c r="N437" i="536"/>
  <c r="K437" i="536" a="1"/>
  <c r="K437" i="536" s="1"/>
  <c r="M437" i="536" s="1"/>
  <c r="J437" i="536" a="1"/>
  <c r="J437" i="536" s="1"/>
  <c r="H437" i="536"/>
  <c r="V436" i="536"/>
  <c r="W436" i="536" s="1"/>
  <c r="N436" i="536"/>
  <c r="K436" i="536"/>
  <c r="M436" i="536" s="1"/>
  <c r="K436" i="536" a="1"/>
  <c r="J436" i="536"/>
  <c r="J436" i="536" a="1"/>
  <c r="H436" i="536"/>
  <c r="V435" i="536"/>
  <c r="W435" i="536" s="1"/>
  <c r="N435" i="536"/>
  <c r="K435" i="536" a="1"/>
  <c r="K435" i="536" s="1"/>
  <c r="M435" i="536" s="1"/>
  <c r="J435" i="536" a="1"/>
  <c r="J435" i="536" s="1"/>
  <c r="H435" i="536"/>
  <c r="N434" i="536"/>
  <c r="K434" i="536" a="1"/>
  <c r="K434" i="536" s="1"/>
  <c r="M434" i="536" s="1"/>
  <c r="H434" i="536"/>
  <c r="V433" i="536"/>
  <c r="W433" i="536" s="1"/>
  <c r="N433" i="536"/>
  <c r="K433" i="536" a="1"/>
  <c r="K433" i="536" s="1"/>
  <c r="M433" i="536" s="1"/>
  <c r="J433" i="536" a="1"/>
  <c r="J433" i="536" s="1"/>
  <c r="H433" i="536"/>
  <c r="V432" i="536"/>
  <c r="W432" i="536" s="1"/>
  <c r="N432" i="536"/>
  <c r="K432" i="536"/>
  <c r="M432" i="536" s="1"/>
  <c r="K432" i="536" a="1"/>
  <c r="J432" i="536"/>
  <c r="J432" i="536" a="1"/>
  <c r="H432" i="536"/>
  <c r="V431" i="536"/>
  <c r="W431" i="536" s="1"/>
  <c r="N431" i="536"/>
  <c r="K431" i="536" a="1"/>
  <c r="K431" i="536" s="1"/>
  <c r="M431" i="536" s="1"/>
  <c r="J431" i="536" a="1"/>
  <c r="J431" i="536" s="1"/>
  <c r="H431" i="536"/>
  <c r="W430" i="536"/>
  <c r="V430" i="536"/>
  <c r="N430" i="536"/>
  <c r="K430" i="536" a="1"/>
  <c r="K430" i="536" s="1"/>
  <c r="M430" i="536" s="1"/>
  <c r="J430" i="536" a="1"/>
  <c r="J430" i="536" s="1"/>
  <c r="H430" i="536"/>
  <c r="V429" i="536"/>
  <c r="W429" i="536" s="1"/>
  <c r="N429" i="536"/>
  <c r="K429" i="536" a="1"/>
  <c r="K429" i="536" s="1"/>
  <c r="M429" i="536" s="1"/>
  <c r="J429" i="536" a="1"/>
  <c r="J429" i="536" s="1"/>
  <c r="H429" i="536"/>
  <c r="W428" i="536"/>
  <c r="V428" i="536"/>
  <c r="N428" i="536"/>
  <c r="K428" i="536" a="1"/>
  <c r="K428" i="536" s="1"/>
  <c r="M428" i="536" s="1"/>
  <c r="J428" i="536" a="1"/>
  <c r="J428" i="536" s="1"/>
  <c r="H428" i="536"/>
  <c r="V427" i="536"/>
  <c r="N427" i="536"/>
  <c r="N461" i="536" s="1"/>
  <c r="K427" i="536" a="1"/>
  <c r="K427" i="536" s="1"/>
  <c r="J427" i="536" a="1"/>
  <c r="J427" i="536" s="1"/>
  <c r="H427" i="536"/>
  <c r="AA426" i="536"/>
  <c r="Z426" i="536"/>
  <c r="Y426" i="536"/>
  <c r="X426" i="536"/>
  <c r="U426" i="536"/>
  <c r="T426" i="536"/>
  <c r="S426" i="536"/>
  <c r="R426" i="536"/>
  <c r="Q426" i="536"/>
  <c r="P426" i="536"/>
  <c r="O426" i="536"/>
  <c r="R507" i="536" s="1"/>
  <c r="I426" i="536"/>
  <c r="G426" i="536"/>
  <c r="J426" i="536" s="1" a="1"/>
  <c r="J426" i="536" s="1"/>
  <c r="K425" i="536" a="1"/>
  <c r="K425" i="536" s="1"/>
  <c r="M425" i="536" s="1"/>
  <c r="H425" i="536"/>
  <c r="K424" i="536"/>
  <c r="M424" i="536" s="1"/>
  <c r="K424" i="536" a="1"/>
  <c r="H424" i="536"/>
  <c r="K423" i="536" a="1"/>
  <c r="K423" i="536" s="1"/>
  <c r="M423" i="536" s="1"/>
  <c r="H423" i="536"/>
  <c r="K422" i="536"/>
  <c r="M422" i="536" s="1"/>
  <c r="K422" i="536" a="1"/>
  <c r="H422" i="536"/>
  <c r="K421" i="536" a="1"/>
  <c r="K421" i="536" s="1"/>
  <c r="M421" i="536" s="1"/>
  <c r="H421" i="536"/>
  <c r="K420" i="536" a="1"/>
  <c r="K420" i="536" s="1"/>
  <c r="M420" i="536" s="1"/>
  <c r="H420" i="536"/>
  <c r="K419" i="536" a="1"/>
  <c r="K419" i="536" s="1"/>
  <c r="M419" i="536" s="1"/>
  <c r="H419" i="536"/>
  <c r="K418" i="536" a="1"/>
  <c r="K418" i="536" s="1"/>
  <c r="M418" i="536" s="1"/>
  <c r="H418" i="536"/>
  <c r="K417" i="536" a="1"/>
  <c r="K417" i="536" s="1"/>
  <c r="M417" i="536" s="1"/>
  <c r="H417" i="536"/>
  <c r="K416" i="536" a="1"/>
  <c r="K416" i="536" s="1"/>
  <c r="M416" i="536" s="1"/>
  <c r="H416" i="536"/>
  <c r="W415" i="536"/>
  <c r="V415" i="536"/>
  <c r="N415" i="536"/>
  <c r="K415" i="536" a="1"/>
  <c r="K415" i="536" s="1"/>
  <c r="M415" i="536" s="1"/>
  <c r="J415" i="536" a="1"/>
  <c r="J415" i="536" s="1"/>
  <c r="H415" i="536"/>
  <c r="V414" i="536"/>
  <c r="W414" i="536" s="1"/>
  <c r="N414" i="536"/>
  <c r="K414" i="536" a="1"/>
  <c r="K414" i="536" s="1"/>
  <c r="M414" i="536" s="1"/>
  <c r="J414" i="536" a="1"/>
  <c r="J414" i="536" s="1"/>
  <c r="H414" i="536"/>
  <c r="V413" i="536"/>
  <c r="W413" i="536" s="1"/>
  <c r="N413" i="536"/>
  <c r="K413" i="536"/>
  <c r="M413" i="536" s="1"/>
  <c r="K413" i="536" a="1"/>
  <c r="J413" i="536"/>
  <c r="J413" i="536" a="1"/>
  <c r="H413" i="536"/>
  <c r="V412" i="536"/>
  <c r="W412" i="536" s="1"/>
  <c r="N412" i="536"/>
  <c r="K412" i="536" a="1"/>
  <c r="K412" i="536" s="1"/>
  <c r="M412" i="536" s="1"/>
  <c r="J412" i="536" a="1"/>
  <c r="J412" i="536" s="1"/>
  <c r="H412" i="536"/>
  <c r="H411" i="536"/>
  <c r="V410" i="536"/>
  <c r="W410" i="536" s="1"/>
  <c r="N410" i="536"/>
  <c r="K410" i="536" a="1"/>
  <c r="K410" i="536" s="1"/>
  <c r="M410" i="536" s="1"/>
  <c r="J410" i="536" a="1"/>
  <c r="J410" i="536" s="1"/>
  <c r="H410" i="536"/>
  <c r="W409" i="536"/>
  <c r="V409" i="536"/>
  <c r="N409" i="536"/>
  <c r="K409" i="536" a="1"/>
  <c r="K409" i="536" s="1"/>
  <c r="M409" i="536" s="1"/>
  <c r="J409" i="536" a="1"/>
  <c r="J409" i="536" s="1"/>
  <c r="H409" i="536"/>
  <c r="H408" i="536"/>
  <c r="K407" i="536" a="1"/>
  <c r="K407" i="536" s="1"/>
  <c r="H407" i="536"/>
  <c r="V406" i="536"/>
  <c r="W406" i="536" s="1"/>
  <c r="N406" i="536"/>
  <c r="K406" i="536" a="1"/>
  <c r="K406" i="536" s="1"/>
  <c r="M406" i="536" s="1"/>
  <c r="J406" i="536" a="1"/>
  <c r="J406" i="536" s="1"/>
  <c r="H406" i="536"/>
  <c r="V405" i="536"/>
  <c r="W405" i="536" s="1"/>
  <c r="N405" i="536"/>
  <c r="K405" i="536"/>
  <c r="M405" i="536" s="1"/>
  <c r="K405" i="536" a="1"/>
  <c r="J405" i="536"/>
  <c r="J405" i="536" a="1"/>
  <c r="H405" i="536"/>
  <c r="V404" i="536"/>
  <c r="W404" i="536" s="1"/>
  <c r="N404" i="536"/>
  <c r="K404" i="536" a="1"/>
  <c r="K404" i="536" s="1"/>
  <c r="M404" i="536" s="1"/>
  <c r="J404" i="536" a="1"/>
  <c r="J404" i="536" s="1"/>
  <c r="H404" i="536"/>
  <c r="W403" i="536"/>
  <c r="V403" i="536"/>
  <c r="N403" i="536"/>
  <c r="K403" i="536" a="1"/>
  <c r="K403" i="536" s="1"/>
  <c r="M403" i="536" s="1"/>
  <c r="J403" i="536" a="1"/>
  <c r="J403" i="536" s="1"/>
  <c r="H403" i="536"/>
  <c r="V402" i="536"/>
  <c r="W402" i="536" s="1"/>
  <c r="N402" i="536"/>
  <c r="K402" i="536" a="1"/>
  <c r="K402" i="536" s="1"/>
  <c r="M402" i="536" s="1"/>
  <c r="J402" i="536" a="1"/>
  <c r="J402" i="536" s="1"/>
  <c r="H402" i="536"/>
  <c r="V401" i="536"/>
  <c r="W401" i="536" s="1"/>
  <c r="N401" i="536"/>
  <c r="K401" i="536"/>
  <c r="M401" i="536" s="1"/>
  <c r="K401" i="536" a="1"/>
  <c r="J401" i="536"/>
  <c r="J401" i="536" a="1"/>
  <c r="H401" i="536"/>
  <c r="V400" i="536"/>
  <c r="W400" i="536" s="1"/>
  <c r="N400" i="536"/>
  <c r="K400" i="536" a="1"/>
  <c r="K400" i="536" s="1"/>
  <c r="M400" i="536" s="1"/>
  <c r="J400" i="536" a="1"/>
  <c r="J400" i="536" s="1"/>
  <c r="H400" i="536"/>
  <c r="W399" i="536"/>
  <c r="V399" i="536"/>
  <c r="N399" i="536"/>
  <c r="K399" i="536" a="1"/>
  <c r="K399" i="536" s="1"/>
  <c r="M399" i="536" s="1"/>
  <c r="J399" i="536" a="1"/>
  <c r="J399" i="536" s="1"/>
  <c r="H399" i="536"/>
  <c r="V398" i="536"/>
  <c r="W398" i="536" s="1"/>
  <c r="N398" i="536"/>
  <c r="K398" i="536" a="1"/>
  <c r="K398" i="536" s="1"/>
  <c r="M398" i="536" s="1"/>
  <c r="J398" i="536" a="1"/>
  <c r="J398" i="536" s="1"/>
  <c r="H398" i="536"/>
  <c r="V397" i="536"/>
  <c r="W397" i="536" s="1"/>
  <c r="N397" i="536"/>
  <c r="K397" i="536"/>
  <c r="M397" i="536" s="1"/>
  <c r="K397" i="536" a="1"/>
  <c r="J397" i="536"/>
  <c r="J397" i="536" a="1"/>
  <c r="H397" i="536"/>
  <c r="K396" i="536" a="1"/>
  <c r="K396" i="536" s="1"/>
  <c r="M396" i="536" s="1"/>
  <c r="H396" i="536"/>
  <c r="K395" i="536"/>
  <c r="M395" i="536" s="1"/>
  <c r="K395" i="536" a="1"/>
  <c r="H395" i="536"/>
  <c r="K394" i="536" a="1"/>
  <c r="K394" i="536" s="1"/>
  <c r="M394" i="536" s="1"/>
  <c r="H394" i="536"/>
  <c r="K393" i="536"/>
  <c r="M393" i="536" s="1"/>
  <c r="K393" i="536" a="1"/>
  <c r="H393" i="536"/>
  <c r="N392" i="536"/>
  <c r="K392" i="536" a="1"/>
  <c r="K392" i="536" s="1"/>
  <c r="M392" i="536" s="1"/>
  <c r="H392" i="536"/>
  <c r="N391" i="536"/>
  <c r="K391" i="536" a="1"/>
  <c r="K391" i="536" s="1"/>
  <c r="M391" i="536" s="1"/>
  <c r="H391" i="536"/>
  <c r="N390" i="536"/>
  <c r="K390" i="536" a="1"/>
  <c r="K390" i="536" s="1"/>
  <c r="M390" i="536" s="1"/>
  <c r="H390" i="536"/>
  <c r="N389" i="536"/>
  <c r="K389" i="536"/>
  <c r="M389" i="536" s="1"/>
  <c r="K389" i="536" a="1"/>
  <c r="H389" i="536"/>
  <c r="V388" i="536"/>
  <c r="W388" i="536" s="1"/>
  <c r="N388" i="536"/>
  <c r="K388" i="536" a="1"/>
  <c r="K388" i="536" s="1"/>
  <c r="M388" i="536" s="1"/>
  <c r="J388" i="536" a="1"/>
  <c r="J388" i="536" s="1"/>
  <c r="H388" i="536"/>
  <c r="W387" i="536"/>
  <c r="V387" i="536"/>
  <c r="N387" i="536"/>
  <c r="K387" i="536" a="1"/>
  <c r="K387" i="536" s="1"/>
  <c r="M387" i="536" s="1"/>
  <c r="J387" i="536" a="1"/>
  <c r="J387" i="536" s="1"/>
  <c r="H387" i="536"/>
  <c r="V386" i="536"/>
  <c r="W386" i="536" s="1"/>
  <c r="N386" i="536"/>
  <c r="K386" i="536" a="1"/>
  <c r="K386" i="536" s="1"/>
  <c r="M386" i="536" s="1"/>
  <c r="J386" i="536" a="1"/>
  <c r="J386" i="536" s="1"/>
  <c r="H386" i="536"/>
  <c r="V385" i="536"/>
  <c r="W385" i="536" s="1"/>
  <c r="N385" i="536"/>
  <c r="K385" i="536"/>
  <c r="M385" i="536" s="1"/>
  <c r="K385" i="536" a="1"/>
  <c r="J385" i="536"/>
  <c r="J385" i="536" a="1"/>
  <c r="H385" i="536"/>
  <c r="V384" i="536"/>
  <c r="W384" i="536" s="1"/>
  <c r="N384" i="536"/>
  <c r="K384" i="536" a="1"/>
  <c r="K384" i="536" s="1"/>
  <c r="M384" i="536" s="1"/>
  <c r="J384" i="536" a="1"/>
  <c r="J384" i="536" s="1"/>
  <c r="H384" i="536"/>
  <c r="V383" i="536"/>
  <c r="W383" i="536" s="1"/>
  <c r="N383" i="536"/>
  <c r="K383" i="536" a="1"/>
  <c r="K383" i="536" s="1"/>
  <c r="M383" i="536" s="1"/>
  <c r="J383" i="536" a="1"/>
  <c r="J383" i="536" s="1"/>
  <c r="H383" i="536"/>
  <c r="V382" i="536"/>
  <c r="W382" i="536" s="1"/>
  <c r="N382" i="536"/>
  <c r="K382" i="536" a="1"/>
  <c r="K382" i="536" s="1"/>
  <c r="M382" i="536" s="1"/>
  <c r="J382" i="536" a="1"/>
  <c r="J382" i="536" s="1"/>
  <c r="H382" i="536"/>
  <c r="V381" i="536"/>
  <c r="W381" i="536" s="1"/>
  <c r="N381" i="536"/>
  <c r="K381" i="536"/>
  <c r="M381" i="536" s="1"/>
  <c r="K381" i="536" a="1"/>
  <c r="J381" i="536"/>
  <c r="J381" i="536" a="1"/>
  <c r="H381" i="536"/>
  <c r="V380" i="536"/>
  <c r="W380" i="536" s="1"/>
  <c r="N380" i="536"/>
  <c r="K380" i="536" a="1"/>
  <c r="K380" i="536" s="1"/>
  <c r="M380" i="536" s="1"/>
  <c r="J380" i="536" a="1"/>
  <c r="J380" i="536" s="1"/>
  <c r="H380" i="536"/>
  <c r="W379" i="536"/>
  <c r="V379" i="536"/>
  <c r="N379" i="536"/>
  <c r="K379" i="536" a="1"/>
  <c r="K379" i="536" s="1"/>
  <c r="M379" i="536" s="1"/>
  <c r="J379" i="536" a="1"/>
  <c r="J379" i="536" s="1"/>
  <c r="H379" i="536"/>
  <c r="V378" i="536"/>
  <c r="W378" i="536" s="1"/>
  <c r="N378" i="536"/>
  <c r="K378" i="536" a="1"/>
  <c r="K378" i="536" s="1"/>
  <c r="M378" i="536" s="1"/>
  <c r="J378" i="536" a="1"/>
  <c r="J378" i="536" s="1"/>
  <c r="H378" i="536"/>
  <c r="V377" i="536"/>
  <c r="W377" i="536" s="1"/>
  <c r="N377" i="536"/>
  <c r="K377" i="536"/>
  <c r="M377" i="536" s="1"/>
  <c r="K377" i="536" a="1"/>
  <c r="J377" i="536"/>
  <c r="J377" i="536" a="1"/>
  <c r="H377" i="536"/>
  <c r="K376" i="536" a="1"/>
  <c r="K376" i="536" s="1"/>
  <c r="M376" i="536" s="1"/>
  <c r="H376" i="536"/>
  <c r="K375" i="536"/>
  <c r="M375" i="536" s="1"/>
  <c r="K375" i="536" a="1"/>
  <c r="H375" i="536"/>
  <c r="K374" i="536" a="1"/>
  <c r="K374" i="536" s="1"/>
  <c r="M374" i="536" s="1"/>
  <c r="H374" i="536"/>
  <c r="V373" i="536"/>
  <c r="W373" i="536" s="1"/>
  <c r="N373" i="536"/>
  <c r="K373" i="536" a="1"/>
  <c r="K373" i="536" s="1"/>
  <c r="M373" i="536" s="1"/>
  <c r="J373" i="536" a="1"/>
  <c r="J373" i="536" s="1"/>
  <c r="H373" i="536"/>
  <c r="V372" i="536"/>
  <c r="W372" i="536" s="1"/>
  <c r="N372" i="536"/>
  <c r="K372" i="536"/>
  <c r="M372" i="536" s="1"/>
  <c r="K372" i="536" a="1"/>
  <c r="J372" i="536"/>
  <c r="J372" i="536" a="1"/>
  <c r="H372" i="536"/>
  <c r="V371" i="536"/>
  <c r="W371" i="536" s="1"/>
  <c r="N371" i="536"/>
  <c r="K371" i="536" a="1"/>
  <c r="K371" i="536" s="1"/>
  <c r="M371" i="536" s="1"/>
  <c r="J371" i="536" a="1"/>
  <c r="J371" i="536" s="1"/>
  <c r="H371" i="536"/>
  <c r="K370" i="536"/>
  <c r="K370" i="536" a="1"/>
  <c r="H370" i="536"/>
  <c r="V369" i="536"/>
  <c r="V426" i="536" s="1"/>
  <c r="W426" i="536" s="1"/>
  <c r="N369" i="536"/>
  <c r="K369" i="536" a="1"/>
  <c r="K369" i="536" s="1"/>
  <c r="J369" i="536" a="1"/>
  <c r="J369" i="536" s="1"/>
  <c r="H369" i="536"/>
  <c r="AA368" i="536"/>
  <c r="AA504" i="536" s="1"/>
  <c r="Z368" i="536"/>
  <c r="Z504" i="536" s="1"/>
  <c r="Y368" i="536"/>
  <c r="Y504" i="536" s="1"/>
  <c r="X368" i="536"/>
  <c r="X504" i="536" s="1"/>
  <c r="U368" i="536"/>
  <c r="U504" i="536" s="1"/>
  <c r="T368" i="536"/>
  <c r="T504" i="536" s="1"/>
  <c r="S368" i="536"/>
  <c r="S504" i="536" s="1"/>
  <c r="R368" i="536"/>
  <c r="R504" i="536" s="1"/>
  <c r="Q368" i="536"/>
  <c r="Q504" i="536" s="1"/>
  <c r="P368" i="536"/>
  <c r="P504" i="536" s="1"/>
  <c r="O368" i="536"/>
  <c r="I368" i="536"/>
  <c r="I504" i="536" s="1"/>
  <c r="B512" i="536" s="1"/>
  <c r="G368" i="536"/>
  <c r="G504" i="536" s="1"/>
  <c r="V367" i="536"/>
  <c r="W367" i="536" s="1"/>
  <c r="N367" i="536"/>
  <c r="K367" i="536" a="1"/>
  <c r="K367" i="536" s="1"/>
  <c r="M367" i="536" s="1"/>
  <c r="J367" i="536" a="1"/>
  <c r="J367" i="536" s="1"/>
  <c r="H367" i="536"/>
  <c r="V366" i="536"/>
  <c r="W366" i="536" s="1"/>
  <c r="N366" i="536"/>
  <c r="K366" i="536"/>
  <c r="M366" i="536" s="1"/>
  <c r="K366" i="536" a="1"/>
  <c r="J366" i="536"/>
  <c r="J366" i="536" a="1"/>
  <c r="H366" i="536"/>
  <c r="K365" i="536" a="1"/>
  <c r="K365" i="536" s="1"/>
  <c r="M365" i="536" s="1"/>
  <c r="H365" i="536"/>
  <c r="K364" i="536"/>
  <c r="M364" i="536" s="1"/>
  <c r="K364" i="536" a="1"/>
  <c r="H364" i="536"/>
  <c r="K363" i="536" a="1"/>
  <c r="K363" i="536" s="1"/>
  <c r="M363" i="536" s="1"/>
  <c r="H363" i="536"/>
  <c r="K362" i="536"/>
  <c r="M362" i="536" s="1"/>
  <c r="K362" i="536" a="1"/>
  <c r="H362" i="536"/>
  <c r="V361" i="536"/>
  <c r="W361" i="536" s="1"/>
  <c r="N361" i="536"/>
  <c r="K361" i="536" a="1"/>
  <c r="K361" i="536" s="1"/>
  <c r="M361" i="536" s="1"/>
  <c r="J361" i="536" a="1"/>
  <c r="J361" i="536" s="1"/>
  <c r="H361" i="536"/>
  <c r="V360" i="536"/>
  <c r="W360" i="536" s="1"/>
  <c r="N360" i="536"/>
  <c r="K360" i="536" a="1"/>
  <c r="K360" i="536" s="1"/>
  <c r="M360" i="536" s="1"/>
  <c r="J360" i="536" a="1"/>
  <c r="J360" i="536" s="1"/>
  <c r="H360" i="536"/>
  <c r="V359" i="536"/>
  <c r="W359" i="536" s="1"/>
  <c r="N359" i="536"/>
  <c r="K359" i="536" a="1"/>
  <c r="K359" i="536" s="1"/>
  <c r="M359" i="536" s="1"/>
  <c r="J359" i="536" a="1"/>
  <c r="J359" i="536" s="1"/>
  <c r="H359" i="536"/>
  <c r="H358" i="536"/>
  <c r="H357" i="536"/>
  <c r="V356" i="536"/>
  <c r="W356" i="536" s="1"/>
  <c r="N356" i="536"/>
  <c r="K356" i="536"/>
  <c r="M356" i="536" s="1"/>
  <c r="K356" i="536" a="1"/>
  <c r="J356" i="536"/>
  <c r="J356" i="536" a="1"/>
  <c r="H356" i="536"/>
  <c r="V355" i="536"/>
  <c r="W355" i="536" s="1"/>
  <c r="N355" i="536"/>
  <c r="K355" i="536" a="1"/>
  <c r="K355" i="536" s="1"/>
  <c r="M355" i="536" s="1"/>
  <c r="J355" i="536" a="1"/>
  <c r="J355" i="536" s="1"/>
  <c r="H355" i="536"/>
  <c r="K354" i="536" a="1"/>
  <c r="K354" i="536" s="1"/>
  <c r="M354" i="536" s="1"/>
  <c r="H354" i="536"/>
  <c r="K353" i="536" a="1"/>
  <c r="K353" i="536" s="1"/>
  <c r="M353" i="536" s="1"/>
  <c r="H353" i="536"/>
  <c r="W352" i="536"/>
  <c r="V352" i="536"/>
  <c r="N352" i="536"/>
  <c r="K352" i="536" a="1"/>
  <c r="K352" i="536" s="1"/>
  <c r="M352" i="536" s="1"/>
  <c r="J352" i="536" a="1"/>
  <c r="J352" i="536" s="1"/>
  <c r="H352" i="536"/>
  <c r="V351" i="536"/>
  <c r="W351" i="536" s="1"/>
  <c r="N351" i="536"/>
  <c r="K351" i="536" a="1"/>
  <c r="K351" i="536" s="1"/>
  <c r="M351" i="536" s="1"/>
  <c r="J351" i="536" a="1"/>
  <c r="J351" i="536" s="1"/>
  <c r="H351" i="536"/>
  <c r="V350" i="536"/>
  <c r="W350" i="536" s="1"/>
  <c r="N350" i="536"/>
  <c r="K350" i="536"/>
  <c r="M350" i="536" s="1"/>
  <c r="K350" i="536" a="1"/>
  <c r="J350" i="536"/>
  <c r="J350" i="536" a="1"/>
  <c r="H350" i="536"/>
  <c r="V349" i="536"/>
  <c r="W349" i="536" s="1"/>
  <c r="N349" i="536"/>
  <c r="K349" i="536" a="1"/>
  <c r="K349" i="536" s="1"/>
  <c r="M349" i="536" s="1"/>
  <c r="J349" i="536" a="1"/>
  <c r="J349" i="536" s="1"/>
  <c r="H349" i="536"/>
  <c r="W348" i="536"/>
  <c r="V348" i="536"/>
  <c r="N348" i="536"/>
  <c r="K348" i="536" a="1"/>
  <c r="K348" i="536" s="1"/>
  <c r="M348" i="536" s="1"/>
  <c r="J348" i="536" a="1"/>
  <c r="J348" i="536" s="1"/>
  <c r="H348" i="536"/>
  <c r="V347" i="536"/>
  <c r="V368" i="536" s="1"/>
  <c r="N347" i="536"/>
  <c r="K347" i="536" a="1"/>
  <c r="K347" i="536" s="1"/>
  <c r="J347" i="536" a="1"/>
  <c r="J347" i="536" s="1"/>
  <c r="H347" i="536"/>
  <c r="H368" i="536" s="1"/>
  <c r="X341" i="536"/>
  <c r="X340" i="536"/>
  <c r="X339" i="536"/>
  <c r="G339" i="536"/>
  <c r="C339" i="536"/>
  <c r="X338" i="536"/>
  <c r="I338" i="536"/>
  <c r="E338" i="536"/>
  <c r="K338" i="536" s="1"/>
  <c r="M338" i="536" s="1"/>
  <c r="I337" i="536"/>
  <c r="E337" i="536"/>
  <c r="K337" i="536" s="1"/>
  <c r="M337" i="536" s="1"/>
  <c r="I336" i="536"/>
  <c r="E336" i="536"/>
  <c r="K336" i="536" s="1"/>
  <c r="M336" i="536" s="1"/>
  <c r="X335" i="536"/>
  <c r="I335" i="536"/>
  <c r="I339" i="536" s="1"/>
  <c r="E335" i="536"/>
  <c r="K335" i="536" s="1"/>
  <c r="AA332" i="536"/>
  <c r="Z332" i="536"/>
  <c r="Y332" i="536"/>
  <c r="X332" i="536"/>
  <c r="U332" i="536"/>
  <c r="T332" i="536"/>
  <c r="S332" i="536"/>
  <c r="R332" i="536"/>
  <c r="Q332" i="536"/>
  <c r="P332" i="536"/>
  <c r="O332" i="536"/>
  <c r="R340" i="536" s="1"/>
  <c r="I332" i="536"/>
  <c r="G332" i="536"/>
  <c r="K331" i="536" a="1"/>
  <c r="K331" i="536" s="1"/>
  <c r="H331" i="536"/>
  <c r="K330" i="536"/>
  <c r="K330" i="536" a="1"/>
  <c r="H330" i="536"/>
  <c r="K329" i="536" a="1"/>
  <c r="K329" i="536" s="1"/>
  <c r="H329" i="536"/>
  <c r="W328" i="536"/>
  <c r="V328" i="536"/>
  <c r="N328" i="536"/>
  <c r="K328" i="536" a="1"/>
  <c r="K328" i="536" s="1"/>
  <c r="D328" i="536"/>
  <c r="H328" i="536" s="1"/>
  <c r="H327" i="536"/>
  <c r="K326" i="536" a="1"/>
  <c r="K326" i="536" s="1"/>
  <c r="H326" i="536"/>
  <c r="H325" i="536"/>
  <c r="V324" i="536"/>
  <c r="W324" i="536" s="1"/>
  <c r="N324" i="536"/>
  <c r="K324" i="536" a="1"/>
  <c r="K324" i="536" s="1"/>
  <c r="M324" i="536" s="1"/>
  <c r="J324" i="536" a="1"/>
  <c r="J324" i="536" s="1"/>
  <c r="H324" i="536"/>
  <c r="V323" i="536"/>
  <c r="W323" i="536" s="1"/>
  <c r="N323" i="536"/>
  <c r="K323" i="536" a="1"/>
  <c r="K323" i="536" s="1"/>
  <c r="M323" i="536" s="1"/>
  <c r="J323" i="536" a="1"/>
  <c r="J323" i="536" s="1"/>
  <c r="H323" i="536"/>
  <c r="H322" i="536"/>
  <c r="V321" i="536"/>
  <c r="W321" i="536" s="1"/>
  <c r="N321" i="536"/>
  <c r="K321" i="536" a="1"/>
  <c r="K321" i="536" s="1"/>
  <c r="M321" i="536" s="1"/>
  <c r="J321" i="536" a="1"/>
  <c r="J321" i="536" s="1"/>
  <c r="H321" i="536"/>
  <c r="V320" i="536"/>
  <c r="W320" i="536" s="1"/>
  <c r="N320" i="536"/>
  <c r="K320" i="536"/>
  <c r="M320" i="536" s="1"/>
  <c r="K320" i="536" a="1"/>
  <c r="J320" i="536"/>
  <c r="J320" i="536" a="1"/>
  <c r="H320" i="536"/>
  <c r="V319" i="536"/>
  <c r="W319" i="536" s="1"/>
  <c r="N319" i="536"/>
  <c r="K319" i="536" a="1"/>
  <c r="K319" i="536" s="1"/>
  <c r="M319" i="536" s="1"/>
  <c r="J319" i="536" a="1"/>
  <c r="J319" i="536" s="1"/>
  <c r="H319" i="536"/>
  <c r="V318" i="536"/>
  <c r="W318" i="536" s="1"/>
  <c r="N318" i="536"/>
  <c r="N332" i="536" s="1"/>
  <c r="K318" i="536" a="1"/>
  <c r="K318" i="536" s="1"/>
  <c r="M318" i="536" s="1"/>
  <c r="J318" i="536" a="1"/>
  <c r="J318" i="536" s="1"/>
  <c r="H318" i="536"/>
  <c r="H332" i="536" s="1"/>
  <c r="AA317" i="536"/>
  <c r="Z317" i="536"/>
  <c r="Y317" i="536"/>
  <c r="X317" i="536"/>
  <c r="U317" i="536"/>
  <c r="T317" i="536"/>
  <c r="S317" i="536"/>
  <c r="Q317" i="536"/>
  <c r="P317" i="536"/>
  <c r="O317" i="536"/>
  <c r="I317" i="536"/>
  <c r="G317" i="536"/>
  <c r="J317" i="536" s="1" a="1"/>
  <c r="J317" i="536" s="1"/>
  <c r="V316" i="536"/>
  <c r="W316" i="536" s="1"/>
  <c r="N316" i="536"/>
  <c r="K316" i="536" a="1"/>
  <c r="K316" i="536" s="1"/>
  <c r="M316" i="536" s="1"/>
  <c r="J316" i="536" a="1"/>
  <c r="J316" i="536" s="1"/>
  <c r="H316" i="536"/>
  <c r="H315" i="536"/>
  <c r="H314" i="536"/>
  <c r="H313" i="536"/>
  <c r="V312" i="536"/>
  <c r="W312" i="536" s="1"/>
  <c r="N312" i="536"/>
  <c r="K312" i="536" a="1"/>
  <c r="K312" i="536" s="1"/>
  <c r="M312" i="536" s="1"/>
  <c r="J312" i="536" a="1"/>
  <c r="J312" i="536" s="1"/>
  <c r="H312" i="536"/>
  <c r="V311" i="536"/>
  <c r="W311" i="536" s="1"/>
  <c r="N311" i="536"/>
  <c r="K311" i="536"/>
  <c r="M311" i="536" s="1"/>
  <c r="K311" i="536" a="1"/>
  <c r="J311" i="536"/>
  <c r="J311" i="536" a="1"/>
  <c r="H311" i="536"/>
  <c r="V310" i="536"/>
  <c r="W310" i="536" s="1"/>
  <c r="N310" i="536"/>
  <c r="K310" i="536" a="1"/>
  <c r="K310" i="536" s="1"/>
  <c r="M310" i="536" s="1"/>
  <c r="J310" i="536" a="1"/>
  <c r="J310" i="536" s="1"/>
  <c r="H310" i="536"/>
  <c r="V309" i="536"/>
  <c r="W309" i="536" s="1"/>
  <c r="N309" i="536"/>
  <c r="K309" i="536"/>
  <c r="M309" i="536" s="1"/>
  <c r="K309" i="536" a="1"/>
  <c r="J309" i="536" a="1"/>
  <c r="J309" i="536" s="1"/>
  <c r="H309" i="536"/>
  <c r="V308" i="536"/>
  <c r="V317" i="536" s="1"/>
  <c r="W317" i="536" s="1"/>
  <c r="N308" i="536"/>
  <c r="N317" i="536" s="1"/>
  <c r="K308" i="536" a="1"/>
  <c r="K308" i="536" s="1"/>
  <c r="J308" i="536" a="1"/>
  <c r="J308" i="536" s="1"/>
  <c r="H308" i="536"/>
  <c r="H317" i="536" s="1"/>
  <c r="AA307" i="536"/>
  <c r="Z307" i="536"/>
  <c r="Y307" i="536"/>
  <c r="X307" i="536"/>
  <c r="U307" i="536"/>
  <c r="T307" i="536"/>
  <c r="S307" i="536"/>
  <c r="Q307" i="536"/>
  <c r="P307" i="536"/>
  <c r="O307" i="536"/>
  <c r="I307" i="536"/>
  <c r="G307" i="536"/>
  <c r="J307" i="536" s="1" a="1"/>
  <c r="J307" i="536" s="1"/>
  <c r="V306" i="536"/>
  <c r="W306" i="536" s="1"/>
  <c r="N306" i="536"/>
  <c r="K306" i="536" a="1"/>
  <c r="K306" i="536" s="1"/>
  <c r="M306" i="536" s="1"/>
  <c r="J306" i="536" a="1"/>
  <c r="J306" i="536" s="1"/>
  <c r="H306" i="536"/>
  <c r="V305" i="536"/>
  <c r="W305" i="536" s="1"/>
  <c r="N305" i="536"/>
  <c r="K305" i="536" a="1"/>
  <c r="K305" i="536" s="1"/>
  <c r="M305" i="536" s="1"/>
  <c r="J305" i="536" a="1"/>
  <c r="J305" i="536" s="1"/>
  <c r="H305" i="536"/>
  <c r="V304" i="536"/>
  <c r="W304" i="536" s="1"/>
  <c r="N304" i="536"/>
  <c r="K304" i="536"/>
  <c r="M304" i="536" s="1"/>
  <c r="K304" i="536" a="1"/>
  <c r="J304" i="536"/>
  <c r="J304" i="536" a="1"/>
  <c r="H304" i="536"/>
  <c r="V303" i="536"/>
  <c r="W303" i="536" s="1"/>
  <c r="N303" i="536"/>
  <c r="K303" i="536" a="1"/>
  <c r="K303" i="536" s="1"/>
  <c r="M303" i="536" s="1"/>
  <c r="J303" i="536" a="1"/>
  <c r="J303" i="536" s="1"/>
  <c r="H303" i="536"/>
  <c r="W302" i="536"/>
  <c r="V302" i="536"/>
  <c r="N302" i="536"/>
  <c r="K302" i="536" a="1"/>
  <c r="K302" i="536" s="1"/>
  <c r="M302" i="536" s="1"/>
  <c r="J302" i="536" a="1"/>
  <c r="J302" i="536" s="1"/>
  <c r="H302" i="536"/>
  <c r="V301" i="536"/>
  <c r="W301" i="536" s="1"/>
  <c r="N301" i="536"/>
  <c r="K301" i="536" a="1"/>
  <c r="K301" i="536" s="1"/>
  <c r="M301" i="536" s="1"/>
  <c r="J301" i="536" a="1"/>
  <c r="J301" i="536" s="1"/>
  <c r="H301" i="536"/>
  <c r="V300" i="536"/>
  <c r="W300" i="536" s="1"/>
  <c r="N300" i="536"/>
  <c r="K300" i="536"/>
  <c r="M300" i="536" s="1"/>
  <c r="K300" i="536" a="1"/>
  <c r="J300" i="536"/>
  <c r="J300" i="536" a="1"/>
  <c r="H300" i="536"/>
  <c r="V299" i="536"/>
  <c r="W299" i="536" s="1"/>
  <c r="N299" i="536"/>
  <c r="K299" i="536" a="1"/>
  <c r="K299" i="536" s="1"/>
  <c r="M299" i="536" s="1"/>
  <c r="J299" i="536" a="1"/>
  <c r="J299" i="536" s="1"/>
  <c r="H299" i="536"/>
  <c r="W298" i="536"/>
  <c r="V298" i="536"/>
  <c r="N298" i="536"/>
  <c r="K298" i="536" a="1"/>
  <c r="K298" i="536" s="1"/>
  <c r="M298" i="536" s="1"/>
  <c r="J298" i="536" a="1"/>
  <c r="J298" i="536" s="1"/>
  <c r="H298" i="536"/>
  <c r="V297" i="536"/>
  <c r="W297" i="536" s="1"/>
  <c r="N297" i="536"/>
  <c r="K297" i="536" a="1"/>
  <c r="K297" i="536" s="1"/>
  <c r="M297" i="536" s="1"/>
  <c r="J297" i="536" a="1"/>
  <c r="J297" i="536" s="1"/>
  <c r="H297" i="536"/>
  <c r="V296" i="536"/>
  <c r="W296" i="536" s="1"/>
  <c r="N296" i="536"/>
  <c r="K296" i="536"/>
  <c r="M296" i="536" s="1"/>
  <c r="K296" i="536" a="1"/>
  <c r="J296" i="536"/>
  <c r="J296" i="536" a="1"/>
  <c r="H296" i="536"/>
  <c r="V295" i="536"/>
  <c r="W295" i="536" s="1"/>
  <c r="N295" i="536"/>
  <c r="K295" i="536" a="1"/>
  <c r="K295" i="536" s="1"/>
  <c r="M295" i="536" s="1"/>
  <c r="J295" i="536" a="1"/>
  <c r="J295" i="536" s="1"/>
  <c r="H295" i="536"/>
  <c r="W294" i="536"/>
  <c r="V294" i="536"/>
  <c r="N294" i="536"/>
  <c r="K294" i="536" a="1"/>
  <c r="K294" i="536" s="1"/>
  <c r="M294" i="536" s="1"/>
  <c r="J294" i="536" a="1"/>
  <c r="J294" i="536" s="1"/>
  <c r="H294" i="536"/>
  <c r="V293" i="536"/>
  <c r="W293" i="536" s="1"/>
  <c r="N293" i="536"/>
  <c r="K293" i="536" a="1"/>
  <c r="K293" i="536" s="1"/>
  <c r="M293" i="536" s="1"/>
  <c r="J293" i="536" a="1"/>
  <c r="J293" i="536" s="1"/>
  <c r="H293" i="536"/>
  <c r="V292" i="536"/>
  <c r="V307" i="536" s="1"/>
  <c r="W307" i="536" s="1"/>
  <c r="N292" i="536"/>
  <c r="K292" i="536"/>
  <c r="K292" i="536" a="1"/>
  <c r="J292" i="536"/>
  <c r="J292" i="536" a="1"/>
  <c r="H292" i="536"/>
  <c r="H307" i="536" s="1"/>
  <c r="AA291" i="536"/>
  <c r="Z291" i="536"/>
  <c r="Y291" i="536"/>
  <c r="X291" i="536"/>
  <c r="U291" i="536"/>
  <c r="T291" i="536"/>
  <c r="S291" i="536"/>
  <c r="R291" i="536"/>
  <c r="Q291" i="536"/>
  <c r="P291" i="536"/>
  <c r="O291" i="536"/>
  <c r="R337" i="536" s="1"/>
  <c r="I291" i="536"/>
  <c r="G291" i="536"/>
  <c r="V290" i="536"/>
  <c r="W290" i="536" s="1"/>
  <c r="N290" i="536"/>
  <c r="K290" i="536" a="1"/>
  <c r="K290" i="536" s="1"/>
  <c r="M290" i="536" s="1"/>
  <c r="J290" i="536" a="1"/>
  <c r="J290" i="536" s="1"/>
  <c r="H290" i="536"/>
  <c r="V289" i="536"/>
  <c r="W289" i="536" s="1"/>
  <c r="N289" i="536"/>
  <c r="K289" i="536" a="1"/>
  <c r="K289" i="536" s="1"/>
  <c r="M289" i="536" s="1"/>
  <c r="J289" i="536" a="1"/>
  <c r="J289" i="536" s="1"/>
  <c r="H289" i="536"/>
  <c r="V288" i="536"/>
  <c r="W288" i="536" s="1"/>
  <c r="N288" i="536"/>
  <c r="K288" i="536" a="1"/>
  <c r="K288" i="536" s="1"/>
  <c r="M288" i="536" s="1"/>
  <c r="J288" i="536" a="1"/>
  <c r="J288" i="536" s="1"/>
  <c r="H288" i="536"/>
  <c r="H287" i="536"/>
  <c r="H286" i="536"/>
  <c r="H285" i="536"/>
  <c r="V284" i="536"/>
  <c r="W284" i="536" s="1"/>
  <c r="N284" i="536"/>
  <c r="K284" i="536" a="1"/>
  <c r="K284" i="536" s="1"/>
  <c r="M284" i="536" s="1"/>
  <c r="H284" i="536"/>
  <c r="V283" i="536"/>
  <c r="W283" i="536" s="1"/>
  <c r="N283" i="536"/>
  <c r="K283" i="536"/>
  <c r="M283" i="536" s="1"/>
  <c r="K283" i="536" a="1"/>
  <c r="H283" i="536"/>
  <c r="N282" i="536"/>
  <c r="K282" i="536" a="1"/>
  <c r="K282" i="536" s="1"/>
  <c r="M282" i="536" s="1"/>
  <c r="H282" i="536"/>
  <c r="N281" i="536"/>
  <c r="K281" i="536" a="1"/>
  <c r="K281" i="536" s="1"/>
  <c r="M281" i="536" s="1"/>
  <c r="H281" i="536"/>
  <c r="N280" i="536"/>
  <c r="K280" i="536" a="1"/>
  <c r="K280" i="536" s="1"/>
  <c r="M280" i="536" s="1"/>
  <c r="H280" i="536"/>
  <c r="N279" i="536"/>
  <c r="K279" i="536" a="1"/>
  <c r="K279" i="536" s="1"/>
  <c r="M279" i="536" s="1"/>
  <c r="H279" i="536"/>
  <c r="N278" i="536"/>
  <c r="K278" i="536" a="1"/>
  <c r="K278" i="536" s="1"/>
  <c r="M278" i="536" s="1"/>
  <c r="H278" i="536"/>
  <c r="N277" i="536"/>
  <c r="K277" i="536"/>
  <c r="M277" i="536" s="1"/>
  <c r="K277" i="536" a="1"/>
  <c r="H277" i="536"/>
  <c r="V276" i="536"/>
  <c r="W276" i="536" s="1"/>
  <c r="N276" i="536"/>
  <c r="K276" i="536" a="1"/>
  <c r="K276" i="536" s="1"/>
  <c r="M276" i="536" s="1"/>
  <c r="J276" i="536" a="1"/>
  <c r="J276" i="536" s="1"/>
  <c r="H276" i="536"/>
  <c r="W275" i="536"/>
  <c r="V275" i="536"/>
  <c r="N275" i="536"/>
  <c r="K275" i="536" a="1"/>
  <c r="K275" i="536" s="1"/>
  <c r="M275" i="536" s="1"/>
  <c r="J275" i="536" a="1"/>
  <c r="J275" i="536" s="1"/>
  <c r="H275" i="536"/>
  <c r="V274" i="536"/>
  <c r="W274" i="536" s="1"/>
  <c r="N274" i="536"/>
  <c r="K274" i="536" a="1"/>
  <c r="K274" i="536" s="1"/>
  <c r="M274" i="536" s="1"/>
  <c r="J274" i="536" a="1"/>
  <c r="J274" i="536" s="1"/>
  <c r="H274" i="536"/>
  <c r="V273" i="536"/>
  <c r="W273" i="536" s="1"/>
  <c r="N273" i="536"/>
  <c r="K273" i="536"/>
  <c r="M273" i="536" s="1"/>
  <c r="K273" i="536" a="1"/>
  <c r="J273" i="536"/>
  <c r="J273" i="536" a="1"/>
  <c r="H273" i="536"/>
  <c r="V272" i="536"/>
  <c r="W272" i="536" s="1"/>
  <c r="N272" i="536"/>
  <c r="K272" i="536" a="1"/>
  <c r="K272" i="536" s="1"/>
  <c r="M272" i="536" s="1"/>
  <c r="J272" i="536" a="1"/>
  <c r="J272" i="536" s="1"/>
  <c r="H272" i="536"/>
  <c r="V271" i="536"/>
  <c r="W271" i="536" s="1"/>
  <c r="N271" i="536"/>
  <c r="K271" i="536"/>
  <c r="M271" i="536" s="1"/>
  <c r="K271" i="536" a="1"/>
  <c r="J271" i="536"/>
  <c r="J271" i="536" a="1"/>
  <c r="H271" i="536"/>
  <c r="V270" i="536"/>
  <c r="W270" i="536" s="1"/>
  <c r="N270" i="536"/>
  <c r="K270" i="536" a="1"/>
  <c r="K270" i="536" s="1"/>
  <c r="M270" i="536" s="1"/>
  <c r="J270" i="536" a="1"/>
  <c r="J270" i="536" s="1"/>
  <c r="H270" i="536"/>
  <c r="W269" i="536"/>
  <c r="V269" i="536"/>
  <c r="N269" i="536"/>
  <c r="K269" i="536" a="1"/>
  <c r="K269" i="536" s="1"/>
  <c r="M269" i="536" s="1"/>
  <c r="J269" i="536" a="1"/>
  <c r="J269" i="536" s="1"/>
  <c r="H269" i="536"/>
  <c r="V268" i="536"/>
  <c r="W268" i="536" s="1"/>
  <c r="N268" i="536"/>
  <c r="K268" i="536" a="1"/>
  <c r="K268" i="536" s="1"/>
  <c r="M268" i="536" s="1"/>
  <c r="J268" i="536" a="1"/>
  <c r="J268" i="536" s="1"/>
  <c r="H268" i="536"/>
  <c r="V267" i="536"/>
  <c r="W267" i="536" s="1"/>
  <c r="N267" i="536"/>
  <c r="K267" i="536"/>
  <c r="M267" i="536" s="1"/>
  <c r="K267" i="536" a="1"/>
  <c r="J267" i="536"/>
  <c r="J267" i="536" a="1"/>
  <c r="H267" i="536"/>
  <c r="V266" i="536"/>
  <c r="W266" i="536" s="1"/>
  <c r="N266" i="536"/>
  <c r="K266" i="536" a="1"/>
  <c r="K266" i="536" s="1"/>
  <c r="M266" i="536" s="1"/>
  <c r="J266" i="536" a="1"/>
  <c r="J266" i="536" s="1"/>
  <c r="H266" i="536"/>
  <c r="W265" i="536"/>
  <c r="V265" i="536"/>
  <c r="N265" i="536"/>
  <c r="K265" i="536" a="1"/>
  <c r="K265" i="536" s="1"/>
  <c r="M265" i="536" s="1"/>
  <c r="J265" i="536" a="1"/>
  <c r="J265" i="536" s="1"/>
  <c r="H265" i="536"/>
  <c r="N264" i="536"/>
  <c r="K264" i="536" a="1"/>
  <c r="K264" i="536" s="1"/>
  <c r="M264" i="536" s="1"/>
  <c r="H264" i="536"/>
  <c r="V263" i="536"/>
  <c r="W263" i="536" s="1"/>
  <c r="N263" i="536"/>
  <c r="K263" i="536"/>
  <c r="M263" i="536" s="1"/>
  <c r="K263" i="536" a="1"/>
  <c r="J263" i="536"/>
  <c r="J263" i="536" a="1"/>
  <c r="H263" i="536"/>
  <c r="V262" i="536"/>
  <c r="W262" i="536" s="1"/>
  <c r="N262" i="536"/>
  <c r="K262" i="536" a="1"/>
  <c r="K262" i="536" s="1"/>
  <c r="M262" i="536" s="1"/>
  <c r="J262" i="536" a="1"/>
  <c r="J262" i="536" s="1"/>
  <c r="H262" i="536"/>
  <c r="W261" i="536"/>
  <c r="V261" i="536"/>
  <c r="N261" i="536"/>
  <c r="K261" i="536" a="1"/>
  <c r="K261" i="536" s="1"/>
  <c r="M261" i="536" s="1"/>
  <c r="J261" i="536" a="1"/>
  <c r="J261" i="536" s="1"/>
  <c r="H261" i="536"/>
  <c r="V260" i="536"/>
  <c r="W260" i="536" s="1"/>
  <c r="N260" i="536"/>
  <c r="K260" i="536" a="1"/>
  <c r="K260" i="536" s="1"/>
  <c r="M260" i="536" s="1"/>
  <c r="J260" i="536" a="1"/>
  <c r="J260" i="536" s="1"/>
  <c r="H260" i="536"/>
  <c r="V259" i="536"/>
  <c r="W259" i="536" s="1"/>
  <c r="N259" i="536"/>
  <c r="K259" i="536"/>
  <c r="M259" i="536" s="1"/>
  <c r="K259" i="536" a="1"/>
  <c r="J259" i="536"/>
  <c r="J259" i="536" a="1"/>
  <c r="H259" i="536"/>
  <c r="V258" i="536"/>
  <c r="W258" i="536" s="1"/>
  <c r="N258" i="536"/>
  <c r="K258" i="536" a="1"/>
  <c r="K258" i="536" s="1"/>
  <c r="M258" i="536" s="1"/>
  <c r="J258" i="536" a="1"/>
  <c r="J258" i="536" s="1"/>
  <c r="H258" i="536"/>
  <c r="W257" i="536"/>
  <c r="V257" i="536"/>
  <c r="V291" i="536" s="1"/>
  <c r="W291" i="536" s="1"/>
  <c r="N257" i="536"/>
  <c r="N291" i="536" s="1"/>
  <c r="K257" i="536" a="1"/>
  <c r="K257" i="536" s="1"/>
  <c r="J257" i="536" a="1"/>
  <c r="J257" i="536" s="1"/>
  <c r="H257" i="536"/>
  <c r="H291" i="536" s="1"/>
  <c r="AA256" i="536"/>
  <c r="Z256" i="536"/>
  <c r="Y256" i="536"/>
  <c r="X256" i="536"/>
  <c r="U256" i="536"/>
  <c r="T256" i="536"/>
  <c r="S256" i="536"/>
  <c r="R256" i="536"/>
  <c r="Q256" i="536"/>
  <c r="P256" i="536"/>
  <c r="O256" i="536"/>
  <c r="R336" i="536" s="1"/>
  <c r="I256" i="536"/>
  <c r="G256" i="536"/>
  <c r="H255" i="536"/>
  <c r="H254" i="536"/>
  <c r="H253" i="536"/>
  <c r="H252" i="536"/>
  <c r="H251" i="536"/>
  <c r="H250" i="536"/>
  <c r="K249" i="536" a="1"/>
  <c r="K249" i="536" s="1"/>
  <c r="M249" i="536" s="1"/>
  <c r="H249" i="536"/>
  <c r="K248" i="536"/>
  <c r="M248" i="536" s="1"/>
  <c r="K248" i="536" a="1"/>
  <c r="H248" i="536"/>
  <c r="K247" i="536" a="1"/>
  <c r="K247" i="536" s="1"/>
  <c r="M247" i="536" s="1"/>
  <c r="H247" i="536"/>
  <c r="K246" i="536" a="1"/>
  <c r="K246" i="536" s="1"/>
  <c r="M246" i="536" s="1"/>
  <c r="H246" i="536"/>
  <c r="V245" i="536"/>
  <c r="W245" i="536" s="1"/>
  <c r="N245" i="536"/>
  <c r="K245" i="536"/>
  <c r="M245" i="536" s="1"/>
  <c r="K245" i="536" a="1"/>
  <c r="J245" i="536"/>
  <c r="J245" i="536" a="1"/>
  <c r="H245" i="536"/>
  <c r="V244" i="536"/>
  <c r="W244" i="536" s="1"/>
  <c r="N244" i="536"/>
  <c r="K244" i="536" a="1"/>
  <c r="K244" i="536" s="1"/>
  <c r="M244" i="536" s="1"/>
  <c r="J244" i="536" a="1"/>
  <c r="J244" i="536" s="1"/>
  <c r="H244" i="536"/>
  <c r="W243" i="536"/>
  <c r="V243" i="536"/>
  <c r="N243" i="536"/>
  <c r="K243" i="536" a="1"/>
  <c r="K243" i="536" s="1"/>
  <c r="M243" i="536" s="1"/>
  <c r="J243" i="536" a="1"/>
  <c r="J243" i="536" s="1"/>
  <c r="H243" i="536"/>
  <c r="V242" i="536"/>
  <c r="W242" i="536" s="1"/>
  <c r="N242" i="536"/>
  <c r="K242" i="536" a="1"/>
  <c r="K242" i="536" s="1"/>
  <c r="M242" i="536" s="1"/>
  <c r="J242" i="536" a="1"/>
  <c r="J242" i="536" s="1"/>
  <c r="H242" i="536"/>
  <c r="M241" i="536"/>
  <c r="H241" i="536"/>
  <c r="V240" i="536"/>
  <c r="W240" i="536" s="1"/>
  <c r="N240" i="536"/>
  <c r="K240" i="536"/>
  <c r="M240" i="536" s="1"/>
  <c r="K240" i="536" a="1"/>
  <c r="J240" i="536"/>
  <c r="J240" i="536" a="1"/>
  <c r="H240" i="536"/>
  <c r="V239" i="536"/>
  <c r="W239" i="536" s="1"/>
  <c r="N239" i="536"/>
  <c r="K239" i="536" a="1"/>
  <c r="K239" i="536" s="1"/>
  <c r="M239" i="536" s="1"/>
  <c r="J239" i="536" a="1"/>
  <c r="J239" i="536" s="1"/>
  <c r="H239" i="536"/>
  <c r="K238" i="536" a="1"/>
  <c r="K238" i="536" s="1"/>
  <c r="M238" i="536" s="1"/>
  <c r="H238" i="536"/>
  <c r="H237" i="536"/>
  <c r="V236" i="536"/>
  <c r="W236" i="536" s="1"/>
  <c r="N236" i="536"/>
  <c r="K236" i="536" a="1"/>
  <c r="K236" i="536" s="1"/>
  <c r="M236" i="536" s="1"/>
  <c r="J236" i="536" a="1"/>
  <c r="J236" i="536" s="1"/>
  <c r="H236" i="536"/>
  <c r="W235" i="536"/>
  <c r="V235" i="536"/>
  <c r="N235" i="536"/>
  <c r="K235" i="536" a="1"/>
  <c r="K235" i="536" s="1"/>
  <c r="M235" i="536" s="1"/>
  <c r="J235" i="536" a="1"/>
  <c r="J235" i="536" s="1"/>
  <c r="H235" i="536"/>
  <c r="V234" i="536"/>
  <c r="W234" i="536" s="1"/>
  <c r="N234" i="536"/>
  <c r="K234" i="536" a="1"/>
  <c r="K234" i="536" s="1"/>
  <c r="M234" i="536" s="1"/>
  <c r="J234" i="536" a="1"/>
  <c r="J234" i="536" s="1"/>
  <c r="H234" i="536"/>
  <c r="V233" i="536"/>
  <c r="W233" i="536" s="1"/>
  <c r="N233" i="536"/>
  <c r="K233" i="536"/>
  <c r="M233" i="536" s="1"/>
  <c r="K233" i="536" a="1"/>
  <c r="J233" i="536"/>
  <c r="J233" i="536" a="1"/>
  <c r="H233" i="536"/>
  <c r="V232" i="536"/>
  <c r="W232" i="536" s="1"/>
  <c r="N232" i="536"/>
  <c r="K232" i="536" a="1"/>
  <c r="K232" i="536" s="1"/>
  <c r="M232" i="536" s="1"/>
  <c r="J232" i="536" a="1"/>
  <c r="J232" i="536" s="1"/>
  <c r="H232" i="536"/>
  <c r="W231" i="536"/>
  <c r="V231" i="536"/>
  <c r="N231" i="536"/>
  <c r="K231" i="536" a="1"/>
  <c r="K231" i="536" s="1"/>
  <c r="M231" i="536" s="1"/>
  <c r="J231" i="536" a="1"/>
  <c r="J231" i="536" s="1"/>
  <c r="H231" i="536"/>
  <c r="V230" i="536"/>
  <c r="W230" i="536" s="1"/>
  <c r="N230" i="536"/>
  <c r="K230" i="536" a="1"/>
  <c r="K230" i="536" s="1"/>
  <c r="M230" i="536" s="1"/>
  <c r="J230" i="536" a="1"/>
  <c r="J230" i="536" s="1"/>
  <c r="H230" i="536"/>
  <c r="V229" i="536"/>
  <c r="W229" i="536" s="1"/>
  <c r="N229" i="536"/>
  <c r="K229" i="536"/>
  <c r="M229" i="536" s="1"/>
  <c r="K229" i="536" a="1"/>
  <c r="J229" i="536"/>
  <c r="J229" i="536" a="1"/>
  <c r="H229" i="536"/>
  <c r="V228" i="536"/>
  <c r="W228" i="536" s="1"/>
  <c r="N228" i="536"/>
  <c r="K228" i="536" a="1"/>
  <c r="K228" i="536" s="1"/>
  <c r="M228" i="536" s="1"/>
  <c r="J228" i="536" a="1"/>
  <c r="J228" i="536" s="1"/>
  <c r="H228" i="536"/>
  <c r="W227" i="536"/>
  <c r="V227" i="536"/>
  <c r="N227" i="536"/>
  <c r="K227" i="536" a="1"/>
  <c r="K227" i="536" s="1"/>
  <c r="M227" i="536" s="1"/>
  <c r="J227" i="536" a="1"/>
  <c r="J227" i="536" s="1"/>
  <c r="H227" i="536"/>
  <c r="N226" i="536"/>
  <c r="K226" i="536" a="1"/>
  <c r="K226" i="536" s="1"/>
  <c r="M226" i="536" s="1"/>
  <c r="H226" i="536"/>
  <c r="N225" i="536"/>
  <c r="K225" i="536"/>
  <c r="M225" i="536" s="1"/>
  <c r="K225" i="536" a="1"/>
  <c r="H225" i="536"/>
  <c r="N224" i="536"/>
  <c r="K224" i="536" a="1"/>
  <c r="K224" i="536" s="1"/>
  <c r="M224" i="536" s="1"/>
  <c r="H224" i="536"/>
  <c r="N223" i="536"/>
  <c r="K223" i="536" a="1"/>
  <c r="K223" i="536" s="1"/>
  <c r="M223" i="536" s="1"/>
  <c r="H223" i="536"/>
  <c r="N222" i="536"/>
  <c r="K222" i="536" a="1"/>
  <c r="K222" i="536" s="1"/>
  <c r="M222" i="536" s="1"/>
  <c r="H222" i="536"/>
  <c r="N221" i="536"/>
  <c r="K221" i="536"/>
  <c r="M221" i="536" s="1"/>
  <c r="K221" i="536" a="1"/>
  <c r="H221" i="536"/>
  <c r="N220" i="536"/>
  <c r="K220" i="536" a="1"/>
  <c r="K220" i="536" s="1"/>
  <c r="M220" i="536" s="1"/>
  <c r="H220" i="536"/>
  <c r="N219" i="536"/>
  <c r="K219" i="536" a="1"/>
  <c r="K219" i="536" s="1"/>
  <c r="M219" i="536" s="1"/>
  <c r="H219" i="536"/>
  <c r="V218" i="536"/>
  <c r="W218" i="536" s="1"/>
  <c r="N218" i="536"/>
  <c r="K218" i="536" a="1"/>
  <c r="K218" i="536" s="1"/>
  <c r="M218" i="536" s="1"/>
  <c r="J218" i="536" a="1"/>
  <c r="J218" i="536" s="1"/>
  <c r="H218" i="536"/>
  <c r="W217" i="536"/>
  <c r="V217" i="536"/>
  <c r="N217" i="536"/>
  <c r="K217" i="536" a="1"/>
  <c r="K217" i="536" s="1"/>
  <c r="M217" i="536" s="1"/>
  <c r="J217" i="536" a="1"/>
  <c r="J217" i="536" s="1"/>
  <c r="H217" i="536"/>
  <c r="V216" i="536"/>
  <c r="W216" i="536" s="1"/>
  <c r="N216" i="536"/>
  <c r="K216" i="536" a="1"/>
  <c r="K216" i="536" s="1"/>
  <c r="M216" i="536" s="1"/>
  <c r="J216" i="536" a="1"/>
  <c r="J216" i="536" s="1"/>
  <c r="H216" i="536"/>
  <c r="V215" i="536"/>
  <c r="W215" i="536" s="1"/>
  <c r="N215" i="536"/>
  <c r="K215" i="536"/>
  <c r="M215" i="536" s="1"/>
  <c r="K215" i="536" a="1"/>
  <c r="J215" i="536"/>
  <c r="J215" i="536" a="1"/>
  <c r="H215" i="536"/>
  <c r="V214" i="536"/>
  <c r="W214" i="536" s="1"/>
  <c r="N214" i="536"/>
  <c r="K214" i="536" a="1"/>
  <c r="K214" i="536" s="1"/>
  <c r="M214" i="536" s="1"/>
  <c r="J214" i="536" a="1"/>
  <c r="J214" i="536" s="1"/>
  <c r="H214" i="536"/>
  <c r="W213" i="536"/>
  <c r="V213" i="536"/>
  <c r="N213" i="536"/>
  <c r="K213" i="536" a="1"/>
  <c r="K213" i="536" s="1"/>
  <c r="M213" i="536" s="1"/>
  <c r="J213" i="536" a="1"/>
  <c r="J213" i="536" s="1"/>
  <c r="H213" i="536"/>
  <c r="V212" i="536"/>
  <c r="W212" i="536" s="1"/>
  <c r="N212" i="536"/>
  <c r="K212" i="536" a="1"/>
  <c r="K212" i="536" s="1"/>
  <c r="M212" i="536" s="1"/>
  <c r="J212" i="536" a="1"/>
  <c r="J212" i="536" s="1"/>
  <c r="H212" i="536"/>
  <c r="W211" i="536"/>
  <c r="V211" i="536"/>
  <c r="N211" i="536"/>
  <c r="K211" i="536"/>
  <c r="M211" i="536" s="1"/>
  <c r="K211" i="536" a="1"/>
  <c r="J211" i="536" a="1"/>
  <c r="J211" i="536" s="1"/>
  <c r="H211" i="536"/>
  <c r="V210" i="536"/>
  <c r="W210" i="536" s="1"/>
  <c r="N210" i="536"/>
  <c r="K210" i="536" a="1"/>
  <c r="K210" i="536" s="1"/>
  <c r="M210" i="536" s="1"/>
  <c r="J210" i="536" a="1"/>
  <c r="J210" i="536" s="1"/>
  <c r="H210" i="536"/>
  <c r="V209" i="536"/>
  <c r="W209" i="536" s="1"/>
  <c r="N209" i="536"/>
  <c r="K209" i="536" a="1"/>
  <c r="K209" i="536" s="1"/>
  <c r="M209" i="536" s="1"/>
  <c r="J209" i="536" a="1"/>
  <c r="J209" i="536" s="1"/>
  <c r="H209" i="536"/>
  <c r="V208" i="536"/>
  <c r="W208" i="536" s="1"/>
  <c r="N208" i="536"/>
  <c r="K208" i="536" a="1"/>
  <c r="K208" i="536" s="1"/>
  <c r="M208" i="536" s="1"/>
  <c r="J208" i="536" a="1"/>
  <c r="J208" i="536" s="1"/>
  <c r="H208" i="536"/>
  <c r="W207" i="536"/>
  <c r="V207" i="536"/>
  <c r="N207" i="536"/>
  <c r="K207" i="536" a="1"/>
  <c r="K207" i="536" s="1"/>
  <c r="M207" i="536" s="1"/>
  <c r="J207" i="536" a="1"/>
  <c r="J207" i="536" s="1"/>
  <c r="H206" i="536"/>
  <c r="H205" i="536"/>
  <c r="H204" i="536"/>
  <c r="W203" i="536"/>
  <c r="V203" i="536"/>
  <c r="N203" i="536"/>
  <c r="K203" i="536"/>
  <c r="M203" i="536" s="1"/>
  <c r="K203" i="536" a="1"/>
  <c r="J203" i="536" a="1"/>
  <c r="J203" i="536" s="1"/>
  <c r="H203" i="536"/>
  <c r="V202" i="536"/>
  <c r="W202" i="536" s="1"/>
  <c r="N202" i="536"/>
  <c r="K202" i="536" a="1"/>
  <c r="K202" i="536" s="1"/>
  <c r="M202" i="536" s="1"/>
  <c r="J202" i="536" a="1"/>
  <c r="J202" i="536" s="1"/>
  <c r="H202" i="536"/>
  <c r="W201" i="536"/>
  <c r="V201" i="536"/>
  <c r="N201" i="536"/>
  <c r="K201" i="536" a="1"/>
  <c r="K201" i="536" s="1"/>
  <c r="M201" i="536" s="1"/>
  <c r="J201" i="536" a="1"/>
  <c r="J201" i="536" s="1"/>
  <c r="H201" i="536"/>
  <c r="H200" i="536"/>
  <c r="V199" i="536"/>
  <c r="V256" i="536" s="1"/>
  <c r="W256" i="536" s="1"/>
  <c r="N199" i="536"/>
  <c r="N256" i="536" s="1"/>
  <c r="K199" i="536" a="1"/>
  <c r="K199" i="536" s="1"/>
  <c r="J199" i="536" a="1"/>
  <c r="J199" i="536" s="1"/>
  <c r="H199" i="536"/>
  <c r="H256" i="536" s="1"/>
  <c r="AA198" i="536"/>
  <c r="AA333" i="536" s="1"/>
  <c r="Z198" i="536"/>
  <c r="Z333" i="536" s="1"/>
  <c r="Y198" i="536"/>
  <c r="Y333" i="536" s="1"/>
  <c r="X198" i="536"/>
  <c r="X333" i="536" s="1"/>
  <c r="U198" i="536"/>
  <c r="U333" i="536" s="1"/>
  <c r="T198" i="536"/>
  <c r="T333" i="536" s="1"/>
  <c r="S198" i="536"/>
  <c r="S333" i="536" s="1"/>
  <c r="R198" i="536"/>
  <c r="R333" i="536" s="1"/>
  <c r="Q198" i="536"/>
  <c r="Q333" i="536" s="1"/>
  <c r="P198" i="536"/>
  <c r="O198" i="536"/>
  <c r="I198" i="536"/>
  <c r="I333" i="536" s="1"/>
  <c r="B341" i="536" s="1"/>
  <c r="G198" i="536"/>
  <c r="G333" i="536" s="1"/>
  <c r="V197" i="536"/>
  <c r="W197" i="536" s="1"/>
  <c r="N197" i="536"/>
  <c r="K197" i="536" a="1"/>
  <c r="K197" i="536" s="1"/>
  <c r="M197" i="536" s="1"/>
  <c r="J197" i="536" a="1"/>
  <c r="J197" i="536" s="1"/>
  <c r="H197" i="536"/>
  <c r="V196" i="536"/>
  <c r="W196" i="536" s="1"/>
  <c r="N196" i="536"/>
  <c r="K196" i="536" a="1"/>
  <c r="K196" i="536" s="1"/>
  <c r="M196" i="536" s="1"/>
  <c r="J196" i="536" a="1"/>
  <c r="J196" i="536" s="1"/>
  <c r="H196" i="536"/>
  <c r="K195" i="536" a="1"/>
  <c r="K195" i="536" s="1"/>
  <c r="M195" i="536" s="1"/>
  <c r="H195" i="536"/>
  <c r="K194" i="536" a="1"/>
  <c r="K194" i="536" s="1"/>
  <c r="M194" i="536" s="1"/>
  <c r="H194" i="536"/>
  <c r="K193" i="536" a="1"/>
  <c r="K193" i="536" s="1"/>
  <c r="M193" i="536" s="1"/>
  <c r="H193" i="536"/>
  <c r="K192" i="536" a="1"/>
  <c r="K192" i="536" s="1"/>
  <c r="M192" i="536" s="1"/>
  <c r="H192" i="536"/>
  <c r="W191" i="536"/>
  <c r="V191" i="536"/>
  <c r="N191" i="536"/>
  <c r="K191" i="536" a="1"/>
  <c r="K191" i="536" s="1"/>
  <c r="M191" i="536" s="1"/>
  <c r="J191" i="536" a="1"/>
  <c r="J191" i="536" s="1"/>
  <c r="H191" i="536"/>
  <c r="V190" i="536"/>
  <c r="W190" i="536" s="1"/>
  <c r="N190" i="536"/>
  <c r="K190" i="536"/>
  <c r="M190" i="536" s="1"/>
  <c r="K190" i="536" a="1"/>
  <c r="J190" i="536" a="1"/>
  <c r="J190" i="536" s="1"/>
  <c r="H190" i="536"/>
  <c r="W189" i="536"/>
  <c r="V189" i="536"/>
  <c r="N189" i="536"/>
  <c r="K189" i="536" a="1"/>
  <c r="K189" i="536" s="1"/>
  <c r="M189" i="536" s="1"/>
  <c r="J189" i="536" a="1"/>
  <c r="J189" i="536" s="1"/>
  <c r="H189" i="536"/>
  <c r="N188" i="536"/>
  <c r="K188" i="536" a="1"/>
  <c r="K188" i="536" s="1"/>
  <c r="M188" i="536" s="1"/>
  <c r="J188" i="536" a="1"/>
  <c r="J188" i="536" s="1"/>
  <c r="H188" i="536"/>
  <c r="N187" i="536"/>
  <c r="K187" i="536" a="1"/>
  <c r="K187" i="536" s="1"/>
  <c r="M187" i="536" s="1"/>
  <c r="J187" i="536" a="1"/>
  <c r="J187" i="536" s="1"/>
  <c r="H187" i="536"/>
  <c r="W186" i="536"/>
  <c r="V186" i="536"/>
  <c r="N186" i="536"/>
  <c r="K186" i="536"/>
  <c r="M186" i="536" s="1"/>
  <c r="K186" i="536" a="1"/>
  <c r="J186" i="536" a="1"/>
  <c r="J186" i="536" s="1"/>
  <c r="H186" i="536"/>
  <c r="W185" i="536"/>
  <c r="V185" i="536"/>
  <c r="N185" i="536"/>
  <c r="K185" i="536" a="1"/>
  <c r="K185" i="536" s="1"/>
  <c r="M185" i="536" s="1"/>
  <c r="J185" i="536" a="1"/>
  <c r="J185" i="536" s="1"/>
  <c r="H185" i="536"/>
  <c r="N184" i="536"/>
  <c r="K184" i="536" a="1"/>
  <c r="K184" i="536" s="1"/>
  <c r="M184" i="536" s="1"/>
  <c r="H184" i="536"/>
  <c r="N183" i="536"/>
  <c r="K183" i="536" a="1"/>
  <c r="K183" i="536" s="1"/>
  <c r="M183" i="536" s="1"/>
  <c r="H183" i="536"/>
  <c r="V182" i="536"/>
  <c r="W182" i="536" s="1"/>
  <c r="N182" i="536"/>
  <c r="K182" i="536" a="1"/>
  <c r="K182" i="536" s="1"/>
  <c r="M182" i="536" s="1"/>
  <c r="J182" i="536" a="1"/>
  <c r="J182" i="536" s="1"/>
  <c r="H182" i="536"/>
  <c r="W181" i="536"/>
  <c r="V181" i="536"/>
  <c r="N181" i="536"/>
  <c r="K181" i="536" a="1"/>
  <c r="K181" i="536" s="1"/>
  <c r="M181" i="536" s="1"/>
  <c r="J181" i="536" a="1"/>
  <c r="J181" i="536" s="1"/>
  <c r="H181" i="536"/>
  <c r="V180" i="536"/>
  <c r="W180" i="536" s="1"/>
  <c r="N180" i="536"/>
  <c r="K180" i="536" a="1"/>
  <c r="K180" i="536" s="1"/>
  <c r="M180" i="536" s="1"/>
  <c r="J180" i="536" a="1"/>
  <c r="J180" i="536" s="1"/>
  <c r="H180" i="536"/>
  <c r="V179" i="536"/>
  <c r="W179" i="536" s="1"/>
  <c r="N179" i="536"/>
  <c r="K179" i="536"/>
  <c r="M179" i="536" s="1"/>
  <c r="K179" i="536" a="1"/>
  <c r="J179" i="536" a="1"/>
  <c r="J179" i="536" s="1"/>
  <c r="H179" i="536"/>
  <c r="W178" i="536"/>
  <c r="V178" i="536"/>
  <c r="N178" i="536"/>
  <c r="K178" i="536" a="1"/>
  <c r="K178" i="536" s="1"/>
  <c r="M178" i="536" s="1"/>
  <c r="J178" i="536" a="1"/>
  <c r="J178" i="536" s="1"/>
  <c r="H178" i="536"/>
  <c r="W177" i="536"/>
  <c r="V177" i="536"/>
  <c r="V198" i="536" s="1"/>
  <c r="N177" i="536"/>
  <c r="N198" i="536" s="1"/>
  <c r="K177" i="536" a="1"/>
  <c r="K177" i="536" s="1"/>
  <c r="M177" i="536" s="1"/>
  <c r="J177" i="536" a="1"/>
  <c r="J177" i="536" s="1"/>
  <c r="H177" i="536"/>
  <c r="H198" i="536" s="1"/>
  <c r="H333" i="536" s="1"/>
  <c r="E340" i="536" s="1"/>
  <c r="X170" i="536"/>
  <c r="Q526" i="536" s="1"/>
  <c r="X169" i="536"/>
  <c r="Q525" i="536" s="1"/>
  <c r="G169" i="536"/>
  <c r="C169" i="536"/>
  <c r="X168" i="536"/>
  <c r="Q524" i="536" s="1"/>
  <c r="I168" i="536"/>
  <c r="E168" i="536"/>
  <c r="K168" i="536" s="1"/>
  <c r="M168" i="536" s="1"/>
  <c r="I167" i="536"/>
  <c r="E167" i="536"/>
  <c r="K167" i="536" s="1"/>
  <c r="M167" i="536" s="1"/>
  <c r="I166" i="536"/>
  <c r="E166" i="536"/>
  <c r="K166" i="536" s="1"/>
  <c r="M166" i="536" s="1"/>
  <c r="X165" i="536"/>
  <c r="Q521" i="536" s="1"/>
  <c r="I165" i="536"/>
  <c r="I169" i="536" s="1"/>
  <c r="E165" i="536"/>
  <c r="K165" i="536" s="1"/>
  <c r="AA162" i="536"/>
  <c r="Z162" i="536"/>
  <c r="Y162" i="536"/>
  <c r="X162" i="536"/>
  <c r="U162" i="536"/>
  <c r="T162" i="536"/>
  <c r="S162" i="536"/>
  <c r="R162" i="536"/>
  <c r="Q162" i="536"/>
  <c r="P162" i="536"/>
  <c r="O162" i="536"/>
  <c r="R170" i="536" s="1"/>
  <c r="I162" i="536"/>
  <c r="G162" i="536"/>
  <c r="C526" i="536" s="1"/>
  <c r="H161" i="536"/>
  <c r="H160" i="536"/>
  <c r="H159" i="536"/>
  <c r="V158" i="536"/>
  <c r="W158" i="536" s="1"/>
  <c r="N158" i="536"/>
  <c r="K158" i="536"/>
  <c r="K158" i="536" a="1"/>
  <c r="J158" i="536" a="1"/>
  <c r="J158" i="536" s="1"/>
  <c r="H158" i="536"/>
  <c r="D158" i="536"/>
  <c r="V157" i="536"/>
  <c r="W157" i="536" s="1"/>
  <c r="N157" i="536"/>
  <c r="K157" i="536" a="1"/>
  <c r="K157" i="536" s="1"/>
  <c r="M157" i="536" s="1"/>
  <c r="J157" i="536" a="1"/>
  <c r="J157" i="536" s="1"/>
  <c r="H157" i="536"/>
  <c r="H156" i="536"/>
  <c r="H155" i="536"/>
  <c r="V154" i="536"/>
  <c r="W154" i="536" s="1"/>
  <c r="N154" i="536"/>
  <c r="K154" i="536" a="1"/>
  <c r="K154" i="536" s="1"/>
  <c r="M154" i="536" s="1"/>
  <c r="J154" i="536" a="1"/>
  <c r="J154" i="536" s="1"/>
  <c r="H154" i="536"/>
  <c r="V153" i="536"/>
  <c r="W153" i="536" s="1"/>
  <c r="N153" i="536"/>
  <c r="K153" i="536"/>
  <c r="M153" i="536" s="1"/>
  <c r="K153" i="536" a="1"/>
  <c r="J153" i="536"/>
  <c r="J153" i="536" a="1"/>
  <c r="H153" i="536"/>
  <c r="H152" i="536"/>
  <c r="W151" i="536"/>
  <c r="V151" i="536"/>
  <c r="N151" i="536"/>
  <c r="K151" i="536" a="1"/>
  <c r="K151" i="536" s="1"/>
  <c r="M151" i="536" s="1"/>
  <c r="J151" i="536" a="1"/>
  <c r="J151" i="536" s="1"/>
  <c r="H151" i="536"/>
  <c r="V150" i="536"/>
  <c r="W150" i="536" s="1"/>
  <c r="N150" i="536"/>
  <c r="K150" i="536" a="1"/>
  <c r="K150" i="536" s="1"/>
  <c r="M150" i="536" s="1"/>
  <c r="J150" i="536" a="1"/>
  <c r="J150" i="536" s="1"/>
  <c r="H150" i="536"/>
  <c r="V149" i="536"/>
  <c r="W149" i="536" s="1"/>
  <c r="N149" i="536"/>
  <c r="K149" i="536" a="1"/>
  <c r="K149" i="536" s="1"/>
  <c r="M149" i="536" s="1"/>
  <c r="J149" i="536" a="1"/>
  <c r="J149" i="536" s="1"/>
  <c r="H149" i="536"/>
  <c r="V148" i="536"/>
  <c r="V162" i="536" s="1"/>
  <c r="W162" i="536" s="1"/>
  <c r="N148" i="536"/>
  <c r="N162" i="536" s="1"/>
  <c r="K148" i="536" a="1"/>
  <c r="K148" i="536" s="1"/>
  <c r="J148" i="536" a="1"/>
  <c r="J148" i="536" s="1"/>
  <c r="H148" i="536"/>
  <c r="H162" i="536" s="1"/>
  <c r="AA147" i="536"/>
  <c r="Z147" i="536"/>
  <c r="Y147" i="536"/>
  <c r="X147" i="536"/>
  <c r="U147" i="536"/>
  <c r="T147" i="536"/>
  <c r="S147" i="536"/>
  <c r="Q147" i="536"/>
  <c r="P147" i="536"/>
  <c r="O147" i="536"/>
  <c r="R169" i="536" s="1"/>
  <c r="I147" i="536"/>
  <c r="G147" i="536"/>
  <c r="C525" i="536" s="1"/>
  <c r="V146" i="536"/>
  <c r="W146" i="536" s="1"/>
  <c r="N146" i="536"/>
  <c r="K146" i="536" a="1"/>
  <c r="K146" i="536" s="1"/>
  <c r="M146" i="536" s="1"/>
  <c r="J146" i="536" a="1"/>
  <c r="J146" i="536" s="1"/>
  <c r="H146" i="536"/>
  <c r="K145" i="536"/>
  <c r="K145" i="536" a="1"/>
  <c r="H145" i="536"/>
  <c r="K144" i="536" a="1"/>
  <c r="K144" i="536" s="1"/>
  <c r="H144" i="536"/>
  <c r="K143" i="536" a="1"/>
  <c r="K143" i="536" s="1"/>
  <c r="H143" i="536"/>
  <c r="V142" i="536"/>
  <c r="W142" i="536" s="1"/>
  <c r="N142" i="536"/>
  <c r="K142" i="536" a="1"/>
  <c r="K142" i="536" s="1"/>
  <c r="M142" i="536" s="1"/>
  <c r="J142" i="536" a="1"/>
  <c r="J142" i="536" s="1"/>
  <c r="H142" i="536"/>
  <c r="V141" i="536"/>
  <c r="W141" i="536" s="1"/>
  <c r="N141" i="536"/>
  <c r="K141" i="536"/>
  <c r="M141" i="536" s="1"/>
  <c r="K141" i="536" a="1"/>
  <c r="J141" i="536"/>
  <c r="J141" i="536" a="1"/>
  <c r="H141" i="536"/>
  <c r="V140" i="536"/>
  <c r="W140" i="536" s="1"/>
  <c r="N140" i="536"/>
  <c r="K140" i="536" a="1"/>
  <c r="K140" i="536" s="1"/>
  <c r="M140" i="536" s="1"/>
  <c r="J140" i="536" a="1"/>
  <c r="J140" i="536" s="1"/>
  <c r="H140" i="536"/>
  <c r="V139" i="536"/>
  <c r="W139" i="536" s="1"/>
  <c r="N139" i="536"/>
  <c r="K139" i="536" a="1"/>
  <c r="K139" i="536" s="1"/>
  <c r="M139" i="536" s="1"/>
  <c r="J139" i="536" a="1"/>
  <c r="J139" i="536" s="1"/>
  <c r="H139" i="536"/>
  <c r="V138" i="536"/>
  <c r="W138" i="536" s="1"/>
  <c r="N138" i="536"/>
  <c r="N147" i="536" s="1"/>
  <c r="K138" i="536" a="1"/>
  <c r="K138" i="536" s="1"/>
  <c r="J138" i="536" a="1"/>
  <c r="J138" i="536" s="1"/>
  <c r="H138" i="536"/>
  <c r="H147" i="536" s="1"/>
  <c r="AA137" i="536"/>
  <c r="Z137" i="536"/>
  <c r="Y137" i="536"/>
  <c r="X137" i="536"/>
  <c r="U137" i="536"/>
  <c r="T137" i="536"/>
  <c r="S137" i="536"/>
  <c r="Q137" i="536"/>
  <c r="P137" i="536"/>
  <c r="O137" i="536"/>
  <c r="R168" i="536" s="1"/>
  <c r="I137" i="536"/>
  <c r="G137" i="536"/>
  <c r="C524" i="536" s="1"/>
  <c r="V136" i="536"/>
  <c r="W136" i="536" s="1"/>
  <c r="N136" i="536"/>
  <c r="K136" i="536"/>
  <c r="M136" i="536" s="1"/>
  <c r="K136" i="536" a="1"/>
  <c r="J136" i="536" a="1"/>
  <c r="J136" i="536" s="1"/>
  <c r="H136" i="536"/>
  <c r="V135" i="536"/>
  <c r="W135" i="536" s="1"/>
  <c r="N135" i="536"/>
  <c r="K135" i="536" a="1"/>
  <c r="K135" i="536" s="1"/>
  <c r="M135" i="536" s="1"/>
  <c r="J135" i="536" a="1"/>
  <c r="J135" i="536" s="1"/>
  <c r="H135" i="536"/>
  <c r="V134" i="536"/>
  <c r="W134" i="536" s="1"/>
  <c r="N134" i="536"/>
  <c r="K134" i="536"/>
  <c r="M134" i="536" s="1"/>
  <c r="K134" i="536" a="1"/>
  <c r="J134" i="536" a="1"/>
  <c r="J134" i="536" s="1"/>
  <c r="H134" i="536"/>
  <c r="V133" i="536"/>
  <c r="W133" i="536" s="1"/>
  <c r="N133" i="536"/>
  <c r="K133" i="536" a="1"/>
  <c r="K133" i="536" s="1"/>
  <c r="M133" i="536" s="1"/>
  <c r="J133" i="536" a="1"/>
  <c r="J133" i="536" s="1"/>
  <c r="H133" i="536"/>
  <c r="V132" i="536"/>
  <c r="W132" i="536" s="1"/>
  <c r="N132" i="536"/>
  <c r="K132" i="536"/>
  <c r="M132" i="536" s="1"/>
  <c r="K132" i="536" a="1"/>
  <c r="J132" i="536"/>
  <c r="J132" i="536" a="1"/>
  <c r="H132" i="536"/>
  <c r="V131" i="536"/>
  <c r="W131" i="536" s="1"/>
  <c r="N131" i="536"/>
  <c r="K131" i="536" a="1"/>
  <c r="K131" i="536" s="1"/>
  <c r="M131" i="536" s="1"/>
  <c r="J131" i="536" a="1"/>
  <c r="J131" i="536" s="1"/>
  <c r="H131" i="536"/>
  <c r="W130" i="536"/>
  <c r="V130" i="536"/>
  <c r="N130" i="536"/>
  <c r="K130" i="536" a="1"/>
  <c r="K130" i="536" s="1"/>
  <c r="M130" i="536" s="1"/>
  <c r="J130" i="536" a="1"/>
  <c r="J130" i="536" s="1"/>
  <c r="H130" i="536"/>
  <c r="V129" i="536"/>
  <c r="W129" i="536" s="1"/>
  <c r="N129" i="536"/>
  <c r="K129" i="536" a="1"/>
  <c r="K129" i="536" s="1"/>
  <c r="M129" i="536" s="1"/>
  <c r="J129" i="536" a="1"/>
  <c r="J129" i="536" s="1"/>
  <c r="H129" i="536"/>
  <c r="V128" i="536"/>
  <c r="W128" i="536" s="1"/>
  <c r="N128" i="536"/>
  <c r="K128" i="536"/>
  <c r="M128" i="536" s="1"/>
  <c r="K128" i="536" a="1"/>
  <c r="J128" i="536"/>
  <c r="J128" i="536" a="1"/>
  <c r="H128" i="536"/>
  <c r="V127" i="536"/>
  <c r="W127" i="536" s="1"/>
  <c r="N127" i="536"/>
  <c r="K127" i="536" a="1"/>
  <c r="K127" i="536" s="1"/>
  <c r="M127" i="536" s="1"/>
  <c r="J127" i="536" a="1"/>
  <c r="J127" i="536" s="1"/>
  <c r="H127" i="536"/>
  <c r="W126" i="536"/>
  <c r="V126" i="536"/>
  <c r="N126" i="536"/>
  <c r="K126" i="536" a="1"/>
  <c r="K126" i="536" s="1"/>
  <c r="M126" i="536" s="1"/>
  <c r="J126" i="536" a="1"/>
  <c r="J126" i="536" s="1"/>
  <c r="H126" i="536"/>
  <c r="V125" i="536"/>
  <c r="W125" i="536" s="1"/>
  <c r="N125" i="536"/>
  <c r="K125" i="536" a="1"/>
  <c r="K125" i="536" s="1"/>
  <c r="M125" i="536" s="1"/>
  <c r="J125" i="536" a="1"/>
  <c r="J125" i="536" s="1"/>
  <c r="H125" i="536"/>
  <c r="V124" i="536"/>
  <c r="W124" i="536" s="1"/>
  <c r="N124" i="536"/>
  <c r="K124" i="536"/>
  <c r="M124" i="536" s="1"/>
  <c r="K124" i="536" a="1"/>
  <c r="J124" i="536"/>
  <c r="J124" i="536" a="1"/>
  <c r="H124" i="536"/>
  <c r="V123" i="536"/>
  <c r="W123" i="536" s="1"/>
  <c r="N123" i="536"/>
  <c r="K123" i="536" a="1"/>
  <c r="K123" i="536" s="1"/>
  <c r="M123" i="536" s="1"/>
  <c r="J123" i="536" a="1"/>
  <c r="J123" i="536" s="1"/>
  <c r="H123" i="536"/>
  <c r="W122" i="536"/>
  <c r="V122" i="536"/>
  <c r="N122" i="536"/>
  <c r="N137" i="536" s="1"/>
  <c r="K122" i="536" a="1"/>
  <c r="K122" i="536" s="1"/>
  <c r="M122" i="536" s="1"/>
  <c r="J122" i="536" a="1"/>
  <c r="J122" i="536" s="1"/>
  <c r="H122" i="536"/>
  <c r="AA121" i="536"/>
  <c r="Z121" i="536"/>
  <c r="Y121" i="536"/>
  <c r="X121" i="536"/>
  <c r="U121" i="536"/>
  <c r="T121" i="536"/>
  <c r="S121" i="536"/>
  <c r="R121" i="536"/>
  <c r="Q121" i="536"/>
  <c r="P121" i="536"/>
  <c r="O121" i="536"/>
  <c r="R167" i="536" s="1"/>
  <c r="I121" i="536"/>
  <c r="G121" i="536"/>
  <c r="C523" i="536" s="1"/>
  <c r="W120" i="536"/>
  <c r="V120" i="536"/>
  <c r="N120" i="536"/>
  <c r="K120" i="536" a="1"/>
  <c r="K120" i="536" s="1"/>
  <c r="M120" i="536" s="1"/>
  <c r="J120" i="536" a="1"/>
  <c r="J120" i="536" s="1"/>
  <c r="H120" i="536"/>
  <c r="V119" i="536"/>
  <c r="W119" i="536" s="1"/>
  <c r="N119" i="536"/>
  <c r="K119" i="536" a="1"/>
  <c r="K119" i="536" s="1"/>
  <c r="M119" i="536" s="1"/>
  <c r="J119" i="536" a="1"/>
  <c r="J119" i="536" s="1"/>
  <c r="H119" i="536"/>
  <c r="W118" i="536"/>
  <c r="V118" i="536"/>
  <c r="N118" i="536"/>
  <c r="K118" i="536" a="1"/>
  <c r="K118" i="536" s="1"/>
  <c r="M118" i="536" s="1"/>
  <c r="J118" i="536" a="1"/>
  <c r="J118" i="536" s="1"/>
  <c r="H118" i="536"/>
  <c r="K117" i="536" a="1"/>
  <c r="K117" i="536" s="1"/>
  <c r="H117" i="536"/>
  <c r="K116" i="536"/>
  <c r="K116" i="536" a="1"/>
  <c r="H116" i="536"/>
  <c r="K115" i="536" a="1"/>
  <c r="K115" i="536" s="1"/>
  <c r="H115" i="536"/>
  <c r="V114" i="536"/>
  <c r="W114" i="536" s="1"/>
  <c r="N114" i="536"/>
  <c r="K114" i="536" a="1"/>
  <c r="K114" i="536" s="1"/>
  <c r="M114" i="536" s="1"/>
  <c r="H114" i="536"/>
  <c r="V113" i="536"/>
  <c r="W113" i="536" s="1"/>
  <c r="N113" i="536"/>
  <c r="K113" i="536" a="1"/>
  <c r="K113" i="536" s="1"/>
  <c r="M113" i="536" s="1"/>
  <c r="H113" i="536"/>
  <c r="N112" i="536"/>
  <c r="K112" i="536"/>
  <c r="M112" i="536" s="1"/>
  <c r="K112" i="536" a="1"/>
  <c r="H112" i="536"/>
  <c r="N111" i="536"/>
  <c r="K111" i="536" a="1"/>
  <c r="K111" i="536" s="1"/>
  <c r="M111" i="536" s="1"/>
  <c r="H111" i="536"/>
  <c r="N110" i="536"/>
  <c r="K110" i="536" a="1"/>
  <c r="K110" i="536" s="1"/>
  <c r="M110" i="536" s="1"/>
  <c r="H110" i="536"/>
  <c r="N109" i="536"/>
  <c r="K109" i="536" a="1"/>
  <c r="K109" i="536" s="1"/>
  <c r="M109" i="536" s="1"/>
  <c r="H109" i="536"/>
  <c r="N108" i="536"/>
  <c r="K108" i="536"/>
  <c r="M108" i="536" s="1"/>
  <c r="K108" i="536" a="1"/>
  <c r="H108" i="536"/>
  <c r="N107" i="536"/>
  <c r="K107" i="536" a="1"/>
  <c r="K107" i="536" s="1"/>
  <c r="M107" i="536" s="1"/>
  <c r="H107" i="536"/>
  <c r="W106" i="536"/>
  <c r="V106" i="536"/>
  <c r="N106" i="536"/>
  <c r="K106" i="536" a="1"/>
  <c r="K106" i="536" s="1"/>
  <c r="M106" i="536" s="1"/>
  <c r="H106" i="536"/>
  <c r="V105" i="536"/>
  <c r="W105" i="536" s="1"/>
  <c r="N105" i="536"/>
  <c r="K105" i="536" a="1"/>
  <c r="K105" i="536" s="1"/>
  <c r="M105" i="536" s="1"/>
  <c r="H105" i="536"/>
  <c r="W104" i="536"/>
  <c r="V104" i="536"/>
  <c r="N104" i="536"/>
  <c r="K104" i="536" a="1"/>
  <c r="K104" i="536" s="1"/>
  <c r="M104" i="536" s="1"/>
  <c r="H104" i="536"/>
  <c r="V103" i="536"/>
  <c r="W103" i="536" s="1"/>
  <c r="N103" i="536"/>
  <c r="K103" i="536" a="1"/>
  <c r="K103" i="536" s="1"/>
  <c r="M103" i="536" s="1"/>
  <c r="H103" i="536"/>
  <c r="V102" i="536"/>
  <c r="W102" i="536" s="1"/>
  <c r="N102" i="536"/>
  <c r="K102" i="536"/>
  <c r="M102" i="536" s="1"/>
  <c r="K102" i="536" a="1"/>
  <c r="H102" i="536"/>
  <c r="V101" i="536"/>
  <c r="W101" i="536" s="1"/>
  <c r="N101" i="536"/>
  <c r="K101" i="536" a="1"/>
  <c r="K101" i="536" s="1"/>
  <c r="M101" i="536" s="1"/>
  <c r="H101" i="536"/>
  <c r="W100" i="536"/>
  <c r="V100" i="536"/>
  <c r="N100" i="536"/>
  <c r="K100" i="536" a="1"/>
  <c r="K100" i="536" s="1"/>
  <c r="M100" i="536" s="1"/>
  <c r="H100" i="536"/>
  <c r="V99" i="536"/>
  <c r="W99" i="536" s="1"/>
  <c r="N99" i="536"/>
  <c r="K99" i="536" a="1"/>
  <c r="K99" i="536" s="1"/>
  <c r="M99" i="536" s="1"/>
  <c r="H99" i="536"/>
  <c r="V98" i="536"/>
  <c r="W98" i="536" s="1"/>
  <c r="N98" i="536"/>
  <c r="K98" i="536"/>
  <c r="M98" i="536" s="1"/>
  <c r="K98" i="536" a="1"/>
  <c r="H98" i="536"/>
  <c r="V97" i="536"/>
  <c r="W97" i="536" s="1"/>
  <c r="N97" i="536"/>
  <c r="K97" i="536" a="1"/>
  <c r="K97" i="536" s="1"/>
  <c r="M97" i="536" s="1"/>
  <c r="H97" i="536"/>
  <c r="W96" i="536"/>
  <c r="V96" i="536"/>
  <c r="N96" i="536"/>
  <c r="K96" i="536" a="1"/>
  <c r="K96" i="536" s="1"/>
  <c r="M96" i="536" s="1"/>
  <c r="H96" i="536"/>
  <c r="V95" i="536"/>
  <c r="W95" i="536" s="1"/>
  <c r="N95" i="536"/>
  <c r="K95" i="536" a="1"/>
  <c r="K95" i="536" s="1"/>
  <c r="M95" i="536" s="1"/>
  <c r="H95" i="536"/>
  <c r="K94" i="536" a="1"/>
  <c r="K94" i="536" s="1"/>
  <c r="M94" i="536" s="1"/>
  <c r="H94" i="536"/>
  <c r="V93" i="536"/>
  <c r="W93" i="536" s="1"/>
  <c r="N93" i="536"/>
  <c r="K93" i="536" a="1"/>
  <c r="K93" i="536" s="1"/>
  <c r="M93" i="536" s="1"/>
  <c r="J93" i="536" a="1"/>
  <c r="J93" i="536" s="1"/>
  <c r="H93" i="536"/>
  <c r="V92" i="536"/>
  <c r="W92" i="536" s="1"/>
  <c r="N92" i="536"/>
  <c r="K92" i="536" a="1"/>
  <c r="K92" i="536" s="1"/>
  <c r="M92" i="536" s="1"/>
  <c r="J92" i="536" a="1"/>
  <c r="J92" i="536" s="1"/>
  <c r="H92" i="536"/>
  <c r="V91" i="536"/>
  <c r="W91" i="536" s="1"/>
  <c r="N91" i="536"/>
  <c r="K91" i="536"/>
  <c r="M91" i="536" s="1"/>
  <c r="K91" i="536" a="1"/>
  <c r="J91" i="536"/>
  <c r="J91" i="536" a="1"/>
  <c r="H91" i="536"/>
  <c r="V90" i="536"/>
  <c r="W90" i="536" s="1"/>
  <c r="N90" i="536"/>
  <c r="K90" i="536" a="1"/>
  <c r="K90" i="536" s="1"/>
  <c r="M90" i="536" s="1"/>
  <c r="J90" i="536" a="1"/>
  <c r="J90" i="536" s="1"/>
  <c r="H90" i="536"/>
  <c r="V89" i="536"/>
  <c r="W89" i="536" s="1"/>
  <c r="N89" i="536"/>
  <c r="K89" i="536" a="1"/>
  <c r="K89" i="536" s="1"/>
  <c r="M89" i="536" s="1"/>
  <c r="J89" i="536" a="1"/>
  <c r="J89" i="536" s="1"/>
  <c r="H89" i="536"/>
  <c r="V88" i="536"/>
  <c r="W88" i="536" s="1"/>
  <c r="N88" i="536"/>
  <c r="K88" i="536" a="1"/>
  <c r="K88" i="536" s="1"/>
  <c r="M88" i="536" s="1"/>
  <c r="J88" i="536" a="1"/>
  <c r="J88" i="536" s="1"/>
  <c r="H88" i="536"/>
  <c r="V87" i="536"/>
  <c r="W87" i="536" s="1"/>
  <c r="N87" i="536"/>
  <c r="N121" i="536" s="1"/>
  <c r="K87" i="536" a="1"/>
  <c r="K87" i="536" s="1"/>
  <c r="M87" i="536" s="1"/>
  <c r="J87" i="536" a="1"/>
  <c r="J87" i="536" s="1"/>
  <c r="H87" i="536"/>
  <c r="H121" i="536" s="1"/>
  <c r="AA86" i="536"/>
  <c r="Z86" i="536"/>
  <c r="Y86" i="536"/>
  <c r="X86" i="536"/>
  <c r="U86" i="536"/>
  <c r="T86" i="536"/>
  <c r="S86" i="536"/>
  <c r="R86" i="536"/>
  <c r="Q86" i="536"/>
  <c r="P86" i="536"/>
  <c r="O86" i="536"/>
  <c r="I86" i="536"/>
  <c r="G86" i="536"/>
  <c r="C522" i="536" s="1"/>
  <c r="K85" i="536" a="1"/>
  <c r="K85" i="536" s="1"/>
  <c r="H85" i="536"/>
  <c r="K84" i="536" a="1"/>
  <c r="K84" i="536" s="1"/>
  <c r="H84" i="536"/>
  <c r="K83" i="536" a="1"/>
  <c r="K83" i="536" s="1"/>
  <c r="H83" i="536"/>
  <c r="K82" i="536" a="1"/>
  <c r="K82" i="536" s="1"/>
  <c r="H82" i="536"/>
  <c r="K81" i="536" a="1"/>
  <c r="K81" i="536" s="1"/>
  <c r="H81" i="536"/>
  <c r="K80" i="536" a="1"/>
  <c r="K80" i="536" s="1"/>
  <c r="H80" i="536"/>
  <c r="K79" i="536" a="1"/>
  <c r="K79" i="536" s="1"/>
  <c r="M79" i="536" s="1"/>
  <c r="H79" i="536"/>
  <c r="K78" i="536" a="1"/>
  <c r="K78" i="536" s="1"/>
  <c r="M78" i="536" s="1"/>
  <c r="H78" i="536"/>
  <c r="K77" i="536" a="1"/>
  <c r="K77" i="536" s="1"/>
  <c r="M77" i="536" s="1"/>
  <c r="H77" i="536"/>
  <c r="K76" i="536" a="1"/>
  <c r="K76" i="536" s="1"/>
  <c r="M76" i="536" s="1"/>
  <c r="H76" i="536"/>
  <c r="W75" i="536"/>
  <c r="V75" i="536"/>
  <c r="N75" i="536"/>
  <c r="K75" i="536" a="1"/>
  <c r="K75" i="536" s="1"/>
  <c r="M75" i="536" s="1"/>
  <c r="J75" i="536" a="1"/>
  <c r="J75" i="536" s="1"/>
  <c r="H75" i="536"/>
  <c r="V74" i="536"/>
  <c r="W74" i="536" s="1"/>
  <c r="N74" i="536"/>
  <c r="K74" i="536" a="1"/>
  <c r="K74" i="536" s="1"/>
  <c r="M74" i="536" s="1"/>
  <c r="J74" i="536" a="1"/>
  <c r="J74" i="536" s="1"/>
  <c r="H74" i="536"/>
  <c r="V73" i="536"/>
  <c r="W73" i="536" s="1"/>
  <c r="N73" i="536"/>
  <c r="K73" i="536"/>
  <c r="M73" i="536" s="1"/>
  <c r="K73" i="536" a="1"/>
  <c r="J73" i="536"/>
  <c r="J73" i="536" a="1"/>
  <c r="H73" i="536"/>
  <c r="V72" i="536"/>
  <c r="W72" i="536" s="1"/>
  <c r="N72" i="536"/>
  <c r="K72" i="536" a="1"/>
  <c r="K72" i="536" s="1"/>
  <c r="M72" i="536" s="1"/>
  <c r="J72" i="536" a="1"/>
  <c r="J72" i="536" s="1"/>
  <c r="H72" i="536"/>
  <c r="H71" i="536"/>
  <c r="V70" i="536"/>
  <c r="W70" i="536" s="1"/>
  <c r="N70" i="536"/>
  <c r="K70" i="536" a="1"/>
  <c r="K70" i="536" s="1"/>
  <c r="M70" i="536" s="1"/>
  <c r="J70" i="536" a="1"/>
  <c r="J70" i="536" s="1"/>
  <c r="H70" i="536"/>
  <c r="W69" i="536"/>
  <c r="V69" i="536"/>
  <c r="N69" i="536"/>
  <c r="K69" i="536" a="1"/>
  <c r="K69" i="536" s="1"/>
  <c r="M69" i="536" s="1"/>
  <c r="J69" i="536" a="1"/>
  <c r="J69" i="536" s="1"/>
  <c r="H69" i="536"/>
  <c r="K68" i="536" a="1"/>
  <c r="K68" i="536" s="1"/>
  <c r="H68" i="536"/>
  <c r="K67" i="536"/>
  <c r="K67" i="536" a="1"/>
  <c r="H67" i="536"/>
  <c r="V66" i="536"/>
  <c r="W66" i="536" s="1"/>
  <c r="N66" i="536"/>
  <c r="K66" i="536" a="1"/>
  <c r="K66" i="536" s="1"/>
  <c r="M66" i="536" s="1"/>
  <c r="J66" i="536" a="1"/>
  <c r="J66" i="536" s="1"/>
  <c r="H66" i="536"/>
  <c r="W65" i="536"/>
  <c r="V65" i="536"/>
  <c r="N65" i="536"/>
  <c r="K65" i="536" a="1"/>
  <c r="K65" i="536" s="1"/>
  <c r="M65" i="536" s="1"/>
  <c r="J65" i="536" a="1"/>
  <c r="J65" i="536" s="1"/>
  <c r="H65" i="536"/>
  <c r="V64" i="536"/>
  <c r="W64" i="536" s="1"/>
  <c r="N64" i="536"/>
  <c r="K64" i="536" a="1"/>
  <c r="K64" i="536" s="1"/>
  <c r="M64" i="536" s="1"/>
  <c r="J64" i="536" a="1"/>
  <c r="J64" i="536" s="1"/>
  <c r="H64" i="536"/>
  <c r="V63" i="536"/>
  <c r="W63" i="536" s="1"/>
  <c r="N63" i="536"/>
  <c r="K63" i="536"/>
  <c r="M63" i="536" s="1"/>
  <c r="K63" i="536" a="1"/>
  <c r="J63" i="536"/>
  <c r="J63" i="536" a="1"/>
  <c r="H63" i="536"/>
  <c r="V62" i="536"/>
  <c r="W62" i="536" s="1"/>
  <c r="N62" i="536"/>
  <c r="K62" i="536" a="1"/>
  <c r="K62" i="536" s="1"/>
  <c r="M62" i="536" s="1"/>
  <c r="J62" i="536" a="1"/>
  <c r="J62" i="536" s="1"/>
  <c r="H62" i="536"/>
  <c r="W61" i="536"/>
  <c r="V61" i="536"/>
  <c r="N61" i="536"/>
  <c r="K61" i="536" a="1"/>
  <c r="K61" i="536" s="1"/>
  <c r="M61" i="536" s="1"/>
  <c r="J61" i="536" a="1"/>
  <c r="J61" i="536" s="1"/>
  <c r="H61" i="536"/>
  <c r="V60" i="536"/>
  <c r="W60" i="536" s="1"/>
  <c r="N60" i="536"/>
  <c r="K60" i="536" a="1"/>
  <c r="K60" i="536" s="1"/>
  <c r="M60" i="536" s="1"/>
  <c r="J60" i="536" a="1"/>
  <c r="J60" i="536" s="1"/>
  <c r="H60" i="536"/>
  <c r="V59" i="536"/>
  <c r="W59" i="536" s="1"/>
  <c r="N59" i="536"/>
  <c r="K59" i="536"/>
  <c r="M59" i="536" s="1"/>
  <c r="K59" i="536" a="1"/>
  <c r="J59" i="536"/>
  <c r="J59" i="536" a="1"/>
  <c r="H59" i="536"/>
  <c r="V58" i="536"/>
  <c r="W58" i="536" s="1"/>
  <c r="N58" i="536"/>
  <c r="K58" i="536" a="1"/>
  <c r="K58" i="536" s="1"/>
  <c r="M58" i="536" s="1"/>
  <c r="J58" i="536" a="1"/>
  <c r="J58" i="536" s="1"/>
  <c r="H58" i="536"/>
  <c r="W57" i="536"/>
  <c r="V57" i="536"/>
  <c r="N57" i="536"/>
  <c r="K57" i="536" a="1"/>
  <c r="K57" i="536" s="1"/>
  <c r="M57" i="536" s="1"/>
  <c r="J57" i="536" a="1"/>
  <c r="J57" i="536" s="1"/>
  <c r="H57" i="536"/>
  <c r="K56" i="536"/>
  <c r="M56" i="536" s="1"/>
  <c r="K56" i="536" a="1"/>
  <c r="H56" i="536"/>
  <c r="K55" i="536" a="1"/>
  <c r="K55" i="536" s="1"/>
  <c r="M55" i="536" s="1"/>
  <c r="H55" i="536"/>
  <c r="K54" i="536" a="1"/>
  <c r="K54" i="536" s="1"/>
  <c r="M54" i="536" s="1"/>
  <c r="H54" i="536"/>
  <c r="K53" i="536" a="1"/>
  <c r="K53" i="536" s="1"/>
  <c r="M53" i="536" s="1"/>
  <c r="H53" i="536"/>
  <c r="N52" i="536"/>
  <c r="K52" i="536"/>
  <c r="M52" i="536" s="1"/>
  <c r="K52" i="536" a="1"/>
  <c r="H52" i="536"/>
  <c r="N51" i="536"/>
  <c r="K51" i="536" a="1"/>
  <c r="K51" i="536" s="1"/>
  <c r="M51" i="536" s="1"/>
  <c r="H51" i="536"/>
  <c r="N50" i="536"/>
  <c r="K50" i="536" a="1"/>
  <c r="K50" i="536" s="1"/>
  <c r="M50" i="536" s="1"/>
  <c r="H50" i="536"/>
  <c r="N49" i="536"/>
  <c r="K49" i="536" a="1"/>
  <c r="K49" i="536" s="1"/>
  <c r="M49" i="536" s="1"/>
  <c r="H49" i="536"/>
  <c r="W48" i="536"/>
  <c r="V48" i="536"/>
  <c r="N48" i="536"/>
  <c r="K48" i="536" a="1"/>
  <c r="K48" i="536" s="1"/>
  <c r="M48" i="536" s="1"/>
  <c r="J48" i="536" a="1"/>
  <c r="J48" i="536" s="1"/>
  <c r="H48" i="536"/>
  <c r="V47" i="536"/>
  <c r="W47" i="536" s="1"/>
  <c r="N47" i="536"/>
  <c r="K47" i="536" a="1"/>
  <c r="K47" i="536" s="1"/>
  <c r="M47" i="536" s="1"/>
  <c r="J47" i="536" a="1"/>
  <c r="J47" i="536" s="1"/>
  <c r="H47" i="536"/>
  <c r="V46" i="536"/>
  <c r="W46" i="536" s="1"/>
  <c r="N46" i="536"/>
  <c r="K46" i="536"/>
  <c r="M46" i="536" s="1"/>
  <c r="K46" i="536" a="1"/>
  <c r="J46" i="536" a="1"/>
  <c r="J46" i="536" s="1"/>
  <c r="H46" i="536"/>
  <c r="V45" i="536"/>
  <c r="W45" i="536" s="1"/>
  <c r="N45" i="536"/>
  <c r="K45" i="536" a="1"/>
  <c r="K45" i="536" s="1"/>
  <c r="M45" i="536" s="1"/>
  <c r="J45" i="536" a="1"/>
  <c r="J45" i="536" s="1"/>
  <c r="H45" i="536"/>
  <c r="V44" i="536"/>
  <c r="W44" i="536" s="1"/>
  <c r="N44" i="536"/>
  <c r="K44" i="536" a="1"/>
  <c r="K44" i="536" s="1"/>
  <c r="M44" i="536" s="1"/>
  <c r="J44" i="536" a="1"/>
  <c r="J44" i="536" s="1"/>
  <c r="H44" i="536"/>
  <c r="V43" i="536"/>
  <c r="W43" i="536" s="1"/>
  <c r="N43" i="536"/>
  <c r="K43" i="536" a="1"/>
  <c r="K43" i="536" s="1"/>
  <c r="M43" i="536" s="1"/>
  <c r="J43" i="536" a="1"/>
  <c r="J43" i="536" s="1"/>
  <c r="H43" i="536"/>
  <c r="V42" i="536"/>
  <c r="W42" i="536" s="1"/>
  <c r="N42" i="536"/>
  <c r="K42" i="536"/>
  <c r="M42" i="536" s="1"/>
  <c r="K42" i="536" a="1"/>
  <c r="J42" i="536"/>
  <c r="J42" i="536" a="1"/>
  <c r="H42" i="536"/>
  <c r="V41" i="536"/>
  <c r="W41" i="536" s="1"/>
  <c r="N41" i="536"/>
  <c r="K41" i="536" a="1"/>
  <c r="K41" i="536" s="1"/>
  <c r="M41" i="536" s="1"/>
  <c r="J41" i="536" a="1"/>
  <c r="J41" i="536" s="1"/>
  <c r="H41" i="536"/>
  <c r="W40" i="536"/>
  <c r="V40" i="536"/>
  <c r="N40" i="536"/>
  <c r="K40" i="536" a="1"/>
  <c r="K40" i="536" s="1"/>
  <c r="M40" i="536" s="1"/>
  <c r="J40" i="536" a="1"/>
  <c r="J40" i="536" s="1"/>
  <c r="H40" i="536"/>
  <c r="V39" i="536"/>
  <c r="W39" i="536" s="1"/>
  <c r="N39" i="536"/>
  <c r="K39" i="536" a="1"/>
  <c r="K39" i="536" s="1"/>
  <c r="M39" i="536" s="1"/>
  <c r="J39" i="536" a="1"/>
  <c r="J39" i="536" s="1"/>
  <c r="H39" i="536"/>
  <c r="V38" i="536"/>
  <c r="W38" i="536" s="1"/>
  <c r="N38" i="536"/>
  <c r="K38" i="536"/>
  <c r="M38" i="536" s="1"/>
  <c r="K38" i="536" a="1"/>
  <c r="J38" i="536"/>
  <c r="J38" i="536" a="1"/>
  <c r="H38" i="536"/>
  <c r="V37" i="536"/>
  <c r="W37" i="536" s="1"/>
  <c r="N37" i="536"/>
  <c r="K37" i="536" a="1"/>
  <c r="K37" i="536" s="1"/>
  <c r="M37" i="536" s="1"/>
  <c r="J37" i="536" a="1"/>
  <c r="J37" i="536" s="1"/>
  <c r="H37" i="536"/>
  <c r="H36" i="536"/>
  <c r="H35" i="536"/>
  <c r="H34" i="536"/>
  <c r="V33" i="536"/>
  <c r="W33" i="536" s="1"/>
  <c r="N33" i="536"/>
  <c r="K33" i="536" a="1"/>
  <c r="K33" i="536" s="1"/>
  <c r="M33" i="536" s="1"/>
  <c r="J33" i="536" a="1"/>
  <c r="J33" i="536" s="1"/>
  <c r="H33" i="536"/>
  <c r="V32" i="536"/>
  <c r="W32" i="536" s="1"/>
  <c r="N32" i="536"/>
  <c r="K32" i="536" a="1"/>
  <c r="K32" i="536" s="1"/>
  <c r="M32" i="536" s="1"/>
  <c r="J32" i="536" a="1"/>
  <c r="J32" i="536" s="1"/>
  <c r="H32" i="536"/>
  <c r="V31" i="536"/>
  <c r="W31" i="536" s="1"/>
  <c r="N31" i="536"/>
  <c r="K31" i="536" a="1"/>
  <c r="K31" i="536" s="1"/>
  <c r="M31" i="536" s="1"/>
  <c r="J31" i="536" a="1"/>
  <c r="J31" i="536" s="1"/>
  <c r="H31" i="536"/>
  <c r="K30" i="536" a="1"/>
  <c r="K30" i="536" s="1"/>
  <c r="H30" i="536"/>
  <c r="V29" i="536"/>
  <c r="V86" i="536" s="1"/>
  <c r="W86" i="536" s="1"/>
  <c r="N29" i="536"/>
  <c r="N86" i="536" s="1"/>
  <c r="K29" i="536" a="1"/>
  <c r="K29" i="536" s="1"/>
  <c r="J29" i="536" a="1"/>
  <c r="J29" i="536" s="1"/>
  <c r="H29" i="536"/>
  <c r="AA28" i="536"/>
  <c r="AA163" i="536" s="1"/>
  <c r="Z28" i="536"/>
  <c r="Z163" i="536" s="1"/>
  <c r="Y28" i="536"/>
  <c r="Y163" i="536" s="1"/>
  <c r="X28" i="536"/>
  <c r="X163" i="536" s="1"/>
  <c r="U28" i="536"/>
  <c r="U163" i="536" s="1"/>
  <c r="T28" i="536"/>
  <c r="T163" i="536" s="1"/>
  <c r="S28" i="536"/>
  <c r="S163" i="536" s="1"/>
  <c r="R28" i="536"/>
  <c r="R163" i="536" s="1"/>
  <c r="Q28" i="536"/>
  <c r="Q163" i="536" s="1"/>
  <c r="P28" i="536"/>
  <c r="O28" i="536"/>
  <c r="I28" i="536"/>
  <c r="I163" i="536" s="1"/>
  <c r="B171" i="536" s="1"/>
  <c r="G28" i="536"/>
  <c r="V27" i="536"/>
  <c r="W27" i="536" s="1"/>
  <c r="N27" i="536"/>
  <c r="K27" i="536" a="1"/>
  <c r="K27" i="536" s="1"/>
  <c r="M27" i="536" s="1"/>
  <c r="J27" i="536" a="1"/>
  <c r="J27" i="536" s="1"/>
  <c r="H27" i="536"/>
  <c r="V26" i="536"/>
  <c r="W26" i="536" s="1"/>
  <c r="N26" i="536"/>
  <c r="K26" i="536"/>
  <c r="M26" i="536" s="1"/>
  <c r="K26" i="536" a="1"/>
  <c r="J26" i="536" a="1"/>
  <c r="J26" i="536" s="1"/>
  <c r="H26" i="536"/>
  <c r="K25" i="536" a="1"/>
  <c r="K25" i="536" s="1"/>
  <c r="M25" i="536" s="1"/>
  <c r="J25" i="536" a="1"/>
  <c r="J25" i="536" s="1"/>
  <c r="H25" i="536"/>
  <c r="K24" i="536"/>
  <c r="M24" i="536" s="1"/>
  <c r="K24" i="536" a="1"/>
  <c r="J24" i="536"/>
  <c r="J24" i="536" a="1"/>
  <c r="H24" i="536"/>
  <c r="K23" i="536" a="1"/>
  <c r="K23" i="536" s="1"/>
  <c r="M23" i="536" s="1"/>
  <c r="J23" i="536" a="1"/>
  <c r="J23" i="536" s="1"/>
  <c r="H23" i="536"/>
  <c r="K22" i="536" a="1"/>
  <c r="K22" i="536" s="1"/>
  <c r="M22" i="536" s="1"/>
  <c r="J22" i="536" a="1"/>
  <c r="J22" i="536" s="1"/>
  <c r="H22" i="536"/>
  <c r="V21" i="536"/>
  <c r="W21" i="536" s="1"/>
  <c r="N21" i="536"/>
  <c r="K21" i="536" a="1"/>
  <c r="K21" i="536" s="1"/>
  <c r="M21" i="536" s="1"/>
  <c r="J21" i="536" a="1"/>
  <c r="J21" i="536" s="1"/>
  <c r="H21" i="536"/>
  <c r="V20" i="536"/>
  <c r="W20" i="536" s="1"/>
  <c r="N20" i="536"/>
  <c r="K20" i="536" a="1"/>
  <c r="K20" i="536" s="1"/>
  <c r="M20" i="536" s="1"/>
  <c r="J20" i="536" a="1"/>
  <c r="J20" i="536" s="1"/>
  <c r="H20" i="536"/>
  <c r="V19" i="536"/>
  <c r="W19" i="536" s="1"/>
  <c r="N19" i="536"/>
  <c r="K19" i="536"/>
  <c r="M19" i="536" s="1"/>
  <c r="K19" i="536" a="1"/>
  <c r="J19" i="536"/>
  <c r="J19" i="536" a="1"/>
  <c r="H19" i="536"/>
  <c r="N18" i="536"/>
  <c r="K18" i="536" a="1"/>
  <c r="K18" i="536" s="1"/>
  <c r="M18" i="536" s="1"/>
  <c r="J18" i="536" a="1"/>
  <c r="J18" i="536" s="1"/>
  <c r="H18" i="536"/>
  <c r="N17" i="536"/>
  <c r="K17" i="536" a="1"/>
  <c r="K17" i="536" s="1"/>
  <c r="M17" i="536" s="1"/>
  <c r="J17" i="536" a="1"/>
  <c r="J17" i="536" s="1"/>
  <c r="H17" i="536"/>
  <c r="V16" i="536"/>
  <c r="W16" i="536" s="1"/>
  <c r="N16" i="536"/>
  <c r="K16" i="536" a="1"/>
  <c r="K16" i="536" s="1"/>
  <c r="M16" i="536" s="1"/>
  <c r="J16" i="536" a="1"/>
  <c r="J16" i="536" s="1"/>
  <c r="H16" i="536"/>
  <c r="W15" i="536"/>
  <c r="V15" i="536"/>
  <c r="N15" i="536"/>
  <c r="K15" i="536" a="1"/>
  <c r="K15" i="536" s="1"/>
  <c r="M15" i="536" s="1"/>
  <c r="J15" i="536" a="1"/>
  <c r="J15" i="536" s="1"/>
  <c r="H15" i="536"/>
  <c r="N14" i="536"/>
  <c r="K14" i="536" a="1"/>
  <c r="K14" i="536" s="1"/>
  <c r="M14" i="536" s="1"/>
  <c r="H14" i="536"/>
  <c r="N13" i="536"/>
  <c r="K13" i="536"/>
  <c r="M13" i="536" s="1"/>
  <c r="K13" i="536" a="1"/>
  <c r="H13" i="536"/>
  <c r="V12" i="536"/>
  <c r="W12" i="536" s="1"/>
  <c r="N12" i="536"/>
  <c r="K12" i="536" a="1"/>
  <c r="K12" i="536" s="1"/>
  <c r="M12" i="536" s="1"/>
  <c r="J12" i="536" a="1"/>
  <c r="J12" i="536" s="1"/>
  <c r="H12" i="536"/>
  <c r="W11" i="536"/>
  <c r="V11" i="536"/>
  <c r="N11" i="536"/>
  <c r="K11" i="536" a="1"/>
  <c r="K11" i="536" s="1"/>
  <c r="M11" i="536" s="1"/>
  <c r="J11" i="536" a="1"/>
  <c r="J11" i="536" s="1"/>
  <c r="H11" i="536"/>
  <c r="V10" i="536"/>
  <c r="W10" i="536" s="1"/>
  <c r="N10" i="536"/>
  <c r="K10" i="536" a="1"/>
  <c r="K10" i="536" s="1"/>
  <c r="M10" i="536" s="1"/>
  <c r="J10" i="536" a="1"/>
  <c r="J10" i="536" s="1"/>
  <c r="H10" i="536"/>
  <c r="V9" i="536"/>
  <c r="W9" i="536" s="1"/>
  <c r="N9" i="536"/>
  <c r="K9" i="536"/>
  <c r="M9" i="536" s="1"/>
  <c r="K9" i="536" a="1"/>
  <c r="J9" i="536"/>
  <c r="J9" i="536" a="1"/>
  <c r="H9" i="536"/>
  <c r="V8" i="536"/>
  <c r="W8" i="536" s="1"/>
  <c r="N8" i="536"/>
  <c r="K8" i="536" a="1"/>
  <c r="K8" i="536" s="1"/>
  <c r="M8" i="536" s="1"/>
  <c r="J8" i="536" a="1"/>
  <c r="J8" i="536" s="1"/>
  <c r="H8" i="536"/>
  <c r="W7" i="536"/>
  <c r="V7" i="536"/>
  <c r="V28" i="536" s="1"/>
  <c r="N7" i="536"/>
  <c r="N28" i="536" s="1"/>
  <c r="N163" i="536" s="1"/>
  <c r="B172" i="536" s="1"/>
  <c r="K7" i="536" a="1"/>
  <c r="K7" i="536" s="1"/>
  <c r="J7" i="536" a="1"/>
  <c r="J7" i="536" s="1"/>
  <c r="H7" i="536"/>
  <c r="H28" i="536" s="1"/>
  <c r="G517" i="537" l="1"/>
  <c r="K517" i="537" s="1"/>
  <c r="O517" i="537" s="1"/>
  <c r="E527" i="537"/>
  <c r="S524" i="537"/>
  <c r="S526" i="537"/>
  <c r="S521" i="537" a="1"/>
  <c r="S521" i="537" s="1"/>
  <c r="S525" i="537"/>
  <c r="S523" i="537"/>
  <c r="S522" i="537"/>
  <c r="K518" i="537"/>
  <c r="O518" i="537" s="1" a="1"/>
  <c r="O518" i="537" s="1"/>
  <c r="M526" i="537"/>
  <c r="M524" i="537"/>
  <c r="M525" i="537"/>
  <c r="M522" i="537"/>
  <c r="M523" i="537"/>
  <c r="J461" i="536" a="1"/>
  <c r="J461" i="536" s="1"/>
  <c r="J291" i="536" a="1"/>
  <c r="J291" i="536" s="1"/>
  <c r="J256" i="536" a="1"/>
  <c r="J256" i="536" s="1"/>
  <c r="S532" i="536" a="1"/>
  <c r="S532" i="536" s="1"/>
  <c r="J530" i="536"/>
  <c r="T530" i="536" a="1"/>
  <c r="T530" i="536" s="1"/>
  <c r="N477" i="536"/>
  <c r="J477" i="536" a="1"/>
  <c r="J477" i="536" s="1"/>
  <c r="R509" i="536"/>
  <c r="V503" i="536"/>
  <c r="N368" i="536"/>
  <c r="H461" i="536"/>
  <c r="V461" i="536"/>
  <c r="W461" i="536" s="1"/>
  <c r="K307" i="536"/>
  <c r="N307" i="536"/>
  <c r="N333" i="536" s="1"/>
  <c r="B342" i="536" s="1"/>
  <c r="E342" i="536" s="1"/>
  <c r="W292" i="536"/>
  <c r="R339" i="536"/>
  <c r="M198" i="536"/>
  <c r="W198" i="536"/>
  <c r="K291" i="536"/>
  <c r="M137" i="536"/>
  <c r="J137" i="536" a="1"/>
  <c r="J137" i="536" s="1"/>
  <c r="J162" i="536" a="1"/>
  <c r="J162" i="536" s="1"/>
  <c r="H137" i="536"/>
  <c r="V137" i="536"/>
  <c r="W137" i="536" s="1"/>
  <c r="K28" i="536"/>
  <c r="H86" i="536"/>
  <c r="H163" i="536" s="1"/>
  <c r="E170" i="536" s="1"/>
  <c r="J86" i="536" a="1"/>
  <c r="J86" i="536" s="1"/>
  <c r="J121" i="536" a="1"/>
  <c r="J121" i="536" s="1"/>
  <c r="W28" i="536"/>
  <c r="E172" i="536"/>
  <c r="K86" i="536"/>
  <c r="M29" i="536"/>
  <c r="M86" i="536" s="1"/>
  <c r="M121" i="536"/>
  <c r="M7" i="536"/>
  <c r="M28" i="536" s="1"/>
  <c r="C521" i="536"/>
  <c r="G163" i="536"/>
  <c r="C517" i="536"/>
  <c r="R165" i="536"/>
  <c r="O163" i="536"/>
  <c r="R166" i="536"/>
  <c r="V121" i="536"/>
  <c r="W121" i="536" s="1"/>
  <c r="K523" i="536"/>
  <c r="K169" i="536"/>
  <c r="M165" i="536"/>
  <c r="M332" i="536"/>
  <c r="J28" i="536" a="1"/>
  <c r="J28" i="536" s="1"/>
  <c r="X166" i="536"/>
  <c r="P163" i="536"/>
  <c r="X167" i="536" s="1"/>
  <c r="X172" i="536" s="1"/>
  <c r="W29" i="536"/>
  <c r="K121" i="536"/>
  <c r="K524" i="536"/>
  <c r="K147" i="536"/>
  <c r="M138" i="536"/>
  <c r="M147" i="536" s="1"/>
  <c r="K525" i="536"/>
  <c r="K162" i="536"/>
  <c r="M148" i="536"/>
  <c r="M162" i="536" s="1"/>
  <c r="K526" i="536"/>
  <c r="M199" i="536"/>
  <c r="M256" i="536" s="1"/>
  <c r="K256" i="536"/>
  <c r="M308" i="536"/>
  <c r="M317" i="536" s="1"/>
  <c r="K317" i="536"/>
  <c r="K137" i="536"/>
  <c r="V147" i="536"/>
  <c r="W147" i="536" s="1"/>
  <c r="W148" i="536"/>
  <c r="E169" i="536"/>
  <c r="J198" i="536" a="1"/>
  <c r="J198" i="536" s="1"/>
  <c r="K198" i="536"/>
  <c r="X336" i="536"/>
  <c r="P333" i="536"/>
  <c r="X337" i="536" s="1"/>
  <c r="W199" i="536"/>
  <c r="M292" i="536"/>
  <c r="M307" i="536" s="1"/>
  <c r="R338" i="536"/>
  <c r="W308" i="536"/>
  <c r="V332" i="536"/>
  <c r="V333" i="536" s="1"/>
  <c r="I342" i="536" s="1"/>
  <c r="K368" i="536"/>
  <c r="M347" i="536"/>
  <c r="M368" i="536" s="1"/>
  <c r="K426" i="536"/>
  <c r="M369" i="536"/>
  <c r="M426" i="536" s="1"/>
  <c r="J147" i="536" a="1"/>
  <c r="J147" i="536" s="1"/>
  <c r="B340" i="536"/>
  <c r="J333" i="536" a="1"/>
  <c r="J333" i="536" s="1"/>
  <c r="M340" i="536" s="1"/>
  <c r="R335" i="536"/>
  <c r="O333" i="536"/>
  <c r="M257" i="536"/>
  <c r="M291" i="536" s="1"/>
  <c r="K332" i="536"/>
  <c r="W332" i="536"/>
  <c r="W333" i="536" s="1"/>
  <c r="K339" i="536"/>
  <c r="M335" i="536"/>
  <c r="E339" i="536"/>
  <c r="X342" i="536"/>
  <c r="Z341" i="536" s="1"/>
  <c r="B511" i="536"/>
  <c r="J504" i="536" a="1"/>
  <c r="J504" i="536" s="1"/>
  <c r="M511" i="536" s="1"/>
  <c r="R506" i="536"/>
  <c r="X506" i="536"/>
  <c r="O504" i="536"/>
  <c r="X507" i="536" s="1"/>
  <c r="M462" i="536"/>
  <c r="M477" i="536" s="1"/>
  <c r="K477" i="536"/>
  <c r="K503" i="536"/>
  <c r="M488" i="536"/>
  <c r="M503" i="536" s="1"/>
  <c r="W347" i="536"/>
  <c r="W368" i="536" s="1"/>
  <c r="J368" i="536" a="1"/>
  <c r="J368" i="536" s="1"/>
  <c r="H426" i="536"/>
  <c r="N426" i="536"/>
  <c r="W369" i="536"/>
  <c r="M427" i="536"/>
  <c r="M461" i="536" s="1"/>
  <c r="K461" i="536"/>
  <c r="W427" i="536"/>
  <c r="W462" i="536"/>
  <c r="M478" i="536"/>
  <c r="M487" i="536" s="1"/>
  <c r="R510" i="536"/>
  <c r="H503" i="536"/>
  <c r="N503" i="536"/>
  <c r="W488" i="536"/>
  <c r="W503" i="536" s="1"/>
  <c r="S531" i="536" a="1"/>
  <c r="S531" i="536" s="1"/>
  <c r="M506" i="536"/>
  <c r="I428" i="535"/>
  <c r="I431" i="535"/>
  <c r="K516" i="537" l="1"/>
  <c r="S527" i="537"/>
  <c r="J533" i="536"/>
  <c r="Q530" i="536"/>
  <c r="N504" i="536"/>
  <c r="B513" i="536" s="1"/>
  <c r="H504" i="536"/>
  <c r="E511" i="536" s="1"/>
  <c r="V504" i="536"/>
  <c r="M333" i="536"/>
  <c r="M342" i="536" a="1"/>
  <c r="M342" i="536" s="1"/>
  <c r="G516" i="536"/>
  <c r="K163" i="536"/>
  <c r="E171" i="536" s="1"/>
  <c r="I171" i="536" s="1"/>
  <c r="M171" i="536" s="1"/>
  <c r="E513" i="536"/>
  <c r="C518" i="536"/>
  <c r="G518" i="536" s="1"/>
  <c r="X513" i="536"/>
  <c r="Z506" i="536" s="1" a="1"/>
  <c r="Z506" i="536" s="1"/>
  <c r="Z340" i="536"/>
  <c r="Z339" i="536"/>
  <c r="Z338" i="536"/>
  <c r="Z335" i="536" a="1"/>
  <c r="Z335" i="536" s="1"/>
  <c r="M339" i="536"/>
  <c r="Z165" i="536" a="1"/>
  <c r="Z165" i="536" s="1"/>
  <c r="Z171" i="536"/>
  <c r="K504" i="536"/>
  <c r="Z336" i="536"/>
  <c r="Z169" i="536"/>
  <c r="Z168" i="536"/>
  <c r="Q523" i="536"/>
  <c r="Z167" i="536"/>
  <c r="M169" i="536"/>
  <c r="K522" i="536"/>
  <c r="B170" i="536"/>
  <c r="C516" i="536" s="1"/>
  <c r="L163" i="536"/>
  <c r="I170" i="536" s="1"/>
  <c r="J163" i="536" a="1"/>
  <c r="J163" i="536" s="1"/>
  <c r="M170" i="536" s="1"/>
  <c r="M163" i="536"/>
  <c r="V163" i="536"/>
  <c r="I172" i="536" s="1"/>
  <c r="Z507" i="536"/>
  <c r="R513" i="536"/>
  <c r="R342" i="536"/>
  <c r="M504" i="536"/>
  <c r="Z337" i="536"/>
  <c r="K333" i="536"/>
  <c r="Z170" i="536"/>
  <c r="Q522" i="536"/>
  <c r="Z166" i="536"/>
  <c r="K521" i="536"/>
  <c r="R172" i="536"/>
  <c r="T165" i="536" s="1" a="1"/>
  <c r="T165" i="536" s="1"/>
  <c r="C527" i="536"/>
  <c r="W163" i="536"/>
  <c r="J219" i="535" a="1"/>
  <c r="J219" i="535" s="1"/>
  <c r="I186" i="535"/>
  <c r="I185" i="535"/>
  <c r="I288" i="535"/>
  <c r="I261" i="535"/>
  <c r="I214" i="535"/>
  <c r="I212" i="535"/>
  <c r="I207" i="535"/>
  <c r="I187" i="535"/>
  <c r="G219" i="535"/>
  <c r="G49" i="535"/>
  <c r="S530" i="536" l="1" a="1"/>
  <c r="S530" i="536" s="1"/>
  <c r="R530" i="536"/>
  <c r="R533" i="536" s="1"/>
  <c r="Q533" i="536"/>
  <c r="S533" i="536" s="1" a="1"/>
  <c r="S533" i="536" s="1"/>
  <c r="W504" i="536"/>
  <c r="I513" i="536"/>
  <c r="M513" i="536" s="1" a="1"/>
  <c r="M513" i="536" s="1"/>
  <c r="E522" i="536"/>
  <c r="E526" i="536"/>
  <c r="E524" i="536"/>
  <c r="E525" i="536"/>
  <c r="E523" i="536"/>
  <c r="T341" i="536"/>
  <c r="T337" i="536"/>
  <c r="T336" i="536"/>
  <c r="T339" i="536"/>
  <c r="T340" i="536"/>
  <c r="T512" i="536"/>
  <c r="T509" i="536"/>
  <c r="T507" i="536"/>
  <c r="T511" i="536"/>
  <c r="T508" i="536"/>
  <c r="K518" i="536"/>
  <c r="O518" i="536" s="1" a="1"/>
  <c r="O518" i="536" s="1"/>
  <c r="M172" i="536" a="1"/>
  <c r="M172" i="536" s="1"/>
  <c r="O516" i="536" a="1"/>
  <c r="O516" i="536" s="1"/>
  <c r="E512" i="536"/>
  <c r="I512" i="536" s="1"/>
  <c r="M512" i="536" s="1"/>
  <c r="L504" i="536"/>
  <c r="I511" i="536" s="1"/>
  <c r="Q527" i="536"/>
  <c r="S522" i="536" s="1"/>
  <c r="E521" i="536"/>
  <c r="E527" i="536" s="1"/>
  <c r="K527" i="536"/>
  <c r="T171" i="536"/>
  <c r="T167" i="536"/>
  <c r="T168" i="536"/>
  <c r="T169" i="536"/>
  <c r="T170" i="536"/>
  <c r="E341" i="536"/>
  <c r="L333" i="536"/>
  <c r="I340" i="536" s="1"/>
  <c r="T338" i="536"/>
  <c r="T335" i="536" a="1"/>
  <c r="T335" i="536" s="1"/>
  <c r="T506" i="536" a="1"/>
  <c r="T506" i="536" s="1"/>
  <c r="T166" i="536"/>
  <c r="Z512" i="536"/>
  <c r="Z510" i="536"/>
  <c r="Z509" i="536"/>
  <c r="Z508" i="536"/>
  <c r="Z511" i="536"/>
  <c r="T510" i="536"/>
  <c r="J49" i="535" a="1"/>
  <c r="J49" i="535" s="1"/>
  <c r="M115" i="535"/>
  <c r="J115" i="535" a="1"/>
  <c r="J115" i="535" s="1"/>
  <c r="I118" i="535"/>
  <c r="I341" i="536" l="1"/>
  <c r="M341" i="536" s="1"/>
  <c r="G517" i="536"/>
  <c r="M523" i="536"/>
  <c r="M526" i="536"/>
  <c r="M524" i="536"/>
  <c r="M525" i="536"/>
  <c r="S524" i="536"/>
  <c r="S526" i="536"/>
  <c r="S521" i="536" a="1"/>
  <c r="S521" i="536" s="1"/>
  <c r="S525" i="536"/>
  <c r="S523" i="536"/>
  <c r="M521" i="536" a="1"/>
  <c r="M521" i="536" s="1"/>
  <c r="M522" i="536"/>
  <c r="I115" i="535"/>
  <c r="I44" i="535"/>
  <c r="I16" i="535"/>
  <c r="I32" i="535"/>
  <c r="K517" i="536" l="1"/>
  <c r="O517" i="536" s="1"/>
  <c r="K516" i="536"/>
  <c r="S527" i="536"/>
  <c r="D531" i="535"/>
  <c r="D532" i="535"/>
  <c r="D530" i="535"/>
  <c r="D533" i="535" s="1"/>
  <c r="G431" i="535"/>
  <c r="G428" i="535"/>
  <c r="G207" i="535"/>
  <c r="G201" i="535"/>
  <c r="G261" i="535"/>
  <c r="G212" i="535"/>
  <c r="G202" i="535"/>
  <c r="G185" i="535"/>
  <c r="G236" i="535"/>
  <c r="G187" i="535"/>
  <c r="G288" i="535"/>
  <c r="G214" i="535"/>
  <c r="G32" i="535"/>
  <c r="G115" i="535"/>
  <c r="G118" i="535"/>
  <c r="G16" i="535"/>
  <c r="G44" i="535"/>
  <c r="P533" i="535"/>
  <c r="O533" i="535"/>
  <c r="N533" i="535"/>
  <c r="M533" i="535"/>
  <c r="L533" i="535"/>
  <c r="K533" i="535"/>
  <c r="I533" i="535"/>
  <c r="H533" i="535"/>
  <c r="G533" i="535"/>
  <c r="F533" i="535"/>
  <c r="E533" i="535"/>
  <c r="C532" i="535"/>
  <c r="J532" i="535" s="1"/>
  <c r="Q532" i="535" s="1"/>
  <c r="C531" i="535"/>
  <c r="J531" i="535" s="1"/>
  <c r="Q531" i="535" s="1"/>
  <c r="C530" i="535"/>
  <c r="J530" i="535" s="1"/>
  <c r="G514" i="535"/>
  <c r="N514" i="535" s="1"/>
  <c r="X512" i="535"/>
  <c r="X511" i="535"/>
  <c r="X510" i="535"/>
  <c r="G510" i="535"/>
  <c r="C510" i="535"/>
  <c r="X509" i="535"/>
  <c r="I509" i="535"/>
  <c r="E509" i="535"/>
  <c r="K509" i="535" s="1"/>
  <c r="M509" i="535" s="1"/>
  <c r="X508" i="535"/>
  <c r="I508" i="535"/>
  <c r="E508" i="535"/>
  <c r="K508" i="535" s="1"/>
  <c r="M508" i="535" s="1"/>
  <c r="I507" i="535"/>
  <c r="E507" i="535"/>
  <c r="K507" i="535" s="1"/>
  <c r="M507" i="535" s="1"/>
  <c r="I506" i="535"/>
  <c r="I510" i="535" s="1"/>
  <c r="E506" i="535"/>
  <c r="E510" i="535" s="1"/>
  <c r="AA503" i="535"/>
  <c r="Z503" i="535"/>
  <c r="Y503" i="535"/>
  <c r="X503" i="535"/>
  <c r="U503" i="535"/>
  <c r="T503" i="535"/>
  <c r="S503" i="535"/>
  <c r="R503" i="535"/>
  <c r="Q503" i="535"/>
  <c r="P503" i="535"/>
  <c r="R511" i="535" s="1"/>
  <c r="O503" i="535"/>
  <c r="I503" i="535"/>
  <c r="G503" i="535"/>
  <c r="J503" i="535" s="1" a="1"/>
  <c r="J503" i="535" s="1"/>
  <c r="H502" i="535"/>
  <c r="H501" i="535"/>
  <c r="H500" i="535"/>
  <c r="D499" i="535"/>
  <c r="H499" i="535" s="1"/>
  <c r="V498" i="535"/>
  <c r="W498" i="535" s="1"/>
  <c r="N498" i="535"/>
  <c r="K498" i="535" a="1"/>
  <c r="K498" i="535" s="1"/>
  <c r="M498" i="535" s="1"/>
  <c r="J498" i="535" a="1"/>
  <c r="J498" i="535" s="1"/>
  <c r="H498" i="535"/>
  <c r="H497" i="535"/>
  <c r="H496" i="535"/>
  <c r="V495" i="535"/>
  <c r="W495" i="535" s="1"/>
  <c r="N495" i="535"/>
  <c r="M495" i="535"/>
  <c r="K495" i="535" a="1"/>
  <c r="K495" i="535" s="1"/>
  <c r="J495" i="535" a="1"/>
  <c r="J495" i="535" s="1"/>
  <c r="H495" i="535"/>
  <c r="W494" i="535"/>
  <c r="V494" i="535"/>
  <c r="N494" i="535"/>
  <c r="K494" i="535" a="1"/>
  <c r="K494" i="535" s="1"/>
  <c r="M494" i="535" s="1"/>
  <c r="J494" i="535" a="1"/>
  <c r="J494" i="535" s="1"/>
  <c r="H494" i="535"/>
  <c r="H493" i="535"/>
  <c r="H492" i="535"/>
  <c r="V491" i="535"/>
  <c r="W491" i="535" s="1"/>
  <c r="N491" i="535"/>
  <c r="M491" i="535"/>
  <c r="K491" i="535" a="1"/>
  <c r="K491" i="535" s="1"/>
  <c r="J491" i="535" a="1"/>
  <c r="J491" i="535" s="1"/>
  <c r="H491" i="535"/>
  <c r="W490" i="535"/>
  <c r="V490" i="535"/>
  <c r="N490" i="535"/>
  <c r="K490" i="535" a="1"/>
  <c r="K490" i="535" s="1"/>
  <c r="M490" i="535" s="1"/>
  <c r="J490" i="535" a="1"/>
  <c r="J490" i="535" s="1"/>
  <c r="H490" i="535"/>
  <c r="V489" i="535"/>
  <c r="W489" i="535" s="1"/>
  <c r="N489" i="535"/>
  <c r="M489" i="535"/>
  <c r="K489" i="535" a="1"/>
  <c r="K489" i="535" s="1"/>
  <c r="J489" i="535" a="1"/>
  <c r="J489" i="535" s="1"/>
  <c r="H489" i="535"/>
  <c r="W488" i="535"/>
  <c r="V488" i="535"/>
  <c r="N488" i="535"/>
  <c r="N503" i="535" s="1"/>
  <c r="K488" i="535" a="1"/>
  <c r="K488" i="535" s="1"/>
  <c r="J488" i="535" a="1"/>
  <c r="J488" i="535" s="1"/>
  <c r="H488" i="535"/>
  <c r="AA487" i="535"/>
  <c r="Z487" i="535"/>
  <c r="Y487" i="535"/>
  <c r="X487" i="535"/>
  <c r="U487" i="535"/>
  <c r="T487" i="535"/>
  <c r="S487" i="535"/>
  <c r="Q487" i="535"/>
  <c r="P487" i="535"/>
  <c r="O487" i="535"/>
  <c r="I487" i="535"/>
  <c r="G487" i="535"/>
  <c r="V486" i="535"/>
  <c r="W486" i="535" s="1"/>
  <c r="N486" i="535"/>
  <c r="K486" i="535" a="1"/>
  <c r="K486" i="535" s="1"/>
  <c r="M486" i="535" s="1"/>
  <c r="J486" i="535" a="1"/>
  <c r="J486" i="535" s="1"/>
  <c r="H486" i="535"/>
  <c r="H485" i="535"/>
  <c r="H484" i="535"/>
  <c r="H483" i="535"/>
  <c r="V482" i="535"/>
  <c r="W482" i="535" s="1"/>
  <c r="N482" i="535"/>
  <c r="M482" i="535"/>
  <c r="K482" i="535" a="1"/>
  <c r="K482" i="535" s="1"/>
  <c r="J482" i="535" a="1"/>
  <c r="J482" i="535" s="1"/>
  <c r="H482" i="535"/>
  <c r="W481" i="535"/>
  <c r="V481" i="535"/>
  <c r="N481" i="535"/>
  <c r="K481" i="535" a="1"/>
  <c r="K481" i="535" s="1"/>
  <c r="M481" i="535" s="1"/>
  <c r="J481" i="535" a="1"/>
  <c r="J481" i="535" s="1"/>
  <c r="H481" i="535"/>
  <c r="V480" i="535"/>
  <c r="W480" i="535" s="1"/>
  <c r="N480" i="535"/>
  <c r="M480" i="535"/>
  <c r="K480" i="535" a="1"/>
  <c r="K480" i="535" s="1"/>
  <c r="J480" i="535" a="1"/>
  <c r="J480" i="535" s="1"/>
  <c r="H480" i="535"/>
  <c r="W479" i="535"/>
  <c r="V479" i="535"/>
  <c r="N479" i="535"/>
  <c r="K479" i="535" a="1"/>
  <c r="K479" i="535" s="1"/>
  <c r="M479" i="535" s="1"/>
  <c r="J479" i="535" a="1"/>
  <c r="J479" i="535" s="1"/>
  <c r="H479" i="535"/>
  <c r="V478" i="535"/>
  <c r="W478" i="535" s="1"/>
  <c r="N478" i="535"/>
  <c r="M478" i="535"/>
  <c r="K478" i="535" a="1"/>
  <c r="K478" i="535" s="1"/>
  <c r="J478" i="535" a="1"/>
  <c r="J478" i="535" s="1"/>
  <c r="H478" i="535"/>
  <c r="AA477" i="535"/>
  <c r="Z477" i="535"/>
  <c r="Y477" i="535"/>
  <c r="X477" i="535"/>
  <c r="U477" i="535"/>
  <c r="T477" i="535"/>
  <c r="S477" i="535"/>
  <c r="Q477" i="535"/>
  <c r="P477" i="535"/>
  <c r="O477" i="535"/>
  <c r="I477" i="535"/>
  <c r="G477" i="535"/>
  <c r="J477" i="535" s="1" a="1"/>
  <c r="J477" i="535" s="1"/>
  <c r="V476" i="535"/>
  <c r="W476" i="535" s="1"/>
  <c r="N476" i="535"/>
  <c r="K476" i="535"/>
  <c r="M476" i="535" s="1"/>
  <c r="K476" i="535" a="1"/>
  <c r="J476" i="535"/>
  <c r="J476" i="535" a="1"/>
  <c r="H476" i="535"/>
  <c r="V475" i="535"/>
  <c r="W475" i="535" s="1"/>
  <c r="N475" i="535"/>
  <c r="K475" i="535" a="1"/>
  <c r="K475" i="535" s="1"/>
  <c r="M475" i="535" s="1"/>
  <c r="J475" i="535" a="1"/>
  <c r="J475" i="535" s="1"/>
  <c r="H475" i="535"/>
  <c r="W474" i="535"/>
  <c r="V474" i="535"/>
  <c r="N474" i="535"/>
  <c r="K474" i="535" a="1"/>
  <c r="K474" i="535" s="1"/>
  <c r="M474" i="535" s="1"/>
  <c r="J474" i="535" a="1"/>
  <c r="J474" i="535" s="1"/>
  <c r="H474" i="535"/>
  <c r="V473" i="535"/>
  <c r="W473" i="535" s="1"/>
  <c r="N473" i="535"/>
  <c r="K473" i="535" a="1"/>
  <c r="K473" i="535" s="1"/>
  <c r="M473" i="535" s="1"/>
  <c r="J473" i="535" a="1"/>
  <c r="J473" i="535" s="1"/>
  <c r="H473" i="535"/>
  <c r="V472" i="535"/>
  <c r="W472" i="535" s="1"/>
  <c r="N472" i="535"/>
  <c r="K472" i="535"/>
  <c r="M472" i="535" s="1"/>
  <c r="K472" i="535" a="1"/>
  <c r="J472" i="535"/>
  <c r="J472" i="535" a="1"/>
  <c r="H472" i="535"/>
  <c r="V471" i="535"/>
  <c r="W471" i="535" s="1"/>
  <c r="N471" i="535"/>
  <c r="K471" i="535" a="1"/>
  <c r="K471" i="535" s="1"/>
  <c r="M471" i="535" s="1"/>
  <c r="J471" i="535" a="1"/>
  <c r="J471" i="535" s="1"/>
  <c r="H471" i="535"/>
  <c r="W470" i="535"/>
  <c r="V470" i="535"/>
  <c r="N470" i="535"/>
  <c r="K470" i="535" a="1"/>
  <c r="K470" i="535" s="1"/>
  <c r="M470" i="535" s="1"/>
  <c r="J470" i="535" a="1"/>
  <c r="J470" i="535" s="1"/>
  <c r="H470" i="535"/>
  <c r="V469" i="535"/>
  <c r="W469" i="535" s="1"/>
  <c r="N469" i="535"/>
  <c r="K469" i="535" a="1"/>
  <c r="K469" i="535" s="1"/>
  <c r="M469" i="535" s="1"/>
  <c r="J469" i="535" a="1"/>
  <c r="J469" i="535" s="1"/>
  <c r="H469" i="535"/>
  <c r="V468" i="535"/>
  <c r="W468" i="535" s="1"/>
  <c r="N468" i="535"/>
  <c r="K468" i="535"/>
  <c r="M468" i="535" s="1"/>
  <c r="K468" i="535" a="1"/>
  <c r="J468" i="535"/>
  <c r="J468" i="535" a="1"/>
  <c r="H468" i="535"/>
  <c r="V467" i="535"/>
  <c r="W467" i="535" s="1"/>
  <c r="N467" i="535"/>
  <c r="K467" i="535" a="1"/>
  <c r="K467" i="535" s="1"/>
  <c r="M467" i="535" s="1"/>
  <c r="J467" i="535" a="1"/>
  <c r="J467" i="535" s="1"/>
  <c r="H467" i="535"/>
  <c r="W466" i="535"/>
  <c r="V466" i="535"/>
  <c r="N466" i="535"/>
  <c r="K466" i="535" a="1"/>
  <c r="K466" i="535" s="1"/>
  <c r="M466" i="535" s="1"/>
  <c r="J466" i="535" a="1"/>
  <c r="J466" i="535" s="1"/>
  <c r="H466" i="535"/>
  <c r="V465" i="535"/>
  <c r="W465" i="535" s="1"/>
  <c r="N465" i="535"/>
  <c r="K465" i="535" a="1"/>
  <c r="K465" i="535" s="1"/>
  <c r="M465" i="535" s="1"/>
  <c r="J465" i="535" a="1"/>
  <c r="J465" i="535" s="1"/>
  <c r="H465" i="535"/>
  <c r="V464" i="535"/>
  <c r="W464" i="535" s="1"/>
  <c r="N464" i="535"/>
  <c r="K464" i="535"/>
  <c r="M464" i="535" s="1"/>
  <c r="K464" i="535" a="1"/>
  <c r="J464" i="535"/>
  <c r="J464" i="535" a="1"/>
  <c r="H464" i="535"/>
  <c r="V463" i="535"/>
  <c r="W463" i="535" s="1"/>
  <c r="N463" i="535"/>
  <c r="K463" i="535" a="1"/>
  <c r="K463" i="535" s="1"/>
  <c r="M463" i="535" s="1"/>
  <c r="J463" i="535" a="1"/>
  <c r="J463" i="535" s="1"/>
  <c r="H463" i="535"/>
  <c r="W462" i="535"/>
  <c r="V462" i="535"/>
  <c r="N462" i="535"/>
  <c r="N477" i="535" s="1"/>
  <c r="K462" i="535" a="1"/>
  <c r="K462" i="535" s="1"/>
  <c r="M462" i="535" s="1"/>
  <c r="J462" i="535" a="1"/>
  <c r="J462" i="535" s="1"/>
  <c r="H462" i="535"/>
  <c r="AA461" i="535"/>
  <c r="Z461" i="535"/>
  <c r="Y461" i="535"/>
  <c r="X461" i="535"/>
  <c r="U461" i="535"/>
  <c r="T461" i="535"/>
  <c r="S461" i="535"/>
  <c r="R461" i="535"/>
  <c r="Q461" i="535"/>
  <c r="P461" i="535"/>
  <c r="O461" i="535"/>
  <c r="R508" i="535" s="1"/>
  <c r="I461" i="535"/>
  <c r="G461" i="535"/>
  <c r="V460" i="535"/>
  <c r="W460" i="535" s="1"/>
  <c r="N460" i="535"/>
  <c r="K460" i="535"/>
  <c r="M460" i="535" s="1"/>
  <c r="K460" i="535" a="1"/>
  <c r="J460" i="535"/>
  <c r="J460" i="535" a="1"/>
  <c r="H460" i="535"/>
  <c r="V459" i="535"/>
  <c r="W459" i="535" s="1"/>
  <c r="N459" i="535"/>
  <c r="K459" i="535" a="1"/>
  <c r="K459" i="535" s="1"/>
  <c r="M459" i="535" s="1"/>
  <c r="J459" i="535" a="1"/>
  <c r="J459" i="535" s="1"/>
  <c r="H459" i="535"/>
  <c r="W458" i="535"/>
  <c r="V458" i="535"/>
  <c r="N458" i="535"/>
  <c r="K458" i="535" a="1"/>
  <c r="K458" i="535" s="1"/>
  <c r="M458" i="535" s="1"/>
  <c r="J458" i="535" a="1"/>
  <c r="J458" i="535" s="1"/>
  <c r="H458" i="535"/>
  <c r="K457" i="535"/>
  <c r="M457" i="535" s="1"/>
  <c r="K457" i="535" a="1"/>
  <c r="H457" i="535"/>
  <c r="K456" i="535" a="1"/>
  <c r="K456" i="535" s="1"/>
  <c r="M456" i="535" s="1"/>
  <c r="H456" i="535"/>
  <c r="K455" i="535"/>
  <c r="M455" i="535" s="1"/>
  <c r="K455" i="535" a="1"/>
  <c r="H455" i="535"/>
  <c r="V454" i="535"/>
  <c r="W454" i="535" s="1"/>
  <c r="N454" i="535"/>
  <c r="K454" i="535" a="1"/>
  <c r="K454" i="535" s="1"/>
  <c r="M454" i="535" s="1"/>
  <c r="J454" i="535" a="1"/>
  <c r="J454" i="535" s="1"/>
  <c r="H454" i="535"/>
  <c r="W453" i="535"/>
  <c r="V453" i="535"/>
  <c r="N453" i="535"/>
  <c r="K453" i="535" a="1"/>
  <c r="K453" i="535" s="1"/>
  <c r="M453" i="535" s="1"/>
  <c r="J453" i="535" a="1"/>
  <c r="J453" i="535" s="1"/>
  <c r="H453" i="535"/>
  <c r="N452" i="535"/>
  <c r="K452" i="535" a="1"/>
  <c r="K452" i="535" s="1"/>
  <c r="M452" i="535" s="1"/>
  <c r="H452" i="535"/>
  <c r="N451" i="535"/>
  <c r="K451" i="535"/>
  <c r="M451" i="535" s="1"/>
  <c r="K451" i="535" a="1"/>
  <c r="H451" i="535"/>
  <c r="N450" i="535"/>
  <c r="K450" i="535" a="1"/>
  <c r="K450" i="535" s="1"/>
  <c r="M450" i="535" s="1"/>
  <c r="H450" i="535"/>
  <c r="N449" i="535"/>
  <c r="K449" i="535" a="1"/>
  <c r="K449" i="535" s="1"/>
  <c r="M449" i="535" s="1"/>
  <c r="H449" i="535"/>
  <c r="N448" i="535"/>
  <c r="K448" i="535" a="1"/>
  <c r="K448" i="535" s="1"/>
  <c r="M448" i="535" s="1"/>
  <c r="H448" i="535"/>
  <c r="N447" i="535"/>
  <c r="K447" i="535"/>
  <c r="M447" i="535" s="1"/>
  <c r="K447" i="535" a="1"/>
  <c r="H447" i="535"/>
  <c r="V446" i="535"/>
  <c r="W446" i="535" s="1"/>
  <c r="N446" i="535"/>
  <c r="K446" i="535" a="1"/>
  <c r="K446" i="535" s="1"/>
  <c r="M446" i="535" s="1"/>
  <c r="J446" i="535" a="1"/>
  <c r="J446" i="535" s="1"/>
  <c r="H446" i="535"/>
  <c r="W445" i="535"/>
  <c r="V445" i="535"/>
  <c r="N445" i="535"/>
  <c r="K445" i="535" a="1"/>
  <c r="K445" i="535" s="1"/>
  <c r="M445" i="535" s="1"/>
  <c r="J445" i="535" a="1"/>
  <c r="J445" i="535" s="1"/>
  <c r="H445" i="535"/>
  <c r="V444" i="535"/>
  <c r="W444" i="535" s="1"/>
  <c r="N444" i="535"/>
  <c r="K444" i="535" a="1"/>
  <c r="K444" i="535" s="1"/>
  <c r="M444" i="535" s="1"/>
  <c r="J444" i="535" a="1"/>
  <c r="J444" i="535" s="1"/>
  <c r="H444" i="535"/>
  <c r="V443" i="535"/>
  <c r="W443" i="535" s="1"/>
  <c r="N443" i="535"/>
  <c r="K443" i="535"/>
  <c r="M443" i="535" s="1"/>
  <c r="K443" i="535" a="1"/>
  <c r="J443" i="535"/>
  <c r="J443" i="535" a="1"/>
  <c r="H443" i="535"/>
  <c r="V442" i="535"/>
  <c r="W442" i="535" s="1"/>
  <c r="N442" i="535"/>
  <c r="K442" i="535" a="1"/>
  <c r="K442" i="535" s="1"/>
  <c r="M442" i="535" s="1"/>
  <c r="J442" i="535" a="1"/>
  <c r="J442" i="535" s="1"/>
  <c r="H442" i="535"/>
  <c r="V441" i="535"/>
  <c r="W441" i="535" s="1"/>
  <c r="N441" i="535"/>
  <c r="K441" i="535"/>
  <c r="M441" i="535" s="1"/>
  <c r="K441" i="535" a="1"/>
  <c r="J441" i="535"/>
  <c r="J441" i="535" a="1"/>
  <c r="H441" i="535"/>
  <c r="V440" i="535"/>
  <c r="W440" i="535" s="1"/>
  <c r="N440" i="535"/>
  <c r="K440" i="535" a="1"/>
  <c r="K440" i="535" s="1"/>
  <c r="M440" i="535" s="1"/>
  <c r="J440" i="535" a="1"/>
  <c r="J440" i="535" s="1"/>
  <c r="H440" i="535"/>
  <c r="W439" i="535"/>
  <c r="V439" i="535"/>
  <c r="N439" i="535"/>
  <c r="K439" i="535" a="1"/>
  <c r="K439" i="535" s="1"/>
  <c r="M439" i="535" s="1"/>
  <c r="J439" i="535" a="1"/>
  <c r="J439" i="535" s="1"/>
  <c r="H439" i="535"/>
  <c r="V438" i="535"/>
  <c r="W438" i="535" s="1"/>
  <c r="N438" i="535"/>
  <c r="K438" i="535" a="1"/>
  <c r="K438" i="535" s="1"/>
  <c r="M438" i="535" s="1"/>
  <c r="J438" i="535" a="1"/>
  <c r="J438" i="535" s="1"/>
  <c r="H438" i="535"/>
  <c r="V437" i="535"/>
  <c r="W437" i="535" s="1"/>
  <c r="N437" i="535"/>
  <c r="K437" i="535"/>
  <c r="M437" i="535" s="1"/>
  <c r="K437" i="535" a="1"/>
  <c r="J437" i="535"/>
  <c r="J437" i="535" a="1"/>
  <c r="H437" i="535"/>
  <c r="V436" i="535"/>
  <c r="W436" i="535" s="1"/>
  <c r="N436" i="535"/>
  <c r="K436" i="535" a="1"/>
  <c r="K436" i="535" s="1"/>
  <c r="M436" i="535" s="1"/>
  <c r="J436" i="535" a="1"/>
  <c r="J436" i="535" s="1"/>
  <c r="H436" i="535"/>
  <c r="W435" i="535"/>
  <c r="V435" i="535"/>
  <c r="N435" i="535"/>
  <c r="K435" i="535" a="1"/>
  <c r="K435" i="535" s="1"/>
  <c r="M435" i="535" s="1"/>
  <c r="J435" i="535" a="1"/>
  <c r="J435" i="535" s="1"/>
  <c r="H435" i="535"/>
  <c r="N434" i="535"/>
  <c r="K434" i="535" a="1"/>
  <c r="K434" i="535" s="1"/>
  <c r="M434" i="535" s="1"/>
  <c r="H434" i="535"/>
  <c r="V433" i="535"/>
  <c r="W433" i="535" s="1"/>
  <c r="N433" i="535"/>
  <c r="K433" i="535"/>
  <c r="M433" i="535" s="1"/>
  <c r="K433" i="535" a="1"/>
  <c r="J433" i="535"/>
  <c r="J433" i="535" a="1"/>
  <c r="H433" i="535"/>
  <c r="V432" i="535"/>
  <c r="W432" i="535" s="1"/>
  <c r="N432" i="535"/>
  <c r="K432" i="535" a="1"/>
  <c r="K432" i="535" s="1"/>
  <c r="M432" i="535" s="1"/>
  <c r="J432" i="535" a="1"/>
  <c r="J432" i="535" s="1"/>
  <c r="H432" i="535"/>
  <c r="W431" i="535"/>
  <c r="V431" i="535"/>
  <c r="N431" i="535"/>
  <c r="K431" i="535"/>
  <c r="M431" i="535" s="1"/>
  <c r="K431" i="535" a="1"/>
  <c r="J431" i="535" a="1"/>
  <c r="J431" i="535" s="1"/>
  <c r="H431" i="535"/>
  <c r="V430" i="535"/>
  <c r="W430" i="535" s="1"/>
  <c r="N430" i="535"/>
  <c r="K430" i="535" a="1"/>
  <c r="K430" i="535" s="1"/>
  <c r="M430" i="535" s="1"/>
  <c r="J430" i="535" a="1"/>
  <c r="J430" i="535" s="1"/>
  <c r="H430" i="535"/>
  <c r="V429" i="535"/>
  <c r="W429" i="535" s="1"/>
  <c r="N429" i="535"/>
  <c r="K429" i="535" a="1"/>
  <c r="K429" i="535" s="1"/>
  <c r="M429" i="535" s="1"/>
  <c r="J429" i="535" a="1"/>
  <c r="J429" i="535" s="1"/>
  <c r="H429" i="535"/>
  <c r="V428" i="535"/>
  <c r="W428" i="535" s="1"/>
  <c r="N428" i="535"/>
  <c r="K428" i="535" a="1"/>
  <c r="K428" i="535" s="1"/>
  <c r="M428" i="535" s="1"/>
  <c r="J428" i="535" a="1"/>
  <c r="J428" i="535" s="1"/>
  <c r="H428" i="535"/>
  <c r="V427" i="535"/>
  <c r="V461" i="535" s="1"/>
  <c r="W461" i="535" s="1"/>
  <c r="N427" i="535"/>
  <c r="N461" i="535" s="1"/>
  <c r="K427" i="535" a="1"/>
  <c r="K427" i="535" s="1"/>
  <c r="J427" i="535" a="1"/>
  <c r="J427" i="535" s="1"/>
  <c r="H427" i="535"/>
  <c r="H461" i="535" s="1"/>
  <c r="AA426" i="535"/>
  <c r="Z426" i="535"/>
  <c r="Y426" i="535"/>
  <c r="X426" i="535"/>
  <c r="U426" i="535"/>
  <c r="T426" i="535"/>
  <c r="S426" i="535"/>
  <c r="R426" i="535"/>
  <c r="Q426" i="535"/>
  <c r="P426" i="535"/>
  <c r="O426" i="535"/>
  <c r="I426" i="535"/>
  <c r="G426" i="535"/>
  <c r="J426" i="535" s="1" a="1"/>
  <c r="J426" i="535" s="1"/>
  <c r="K425" i="535" a="1"/>
  <c r="K425" i="535" s="1"/>
  <c r="M425" i="535" s="1"/>
  <c r="H425" i="535"/>
  <c r="K424" i="535" a="1"/>
  <c r="K424" i="535" s="1"/>
  <c r="M424" i="535" s="1"/>
  <c r="H424" i="535"/>
  <c r="K423" i="535" a="1"/>
  <c r="K423" i="535" s="1"/>
  <c r="M423" i="535" s="1"/>
  <c r="H423" i="535"/>
  <c r="K422" i="535" a="1"/>
  <c r="K422" i="535" s="1"/>
  <c r="M422" i="535" s="1"/>
  <c r="H422" i="535"/>
  <c r="K421" i="535" a="1"/>
  <c r="K421" i="535" s="1"/>
  <c r="M421" i="535" s="1"/>
  <c r="H421" i="535"/>
  <c r="K420" i="535" a="1"/>
  <c r="K420" i="535" s="1"/>
  <c r="M420" i="535" s="1"/>
  <c r="H420" i="535"/>
  <c r="K419" i="535" a="1"/>
  <c r="K419" i="535" s="1"/>
  <c r="M419" i="535" s="1"/>
  <c r="H419" i="535"/>
  <c r="K418" i="535" a="1"/>
  <c r="K418" i="535" s="1"/>
  <c r="M418" i="535" s="1"/>
  <c r="H418" i="535"/>
  <c r="K417" i="535" a="1"/>
  <c r="K417" i="535" s="1"/>
  <c r="M417" i="535" s="1"/>
  <c r="H417" i="535"/>
  <c r="K416" i="535" a="1"/>
  <c r="K416" i="535" s="1"/>
  <c r="M416" i="535" s="1"/>
  <c r="H416" i="535"/>
  <c r="W415" i="535"/>
  <c r="V415" i="535"/>
  <c r="N415" i="535"/>
  <c r="K415" i="535" a="1"/>
  <c r="K415" i="535" s="1"/>
  <c r="M415" i="535" s="1"/>
  <c r="J415" i="535" a="1"/>
  <c r="J415" i="535" s="1"/>
  <c r="H415" i="535"/>
  <c r="V414" i="535"/>
  <c r="W414" i="535" s="1"/>
  <c r="N414" i="535"/>
  <c r="K414" i="535" a="1"/>
  <c r="K414" i="535" s="1"/>
  <c r="M414" i="535" s="1"/>
  <c r="J414" i="535" a="1"/>
  <c r="J414" i="535" s="1"/>
  <c r="H414" i="535"/>
  <c r="V413" i="535"/>
  <c r="W413" i="535" s="1"/>
  <c r="N413" i="535"/>
  <c r="K413" i="535"/>
  <c r="M413" i="535" s="1"/>
  <c r="K413" i="535" a="1"/>
  <c r="J413" i="535"/>
  <c r="J413" i="535" a="1"/>
  <c r="H413" i="535"/>
  <c r="V412" i="535"/>
  <c r="W412" i="535" s="1"/>
  <c r="N412" i="535"/>
  <c r="K412" i="535" a="1"/>
  <c r="K412" i="535" s="1"/>
  <c r="M412" i="535" s="1"/>
  <c r="J412" i="535" a="1"/>
  <c r="J412" i="535" s="1"/>
  <c r="H412" i="535"/>
  <c r="H411" i="535"/>
  <c r="V410" i="535"/>
  <c r="W410" i="535" s="1"/>
  <c r="N410" i="535"/>
  <c r="K410" i="535" a="1"/>
  <c r="K410" i="535" s="1"/>
  <c r="M410" i="535" s="1"/>
  <c r="J410" i="535" a="1"/>
  <c r="J410" i="535" s="1"/>
  <c r="H410" i="535"/>
  <c r="W409" i="535"/>
  <c r="V409" i="535"/>
  <c r="N409" i="535"/>
  <c r="K409" i="535" a="1"/>
  <c r="K409" i="535" s="1"/>
  <c r="M409" i="535" s="1"/>
  <c r="J409" i="535" a="1"/>
  <c r="J409" i="535" s="1"/>
  <c r="H409" i="535"/>
  <c r="H408" i="535"/>
  <c r="K407" i="535" a="1"/>
  <c r="K407" i="535" s="1"/>
  <c r="H407" i="535"/>
  <c r="V406" i="535"/>
  <c r="W406" i="535" s="1"/>
  <c r="N406" i="535"/>
  <c r="K406" i="535" a="1"/>
  <c r="K406" i="535" s="1"/>
  <c r="M406" i="535" s="1"/>
  <c r="J406" i="535" a="1"/>
  <c r="J406" i="535" s="1"/>
  <c r="H406" i="535"/>
  <c r="V405" i="535"/>
  <c r="W405" i="535" s="1"/>
  <c r="N405" i="535"/>
  <c r="K405" i="535"/>
  <c r="M405" i="535" s="1"/>
  <c r="K405" i="535" a="1"/>
  <c r="J405" i="535"/>
  <c r="J405" i="535" a="1"/>
  <c r="H405" i="535"/>
  <c r="V404" i="535"/>
  <c r="W404" i="535" s="1"/>
  <c r="N404" i="535"/>
  <c r="K404" i="535" a="1"/>
  <c r="K404" i="535" s="1"/>
  <c r="M404" i="535" s="1"/>
  <c r="J404" i="535" a="1"/>
  <c r="J404" i="535" s="1"/>
  <c r="H404" i="535"/>
  <c r="W403" i="535"/>
  <c r="V403" i="535"/>
  <c r="N403" i="535"/>
  <c r="K403" i="535" a="1"/>
  <c r="K403" i="535" s="1"/>
  <c r="M403" i="535" s="1"/>
  <c r="J403" i="535" a="1"/>
  <c r="J403" i="535" s="1"/>
  <c r="H403" i="535"/>
  <c r="V402" i="535"/>
  <c r="W402" i="535" s="1"/>
  <c r="N402" i="535"/>
  <c r="K402" i="535" a="1"/>
  <c r="K402" i="535" s="1"/>
  <c r="M402" i="535" s="1"/>
  <c r="J402" i="535" a="1"/>
  <c r="J402" i="535" s="1"/>
  <c r="H402" i="535"/>
  <c r="V401" i="535"/>
  <c r="W401" i="535" s="1"/>
  <c r="N401" i="535"/>
  <c r="K401" i="535"/>
  <c r="M401" i="535" s="1"/>
  <c r="K401" i="535" a="1"/>
  <c r="J401" i="535"/>
  <c r="J401" i="535" a="1"/>
  <c r="H401" i="535"/>
  <c r="V400" i="535"/>
  <c r="W400" i="535" s="1"/>
  <c r="N400" i="535"/>
  <c r="K400" i="535" a="1"/>
  <c r="K400" i="535" s="1"/>
  <c r="M400" i="535" s="1"/>
  <c r="J400" i="535" a="1"/>
  <c r="J400" i="535" s="1"/>
  <c r="H400" i="535"/>
  <c r="W399" i="535"/>
  <c r="V399" i="535"/>
  <c r="N399" i="535"/>
  <c r="K399" i="535" a="1"/>
  <c r="K399" i="535" s="1"/>
  <c r="M399" i="535" s="1"/>
  <c r="J399" i="535" a="1"/>
  <c r="J399" i="535" s="1"/>
  <c r="H399" i="535"/>
  <c r="V398" i="535"/>
  <c r="W398" i="535" s="1"/>
  <c r="N398" i="535"/>
  <c r="K398" i="535" a="1"/>
  <c r="K398" i="535" s="1"/>
  <c r="M398" i="535" s="1"/>
  <c r="J398" i="535" a="1"/>
  <c r="J398" i="535" s="1"/>
  <c r="H398" i="535"/>
  <c r="V397" i="535"/>
  <c r="W397" i="535" s="1"/>
  <c r="N397" i="535"/>
  <c r="K397" i="535"/>
  <c r="M397" i="535" s="1"/>
  <c r="K397" i="535" a="1"/>
  <c r="J397" i="535"/>
  <c r="J397" i="535" a="1"/>
  <c r="H397" i="535"/>
  <c r="K396" i="535" a="1"/>
  <c r="K396" i="535" s="1"/>
  <c r="M396" i="535" s="1"/>
  <c r="H396" i="535"/>
  <c r="K395" i="535"/>
  <c r="M395" i="535" s="1"/>
  <c r="K395" i="535" a="1"/>
  <c r="H395" i="535"/>
  <c r="K394" i="535" a="1"/>
  <c r="K394" i="535" s="1"/>
  <c r="M394" i="535" s="1"/>
  <c r="H394" i="535"/>
  <c r="K393" i="535"/>
  <c r="M393" i="535" s="1"/>
  <c r="K393" i="535" a="1"/>
  <c r="H393" i="535"/>
  <c r="N392" i="535"/>
  <c r="K392" i="535" a="1"/>
  <c r="K392" i="535" s="1"/>
  <c r="M392" i="535" s="1"/>
  <c r="H392" i="535"/>
  <c r="N391" i="535"/>
  <c r="K391" i="535" a="1"/>
  <c r="K391" i="535" s="1"/>
  <c r="M391" i="535" s="1"/>
  <c r="H391" i="535"/>
  <c r="N390" i="535"/>
  <c r="K390" i="535" a="1"/>
  <c r="K390" i="535" s="1"/>
  <c r="M390" i="535" s="1"/>
  <c r="H390" i="535"/>
  <c r="N389" i="535"/>
  <c r="K389" i="535"/>
  <c r="M389" i="535" s="1"/>
  <c r="K389" i="535" a="1"/>
  <c r="H389" i="535"/>
  <c r="V388" i="535"/>
  <c r="W388" i="535" s="1"/>
  <c r="N388" i="535"/>
  <c r="K388" i="535" a="1"/>
  <c r="K388" i="535" s="1"/>
  <c r="M388" i="535" s="1"/>
  <c r="J388" i="535" a="1"/>
  <c r="J388" i="535" s="1"/>
  <c r="H388" i="535"/>
  <c r="W387" i="535"/>
  <c r="V387" i="535"/>
  <c r="N387" i="535"/>
  <c r="K387" i="535" a="1"/>
  <c r="K387" i="535" s="1"/>
  <c r="M387" i="535" s="1"/>
  <c r="J387" i="535" a="1"/>
  <c r="J387" i="535" s="1"/>
  <c r="H387" i="535"/>
  <c r="V386" i="535"/>
  <c r="W386" i="535" s="1"/>
  <c r="N386" i="535"/>
  <c r="K386" i="535" a="1"/>
  <c r="K386" i="535" s="1"/>
  <c r="M386" i="535" s="1"/>
  <c r="J386" i="535" a="1"/>
  <c r="J386" i="535" s="1"/>
  <c r="H386" i="535"/>
  <c r="V385" i="535"/>
  <c r="W385" i="535" s="1"/>
  <c r="N385" i="535"/>
  <c r="K385" i="535"/>
  <c r="M385" i="535" s="1"/>
  <c r="K385" i="535" a="1"/>
  <c r="J385" i="535"/>
  <c r="J385" i="535" a="1"/>
  <c r="H385" i="535"/>
  <c r="V384" i="535"/>
  <c r="W384" i="535" s="1"/>
  <c r="N384" i="535"/>
  <c r="K384" i="535" a="1"/>
  <c r="K384" i="535" s="1"/>
  <c r="M384" i="535" s="1"/>
  <c r="J384" i="535" a="1"/>
  <c r="J384" i="535" s="1"/>
  <c r="H384" i="535"/>
  <c r="W383" i="535"/>
  <c r="V383" i="535"/>
  <c r="N383" i="535"/>
  <c r="K383" i="535" a="1"/>
  <c r="K383" i="535" s="1"/>
  <c r="M383" i="535" s="1"/>
  <c r="J383" i="535" a="1"/>
  <c r="J383" i="535" s="1"/>
  <c r="H383" i="535"/>
  <c r="V382" i="535"/>
  <c r="W382" i="535" s="1"/>
  <c r="N382" i="535"/>
  <c r="K382" i="535" a="1"/>
  <c r="K382" i="535" s="1"/>
  <c r="M382" i="535" s="1"/>
  <c r="J382" i="535" a="1"/>
  <c r="J382" i="535" s="1"/>
  <c r="H382" i="535"/>
  <c r="V381" i="535"/>
  <c r="W381" i="535" s="1"/>
  <c r="N381" i="535"/>
  <c r="K381" i="535"/>
  <c r="M381" i="535" s="1"/>
  <c r="K381" i="535" a="1"/>
  <c r="J381" i="535"/>
  <c r="J381" i="535" a="1"/>
  <c r="H381" i="535"/>
  <c r="V380" i="535"/>
  <c r="W380" i="535" s="1"/>
  <c r="N380" i="535"/>
  <c r="K380" i="535" a="1"/>
  <c r="K380" i="535" s="1"/>
  <c r="M380" i="535" s="1"/>
  <c r="J380" i="535" a="1"/>
  <c r="J380" i="535" s="1"/>
  <c r="H380" i="535"/>
  <c r="W379" i="535"/>
  <c r="V379" i="535"/>
  <c r="N379" i="535"/>
  <c r="K379" i="535" a="1"/>
  <c r="K379" i="535" s="1"/>
  <c r="M379" i="535" s="1"/>
  <c r="J379" i="535" a="1"/>
  <c r="J379" i="535" s="1"/>
  <c r="H379" i="535"/>
  <c r="V378" i="535"/>
  <c r="W378" i="535" s="1"/>
  <c r="N378" i="535"/>
  <c r="K378" i="535" a="1"/>
  <c r="K378" i="535" s="1"/>
  <c r="M378" i="535" s="1"/>
  <c r="J378" i="535" a="1"/>
  <c r="J378" i="535" s="1"/>
  <c r="H378" i="535"/>
  <c r="V377" i="535"/>
  <c r="W377" i="535" s="1"/>
  <c r="N377" i="535"/>
  <c r="K377" i="535"/>
  <c r="M377" i="535" s="1"/>
  <c r="K377" i="535" a="1"/>
  <c r="J377" i="535"/>
  <c r="J377" i="535" a="1"/>
  <c r="H377" i="535"/>
  <c r="K376" i="535" a="1"/>
  <c r="K376" i="535" s="1"/>
  <c r="M376" i="535" s="1"/>
  <c r="H376" i="535"/>
  <c r="K375" i="535"/>
  <c r="M375" i="535" s="1"/>
  <c r="K375" i="535" a="1"/>
  <c r="H375" i="535"/>
  <c r="K374" i="535" a="1"/>
  <c r="K374" i="535" s="1"/>
  <c r="M374" i="535" s="1"/>
  <c r="H374" i="535"/>
  <c r="V373" i="535"/>
  <c r="W373" i="535" s="1"/>
  <c r="N373" i="535"/>
  <c r="M373" i="535"/>
  <c r="K373" i="535" a="1"/>
  <c r="K373" i="535" s="1"/>
  <c r="J373" i="535" a="1"/>
  <c r="J373" i="535" s="1"/>
  <c r="H373" i="535"/>
  <c r="W372" i="535"/>
  <c r="V372" i="535"/>
  <c r="N372" i="535"/>
  <c r="K372" i="535" a="1"/>
  <c r="K372" i="535" s="1"/>
  <c r="M372" i="535" s="1"/>
  <c r="J372" i="535" a="1"/>
  <c r="J372" i="535" s="1"/>
  <c r="H372" i="535"/>
  <c r="V371" i="535"/>
  <c r="W371" i="535" s="1"/>
  <c r="N371" i="535"/>
  <c r="K371" i="535" a="1"/>
  <c r="K371" i="535" s="1"/>
  <c r="M371" i="535" s="1"/>
  <c r="J371" i="535" a="1"/>
  <c r="J371" i="535" s="1"/>
  <c r="H371" i="535"/>
  <c r="K370" i="535" a="1"/>
  <c r="K370" i="535" s="1"/>
  <c r="H370" i="535"/>
  <c r="V369" i="535"/>
  <c r="V426" i="535" s="1"/>
  <c r="W426" i="535" s="1"/>
  <c r="N369" i="535"/>
  <c r="K369" i="535" a="1"/>
  <c r="K369" i="535" s="1"/>
  <c r="J369" i="535" a="1"/>
  <c r="J369" i="535" s="1"/>
  <c r="H369" i="535"/>
  <c r="AA368" i="535"/>
  <c r="AA504" i="535" s="1"/>
  <c r="Z368" i="535"/>
  <c r="Z504" i="535" s="1"/>
  <c r="Y368" i="535"/>
  <c r="Y504" i="535" s="1"/>
  <c r="X368" i="535"/>
  <c r="X504" i="535" s="1"/>
  <c r="U368" i="535"/>
  <c r="U504" i="535" s="1"/>
  <c r="T368" i="535"/>
  <c r="T504" i="535" s="1"/>
  <c r="S368" i="535"/>
  <c r="S504" i="535" s="1"/>
  <c r="R368" i="535"/>
  <c r="R504" i="535" s="1"/>
  <c r="Q368" i="535"/>
  <c r="Q504" i="535" s="1"/>
  <c r="P368" i="535"/>
  <c r="P504" i="535" s="1"/>
  <c r="O368" i="535"/>
  <c r="I368" i="535"/>
  <c r="G368" i="535"/>
  <c r="G504" i="535" s="1"/>
  <c r="V367" i="535"/>
  <c r="W367" i="535" s="1"/>
  <c r="N367" i="535"/>
  <c r="K367" i="535" a="1"/>
  <c r="K367" i="535" s="1"/>
  <c r="M367" i="535" s="1"/>
  <c r="J367" i="535" a="1"/>
  <c r="J367" i="535" s="1"/>
  <c r="H367" i="535"/>
  <c r="V366" i="535"/>
  <c r="W366" i="535" s="1"/>
  <c r="N366" i="535"/>
  <c r="K366" i="535"/>
  <c r="M366" i="535" s="1"/>
  <c r="K366" i="535" a="1"/>
  <c r="J366" i="535"/>
  <c r="J366" i="535" a="1"/>
  <c r="H366" i="535"/>
  <c r="K365" i="535" a="1"/>
  <c r="K365" i="535" s="1"/>
  <c r="M365" i="535" s="1"/>
  <c r="H365" i="535"/>
  <c r="K364" i="535"/>
  <c r="M364" i="535" s="1"/>
  <c r="K364" i="535" a="1"/>
  <c r="H364" i="535"/>
  <c r="K363" i="535" a="1"/>
  <c r="K363" i="535" s="1"/>
  <c r="M363" i="535" s="1"/>
  <c r="H363" i="535"/>
  <c r="K362" i="535"/>
  <c r="M362" i="535" s="1"/>
  <c r="K362" i="535" a="1"/>
  <c r="H362" i="535"/>
  <c r="V361" i="535"/>
  <c r="W361" i="535" s="1"/>
  <c r="N361" i="535"/>
  <c r="K361" i="535" a="1"/>
  <c r="K361" i="535" s="1"/>
  <c r="M361" i="535" s="1"/>
  <c r="J361" i="535" a="1"/>
  <c r="J361" i="535" s="1"/>
  <c r="H361" i="535"/>
  <c r="W360" i="535"/>
  <c r="V360" i="535"/>
  <c r="N360" i="535"/>
  <c r="K360" i="535" a="1"/>
  <c r="K360" i="535" s="1"/>
  <c r="M360" i="535" s="1"/>
  <c r="J360" i="535" a="1"/>
  <c r="J360" i="535" s="1"/>
  <c r="H360" i="535"/>
  <c r="V359" i="535"/>
  <c r="W359" i="535" s="1"/>
  <c r="N359" i="535"/>
  <c r="K359" i="535" a="1"/>
  <c r="K359" i="535" s="1"/>
  <c r="M359" i="535" s="1"/>
  <c r="J359" i="535" a="1"/>
  <c r="J359" i="535" s="1"/>
  <c r="H359" i="535"/>
  <c r="H358" i="535"/>
  <c r="H357" i="535"/>
  <c r="V356" i="535"/>
  <c r="W356" i="535" s="1"/>
  <c r="N356" i="535"/>
  <c r="K356" i="535"/>
  <c r="M356" i="535" s="1"/>
  <c r="K356" i="535" a="1"/>
  <c r="J356" i="535"/>
  <c r="J356" i="535" a="1"/>
  <c r="H356" i="535"/>
  <c r="V355" i="535"/>
  <c r="W355" i="535" s="1"/>
  <c r="N355" i="535"/>
  <c r="K355" i="535" a="1"/>
  <c r="K355" i="535" s="1"/>
  <c r="M355" i="535" s="1"/>
  <c r="J355" i="535" a="1"/>
  <c r="J355" i="535" s="1"/>
  <c r="H355" i="535"/>
  <c r="K354" i="535" a="1"/>
  <c r="K354" i="535" s="1"/>
  <c r="M354" i="535" s="1"/>
  <c r="H354" i="535"/>
  <c r="K353" i="535" a="1"/>
  <c r="K353" i="535" s="1"/>
  <c r="M353" i="535" s="1"/>
  <c r="H353" i="535"/>
  <c r="W352" i="535"/>
  <c r="V352" i="535"/>
  <c r="N352" i="535"/>
  <c r="K352" i="535" a="1"/>
  <c r="K352" i="535" s="1"/>
  <c r="M352" i="535" s="1"/>
  <c r="J352" i="535" a="1"/>
  <c r="J352" i="535" s="1"/>
  <c r="H352" i="535"/>
  <c r="V351" i="535"/>
  <c r="W351" i="535" s="1"/>
  <c r="N351" i="535"/>
  <c r="K351" i="535" a="1"/>
  <c r="K351" i="535" s="1"/>
  <c r="M351" i="535" s="1"/>
  <c r="J351" i="535" a="1"/>
  <c r="J351" i="535" s="1"/>
  <c r="H351" i="535"/>
  <c r="V350" i="535"/>
  <c r="W350" i="535" s="1"/>
  <c r="N350" i="535"/>
  <c r="K350" i="535"/>
  <c r="M350" i="535" s="1"/>
  <c r="K350" i="535" a="1"/>
  <c r="J350" i="535"/>
  <c r="J350" i="535" a="1"/>
  <c r="H350" i="535"/>
  <c r="V349" i="535"/>
  <c r="W349" i="535" s="1"/>
  <c r="N349" i="535"/>
  <c r="K349" i="535" a="1"/>
  <c r="K349" i="535" s="1"/>
  <c r="M349" i="535" s="1"/>
  <c r="J349" i="535" a="1"/>
  <c r="J349" i="535" s="1"/>
  <c r="H349" i="535"/>
  <c r="W348" i="535"/>
  <c r="V348" i="535"/>
  <c r="N348" i="535"/>
  <c r="K348" i="535" a="1"/>
  <c r="K348" i="535" s="1"/>
  <c r="M348" i="535" s="1"/>
  <c r="J348" i="535" a="1"/>
  <c r="J348" i="535" s="1"/>
  <c r="H348" i="535"/>
  <c r="V347" i="535"/>
  <c r="V368" i="535" s="1"/>
  <c r="N347" i="535"/>
  <c r="K347" i="535" a="1"/>
  <c r="K347" i="535" s="1"/>
  <c r="J347" i="535" a="1"/>
  <c r="J347" i="535" s="1"/>
  <c r="H347" i="535"/>
  <c r="H368" i="535" s="1"/>
  <c r="X341" i="535"/>
  <c r="X340" i="535"/>
  <c r="X339" i="535"/>
  <c r="G339" i="535"/>
  <c r="E339" i="535"/>
  <c r="C339" i="535"/>
  <c r="X338" i="535"/>
  <c r="I338" i="535"/>
  <c r="E338" i="535"/>
  <c r="K338" i="535" s="1"/>
  <c r="M338" i="535" s="1"/>
  <c r="I337" i="535"/>
  <c r="E337" i="535"/>
  <c r="K337" i="535" s="1"/>
  <c r="M337" i="535" s="1"/>
  <c r="I336" i="535"/>
  <c r="E336" i="535"/>
  <c r="K336" i="535" s="1"/>
  <c r="M336" i="535" s="1"/>
  <c r="X335" i="535"/>
  <c r="I335" i="535"/>
  <c r="I339" i="535" s="1"/>
  <c r="E335" i="535"/>
  <c r="K335" i="535" s="1"/>
  <c r="AA332" i="535"/>
  <c r="Z332" i="535"/>
  <c r="Y332" i="535"/>
  <c r="X332" i="535"/>
  <c r="U332" i="535"/>
  <c r="T332" i="535"/>
  <c r="S332" i="535"/>
  <c r="R332" i="535"/>
  <c r="Q332" i="535"/>
  <c r="P332" i="535"/>
  <c r="O332" i="535"/>
  <c r="R340" i="535" s="1"/>
  <c r="I332" i="535"/>
  <c r="G332" i="535"/>
  <c r="K331" i="535" a="1"/>
  <c r="K331" i="535" s="1"/>
  <c r="H331" i="535"/>
  <c r="K330" i="535"/>
  <c r="K330" i="535" a="1"/>
  <c r="H330" i="535"/>
  <c r="K329" i="535" a="1"/>
  <c r="K329" i="535" s="1"/>
  <c r="H329" i="535"/>
  <c r="W328" i="535"/>
  <c r="V328" i="535"/>
  <c r="N328" i="535"/>
  <c r="K328" i="535" a="1"/>
  <c r="K328" i="535" s="1"/>
  <c r="D328" i="535"/>
  <c r="H328" i="535" s="1"/>
  <c r="H327" i="535"/>
  <c r="K326" i="535" a="1"/>
  <c r="K326" i="535" s="1"/>
  <c r="H326" i="535"/>
  <c r="H325" i="535"/>
  <c r="V324" i="535"/>
  <c r="W324" i="535" s="1"/>
  <c r="N324" i="535"/>
  <c r="K324" i="535" a="1"/>
  <c r="K324" i="535" s="1"/>
  <c r="M324" i="535" s="1"/>
  <c r="J324" i="535" a="1"/>
  <c r="J324" i="535" s="1"/>
  <c r="H324" i="535"/>
  <c r="V323" i="535"/>
  <c r="W323" i="535" s="1"/>
  <c r="N323" i="535"/>
  <c r="K323" i="535" a="1"/>
  <c r="K323" i="535" s="1"/>
  <c r="M323" i="535" s="1"/>
  <c r="J323" i="535" a="1"/>
  <c r="J323" i="535" s="1"/>
  <c r="H323" i="535"/>
  <c r="H322" i="535"/>
  <c r="V321" i="535"/>
  <c r="W321" i="535" s="1"/>
  <c r="N321" i="535"/>
  <c r="K321" i="535" a="1"/>
  <c r="K321" i="535" s="1"/>
  <c r="M321" i="535" s="1"/>
  <c r="J321" i="535" a="1"/>
  <c r="J321" i="535" s="1"/>
  <c r="H321" i="535"/>
  <c r="V320" i="535"/>
  <c r="W320" i="535" s="1"/>
  <c r="N320" i="535"/>
  <c r="K320" i="535"/>
  <c r="M320" i="535" s="1"/>
  <c r="K320" i="535" a="1"/>
  <c r="J320" i="535"/>
  <c r="J320" i="535" a="1"/>
  <c r="H320" i="535"/>
  <c r="V319" i="535"/>
  <c r="W319" i="535" s="1"/>
  <c r="N319" i="535"/>
  <c r="K319" i="535" a="1"/>
  <c r="K319" i="535" s="1"/>
  <c r="M319" i="535" s="1"/>
  <c r="J319" i="535" a="1"/>
  <c r="J319" i="535" s="1"/>
  <c r="H319" i="535"/>
  <c r="V318" i="535"/>
  <c r="V332" i="535" s="1"/>
  <c r="N318" i="535"/>
  <c r="N332" i="535" s="1"/>
  <c r="K318" i="535" a="1"/>
  <c r="K318" i="535" s="1"/>
  <c r="J318" i="535" a="1"/>
  <c r="J318" i="535" s="1"/>
  <c r="H318" i="535"/>
  <c r="H332" i="535" s="1"/>
  <c r="AA317" i="535"/>
  <c r="Z317" i="535"/>
  <c r="Y317" i="535"/>
  <c r="X317" i="535"/>
  <c r="U317" i="535"/>
  <c r="T317" i="535"/>
  <c r="S317" i="535"/>
  <c r="Q317" i="535"/>
  <c r="P317" i="535"/>
  <c r="O317" i="535"/>
  <c r="R339" i="535" s="1"/>
  <c r="I317" i="535"/>
  <c r="G317" i="535"/>
  <c r="J317" i="535" s="1" a="1"/>
  <c r="J317" i="535" s="1"/>
  <c r="V316" i="535"/>
  <c r="W316" i="535" s="1"/>
  <c r="N316" i="535"/>
  <c r="K316" i="535" a="1"/>
  <c r="K316" i="535" s="1"/>
  <c r="M316" i="535" s="1"/>
  <c r="J316" i="535" a="1"/>
  <c r="J316" i="535" s="1"/>
  <c r="H316" i="535"/>
  <c r="H315" i="535"/>
  <c r="H314" i="535"/>
  <c r="H313" i="535"/>
  <c r="V312" i="535"/>
  <c r="W312" i="535" s="1"/>
  <c r="N312" i="535"/>
  <c r="K312" i="535" a="1"/>
  <c r="K312" i="535" s="1"/>
  <c r="M312" i="535" s="1"/>
  <c r="J312" i="535" a="1"/>
  <c r="J312" i="535" s="1"/>
  <c r="H312" i="535"/>
  <c r="V311" i="535"/>
  <c r="W311" i="535" s="1"/>
  <c r="N311" i="535"/>
  <c r="K311" i="535" a="1"/>
  <c r="K311" i="535" s="1"/>
  <c r="M311" i="535" s="1"/>
  <c r="J311" i="535" a="1"/>
  <c r="J311" i="535" s="1"/>
  <c r="H311" i="535"/>
  <c r="V310" i="535"/>
  <c r="W310" i="535" s="1"/>
  <c r="N310" i="535"/>
  <c r="K310" i="535" a="1"/>
  <c r="K310" i="535" s="1"/>
  <c r="M310" i="535" s="1"/>
  <c r="J310" i="535" a="1"/>
  <c r="J310" i="535" s="1"/>
  <c r="H310" i="535"/>
  <c r="V309" i="535"/>
  <c r="W309" i="535" s="1"/>
  <c r="N309" i="535"/>
  <c r="K309" i="535"/>
  <c r="M309" i="535" s="1"/>
  <c r="K309" i="535" a="1"/>
  <c r="J309" i="535"/>
  <c r="J309" i="535" a="1"/>
  <c r="H309" i="535"/>
  <c r="V308" i="535"/>
  <c r="W308" i="535" s="1"/>
  <c r="N308" i="535"/>
  <c r="N317" i="535" s="1"/>
  <c r="K308" i="535" a="1"/>
  <c r="K308" i="535" s="1"/>
  <c r="J308" i="535" a="1"/>
  <c r="J308" i="535" s="1"/>
  <c r="H308" i="535"/>
  <c r="H317" i="535" s="1"/>
  <c r="AA307" i="535"/>
  <c r="Z307" i="535"/>
  <c r="Y307" i="535"/>
  <c r="X307" i="535"/>
  <c r="U307" i="535"/>
  <c r="T307" i="535"/>
  <c r="S307" i="535"/>
  <c r="Q307" i="535"/>
  <c r="P307" i="535"/>
  <c r="O307" i="535"/>
  <c r="R338" i="535" s="1"/>
  <c r="I307" i="535"/>
  <c r="G307" i="535"/>
  <c r="J307" i="535" s="1" a="1"/>
  <c r="J307" i="535" s="1"/>
  <c r="V306" i="535"/>
  <c r="W306" i="535" s="1"/>
  <c r="N306" i="535"/>
  <c r="K306" i="535" a="1"/>
  <c r="K306" i="535" s="1"/>
  <c r="M306" i="535" s="1"/>
  <c r="J306" i="535" a="1"/>
  <c r="J306" i="535" s="1"/>
  <c r="H306" i="535"/>
  <c r="V305" i="535"/>
  <c r="W305" i="535" s="1"/>
  <c r="N305" i="535"/>
  <c r="K305" i="535" a="1"/>
  <c r="K305" i="535" s="1"/>
  <c r="M305" i="535" s="1"/>
  <c r="J305" i="535" a="1"/>
  <c r="J305" i="535" s="1"/>
  <c r="H305" i="535"/>
  <c r="V304" i="535"/>
  <c r="W304" i="535" s="1"/>
  <c r="N304" i="535"/>
  <c r="K304" i="535"/>
  <c r="M304" i="535" s="1"/>
  <c r="K304" i="535" a="1"/>
  <c r="J304" i="535"/>
  <c r="J304" i="535" a="1"/>
  <c r="H304" i="535"/>
  <c r="V303" i="535"/>
  <c r="W303" i="535" s="1"/>
  <c r="N303" i="535"/>
  <c r="K303" i="535" a="1"/>
  <c r="K303" i="535" s="1"/>
  <c r="M303" i="535" s="1"/>
  <c r="J303" i="535" a="1"/>
  <c r="J303" i="535" s="1"/>
  <c r="H303" i="535"/>
  <c r="W302" i="535"/>
  <c r="V302" i="535"/>
  <c r="N302" i="535"/>
  <c r="K302" i="535" a="1"/>
  <c r="K302" i="535" s="1"/>
  <c r="M302" i="535" s="1"/>
  <c r="J302" i="535" a="1"/>
  <c r="J302" i="535" s="1"/>
  <c r="H302" i="535"/>
  <c r="V301" i="535"/>
  <c r="W301" i="535" s="1"/>
  <c r="N301" i="535"/>
  <c r="K301" i="535" a="1"/>
  <c r="K301" i="535" s="1"/>
  <c r="M301" i="535" s="1"/>
  <c r="J301" i="535" a="1"/>
  <c r="J301" i="535" s="1"/>
  <c r="H301" i="535"/>
  <c r="V300" i="535"/>
  <c r="W300" i="535" s="1"/>
  <c r="N300" i="535"/>
  <c r="K300" i="535"/>
  <c r="M300" i="535" s="1"/>
  <c r="K300" i="535" a="1"/>
  <c r="J300" i="535"/>
  <c r="J300" i="535" a="1"/>
  <c r="H300" i="535"/>
  <c r="V299" i="535"/>
  <c r="W299" i="535" s="1"/>
  <c r="N299" i="535"/>
  <c r="K299" i="535" a="1"/>
  <c r="K299" i="535" s="1"/>
  <c r="M299" i="535" s="1"/>
  <c r="J299" i="535" a="1"/>
  <c r="J299" i="535" s="1"/>
  <c r="H299" i="535"/>
  <c r="W298" i="535"/>
  <c r="V298" i="535"/>
  <c r="N298" i="535"/>
  <c r="K298" i="535" a="1"/>
  <c r="K298" i="535" s="1"/>
  <c r="M298" i="535" s="1"/>
  <c r="J298" i="535" a="1"/>
  <c r="J298" i="535" s="1"/>
  <c r="H298" i="535"/>
  <c r="V297" i="535"/>
  <c r="W297" i="535" s="1"/>
  <c r="N297" i="535"/>
  <c r="K297" i="535" a="1"/>
  <c r="K297" i="535" s="1"/>
  <c r="M297" i="535" s="1"/>
  <c r="J297" i="535" a="1"/>
  <c r="J297" i="535" s="1"/>
  <c r="H297" i="535"/>
  <c r="V296" i="535"/>
  <c r="W296" i="535" s="1"/>
  <c r="N296" i="535"/>
  <c r="K296" i="535"/>
  <c r="M296" i="535" s="1"/>
  <c r="K296" i="535" a="1"/>
  <c r="J296" i="535"/>
  <c r="J296" i="535" a="1"/>
  <c r="H296" i="535"/>
  <c r="V295" i="535"/>
  <c r="W295" i="535" s="1"/>
  <c r="N295" i="535"/>
  <c r="K295" i="535" a="1"/>
  <c r="K295" i="535" s="1"/>
  <c r="M295" i="535" s="1"/>
  <c r="J295" i="535" a="1"/>
  <c r="J295" i="535" s="1"/>
  <c r="H295" i="535"/>
  <c r="W294" i="535"/>
  <c r="V294" i="535"/>
  <c r="N294" i="535"/>
  <c r="K294" i="535" a="1"/>
  <c r="K294" i="535" s="1"/>
  <c r="M294" i="535" s="1"/>
  <c r="J294" i="535" a="1"/>
  <c r="J294" i="535" s="1"/>
  <c r="H294" i="535"/>
  <c r="V293" i="535"/>
  <c r="W293" i="535" s="1"/>
  <c r="N293" i="535"/>
  <c r="K293" i="535" a="1"/>
  <c r="K293" i="535" s="1"/>
  <c r="M293" i="535" s="1"/>
  <c r="J293" i="535" a="1"/>
  <c r="J293" i="535" s="1"/>
  <c r="H293" i="535"/>
  <c r="V292" i="535"/>
  <c r="V307" i="535" s="1"/>
  <c r="W307" i="535" s="1"/>
  <c r="N292" i="535"/>
  <c r="K292" i="535"/>
  <c r="M292" i="535" s="1"/>
  <c r="K292" i="535" a="1"/>
  <c r="J292" i="535"/>
  <c r="J292" i="535" a="1"/>
  <c r="H292" i="535"/>
  <c r="H307" i="535" s="1"/>
  <c r="AA291" i="535"/>
  <c r="Z291" i="535"/>
  <c r="Y291" i="535"/>
  <c r="X291" i="535"/>
  <c r="U291" i="535"/>
  <c r="T291" i="535"/>
  <c r="S291" i="535"/>
  <c r="R291" i="535"/>
  <c r="Q291" i="535"/>
  <c r="P291" i="535"/>
  <c r="O291" i="535"/>
  <c r="R337" i="535" s="1"/>
  <c r="I291" i="535"/>
  <c r="G291" i="535"/>
  <c r="V290" i="535"/>
  <c r="W290" i="535" s="1"/>
  <c r="N290" i="535"/>
  <c r="K290" i="535"/>
  <c r="M290" i="535" s="1"/>
  <c r="K290" i="535" a="1"/>
  <c r="J290" i="535"/>
  <c r="J290" i="535" a="1"/>
  <c r="H290" i="535"/>
  <c r="V289" i="535"/>
  <c r="W289" i="535" s="1"/>
  <c r="N289" i="535"/>
  <c r="K289" i="535" a="1"/>
  <c r="K289" i="535" s="1"/>
  <c r="M289" i="535" s="1"/>
  <c r="J289" i="535" a="1"/>
  <c r="J289" i="535" s="1"/>
  <c r="H289" i="535"/>
  <c r="W288" i="535"/>
  <c r="V288" i="535"/>
  <c r="N288" i="535"/>
  <c r="K288" i="535" a="1"/>
  <c r="K288" i="535" s="1"/>
  <c r="M288" i="535" s="1"/>
  <c r="J288" i="535" a="1"/>
  <c r="J288" i="535" s="1"/>
  <c r="H288" i="535"/>
  <c r="H287" i="535"/>
  <c r="H286" i="535"/>
  <c r="H285" i="535"/>
  <c r="V284" i="535"/>
  <c r="W284" i="535" s="1"/>
  <c r="N284" i="535"/>
  <c r="K284" i="535"/>
  <c r="M284" i="535" s="1"/>
  <c r="K284" i="535" a="1"/>
  <c r="J284" i="535"/>
  <c r="J284" i="535" a="1"/>
  <c r="H284" i="535"/>
  <c r="V283" i="535"/>
  <c r="W283" i="535" s="1"/>
  <c r="N283" i="535"/>
  <c r="K283" i="535" a="1"/>
  <c r="K283" i="535" s="1"/>
  <c r="M283" i="535" s="1"/>
  <c r="J283" i="535" a="1"/>
  <c r="J283" i="535" s="1"/>
  <c r="H283" i="535"/>
  <c r="N282" i="535"/>
  <c r="K282" i="535" a="1"/>
  <c r="K282" i="535" s="1"/>
  <c r="M282" i="535" s="1"/>
  <c r="H282" i="535"/>
  <c r="N281" i="535"/>
  <c r="K281" i="535" a="1"/>
  <c r="K281" i="535" s="1"/>
  <c r="M281" i="535" s="1"/>
  <c r="H281" i="535"/>
  <c r="N280" i="535"/>
  <c r="K280" i="535" a="1"/>
  <c r="K280" i="535" s="1"/>
  <c r="M280" i="535" s="1"/>
  <c r="H280" i="535"/>
  <c r="N279" i="535"/>
  <c r="K279" i="535" a="1"/>
  <c r="K279" i="535" s="1"/>
  <c r="M279" i="535" s="1"/>
  <c r="H279" i="535"/>
  <c r="N278" i="535"/>
  <c r="K278" i="535" a="1"/>
  <c r="K278" i="535" s="1"/>
  <c r="M278" i="535" s="1"/>
  <c r="H278" i="535"/>
  <c r="N277" i="535"/>
  <c r="K277" i="535"/>
  <c r="M277" i="535" s="1"/>
  <c r="K277" i="535" a="1"/>
  <c r="H277" i="535"/>
  <c r="V276" i="535"/>
  <c r="W276" i="535" s="1"/>
  <c r="N276" i="535"/>
  <c r="K276" i="535" a="1"/>
  <c r="K276" i="535" s="1"/>
  <c r="M276" i="535" s="1"/>
  <c r="J276" i="535" a="1"/>
  <c r="J276" i="535" s="1"/>
  <c r="H276" i="535"/>
  <c r="W275" i="535"/>
  <c r="V275" i="535"/>
  <c r="N275" i="535"/>
  <c r="K275" i="535" a="1"/>
  <c r="K275" i="535" s="1"/>
  <c r="M275" i="535" s="1"/>
  <c r="J275" i="535" a="1"/>
  <c r="J275" i="535" s="1"/>
  <c r="H275" i="535"/>
  <c r="V274" i="535"/>
  <c r="W274" i="535" s="1"/>
  <c r="N274" i="535"/>
  <c r="K274" i="535" a="1"/>
  <c r="K274" i="535" s="1"/>
  <c r="M274" i="535" s="1"/>
  <c r="J274" i="535" a="1"/>
  <c r="J274" i="535" s="1"/>
  <c r="H274" i="535"/>
  <c r="V273" i="535"/>
  <c r="W273" i="535" s="1"/>
  <c r="N273" i="535"/>
  <c r="K273" i="535"/>
  <c r="M273" i="535" s="1"/>
  <c r="K273" i="535" a="1"/>
  <c r="J273" i="535"/>
  <c r="J273" i="535" a="1"/>
  <c r="H273" i="535"/>
  <c r="V272" i="535"/>
  <c r="W272" i="535" s="1"/>
  <c r="N272" i="535"/>
  <c r="K272" i="535" a="1"/>
  <c r="K272" i="535" s="1"/>
  <c r="M272" i="535" s="1"/>
  <c r="J272" i="535" a="1"/>
  <c r="J272" i="535" s="1"/>
  <c r="H272" i="535"/>
  <c r="V271" i="535"/>
  <c r="W271" i="535" s="1"/>
  <c r="N271" i="535"/>
  <c r="K271" i="535"/>
  <c r="M271" i="535" s="1"/>
  <c r="K271" i="535" a="1"/>
  <c r="J271" i="535"/>
  <c r="J271" i="535" a="1"/>
  <c r="H271" i="535"/>
  <c r="V270" i="535"/>
  <c r="W270" i="535" s="1"/>
  <c r="N270" i="535"/>
  <c r="K270" i="535" a="1"/>
  <c r="K270" i="535" s="1"/>
  <c r="M270" i="535" s="1"/>
  <c r="J270" i="535" a="1"/>
  <c r="J270" i="535" s="1"/>
  <c r="H270" i="535"/>
  <c r="W269" i="535"/>
  <c r="V269" i="535"/>
  <c r="N269" i="535"/>
  <c r="K269" i="535" a="1"/>
  <c r="K269" i="535" s="1"/>
  <c r="M269" i="535" s="1"/>
  <c r="J269" i="535" a="1"/>
  <c r="J269" i="535" s="1"/>
  <c r="H269" i="535"/>
  <c r="V268" i="535"/>
  <c r="W268" i="535" s="1"/>
  <c r="N268" i="535"/>
  <c r="K268" i="535" a="1"/>
  <c r="K268" i="535" s="1"/>
  <c r="M268" i="535" s="1"/>
  <c r="J268" i="535" a="1"/>
  <c r="J268" i="535" s="1"/>
  <c r="H268" i="535"/>
  <c r="V267" i="535"/>
  <c r="W267" i="535" s="1"/>
  <c r="N267" i="535"/>
  <c r="K267" i="535"/>
  <c r="M267" i="535" s="1"/>
  <c r="K267" i="535" a="1"/>
  <c r="J267" i="535"/>
  <c r="J267" i="535" a="1"/>
  <c r="H267" i="535"/>
  <c r="V266" i="535"/>
  <c r="W266" i="535" s="1"/>
  <c r="N266" i="535"/>
  <c r="K266" i="535" a="1"/>
  <c r="K266" i="535" s="1"/>
  <c r="M266" i="535" s="1"/>
  <c r="J266" i="535" a="1"/>
  <c r="J266" i="535" s="1"/>
  <c r="H266" i="535"/>
  <c r="W265" i="535"/>
  <c r="V265" i="535"/>
  <c r="N265" i="535"/>
  <c r="K265" i="535" a="1"/>
  <c r="K265" i="535" s="1"/>
  <c r="M265" i="535" s="1"/>
  <c r="J265" i="535" a="1"/>
  <c r="J265" i="535" s="1"/>
  <c r="H265" i="535"/>
  <c r="N264" i="535"/>
  <c r="K264" i="535" a="1"/>
  <c r="K264" i="535" s="1"/>
  <c r="M264" i="535" s="1"/>
  <c r="H264" i="535"/>
  <c r="V263" i="535"/>
  <c r="W263" i="535" s="1"/>
  <c r="N263" i="535"/>
  <c r="K263" i="535"/>
  <c r="M263" i="535" s="1"/>
  <c r="K263" i="535" a="1"/>
  <c r="J263" i="535"/>
  <c r="J263" i="535" a="1"/>
  <c r="H263" i="535"/>
  <c r="V262" i="535"/>
  <c r="W262" i="535" s="1"/>
  <c r="N262" i="535"/>
  <c r="K262" i="535" a="1"/>
  <c r="K262" i="535" s="1"/>
  <c r="M262" i="535" s="1"/>
  <c r="J262" i="535" a="1"/>
  <c r="J262" i="535" s="1"/>
  <c r="H262" i="535"/>
  <c r="W261" i="535"/>
  <c r="V261" i="535"/>
  <c r="N261" i="535"/>
  <c r="K261" i="535"/>
  <c r="M261" i="535" s="1"/>
  <c r="K261" i="535" a="1"/>
  <c r="J261" i="535" a="1"/>
  <c r="J261" i="535" s="1"/>
  <c r="H261" i="535"/>
  <c r="V260" i="535"/>
  <c r="W260" i="535" s="1"/>
  <c r="N260" i="535"/>
  <c r="K260" i="535" a="1"/>
  <c r="K260" i="535" s="1"/>
  <c r="M260" i="535" s="1"/>
  <c r="J260" i="535" a="1"/>
  <c r="J260" i="535" s="1"/>
  <c r="H260" i="535"/>
  <c r="W259" i="535"/>
  <c r="V259" i="535"/>
  <c r="N259" i="535"/>
  <c r="K259" i="535" a="1"/>
  <c r="K259" i="535" s="1"/>
  <c r="M259" i="535" s="1"/>
  <c r="J259" i="535" a="1"/>
  <c r="J259" i="535" s="1"/>
  <c r="H259" i="535"/>
  <c r="V258" i="535"/>
  <c r="W258" i="535" s="1"/>
  <c r="N258" i="535"/>
  <c r="K258" i="535" a="1"/>
  <c r="K258" i="535" s="1"/>
  <c r="M258" i="535" s="1"/>
  <c r="J258" i="535" a="1"/>
  <c r="J258" i="535" s="1"/>
  <c r="H258" i="535"/>
  <c r="V257" i="535"/>
  <c r="W257" i="535" s="1"/>
  <c r="N257" i="535"/>
  <c r="K257" i="535"/>
  <c r="M257" i="535" s="1"/>
  <c r="K257" i="535" a="1"/>
  <c r="J257" i="535"/>
  <c r="J257" i="535" a="1"/>
  <c r="H257" i="535"/>
  <c r="H291" i="535" s="1"/>
  <c r="AA256" i="535"/>
  <c r="Z256" i="535"/>
  <c r="Y256" i="535"/>
  <c r="X256" i="535"/>
  <c r="U256" i="535"/>
  <c r="T256" i="535"/>
  <c r="S256" i="535"/>
  <c r="R256" i="535"/>
  <c r="Q256" i="535"/>
  <c r="P256" i="535"/>
  <c r="O256" i="535"/>
  <c r="I256" i="535"/>
  <c r="G256" i="535"/>
  <c r="H255" i="535"/>
  <c r="H254" i="535"/>
  <c r="H253" i="535"/>
  <c r="H252" i="535"/>
  <c r="H251" i="535"/>
  <c r="H250" i="535"/>
  <c r="K249" i="535" a="1"/>
  <c r="K249" i="535" s="1"/>
  <c r="M249" i="535" s="1"/>
  <c r="H249" i="535"/>
  <c r="K248" i="535" a="1"/>
  <c r="K248" i="535" s="1"/>
  <c r="M248" i="535" s="1"/>
  <c r="H248" i="535"/>
  <c r="K247" i="535" a="1"/>
  <c r="K247" i="535" s="1"/>
  <c r="M247" i="535" s="1"/>
  <c r="H247" i="535"/>
  <c r="K246" i="535" a="1"/>
  <c r="K246" i="535" s="1"/>
  <c r="M246" i="535" s="1"/>
  <c r="H246" i="535"/>
  <c r="V245" i="535"/>
  <c r="W245" i="535" s="1"/>
  <c r="N245" i="535"/>
  <c r="K245" i="535" a="1"/>
  <c r="K245" i="535" s="1"/>
  <c r="M245" i="535" s="1"/>
  <c r="J245" i="535" a="1"/>
  <c r="J245" i="535" s="1"/>
  <c r="H245" i="535"/>
  <c r="V244" i="535"/>
  <c r="W244" i="535" s="1"/>
  <c r="N244" i="535"/>
  <c r="K244" i="535" a="1"/>
  <c r="K244" i="535" s="1"/>
  <c r="M244" i="535" s="1"/>
  <c r="J244" i="535" a="1"/>
  <c r="J244" i="535" s="1"/>
  <c r="H244" i="535"/>
  <c r="V243" i="535"/>
  <c r="W243" i="535" s="1"/>
  <c r="N243" i="535"/>
  <c r="K243" i="535"/>
  <c r="M243" i="535" s="1"/>
  <c r="K243" i="535" a="1"/>
  <c r="J243" i="535"/>
  <c r="J243" i="535" a="1"/>
  <c r="H243" i="535"/>
  <c r="V242" i="535"/>
  <c r="W242" i="535" s="1"/>
  <c r="N242" i="535"/>
  <c r="K242" i="535" a="1"/>
  <c r="K242" i="535" s="1"/>
  <c r="M242" i="535" s="1"/>
  <c r="J242" i="535" a="1"/>
  <c r="J242" i="535" s="1"/>
  <c r="H242" i="535"/>
  <c r="M241" i="535"/>
  <c r="H241" i="535"/>
  <c r="W240" i="535"/>
  <c r="V240" i="535"/>
  <c r="N240" i="535"/>
  <c r="K240" i="535" a="1"/>
  <c r="K240" i="535" s="1"/>
  <c r="M240" i="535" s="1"/>
  <c r="J240" i="535" a="1"/>
  <c r="J240" i="535" s="1"/>
  <c r="H240" i="535"/>
  <c r="V239" i="535"/>
  <c r="W239" i="535" s="1"/>
  <c r="N239" i="535"/>
  <c r="K239" i="535" a="1"/>
  <c r="K239" i="535" s="1"/>
  <c r="M239" i="535" s="1"/>
  <c r="J239" i="535" a="1"/>
  <c r="J239" i="535" s="1"/>
  <c r="H239" i="535"/>
  <c r="K238" i="535" a="1"/>
  <c r="K238" i="535" s="1"/>
  <c r="M238" i="535" s="1"/>
  <c r="H238" i="535"/>
  <c r="H237" i="535"/>
  <c r="V236" i="535"/>
  <c r="W236" i="535" s="1"/>
  <c r="N236" i="535"/>
  <c r="K236" i="535" a="1"/>
  <c r="K236" i="535" s="1"/>
  <c r="M236" i="535" s="1"/>
  <c r="J236" i="535" a="1"/>
  <c r="J236" i="535" s="1"/>
  <c r="H236" i="535"/>
  <c r="W235" i="535"/>
  <c r="V235" i="535"/>
  <c r="N235" i="535"/>
  <c r="K235" i="535" a="1"/>
  <c r="K235" i="535" s="1"/>
  <c r="M235" i="535" s="1"/>
  <c r="J235" i="535" a="1"/>
  <c r="J235" i="535" s="1"/>
  <c r="H235" i="535"/>
  <c r="V234" i="535"/>
  <c r="W234" i="535" s="1"/>
  <c r="N234" i="535"/>
  <c r="K234" i="535" a="1"/>
  <c r="K234" i="535" s="1"/>
  <c r="M234" i="535" s="1"/>
  <c r="J234" i="535" a="1"/>
  <c r="J234" i="535" s="1"/>
  <c r="H234" i="535"/>
  <c r="V233" i="535"/>
  <c r="W233" i="535" s="1"/>
  <c r="N233" i="535"/>
  <c r="K233" i="535"/>
  <c r="M233" i="535" s="1"/>
  <c r="K233" i="535" a="1"/>
  <c r="J233" i="535"/>
  <c r="J233" i="535" a="1"/>
  <c r="H233" i="535"/>
  <c r="V232" i="535"/>
  <c r="W232" i="535" s="1"/>
  <c r="N232" i="535"/>
  <c r="K232" i="535" a="1"/>
  <c r="K232" i="535" s="1"/>
  <c r="M232" i="535" s="1"/>
  <c r="J232" i="535" a="1"/>
  <c r="J232" i="535" s="1"/>
  <c r="H232" i="535"/>
  <c r="W231" i="535"/>
  <c r="V231" i="535"/>
  <c r="N231" i="535"/>
  <c r="K231" i="535" a="1"/>
  <c r="K231" i="535" s="1"/>
  <c r="M231" i="535" s="1"/>
  <c r="J231" i="535" a="1"/>
  <c r="J231" i="535" s="1"/>
  <c r="H231" i="535"/>
  <c r="V230" i="535"/>
  <c r="W230" i="535" s="1"/>
  <c r="N230" i="535"/>
  <c r="K230" i="535" a="1"/>
  <c r="K230" i="535" s="1"/>
  <c r="M230" i="535" s="1"/>
  <c r="J230" i="535" a="1"/>
  <c r="J230" i="535" s="1"/>
  <c r="H230" i="535"/>
  <c r="V229" i="535"/>
  <c r="W229" i="535" s="1"/>
  <c r="N229" i="535"/>
  <c r="K229" i="535"/>
  <c r="M229" i="535" s="1"/>
  <c r="K229" i="535" a="1"/>
  <c r="J229" i="535"/>
  <c r="J229" i="535" a="1"/>
  <c r="H229" i="535"/>
  <c r="V228" i="535"/>
  <c r="W228" i="535" s="1"/>
  <c r="N228" i="535"/>
  <c r="K228" i="535" a="1"/>
  <c r="K228" i="535" s="1"/>
  <c r="M228" i="535" s="1"/>
  <c r="J228" i="535" a="1"/>
  <c r="J228" i="535" s="1"/>
  <c r="H228" i="535"/>
  <c r="W227" i="535"/>
  <c r="V227" i="535"/>
  <c r="N227" i="535"/>
  <c r="K227" i="535" a="1"/>
  <c r="K227" i="535" s="1"/>
  <c r="M227" i="535" s="1"/>
  <c r="J227" i="535" a="1"/>
  <c r="J227" i="535" s="1"/>
  <c r="H227" i="535"/>
  <c r="N226" i="535"/>
  <c r="K226" i="535" a="1"/>
  <c r="K226" i="535" s="1"/>
  <c r="M226" i="535" s="1"/>
  <c r="H226" i="535"/>
  <c r="N225" i="535"/>
  <c r="K225" i="535"/>
  <c r="M225" i="535" s="1"/>
  <c r="K225" i="535" a="1"/>
  <c r="H225" i="535"/>
  <c r="N224" i="535"/>
  <c r="K224" i="535" a="1"/>
  <c r="K224" i="535" s="1"/>
  <c r="M224" i="535" s="1"/>
  <c r="H224" i="535"/>
  <c r="N223" i="535"/>
  <c r="K223" i="535" a="1"/>
  <c r="K223" i="535" s="1"/>
  <c r="M223" i="535" s="1"/>
  <c r="H223" i="535"/>
  <c r="N222" i="535"/>
  <c r="K222" i="535" a="1"/>
  <c r="K222" i="535" s="1"/>
  <c r="M222" i="535" s="1"/>
  <c r="H222" i="535"/>
  <c r="N221" i="535"/>
  <c r="K221" i="535"/>
  <c r="M221" i="535" s="1"/>
  <c r="K221" i="535" a="1"/>
  <c r="H221" i="535"/>
  <c r="N220" i="535"/>
  <c r="K220" i="535" a="1"/>
  <c r="K220" i="535" s="1"/>
  <c r="M220" i="535" s="1"/>
  <c r="H220" i="535"/>
  <c r="N219" i="535"/>
  <c r="K219" i="535" a="1"/>
  <c r="K219" i="535" s="1"/>
  <c r="M219" i="535" s="1"/>
  <c r="H219" i="535"/>
  <c r="V218" i="535"/>
  <c r="W218" i="535" s="1"/>
  <c r="N218" i="535"/>
  <c r="K218" i="535" a="1"/>
  <c r="K218" i="535" s="1"/>
  <c r="M218" i="535" s="1"/>
  <c r="J218" i="535" a="1"/>
  <c r="J218" i="535" s="1"/>
  <c r="H218" i="535"/>
  <c r="V217" i="535"/>
  <c r="W217" i="535" s="1"/>
  <c r="N217" i="535"/>
  <c r="K217" i="535" a="1"/>
  <c r="K217" i="535" s="1"/>
  <c r="M217" i="535" s="1"/>
  <c r="J217" i="535" a="1"/>
  <c r="J217" i="535" s="1"/>
  <c r="H217" i="535"/>
  <c r="V216" i="535"/>
  <c r="W216" i="535" s="1"/>
  <c r="N216" i="535"/>
  <c r="K216" i="535" a="1"/>
  <c r="K216" i="535" s="1"/>
  <c r="M216" i="535" s="1"/>
  <c r="J216" i="535" a="1"/>
  <c r="J216" i="535" s="1"/>
  <c r="H216" i="535"/>
  <c r="V215" i="535"/>
  <c r="W215" i="535" s="1"/>
  <c r="N215" i="535"/>
  <c r="K215" i="535"/>
  <c r="M215" i="535" s="1"/>
  <c r="K215" i="535" a="1"/>
  <c r="J215" i="535"/>
  <c r="J215" i="535" a="1"/>
  <c r="H215" i="535"/>
  <c r="V214" i="535"/>
  <c r="W214" i="535" s="1"/>
  <c r="N214" i="535"/>
  <c r="K214" i="535" a="1"/>
  <c r="K214" i="535" s="1"/>
  <c r="M214" i="535" s="1"/>
  <c r="J214" i="535" a="1"/>
  <c r="J214" i="535" s="1"/>
  <c r="H214" i="535"/>
  <c r="W213" i="535"/>
  <c r="V213" i="535"/>
  <c r="N213" i="535"/>
  <c r="K213" i="535" a="1"/>
  <c r="K213" i="535" s="1"/>
  <c r="M213" i="535" s="1"/>
  <c r="J213" i="535" a="1"/>
  <c r="J213" i="535" s="1"/>
  <c r="H213" i="535"/>
  <c r="V212" i="535"/>
  <c r="W212" i="535" s="1"/>
  <c r="N212" i="535"/>
  <c r="K212" i="535" a="1"/>
  <c r="K212" i="535" s="1"/>
  <c r="M212" i="535" s="1"/>
  <c r="J212" i="535" a="1"/>
  <c r="J212" i="535" s="1"/>
  <c r="H212" i="535"/>
  <c r="V211" i="535"/>
  <c r="W211" i="535" s="1"/>
  <c r="N211" i="535"/>
  <c r="K211" i="535" a="1"/>
  <c r="K211" i="535" s="1"/>
  <c r="M211" i="535" s="1"/>
  <c r="J211" i="535" a="1"/>
  <c r="J211" i="535" s="1"/>
  <c r="H211" i="535"/>
  <c r="V210" i="535"/>
  <c r="W210" i="535" s="1"/>
  <c r="N210" i="535"/>
  <c r="K210" i="535" a="1"/>
  <c r="K210" i="535" s="1"/>
  <c r="M210" i="535" s="1"/>
  <c r="J210" i="535" a="1"/>
  <c r="J210" i="535" s="1"/>
  <c r="H210" i="535"/>
  <c r="V209" i="535"/>
  <c r="W209" i="535" s="1"/>
  <c r="N209" i="535"/>
  <c r="K209" i="535"/>
  <c r="M209" i="535" s="1"/>
  <c r="K209" i="535" a="1"/>
  <c r="J209" i="535"/>
  <c r="J209" i="535" a="1"/>
  <c r="H209" i="535"/>
  <c r="V208" i="535"/>
  <c r="W208" i="535" s="1"/>
  <c r="N208" i="535"/>
  <c r="K208" i="535" a="1"/>
  <c r="K208" i="535" s="1"/>
  <c r="M208" i="535" s="1"/>
  <c r="J208" i="535" a="1"/>
  <c r="J208" i="535" s="1"/>
  <c r="H208" i="535"/>
  <c r="W207" i="535"/>
  <c r="V207" i="535"/>
  <c r="N207" i="535"/>
  <c r="K207" i="535"/>
  <c r="M207" i="535" s="1"/>
  <c r="K207" i="535" a="1"/>
  <c r="J207" i="535" a="1"/>
  <c r="J207" i="535" s="1"/>
  <c r="H207" i="535"/>
  <c r="H206" i="535"/>
  <c r="H205" i="535"/>
  <c r="H204" i="535"/>
  <c r="W203" i="535"/>
  <c r="V203" i="535"/>
  <c r="N203" i="535"/>
  <c r="K203" i="535" a="1"/>
  <c r="K203" i="535" s="1"/>
  <c r="M203" i="535" s="1"/>
  <c r="J203" i="535" a="1"/>
  <c r="J203" i="535" s="1"/>
  <c r="H203" i="535"/>
  <c r="V202" i="535"/>
  <c r="W202" i="535" s="1"/>
  <c r="N202" i="535"/>
  <c r="K202" i="535" a="1"/>
  <c r="K202" i="535" s="1"/>
  <c r="M202" i="535" s="1"/>
  <c r="J202" i="535" a="1"/>
  <c r="J202" i="535" s="1"/>
  <c r="H202" i="535"/>
  <c r="W201" i="535"/>
  <c r="V201" i="535"/>
  <c r="N201" i="535"/>
  <c r="K201" i="535"/>
  <c r="M201" i="535" s="1"/>
  <c r="K201" i="535" a="1"/>
  <c r="J201" i="535" a="1"/>
  <c r="J201" i="535" s="1"/>
  <c r="H201" i="535"/>
  <c r="H200" i="535"/>
  <c r="V199" i="535"/>
  <c r="V256" i="535" s="1"/>
  <c r="W256" i="535" s="1"/>
  <c r="N199" i="535"/>
  <c r="N256" i="535" s="1"/>
  <c r="K199" i="535"/>
  <c r="K199" i="535" a="1"/>
  <c r="J199" i="535"/>
  <c r="J199" i="535" a="1"/>
  <c r="H199" i="535"/>
  <c r="AA198" i="535"/>
  <c r="Z198" i="535"/>
  <c r="Z333" i="535" s="1"/>
  <c r="Y198" i="535"/>
  <c r="X198" i="535"/>
  <c r="X333" i="535" s="1"/>
  <c r="U198" i="535"/>
  <c r="T198" i="535"/>
  <c r="T333" i="535" s="1"/>
  <c r="S198" i="535"/>
  <c r="R198" i="535"/>
  <c r="R333" i="535" s="1"/>
  <c r="Q198" i="535"/>
  <c r="P198" i="535"/>
  <c r="O198" i="535"/>
  <c r="I198" i="535"/>
  <c r="I333" i="535" s="1"/>
  <c r="B341" i="535" s="1"/>
  <c r="G198" i="535"/>
  <c r="V197" i="535"/>
  <c r="W197" i="535" s="1"/>
  <c r="N197" i="535"/>
  <c r="K197" i="535" a="1"/>
  <c r="K197" i="535" s="1"/>
  <c r="M197" i="535" s="1"/>
  <c r="J197" i="535" a="1"/>
  <c r="J197" i="535" s="1"/>
  <c r="H197" i="535"/>
  <c r="V196" i="535"/>
  <c r="W196" i="535" s="1"/>
  <c r="N196" i="535"/>
  <c r="K196" i="535"/>
  <c r="M196" i="535" s="1"/>
  <c r="K196" i="535" a="1"/>
  <c r="J196" i="535" a="1"/>
  <c r="J196" i="535" s="1"/>
  <c r="H196" i="535"/>
  <c r="K195" i="535" a="1"/>
  <c r="K195" i="535" s="1"/>
  <c r="M195" i="535" s="1"/>
  <c r="H195" i="535"/>
  <c r="K194" i="535" a="1"/>
  <c r="K194" i="535" s="1"/>
  <c r="M194" i="535" s="1"/>
  <c r="H194" i="535"/>
  <c r="K193" i="535" a="1"/>
  <c r="K193" i="535" s="1"/>
  <c r="M193" i="535" s="1"/>
  <c r="H193" i="535"/>
  <c r="K192" i="535" a="1"/>
  <c r="K192" i="535" s="1"/>
  <c r="M192" i="535" s="1"/>
  <c r="H192" i="535"/>
  <c r="W191" i="535"/>
  <c r="V191" i="535"/>
  <c r="N191" i="535"/>
  <c r="K191" i="535" a="1"/>
  <c r="K191" i="535" s="1"/>
  <c r="M191" i="535" s="1"/>
  <c r="J191" i="535" a="1"/>
  <c r="J191" i="535" s="1"/>
  <c r="H191" i="535"/>
  <c r="V190" i="535"/>
  <c r="W190" i="535" s="1"/>
  <c r="N190" i="535"/>
  <c r="K190" i="535" a="1"/>
  <c r="K190" i="535" s="1"/>
  <c r="M190" i="535" s="1"/>
  <c r="J190" i="535" a="1"/>
  <c r="J190" i="535" s="1"/>
  <c r="H190" i="535"/>
  <c r="V189" i="535"/>
  <c r="W189" i="535" s="1"/>
  <c r="N189" i="535"/>
  <c r="K189" i="535"/>
  <c r="M189" i="535" s="1"/>
  <c r="K189" i="535" a="1"/>
  <c r="J189" i="535"/>
  <c r="J189" i="535" a="1"/>
  <c r="H189" i="535"/>
  <c r="N188" i="535"/>
  <c r="K188" i="535" a="1"/>
  <c r="K188" i="535" s="1"/>
  <c r="M188" i="535" s="1"/>
  <c r="J188" i="535" a="1"/>
  <c r="J188" i="535" s="1"/>
  <c r="H188" i="535"/>
  <c r="N187" i="535"/>
  <c r="K187" i="535"/>
  <c r="M187" i="535" s="1"/>
  <c r="K187" i="535" a="1"/>
  <c r="J187" i="535" a="1"/>
  <c r="J187" i="535" s="1"/>
  <c r="H187" i="535"/>
  <c r="W186" i="535"/>
  <c r="V186" i="535"/>
  <c r="N186" i="535"/>
  <c r="K186" i="535" a="1"/>
  <c r="K186" i="535" s="1"/>
  <c r="M186" i="535" s="1"/>
  <c r="J186" i="535" a="1"/>
  <c r="J186" i="535" s="1"/>
  <c r="H186" i="535"/>
  <c r="W185" i="535"/>
  <c r="V185" i="535"/>
  <c r="N185" i="535"/>
  <c r="K185" i="535" a="1"/>
  <c r="K185" i="535" s="1"/>
  <c r="M185" i="535" s="1"/>
  <c r="J185" i="535" a="1"/>
  <c r="J185" i="535" s="1"/>
  <c r="H185" i="535"/>
  <c r="N184" i="535"/>
  <c r="K184" i="535" a="1"/>
  <c r="K184" i="535" s="1"/>
  <c r="M184" i="535" s="1"/>
  <c r="H184" i="535"/>
  <c r="N183" i="535"/>
  <c r="K183" i="535" a="1"/>
  <c r="K183" i="535" s="1"/>
  <c r="M183" i="535" s="1"/>
  <c r="H183" i="535"/>
  <c r="V182" i="535"/>
  <c r="W182" i="535" s="1"/>
  <c r="N182" i="535"/>
  <c r="K182" i="535" a="1"/>
  <c r="K182" i="535" s="1"/>
  <c r="M182" i="535" s="1"/>
  <c r="J182" i="535" a="1"/>
  <c r="J182" i="535" s="1"/>
  <c r="H182" i="535"/>
  <c r="V181" i="535"/>
  <c r="W181" i="535" s="1"/>
  <c r="N181" i="535"/>
  <c r="K181" i="535" a="1"/>
  <c r="K181" i="535" s="1"/>
  <c r="M181" i="535" s="1"/>
  <c r="J181" i="535" a="1"/>
  <c r="J181" i="535" s="1"/>
  <c r="H181" i="535"/>
  <c r="V180" i="535"/>
  <c r="W180" i="535" s="1"/>
  <c r="N180" i="535"/>
  <c r="K180" i="535" a="1"/>
  <c r="K180" i="535" s="1"/>
  <c r="M180" i="535" s="1"/>
  <c r="J180" i="535" a="1"/>
  <c r="J180" i="535" s="1"/>
  <c r="H180" i="535"/>
  <c r="V179" i="535"/>
  <c r="W179" i="535" s="1"/>
  <c r="N179" i="535"/>
  <c r="K179" i="535"/>
  <c r="M179" i="535" s="1"/>
  <c r="K179" i="535" a="1"/>
  <c r="J179" i="535"/>
  <c r="J179" i="535" a="1"/>
  <c r="H179" i="535"/>
  <c r="V178" i="535"/>
  <c r="W178" i="535" s="1"/>
  <c r="N178" i="535"/>
  <c r="K178" i="535" a="1"/>
  <c r="K178" i="535" s="1"/>
  <c r="M178" i="535" s="1"/>
  <c r="J178" i="535" a="1"/>
  <c r="J178" i="535" s="1"/>
  <c r="H178" i="535"/>
  <c r="V177" i="535"/>
  <c r="V198" i="535" s="1"/>
  <c r="N177" i="535"/>
  <c r="N198" i="535" s="1"/>
  <c r="K177" i="535" a="1"/>
  <c r="K177" i="535" s="1"/>
  <c r="J177" i="535" a="1"/>
  <c r="J177" i="535" s="1"/>
  <c r="H177" i="535"/>
  <c r="H198" i="535" s="1"/>
  <c r="X170" i="535"/>
  <c r="Q526" i="535" s="1"/>
  <c r="X169" i="535"/>
  <c r="Q525" i="535" s="1"/>
  <c r="G169" i="535"/>
  <c r="C169" i="535"/>
  <c r="X168" i="535"/>
  <c r="Q524" i="535" s="1"/>
  <c r="I168" i="535"/>
  <c r="E168" i="535"/>
  <c r="K168" i="535" s="1"/>
  <c r="M168" i="535" s="1"/>
  <c r="I167" i="535"/>
  <c r="E167" i="535"/>
  <c r="K167" i="535" s="1"/>
  <c r="M167" i="535" s="1"/>
  <c r="I166" i="535"/>
  <c r="E166" i="535"/>
  <c r="K166" i="535" s="1"/>
  <c r="M166" i="535" s="1"/>
  <c r="X165" i="535"/>
  <c r="Q521" i="535" s="1"/>
  <c r="I165" i="535"/>
  <c r="I169" i="535" s="1"/>
  <c r="E165" i="535"/>
  <c r="E169" i="535" s="1"/>
  <c r="AA162" i="535"/>
  <c r="Z162" i="535"/>
  <c r="Y162" i="535"/>
  <c r="X162" i="535"/>
  <c r="U162" i="535"/>
  <c r="T162" i="535"/>
  <c r="S162" i="535"/>
  <c r="R162" i="535"/>
  <c r="Q162" i="535"/>
  <c r="P162" i="535"/>
  <c r="O162" i="535"/>
  <c r="R170" i="535" s="1"/>
  <c r="I162" i="535"/>
  <c r="G162" i="535"/>
  <c r="C526" i="535" s="1"/>
  <c r="H161" i="535"/>
  <c r="H160" i="535"/>
  <c r="H159" i="535"/>
  <c r="V158" i="535"/>
  <c r="W158" i="535" s="1"/>
  <c r="N158" i="535"/>
  <c r="K158" i="535"/>
  <c r="K158" i="535" a="1"/>
  <c r="J158" i="535" a="1"/>
  <c r="J158" i="535" s="1"/>
  <c r="H158" i="535"/>
  <c r="D158" i="535"/>
  <c r="V157" i="535"/>
  <c r="W157" i="535" s="1"/>
  <c r="N157" i="535"/>
  <c r="K157" i="535" a="1"/>
  <c r="K157" i="535" s="1"/>
  <c r="M157" i="535" s="1"/>
  <c r="J157" i="535" a="1"/>
  <c r="J157" i="535" s="1"/>
  <c r="H157" i="535"/>
  <c r="H156" i="535"/>
  <c r="H155" i="535"/>
  <c r="V154" i="535"/>
  <c r="W154" i="535" s="1"/>
  <c r="N154" i="535"/>
  <c r="K154" i="535" a="1"/>
  <c r="K154" i="535" s="1"/>
  <c r="M154" i="535" s="1"/>
  <c r="J154" i="535" a="1"/>
  <c r="J154" i="535" s="1"/>
  <c r="H154" i="535"/>
  <c r="V153" i="535"/>
  <c r="W153" i="535" s="1"/>
  <c r="N153" i="535"/>
  <c r="K153" i="535"/>
  <c r="M153" i="535" s="1"/>
  <c r="K153" i="535" a="1"/>
  <c r="J153" i="535"/>
  <c r="J153" i="535" a="1"/>
  <c r="H153" i="535"/>
  <c r="H152" i="535"/>
  <c r="W151" i="535"/>
  <c r="V151" i="535"/>
  <c r="N151" i="535"/>
  <c r="K151" i="535" a="1"/>
  <c r="K151" i="535" s="1"/>
  <c r="M151" i="535" s="1"/>
  <c r="J151" i="535" a="1"/>
  <c r="J151" i="535" s="1"/>
  <c r="H151" i="535"/>
  <c r="V150" i="535"/>
  <c r="W150" i="535" s="1"/>
  <c r="N150" i="535"/>
  <c r="K150" i="535" a="1"/>
  <c r="K150" i="535" s="1"/>
  <c r="M150" i="535" s="1"/>
  <c r="J150" i="535" a="1"/>
  <c r="J150" i="535" s="1"/>
  <c r="H150" i="535"/>
  <c r="V149" i="535"/>
  <c r="W149" i="535" s="1"/>
  <c r="N149" i="535"/>
  <c r="K149" i="535"/>
  <c r="M149" i="535" s="1"/>
  <c r="K149" i="535" a="1"/>
  <c r="J149" i="535"/>
  <c r="J149" i="535" a="1"/>
  <c r="H149" i="535"/>
  <c r="V148" i="535"/>
  <c r="W148" i="535" s="1"/>
  <c r="N148" i="535"/>
  <c r="N162" i="535" s="1"/>
  <c r="K148" i="535" a="1"/>
  <c r="K148" i="535" s="1"/>
  <c r="J148" i="535" a="1"/>
  <c r="J148" i="535" s="1"/>
  <c r="H148" i="535"/>
  <c r="H162" i="535" s="1"/>
  <c r="AA147" i="535"/>
  <c r="Z147" i="535"/>
  <c r="Y147" i="535"/>
  <c r="X147" i="535"/>
  <c r="U147" i="535"/>
  <c r="T147" i="535"/>
  <c r="S147" i="535"/>
  <c r="Q147" i="535"/>
  <c r="P147" i="535"/>
  <c r="O147" i="535"/>
  <c r="I147" i="535"/>
  <c r="G147" i="535"/>
  <c r="C525" i="535" s="1"/>
  <c r="V146" i="535"/>
  <c r="W146" i="535" s="1"/>
  <c r="N146" i="535"/>
  <c r="K146" i="535"/>
  <c r="M146" i="535" s="1"/>
  <c r="K146" i="535" a="1"/>
  <c r="J146" i="535" a="1"/>
  <c r="J146" i="535" s="1"/>
  <c r="H146" i="535"/>
  <c r="K145" i="535" a="1"/>
  <c r="K145" i="535" s="1"/>
  <c r="H145" i="535"/>
  <c r="K144" i="535" a="1"/>
  <c r="K144" i="535" s="1"/>
  <c r="H144" i="535"/>
  <c r="K143" i="535" a="1"/>
  <c r="K143" i="535" s="1"/>
  <c r="H143" i="535"/>
  <c r="W142" i="535"/>
  <c r="V142" i="535"/>
  <c r="N142" i="535"/>
  <c r="K142" i="535" a="1"/>
  <c r="K142" i="535" s="1"/>
  <c r="M142" i="535" s="1"/>
  <c r="J142" i="535" a="1"/>
  <c r="J142" i="535" s="1"/>
  <c r="H142" i="535"/>
  <c r="V141" i="535"/>
  <c r="W141" i="535" s="1"/>
  <c r="N141" i="535"/>
  <c r="K141" i="535"/>
  <c r="M141" i="535" s="1"/>
  <c r="K141" i="535" a="1"/>
  <c r="J141" i="535" a="1"/>
  <c r="J141" i="535" s="1"/>
  <c r="H141" i="535"/>
  <c r="W140" i="535"/>
  <c r="V140" i="535"/>
  <c r="N140" i="535"/>
  <c r="K140" i="535" a="1"/>
  <c r="K140" i="535" s="1"/>
  <c r="M140" i="535" s="1"/>
  <c r="J140" i="535" a="1"/>
  <c r="J140" i="535" s="1"/>
  <c r="H140" i="535"/>
  <c r="V139" i="535"/>
  <c r="W139" i="535" s="1"/>
  <c r="N139" i="535"/>
  <c r="K139" i="535"/>
  <c r="M139" i="535" s="1"/>
  <c r="K139" i="535" a="1"/>
  <c r="J139" i="535" a="1"/>
  <c r="J139" i="535" s="1"/>
  <c r="H139" i="535"/>
  <c r="W138" i="535"/>
  <c r="V138" i="535"/>
  <c r="N138" i="535"/>
  <c r="N147" i="535" s="1"/>
  <c r="K138" i="535" a="1"/>
  <c r="K138" i="535" s="1"/>
  <c r="M138" i="535" s="1"/>
  <c r="M147" i="535" s="1"/>
  <c r="J138" i="535" a="1"/>
  <c r="J138" i="535" s="1"/>
  <c r="H138" i="535"/>
  <c r="H147" i="535" s="1"/>
  <c r="AA137" i="535"/>
  <c r="Z137" i="535"/>
  <c r="Y137" i="535"/>
  <c r="X137" i="535"/>
  <c r="U137" i="535"/>
  <c r="T137" i="535"/>
  <c r="S137" i="535"/>
  <c r="Q137" i="535"/>
  <c r="P137" i="535"/>
  <c r="O137" i="535"/>
  <c r="R168" i="535" s="1"/>
  <c r="I137" i="535"/>
  <c r="G137" i="535"/>
  <c r="C524" i="535" s="1"/>
  <c r="V136" i="535"/>
  <c r="W136" i="535" s="1"/>
  <c r="N136" i="535"/>
  <c r="K136" i="535" a="1"/>
  <c r="K136" i="535" s="1"/>
  <c r="M136" i="535" s="1"/>
  <c r="J136" i="535" a="1"/>
  <c r="J136" i="535" s="1"/>
  <c r="H136" i="535"/>
  <c r="W135" i="535"/>
  <c r="V135" i="535"/>
  <c r="N135" i="535"/>
  <c r="K135" i="535" a="1"/>
  <c r="K135" i="535" s="1"/>
  <c r="M135" i="535" s="1"/>
  <c r="J135" i="535" a="1"/>
  <c r="J135" i="535" s="1"/>
  <c r="H135" i="535"/>
  <c r="V134" i="535"/>
  <c r="W134" i="535" s="1"/>
  <c r="N134" i="535"/>
  <c r="K134" i="535" a="1"/>
  <c r="K134" i="535" s="1"/>
  <c r="M134" i="535" s="1"/>
  <c r="J134" i="535" a="1"/>
  <c r="J134" i="535" s="1"/>
  <c r="H134" i="535"/>
  <c r="V133" i="535"/>
  <c r="W133" i="535" s="1"/>
  <c r="N133" i="535"/>
  <c r="K133" i="535"/>
  <c r="M133" i="535" s="1"/>
  <c r="K133" i="535" a="1"/>
  <c r="J133" i="535"/>
  <c r="J133" i="535" a="1"/>
  <c r="H133" i="535"/>
  <c r="V132" i="535"/>
  <c r="W132" i="535" s="1"/>
  <c r="N132" i="535"/>
  <c r="K132" i="535" a="1"/>
  <c r="K132" i="535" s="1"/>
  <c r="M132" i="535" s="1"/>
  <c r="J132" i="535" a="1"/>
  <c r="J132" i="535" s="1"/>
  <c r="H132" i="535"/>
  <c r="W131" i="535"/>
  <c r="V131" i="535"/>
  <c r="N131" i="535"/>
  <c r="K131" i="535" a="1"/>
  <c r="K131" i="535" s="1"/>
  <c r="M131" i="535" s="1"/>
  <c r="J131" i="535" a="1"/>
  <c r="J131" i="535" s="1"/>
  <c r="H131" i="535"/>
  <c r="V130" i="535"/>
  <c r="W130" i="535" s="1"/>
  <c r="N130" i="535"/>
  <c r="K130" i="535" a="1"/>
  <c r="K130" i="535" s="1"/>
  <c r="M130" i="535" s="1"/>
  <c r="J130" i="535" a="1"/>
  <c r="J130" i="535" s="1"/>
  <c r="H130" i="535"/>
  <c r="V129" i="535"/>
  <c r="W129" i="535" s="1"/>
  <c r="N129" i="535"/>
  <c r="K129" i="535"/>
  <c r="M129" i="535" s="1"/>
  <c r="K129" i="535" a="1"/>
  <c r="J129" i="535"/>
  <c r="J129" i="535" a="1"/>
  <c r="H129" i="535"/>
  <c r="V128" i="535"/>
  <c r="W128" i="535" s="1"/>
  <c r="N128" i="535"/>
  <c r="K128" i="535" a="1"/>
  <c r="K128" i="535" s="1"/>
  <c r="M128" i="535" s="1"/>
  <c r="J128" i="535" a="1"/>
  <c r="J128" i="535" s="1"/>
  <c r="H128" i="535"/>
  <c r="W127" i="535"/>
  <c r="V127" i="535"/>
  <c r="N127" i="535"/>
  <c r="K127" i="535" a="1"/>
  <c r="K127" i="535" s="1"/>
  <c r="M127" i="535" s="1"/>
  <c r="J127" i="535" a="1"/>
  <c r="J127" i="535" s="1"/>
  <c r="H127" i="535"/>
  <c r="V126" i="535"/>
  <c r="W126" i="535" s="1"/>
  <c r="N126" i="535"/>
  <c r="K126" i="535" a="1"/>
  <c r="K126" i="535" s="1"/>
  <c r="M126" i="535" s="1"/>
  <c r="J126" i="535" a="1"/>
  <c r="J126" i="535" s="1"/>
  <c r="H126" i="535"/>
  <c r="V125" i="535"/>
  <c r="W125" i="535" s="1"/>
  <c r="N125" i="535"/>
  <c r="K125" i="535"/>
  <c r="M125" i="535" s="1"/>
  <c r="K125" i="535" a="1"/>
  <c r="J125" i="535"/>
  <c r="J125" i="535" a="1"/>
  <c r="H125" i="535"/>
  <c r="V124" i="535"/>
  <c r="W124" i="535" s="1"/>
  <c r="N124" i="535"/>
  <c r="K124" i="535" a="1"/>
  <c r="K124" i="535" s="1"/>
  <c r="M124" i="535" s="1"/>
  <c r="J124" i="535" a="1"/>
  <c r="J124" i="535" s="1"/>
  <c r="H124" i="535"/>
  <c r="W123" i="535"/>
  <c r="V123" i="535"/>
  <c r="N123" i="535"/>
  <c r="K123" i="535" a="1"/>
  <c r="K123" i="535" s="1"/>
  <c r="M123" i="535" s="1"/>
  <c r="J123" i="535" a="1"/>
  <c r="J123" i="535" s="1"/>
  <c r="H123" i="535"/>
  <c r="V122" i="535"/>
  <c r="W122" i="535" s="1"/>
  <c r="N122" i="535"/>
  <c r="K122" i="535" a="1"/>
  <c r="K122" i="535" s="1"/>
  <c r="J122" i="535" a="1"/>
  <c r="J122" i="535" s="1"/>
  <c r="H122" i="535"/>
  <c r="H137" i="535" s="1"/>
  <c r="AA121" i="535"/>
  <c r="Z121" i="535"/>
  <c r="Y121" i="535"/>
  <c r="X121" i="535"/>
  <c r="U121" i="535"/>
  <c r="T121" i="535"/>
  <c r="S121" i="535"/>
  <c r="R121" i="535"/>
  <c r="Q121" i="535"/>
  <c r="P121" i="535"/>
  <c r="O121" i="535"/>
  <c r="R167" i="535" s="1"/>
  <c r="I121" i="535"/>
  <c r="G121" i="535"/>
  <c r="C523" i="535" s="1"/>
  <c r="V120" i="535"/>
  <c r="W120" i="535" s="1"/>
  <c r="N120" i="535"/>
  <c r="K120" i="535" a="1"/>
  <c r="K120" i="535" s="1"/>
  <c r="M120" i="535" s="1"/>
  <c r="J120" i="535" a="1"/>
  <c r="J120" i="535" s="1"/>
  <c r="H120" i="535"/>
  <c r="V119" i="535"/>
  <c r="W119" i="535" s="1"/>
  <c r="N119" i="535"/>
  <c r="K119" i="535"/>
  <c r="M119" i="535" s="1"/>
  <c r="K119" i="535" a="1"/>
  <c r="J119" i="535" a="1"/>
  <c r="J119" i="535" s="1"/>
  <c r="H119" i="535"/>
  <c r="V118" i="535"/>
  <c r="W118" i="535" s="1"/>
  <c r="N118" i="535"/>
  <c r="K118" i="535" a="1"/>
  <c r="K118" i="535" s="1"/>
  <c r="M118" i="535" s="1"/>
  <c r="J118" i="535" a="1"/>
  <c r="J118" i="535" s="1"/>
  <c r="H118" i="535"/>
  <c r="K117" i="535" a="1"/>
  <c r="K117" i="535" s="1"/>
  <c r="H117" i="535"/>
  <c r="K116" i="535" a="1"/>
  <c r="K116" i="535" s="1"/>
  <c r="H116" i="535"/>
  <c r="K115" i="535"/>
  <c r="K115" i="535" a="1"/>
  <c r="H115" i="535"/>
  <c r="V114" i="535"/>
  <c r="W114" i="535" s="1"/>
  <c r="N114" i="535"/>
  <c r="K114" i="535" a="1"/>
  <c r="K114" i="535" s="1"/>
  <c r="M114" i="535" s="1"/>
  <c r="J114" i="535" a="1"/>
  <c r="J114" i="535" s="1"/>
  <c r="H114" i="535"/>
  <c r="V113" i="535"/>
  <c r="W113" i="535" s="1"/>
  <c r="N113" i="535"/>
  <c r="K113" i="535" a="1"/>
  <c r="K113" i="535" s="1"/>
  <c r="M113" i="535" s="1"/>
  <c r="J113" i="535" a="1"/>
  <c r="J113" i="535" s="1"/>
  <c r="H113" i="535"/>
  <c r="N112" i="535"/>
  <c r="K112" i="535" a="1"/>
  <c r="K112" i="535" s="1"/>
  <c r="M112" i="535" s="1"/>
  <c r="H112" i="535"/>
  <c r="N111" i="535"/>
  <c r="K111" i="535" a="1"/>
  <c r="K111" i="535" s="1"/>
  <c r="M111" i="535" s="1"/>
  <c r="H111" i="535"/>
  <c r="N110" i="535"/>
  <c r="K110" i="535" a="1"/>
  <c r="K110" i="535" s="1"/>
  <c r="M110" i="535" s="1"/>
  <c r="H110" i="535"/>
  <c r="N109" i="535"/>
  <c r="K109" i="535" a="1"/>
  <c r="K109" i="535" s="1"/>
  <c r="M109" i="535" s="1"/>
  <c r="H109" i="535"/>
  <c r="N108" i="535"/>
  <c r="K108" i="535" a="1"/>
  <c r="K108" i="535" s="1"/>
  <c r="M108" i="535" s="1"/>
  <c r="H108" i="535"/>
  <c r="N107" i="535"/>
  <c r="K107" i="535" a="1"/>
  <c r="K107" i="535" s="1"/>
  <c r="M107" i="535" s="1"/>
  <c r="H107" i="535"/>
  <c r="V106" i="535"/>
  <c r="W106" i="535" s="1"/>
  <c r="N106" i="535"/>
  <c r="K106" i="535" a="1"/>
  <c r="K106" i="535" s="1"/>
  <c r="M106" i="535" s="1"/>
  <c r="J106" i="535" a="1"/>
  <c r="J106" i="535" s="1"/>
  <c r="H106" i="535"/>
  <c r="V105" i="535"/>
  <c r="W105" i="535" s="1"/>
  <c r="N105" i="535"/>
  <c r="K105" i="535"/>
  <c r="M105" i="535" s="1"/>
  <c r="K105" i="535" a="1"/>
  <c r="J105" i="535"/>
  <c r="J105" i="535" a="1"/>
  <c r="H105" i="535"/>
  <c r="V104" i="535"/>
  <c r="W104" i="535" s="1"/>
  <c r="N104" i="535"/>
  <c r="K104" i="535" a="1"/>
  <c r="K104" i="535" s="1"/>
  <c r="M104" i="535" s="1"/>
  <c r="J104" i="535" a="1"/>
  <c r="J104" i="535" s="1"/>
  <c r="H104" i="535"/>
  <c r="V103" i="535"/>
  <c r="W103" i="535" s="1"/>
  <c r="N103" i="535"/>
  <c r="K103" i="535" a="1"/>
  <c r="K103" i="535" s="1"/>
  <c r="M103" i="535" s="1"/>
  <c r="J103" i="535" a="1"/>
  <c r="J103" i="535" s="1"/>
  <c r="H103" i="535"/>
  <c r="V102" i="535"/>
  <c r="W102" i="535" s="1"/>
  <c r="N102" i="535"/>
  <c r="K102" i="535" a="1"/>
  <c r="K102" i="535" s="1"/>
  <c r="M102" i="535" s="1"/>
  <c r="J102" i="535" a="1"/>
  <c r="J102" i="535" s="1"/>
  <c r="H102" i="535"/>
  <c r="V101" i="535"/>
  <c r="W101" i="535" s="1"/>
  <c r="N101" i="535"/>
  <c r="K101" i="535"/>
  <c r="M101" i="535" s="1"/>
  <c r="K101" i="535" a="1"/>
  <c r="J101" i="535"/>
  <c r="J101" i="535" a="1"/>
  <c r="H101" i="535"/>
  <c r="V100" i="535"/>
  <c r="W100" i="535" s="1"/>
  <c r="N100" i="535"/>
  <c r="K100" i="535" a="1"/>
  <c r="K100" i="535" s="1"/>
  <c r="M100" i="535" s="1"/>
  <c r="J100" i="535" a="1"/>
  <c r="J100" i="535" s="1"/>
  <c r="H100" i="535"/>
  <c r="W99" i="535"/>
  <c r="V99" i="535"/>
  <c r="N99" i="535"/>
  <c r="K99" i="535" a="1"/>
  <c r="K99" i="535" s="1"/>
  <c r="M99" i="535" s="1"/>
  <c r="J99" i="535" a="1"/>
  <c r="J99" i="535" s="1"/>
  <c r="H99" i="535"/>
  <c r="V98" i="535"/>
  <c r="W98" i="535" s="1"/>
  <c r="N98" i="535"/>
  <c r="K98" i="535" a="1"/>
  <c r="K98" i="535" s="1"/>
  <c r="M98" i="535" s="1"/>
  <c r="J98" i="535" a="1"/>
  <c r="J98" i="535" s="1"/>
  <c r="H98" i="535"/>
  <c r="V97" i="535"/>
  <c r="W97" i="535" s="1"/>
  <c r="N97" i="535"/>
  <c r="K97" i="535"/>
  <c r="M97" i="535" s="1"/>
  <c r="K97" i="535" a="1"/>
  <c r="J97" i="535"/>
  <c r="J97" i="535" a="1"/>
  <c r="H97" i="535"/>
  <c r="V96" i="535"/>
  <c r="W96" i="535" s="1"/>
  <c r="N96" i="535"/>
  <c r="K96" i="535" a="1"/>
  <c r="K96" i="535" s="1"/>
  <c r="M96" i="535" s="1"/>
  <c r="J96" i="535" a="1"/>
  <c r="J96" i="535" s="1"/>
  <c r="H96" i="535"/>
  <c r="W95" i="535"/>
  <c r="V95" i="535"/>
  <c r="N95" i="535"/>
  <c r="K95" i="535" a="1"/>
  <c r="K95" i="535" s="1"/>
  <c r="M95" i="535" s="1"/>
  <c r="J95" i="535" a="1"/>
  <c r="J95" i="535" s="1"/>
  <c r="H95" i="535"/>
  <c r="K94" i="535"/>
  <c r="M94" i="535" s="1"/>
  <c r="K94" i="535" a="1"/>
  <c r="H94" i="535"/>
  <c r="V93" i="535"/>
  <c r="W93" i="535" s="1"/>
  <c r="N93" i="535"/>
  <c r="K93" i="535" a="1"/>
  <c r="K93" i="535" s="1"/>
  <c r="M93" i="535" s="1"/>
  <c r="J93" i="535" a="1"/>
  <c r="J93" i="535" s="1"/>
  <c r="H93" i="535"/>
  <c r="W92" i="535"/>
  <c r="V92" i="535"/>
  <c r="N92" i="535"/>
  <c r="K92" i="535" a="1"/>
  <c r="K92" i="535" s="1"/>
  <c r="M92" i="535" s="1"/>
  <c r="J92" i="535" a="1"/>
  <c r="J92" i="535" s="1"/>
  <c r="H92" i="535"/>
  <c r="V91" i="535"/>
  <c r="W91" i="535" s="1"/>
  <c r="N91" i="535"/>
  <c r="K91" i="535" a="1"/>
  <c r="K91" i="535" s="1"/>
  <c r="M91" i="535" s="1"/>
  <c r="J91" i="535" a="1"/>
  <c r="J91" i="535" s="1"/>
  <c r="H91" i="535"/>
  <c r="V90" i="535"/>
  <c r="W90" i="535" s="1"/>
  <c r="N90" i="535"/>
  <c r="K90" i="535" a="1"/>
  <c r="K90" i="535" s="1"/>
  <c r="M90" i="535" s="1"/>
  <c r="J90" i="535" a="1"/>
  <c r="J90" i="535" s="1"/>
  <c r="H90" i="535"/>
  <c r="V89" i="535"/>
  <c r="W89" i="535" s="1"/>
  <c r="N89" i="535"/>
  <c r="K89" i="535" a="1"/>
  <c r="K89" i="535" s="1"/>
  <c r="M89" i="535" s="1"/>
  <c r="J89" i="535" a="1"/>
  <c r="J89" i="535" s="1"/>
  <c r="H89" i="535"/>
  <c r="V88" i="535"/>
  <c r="W88" i="535" s="1"/>
  <c r="N88" i="535"/>
  <c r="K88" i="535"/>
  <c r="M88" i="535" s="1"/>
  <c r="K88" i="535" a="1"/>
  <c r="J88" i="535"/>
  <c r="J88" i="535" a="1"/>
  <c r="H88" i="535"/>
  <c r="V87" i="535"/>
  <c r="N87" i="535"/>
  <c r="K87" i="535" a="1"/>
  <c r="K87" i="535" s="1"/>
  <c r="J87" i="535" a="1"/>
  <c r="J87" i="535" s="1"/>
  <c r="H87" i="535"/>
  <c r="H121" i="535" s="1"/>
  <c r="AA86" i="535"/>
  <c r="Z86" i="535"/>
  <c r="Y86" i="535"/>
  <c r="X86" i="535"/>
  <c r="U86" i="535"/>
  <c r="T86" i="535"/>
  <c r="S86" i="535"/>
  <c r="R86" i="535"/>
  <c r="Q86" i="535"/>
  <c r="P86" i="535"/>
  <c r="O86" i="535"/>
  <c r="R166" i="535" s="1"/>
  <c r="I86" i="535"/>
  <c r="G86" i="535"/>
  <c r="C522" i="535" s="1"/>
  <c r="K85" i="535" a="1"/>
  <c r="K85" i="535" s="1"/>
  <c r="H85" i="535"/>
  <c r="K84" i="535"/>
  <c r="K84" i="535" a="1"/>
  <c r="H84" i="535"/>
  <c r="K83" i="535" a="1"/>
  <c r="K83" i="535" s="1"/>
  <c r="H83" i="535"/>
  <c r="K82" i="535" a="1"/>
  <c r="K82" i="535" s="1"/>
  <c r="H82" i="535"/>
  <c r="K81" i="535" a="1"/>
  <c r="K81" i="535" s="1"/>
  <c r="H81" i="535"/>
  <c r="K80" i="535" a="1"/>
  <c r="K80" i="535" s="1"/>
  <c r="H80" i="535"/>
  <c r="K79" i="535" a="1"/>
  <c r="K79" i="535" s="1"/>
  <c r="M79" i="535" s="1"/>
  <c r="H79" i="535"/>
  <c r="K78" i="535"/>
  <c r="M78" i="535" s="1"/>
  <c r="K78" i="535" a="1"/>
  <c r="H78" i="535"/>
  <c r="K77" i="535" a="1"/>
  <c r="K77" i="535" s="1"/>
  <c r="M77" i="535" s="1"/>
  <c r="H77" i="535"/>
  <c r="K76" i="535" a="1"/>
  <c r="K76" i="535" s="1"/>
  <c r="M76" i="535" s="1"/>
  <c r="H76" i="535"/>
  <c r="W75" i="535"/>
  <c r="V75" i="535"/>
  <c r="N75" i="535"/>
  <c r="K75" i="535" a="1"/>
  <c r="K75" i="535" s="1"/>
  <c r="M75" i="535" s="1"/>
  <c r="J75" i="535" a="1"/>
  <c r="J75" i="535" s="1"/>
  <c r="H75" i="535"/>
  <c r="V74" i="535"/>
  <c r="W74" i="535" s="1"/>
  <c r="N74" i="535"/>
  <c r="K74" i="535"/>
  <c r="M74" i="535" s="1"/>
  <c r="K74" i="535" a="1"/>
  <c r="J74" i="535" a="1"/>
  <c r="J74" i="535" s="1"/>
  <c r="H74" i="535"/>
  <c r="W73" i="535"/>
  <c r="V73" i="535"/>
  <c r="N73" i="535"/>
  <c r="K73" i="535" a="1"/>
  <c r="K73" i="535" s="1"/>
  <c r="M73" i="535" s="1"/>
  <c r="J73" i="535" a="1"/>
  <c r="J73" i="535" s="1"/>
  <c r="H73" i="535"/>
  <c r="V72" i="535"/>
  <c r="W72" i="535" s="1"/>
  <c r="N72" i="535"/>
  <c r="K72" i="535"/>
  <c r="M72" i="535" s="1"/>
  <c r="K72" i="535" a="1"/>
  <c r="J72" i="535" a="1"/>
  <c r="J72" i="535" s="1"/>
  <c r="H72" i="535"/>
  <c r="H71" i="535"/>
  <c r="V70" i="535"/>
  <c r="W70" i="535" s="1"/>
  <c r="N70" i="535"/>
  <c r="K70" i="535" a="1"/>
  <c r="K70" i="535" s="1"/>
  <c r="M70" i="535" s="1"/>
  <c r="J70" i="535" a="1"/>
  <c r="J70" i="535" s="1"/>
  <c r="H70" i="535"/>
  <c r="W69" i="535"/>
  <c r="V69" i="535"/>
  <c r="N69" i="535"/>
  <c r="K69" i="535" a="1"/>
  <c r="K69" i="535" s="1"/>
  <c r="M69" i="535" s="1"/>
  <c r="J69" i="535" a="1"/>
  <c r="J69" i="535" s="1"/>
  <c r="H69" i="535"/>
  <c r="K68" i="535" a="1"/>
  <c r="K68" i="535" s="1"/>
  <c r="H68" i="535"/>
  <c r="K67" i="535"/>
  <c r="K67" i="535" a="1"/>
  <c r="H67" i="535"/>
  <c r="V66" i="535"/>
  <c r="W66" i="535" s="1"/>
  <c r="N66" i="535"/>
  <c r="K66" i="535" a="1"/>
  <c r="K66" i="535" s="1"/>
  <c r="M66" i="535" s="1"/>
  <c r="J66" i="535" a="1"/>
  <c r="J66" i="535" s="1"/>
  <c r="H66" i="535"/>
  <c r="W65" i="535"/>
  <c r="V65" i="535"/>
  <c r="N65" i="535"/>
  <c r="K65" i="535" a="1"/>
  <c r="K65" i="535" s="1"/>
  <c r="M65" i="535" s="1"/>
  <c r="J65" i="535" a="1"/>
  <c r="J65" i="535" s="1"/>
  <c r="H65" i="535"/>
  <c r="V64" i="535"/>
  <c r="W64" i="535" s="1"/>
  <c r="N64" i="535"/>
  <c r="K64" i="535" a="1"/>
  <c r="K64" i="535" s="1"/>
  <c r="M64" i="535" s="1"/>
  <c r="J64" i="535" a="1"/>
  <c r="J64" i="535" s="1"/>
  <c r="H64" i="535"/>
  <c r="V63" i="535"/>
  <c r="W63" i="535" s="1"/>
  <c r="N63" i="535"/>
  <c r="K63" i="535"/>
  <c r="M63" i="535" s="1"/>
  <c r="K63" i="535" a="1"/>
  <c r="J63" i="535"/>
  <c r="J63" i="535" a="1"/>
  <c r="H63" i="535"/>
  <c r="V62" i="535"/>
  <c r="W62" i="535" s="1"/>
  <c r="N62" i="535"/>
  <c r="K62" i="535" a="1"/>
  <c r="K62" i="535" s="1"/>
  <c r="M62" i="535" s="1"/>
  <c r="J62" i="535" a="1"/>
  <c r="J62" i="535" s="1"/>
  <c r="H62" i="535"/>
  <c r="W61" i="535"/>
  <c r="V61" i="535"/>
  <c r="N61" i="535"/>
  <c r="K61" i="535" a="1"/>
  <c r="K61" i="535" s="1"/>
  <c r="M61" i="535" s="1"/>
  <c r="J61" i="535" a="1"/>
  <c r="J61" i="535" s="1"/>
  <c r="H61" i="535"/>
  <c r="V60" i="535"/>
  <c r="W60" i="535" s="1"/>
  <c r="N60" i="535"/>
  <c r="K60" i="535" a="1"/>
  <c r="K60" i="535" s="1"/>
  <c r="M60" i="535" s="1"/>
  <c r="J60" i="535" a="1"/>
  <c r="J60" i="535" s="1"/>
  <c r="H60" i="535"/>
  <c r="V59" i="535"/>
  <c r="W59" i="535" s="1"/>
  <c r="N59" i="535"/>
  <c r="K59" i="535"/>
  <c r="M59" i="535" s="1"/>
  <c r="K59" i="535" a="1"/>
  <c r="J59" i="535"/>
  <c r="J59" i="535" a="1"/>
  <c r="H59" i="535"/>
  <c r="V58" i="535"/>
  <c r="W58" i="535" s="1"/>
  <c r="N58" i="535"/>
  <c r="K58" i="535" a="1"/>
  <c r="K58" i="535" s="1"/>
  <c r="M58" i="535" s="1"/>
  <c r="J58" i="535" a="1"/>
  <c r="J58" i="535" s="1"/>
  <c r="H58" i="535"/>
  <c r="W57" i="535"/>
  <c r="V57" i="535"/>
  <c r="N57" i="535"/>
  <c r="K57" i="535" a="1"/>
  <c r="K57" i="535" s="1"/>
  <c r="M57" i="535" s="1"/>
  <c r="J57" i="535" a="1"/>
  <c r="J57" i="535" s="1"/>
  <c r="H57" i="535"/>
  <c r="K56" i="535"/>
  <c r="M56" i="535" s="1"/>
  <c r="K56" i="535" a="1"/>
  <c r="H56" i="535"/>
  <c r="K55" i="535" a="1"/>
  <c r="K55" i="535" s="1"/>
  <c r="M55" i="535" s="1"/>
  <c r="H55" i="535"/>
  <c r="K54" i="535" a="1"/>
  <c r="K54" i="535" s="1"/>
  <c r="M54" i="535" s="1"/>
  <c r="H54" i="535"/>
  <c r="K53" i="535" a="1"/>
  <c r="K53" i="535" s="1"/>
  <c r="M53" i="535" s="1"/>
  <c r="H53" i="535"/>
  <c r="N52" i="535"/>
  <c r="K52" i="535"/>
  <c r="M52" i="535" s="1"/>
  <c r="K52" i="535" a="1"/>
  <c r="H52" i="535"/>
  <c r="N51" i="535"/>
  <c r="K51" i="535" a="1"/>
  <c r="K51" i="535" s="1"/>
  <c r="M51" i="535" s="1"/>
  <c r="H51" i="535"/>
  <c r="N50" i="535"/>
  <c r="K50" i="535" a="1"/>
  <c r="K50" i="535" s="1"/>
  <c r="M50" i="535" s="1"/>
  <c r="H50" i="535"/>
  <c r="N49" i="535"/>
  <c r="K49" i="535" a="1"/>
  <c r="K49" i="535" s="1"/>
  <c r="M49" i="535" s="1"/>
  <c r="H49" i="535"/>
  <c r="V48" i="535"/>
  <c r="W48" i="535" s="1"/>
  <c r="N48" i="535"/>
  <c r="K48" i="535" a="1"/>
  <c r="K48" i="535" s="1"/>
  <c r="M48" i="535" s="1"/>
  <c r="J48" i="535" a="1"/>
  <c r="J48" i="535" s="1"/>
  <c r="H48" i="535"/>
  <c r="V47" i="535"/>
  <c r="W47" i="535" s="1"/>
  <c r="N47" i="535"/>
  <c r="K47" i="535" a="1"/>
  <c r="K47" i="535" s="1"/>
  <c r="M47" i="535" s="1"/>
  <c r="J47" i="535" a="1"/>
  <c r="J47" i="535" s="1"/>
  <c r="H47" i="535"/>
  <c r="V46" i="535"/>
  <c r="W46" i="535" s="1"/>
  <c r="N46" i="535"/>
  <c r="K46" i="535"/>
  <c r="M46" i="535" s="1"/>
  <c r="K46" i="535" a="1"/>
  <c r="J46" i="535"/>
  <c r="J46" i="535" a="1"/>
  <c r="H46" i="535"/>
  <c r="V45" i="535"/>
  <c r="W45" i="535" s="1"/>
  <c r="N45" i="535"/>
  <c r="K45" i="535" a="1"/>
  <c r="K45" i="535" s="1"/>
  <c r="M45" i="535" s="1"/>
  <c r="J45" i="535" a="1"/>
  <c r="J45" i="535" s="1"/>
  <c r="H45" i="535"/>
  <c r="W44" i="535"/>
  <c r="V44" i="535"/>
  <c r="N44" i="535"/>
  <c r="K44" i="535" a="1"/>
  <c r="K44" i="535" s="1"/>
  <c r="M44" i="535" s="1"/>
  <c r="J44" i="535" a="1"/>
  <c r="J44" i="535" s="1"/>
  <c r="H44" i="535"/>
  <c r="V43" i="535"/>
  <c r="W43" i="535" s="1"/>
  <c r="N43" i="535"/>
  <c r="K43" i="535" a="1"/>
  <c r="K43" i="535" s="1"/>
  <c r="M43" i="535" s="1"/>
  <c r="J43" i="535" a="1"/>
  <c r="J43" i="535" s="1"/>
  <c r="H43" i="535"/>
  <c r="V42" i="535"/>
  <c r="W42" i="535" s="1"/>
  <c r="N42" i="535"/>
  <c r="K42" i="535" a="1"/>
  <c r="K42" i="535" s="1"/>
  <c r="M42" i="535" s="1"/>
  <c r="J42" i="535" a="1"/>
  <c r="J42" i="535" s="1"/>
  <c r="H42" i="535"/>
  <c r="V41" i="535"/>
  <c r="W41" i="535" s="1"/>
  <c r="N41" i="535"/>
  <c r="K41" i="535" a="1"/>
  <c r="K41" i="535" s="1"/>
  <c r="M41" i="535" s="1"/>
  <c r="J41" i="535" a="1"/>
  <c r="J41" i="535" s="1"/>
  <c r="H41" i="535"/>
  <c r="V40" i="535"/>
  <c r="W40" i="535" s="1"/>
  <c r="N40" i="535"/>
  <c r="K40" i="535"/>
  <c r="M40" i="535" s="1"/>
  <c r="K40" i="535" a="1"/>
  <c r="J40" i="535"/>
  <c r="J40" i="535" a="1"/>
  <c r="H40" i="535"/>
  <c r="V39" i="535"/>
  <c r="W39" i="535" s="1"/>
  <c r="N39" i="535"/>
  <c r="K39" i="535" a="1"/>
  <c r="K39" i="535" s="1"/>
  <c r="M39" i="535" s="1"/>
  <c r="J39" i="535" a="1"/>
  <c r="J39" i="535" s="1"/>
  <c r="H39" i="535"/>
  <c r="V38" i="535"/>
  <c r="W38" i="535" s="1"/>
  <c r="N38" i="535"/>
  <c r="K38" i="535" a="1"/>
  <c r="K38" i="535" s="1"/>
  <c r="M38" i="535" s="1"/>
  <c r="J38" i="535" a="1"/>
  <c r="J38" i="535" s="1"/>
  <c r="H38" i="535"/>
  <c r="V37" i="535"/>
  <c r="W37" i="535" s="1"/>
  <c r="N37" i="535"/>
  <c r="K37" i="535" a="1"/>
  <c r="K37" i="535" s="1"/>
  <c r="M37" i="535" s="1"/>
  <c r="J37" i="535" a="1"/>
  <c r="J37" i="535" s="1"/>
  <c r="H37" i="535"/>
  <c r="H36" i="535"/>
  <c r="H35" i="535"/>
  <c r="H34" i="535"/>
  <c r="V33" i="535"/>
  <c r="W33" i="535" s="1"/>
  <c r="N33" i="535"/>
  <c r="K33" i="535" a="1"/>
  <c r="K33" i="535" s="1"/>
  <c r="M33" i="535" s="1"/>
  <c r="J33" i="535" a="1"/>
  <c r="J33" i="535" s="1"/>
  <c r="H33" i="535"/>
  <c r="W32" i="535"/>
  <c r="V32" i="535"/>
  <c r="N32" i="535"/>
  <c r="K32" i="535" a="1"/>
  <c r="K32" i="535" s="1"/>
  <c r="M32" i="535" s="1"/>
  <c r="J32" i="535" a="1"/>
  <c r="J32" i="535" s="1"/>
  <c r="H32" i="535"/>
  <c r="V31" i="535"/>
  <c r="W31" i="535" s="1"/>
  <c r="N31" i="535"/>
  <c r="K31" i="535" a="1"/>
  <c r="K31" i="535" s="1"/>
  <c r="M31" i="535" s="1"/>
  <c r="J31" i="535" a="1"/>
  <c r="J31" i="535" s="1"/>
  <c r="H31" i="535"/>
  <c r="K30" i="535" a="1"/>
  <c r="K30" i="535" s="1"/>
  <c r="H30" i="535"/>
  <c r="V29" i="535"/>
  <c r="N29" i="535"/>
  <c r="N86" i="535" s="1"/>
  <c r="K29" i="535" a="1"/>
  <c r="K29" i="535" s="1"/>
  <c r="J29" i="535" a="1"/>
  <c r="J29" i="535" s="1"/>
  <c r="H29" i="535"/>
  <c r="AA28" i="535"/>
  <c r="AA163" i="535" s="1"/>
  <c r="Z28" i="535"/>
  <c r="Z163" i="535" s="1"/>
  <c r="Y28" i="535"/>
  <c r="Y163" i="535" s="1"/>
  <c r="X28" i="535"/>
  <c r="X163" i="535" s="1"/>
  <c r="U28" i="535"/>
  <c r="U163" i="535" s="1"/>
  <c r="T28" i="535"/>
  <c r="T163" i="535" s="1"/>
  <c r="S28" i="535"/>
  <c r="S163" i="535" s="1"/>
  <c r="R28" i="535"/>
  <c r="R163" i="535" s="1"/>
  <c r="Q28" i="535"/>
  <c r="Q163" i="535" s="1"/>
  <c r="P28" i="535"/>
  <c r="X166" i="535" s="1"/>
  <c r="O28" i="535"/>
  <c r="O163" i="535" s="1"/>
  <c r="I28" i="535"/>
  <c r="I163" i="535" s="1"/>
  <c r="B171" i="535" s="1"/>
  <c r="G28" i="535"/>
  <c r="C521" i="535" s="1"/>
  <c r="V27" i="535"/>
  <c r="W27" i="535" s="1"/>
  <c r="N27" i="535"/>
  <c r="K27" i="535" a="1"/>
  <c r="K27" i="535" s="1"/>
  <c r="M27" i="535" s="1"/>
  <c r="J27" i="535" a="1"/>
  <c r="J27" i="535" s="1"/>
  <c r="H27" i="535"/>
  <c r="V26" i="535"/>
  <c r="W26" i="535" s="1"/>
  <c r="N26" i="535"/>
  <c r="K26" i="535"/>
  <c r="M26" i="535" s="1"/>
  <c r="K26" i="535" a="1"/>
  <c r="J26" i="535" a="1"/>
  <c r="J26" i="535" s="1"/>
  <c r="H26" i="535"/>
  <c r="K25" i="535" a="1"/>
  <c r="K25" i="535" s="1"/>
  <c r="M25" i="535" s="1"/>
  <c r="J25" i="535" a="1"/>
  <c r="J25" i="535" s="1"/>
  <c r="H25" i="535"/>
  <c r="K24" i="535"/>
  <c r="M24" i="535" s="1"/>
  <c r="K24" i="535" a="1"/>
  <c r="J24" i="535"/>
  <c r="J24" i="535" a="1"/>
  <c r="H24" i="535"/>
  <c r="K23" i="535" a="1"/>
  <c r="K23" i="535" s="1"/>
  <c r="M23" i="535" s="1"/>
  <c r="J23" i="535" a="1"/>
  <c r="J23" i="535" s="1"/>
  <c r="H23" i="535"/>
  <c r="K22" i="535" a="1"/>
  <c r="K22" i="535" s="1"/>
  <c r="M22" i="535" s="1"/>
  <c r="J22" i="535" a="1"/>
  <c r="J22" i="535" s="1"/>
  <c r="H22" i="535"/>
  <c r="V21" i="535"/>
  <c r="W21" i="535" s="1"/>
  <c r="N21" i="535"/>
  <c r="K21" i="535" a="1"/>
  <c r="K21" i="535" s="1"/>
  <c r="M21" i="535" s="1"/>
  <c r="J21" i="535" a="1"/>
  <c r="J21" i="535" s="1"/>
  <c r="H21" i="535"/>
  <c r="V20" i="535"/>
  <c r="W20" i="535" s="1"/>
  <c r="N20" i="535"/>
  <c r="K20" i="535" a="1"/>
  <c r="K20" i="535" s="1"/>
  <c r="M20" i="535" s="1"/>
  <c r="J20" i="535" a="1"/>
  <c r="J20" i="535" s="1"/>
  <c r="H20" i="535"/>
  <c r="V19" i="535"/>
  <c r="W19" i="535" s="1"/>
  <c r="N19" i="535"/>
  <c r="K19" i="535"/>
  <c r="M19" i="535" s="1"/>
  <c r="K19" i="535" a="1"/>
  <c r="J19" i="535"/>
  <c r="J19" i="535" a="1"/>
  <c r="H19" i="535"/>
  <c r="N18" i="535"/>
  <c r="K18" i="535" a="1"/>
  <c r="K18" i="535" s="1"/>
  <c r="M18" i="535" s="1"/>
  <c r="J18" i="535" a="1"/>
  <c r="J18" i="535" s="1"/>
  <c r="H18" i="535"/>
  <c r="N17" i="535"/>
  <c r="K17" i="535"/>
  <c r="M17" i="535" s="1"/>
  <c r="K17" i="535" a="1"/>
  <c r="J17" i="535"/>
  <c r="J17" i="535" a="1"/>
  <c r="H17" i="535"/>
  <c r="V16" i="535"/>
  <c r="W16" i="535" s="1"/>
  <c r="N16" i="535"/>
  <c r="K16" i="535" a="1"/>
  <c r="K16" i="535" s="1"/>
  <c r="M16" i="535" s="1"/>
  <c r="J16" i="535" a="1"/>
  <c r="J16" i="535" s="1"/>
  <c r="H16" i="535"/>
  <c r="V15" i="535"/>
  <c r="W15" i="535" s="1"/>
  <c r="N15" i="535"/>
  <c r="K15" i="535" a="1"/>
  <c r="K15" i="535" s="1"/>
  <c r="M15" i="535" s="1"/>
  <c r="J15" i="535" a="1"/>
  <c r="J15" i="535" s="1"/>
  <c r="H15" i="535"/>
  <c r="N14" i="535"/>
  <c r="K14" i="535" a="1"/>
  <c r="K14" i="535" s="1"/>
  <c r="M14" i="535" s="1"/>
  <c r="H14" i="535"/>
  <c r="N13" i="535"/>
  <c r="K13" i="535"/>
  <c r="M13" i="535" s="1"/>
  <c r="K13" i="535" a="1"/>
  <c r="H13" i="535"/>
  <c r="V12" i="535"/>
  <c r="W12" i="535" s="1"/>
  <c r="N12" i="535"/>
  <c r="K12" i="535" a="1"/>
  <c r="K12" i="535" s="1"/>
  <c r="M12" i="535" s="1"/>
  <c r="J12" i="535" a="1"/>
  <c r="J12" i="535" s="1"/>
  <c r="H12" i="535"/>
  <c r="W11" i="535"/>
  <c r="V11" i="535"/>
  <c r="N11" i="535"/>
  <c r="K11" i="535" a="1"/>
  <c r="K11" i="535" s="1"/>
  <c r="M11" i="535" s="1"/>
  <c r="J11" i="535" a="1"/>
  <c r="J11" i="535" s="1"/>
  <c r="H11" i="535"/>
  <c r="V10" i="535"/>
  <c r="W10" i="535" s="1"/>
  <c r="N10" i="535"/>
  <c r="K10" i="535" a="1"/>
  <c r="K10" i="535" s="1"/>
  <c r="M10" i="535" s="1"/>
  <c r="J10" i="535" a="1"/>
  <c r="J10" i="535" s="1"/>
  <c r="H10" i="535"/>
  <c r="V9" i="535"/>
  <c r="W9" i="535" s="1"/>
  <c r="N9" i="535"/>
  <c r="K9" i="535"/>
  <c r="M9" i="535" s="1"/>
  <c r="K9" i="535" a="1"/>
  <c r="J9" i="535"/>
  <c r="J9" i="535" a="1"/>
  <c r="H9" i="535"/>
  <c r="V8" i="535"/>
  <c r="W8" i="535" s="1"/>
  <c r="N8" i="535"/>
  <c r="K8" i="535" a="1"/>
  <c r="K8" i="535" s="1"/>
  <c r="M8" i="535" s="1"/>
  <c r="J8" i="535" a="1"/>
  <c r="J8" i="535" s="1"/>
  <c r="H8" i="535"/>
  <c r="W7" i="535"/>
  <c r="V7" i="535"/>
  <c r="V28" i="535" s="1"/>
  <c r="N7" i="535"/>
  <c r="N28" i="535" s="1"/>
  <c r="K7" i="535" a="1"/>
  <c r="K7" i="535" s="1"/>
  <c r="J7" i="535" a="1"/>
  <c r="J7" i="535" s="1"/>
  <c r="H7" i="535"/>
  <c r="H28" i="535" s="1"/>
  <c r="I504" i="535" l="1"/>
  <c r="B512" i="535" s="1"/>
  <c r="J291" i="535" a="1"/>
  <c r="J291" i="535" s="1"/>
  <c r="J256" i="535" a="1"/>
  <c r="J256" i="535" s="1"/>
  <c r="J461" i="535" a="1"/>
  <c r="J461" i="535" s="1"/>
  <c r="H477" i="535"/>
  <c r="V477" i="535"/>
  <c r="W477" i="535" s="1"/>
  <c r="R509" i="535"/>
  <c r="H487" i="535"/>
  <c r="J487" i="535" a="1"/>
  <c r="J487" i="535" s="1"/>
  <c r="R510" i="535"/>
  <c r="H503" i="535"/>
  <c r="M487" i="535"/>
  <c r="W503" i="535"/>
  <c r="W427" i="535"/>
  <c r="N368" i="535"/>
  <c r="M307" i="535"/>
  <c r="W318" i="535"/>
  <c r="W332" i="535" s="1"/>
  <c r="N307" i="535"/>
  <c r="W292" i="535"/>
  <c r="N291" i="535"/>
  <c r="N333" i="535" s="1"/>
  <c r="B342" i="535" s="1"/>
  <c r="E342" i="535" s="1"/>
  <c r="G333" i="535"/>
  <c r="Q333" i="535"/>
  <c r="S333" i="535"/>
  <c r="U333" i="535"/>
  <c r="Y333" i="535"/>
  <c r="AA333" i="535"/>
  <c r="W199" i="535"/>
  <c r="W177" i="535"/>
  <c r="W198" i="535" s="1"/>
  <c r="H256" i="535"/>
  <c r="H333" i="535" s="1"/>
  <c r="E340" i="535" s="1"/>
  <c r="K198" i="535"/>
  <c r="N137" i="535"/>
  <c r="V147" i="535"/>
  <c r="W147" i="535" s="1"/>
  <c r="R169" i="535"/>
  <c r="J147" i="535" a="1"/>
  <c r="J147" i="535" s="1"/>
  <c r="J162" i="535" a="1"/>
  <c r="J162" i="535" s="1"/>
  <c r="N121" i="535"/>
  <c r="N163" i="535" s="1"/>
  <c r="B172" i="535" s="1"/>
  <c r="E172" i="535" s="1"/>
  <c r="V121" i="535"/>
  <c r="W121" i="535" s="1"/>
  <c r="H86" i="535"/>
  <c r="H163" i="535" s="1"/>
  <c r="E170" i="535" s="1"/>
  <c r="V86" i="535"/>
  <c r="W86" i="535" s="1"/>
  <c r="K28" i="535"/>
  <c r="W28" i="535"/>
  <c r="K522" i="535"/>
  <c r="K523" i="535"/>
  <c r="K525" i="535"/>
  <c r="K162" i="535"/>
  <c r="M148" i="535"/>
  <c r="M162" i="535" s="1"/>
  <c r="K526" i="535"/>
  <c r="C517" i="535"/>
  <c r="Q522" i="535"/>
  <c r="K86" i="535"/>
  <c r="M29" i="535"/>
  <c r="M86" i="535" s="1"/>
  <c r="K121" i="535"/>
  <c r="M87" i="535"/>
  <c r="M121" i="535" s="1"/>
  <c r="K137" i="535"/>
  <c r="M122" i="535"/>
  <c r="M137" i="535" s="1"/>
  <c r="K524" i="535"/>
  <c r="K256" i="535"/>
  <c r="M291" i="535"/>
  <c r="M7" i="535"/>
  <c r="M28" i="535" s="1"/>
  <c r="M163" i="535" s="1"/>
  <c r="C527" i="535"/>
  <c r="E521" i="535" s="1"/>
  <c r="V137" i="535"/>
  <c r="W137" i="535" s="1"/>
  <c r="K147" i="535"/>
  <c r="V162" i="535"/>
  <c r="W162" i="535" s="1"/>
  <c r="G163" i="535"/>
  <c r="P163" i="535"/>
  <c r="X167" i="535" s="1"/>
  <c r="X172" i="535" s="1"/>
  <c r="K165" i="535"/>
  <c r="R165" i="535"/>
  <c r="M177" i="535"/>
  <c r="M198" i="535" s="1"/>
  <c r="B340" i="535"/>
  <c r="J333" i="535" a="1"/>
  <c r="J333" i="535" s="1"/>
  <c r="M340" i="535" s="1"/>
  <c r="R335" i="535"/>
  <c r="O333" i="535"/>
  <c r="M199" i="535"/>
  <c r="M256" i="535" s="1"/>
  <c r="R336" i="535"/>
  <c r="V291" i="535"/>
  <c r="W291" i="535" s="1"/>
  <c r="K332" i="535"/>
  <c r="K339" i="535"/>
  <c r="M339" i="535" s="1"/>
  <c r="M335" i="535"/>
  <c r="K368" i="535"/>
  <c r="M347" i="535"/>
  <c r="M368" i="535" s="1"/>
  <c r="K426" i="535"/>
  <c r="M369" i="535"/>
  <c r="M426" i="535" s="1"/>
  <c r="J28" i="535" a="1"/>
  <c r="J28" i="535" s="1"/>
  <c r="W29" i="535"/>
  <c r="J86" i="535" a="1"/>
  <c r="J86" i="535" s="1"/>
  <c r="W87" i="535"/>
  <c r="J121" i="535" a="1"/>
  <c r="J121" i="535" s="1"/>
  <c r="J137" i="535" a="1"/>
  <c r="J137" i="535" s="1"/>
  <c r="J198" i="535" a="1"/>
  <c r="J198" i="535" s="1"/>
  <c r="X336" i="535"/>
  <c r="P333" i="535"/>
  <c r="X337" i="535" s="1"/>
  <c r="K291" i="535"/>
  <c r="K317" i="535"/>
  <c r="M308" i="535"/>
  <c r="M317" i="535" s="1"/>
  <c r="K307" i="535"/>
  <c r="V317" i="535"/>
  <c r="W317" i="535" s="1"/>
  <c r="J504" i="535" a="1"/>
  <c r="J504" i="535" s="1"/>
  <c r="M511" i="535" s="1"/>
  <c r="B511" i="535"/>
  <c r="X506" i="535"/>
  <c r="O504" i="535"/>
  <c r="X507" i="535" s="1"/>
  <c r="R506" i="535"/>
  <c r="M318" i="535"/>
  <c r="M332" i="535" s="1"/>
  <c r="W347" i="535"/>
  <c r="W368" i="535" s="1"/>
  <c r="J368" i="535" a="1"/>
  <c r="J368" i="535" s="1"/>
  <c r="H426" i="535"/>
  <c r="H504" i="535" s="1"/>
  <c r="E511" i="535" s="1"/>
  <c r="N426" i="535"/>
  <c r="W369" i="535"/>
  <c r="K461" i="535"/>
  <c r="R507" i="535"/>
  <c r="M427" i="535"/>
  <c r="M461" i="535" s="1"/>
  <c r="K487" i="535"/>
  <c r="N487" i="535"/>
  <c r="K503" i="535"/>
  <c r="M488" i="535"/>
  <c r="M503" i="535" s="1"/>
  <c r="V503" i="535"/>
  <c r="K506" i="535"/>
  <c r="M477" i="535"/>
  <c r="K477" i="535"/>
  <c r="V487" i="535"/>
  <c r="W487" i="535" s="1"/>
  <c r="R531" i="535"/>
  <c r="S531" i="535" a="1"/>
  <c r="S531" i="535" s="1"/>
  <c r="J533" i="535"/>
  <c r="Q530" i="535"/>
  <c r="R532" i="535"/>
  <c r="S532" i="535" a="1"/>
  <c r="S532" i="535" s="1"/>
  <c r="T530" i="535" a="1"/>
  <c r="T530" i="535" s="1"/>
  <c r="T531" i="535" a="1"/>
  <c r="T531" i="535" s="1"/>
  <c r="T532" i="535" a="1"/>
  <c r="T532" i="535" s="1"/>
  <c r="C533" i="535"/>
  <c r="T533" i="535" s="1" a="1"/>
  <c r="T533" i="535" s="1"/>
  <c r="K10" i="534"/>
  <c r="I11" i="534"/>
  <c r="F11" i="534"/>
  <c r="C11" i="534"/>
  <c r="J10" i="534"/>
  <c r="G10" i="534"/>
  <c r="D10" i="534"/>
  <c r="N504" i="535" l="1"/>
  <c r="B513" i="535" s="1"/>
  <c r="E513" i="535" s="1"/>
  <c r="E526" i="535"/>
  <c r="W333" i="535"/>
  <c r="X342" i="535"/>
  <c r="E525" i="535"/>
  <c r="K333" i="535"/>
  <c r="G516" i="535"/>
  <c r="E524" i="535"/>
  <c r="E522" i="535"/>
  <c r="Z169" i="535"/>
  <c r="Z168" i="535"/>
  <c r="Z170" i="535"/>
  <c r="E523" i="535"/>
  <c r="C518" i="535"/>
  <c r="G518" i="535" s="1"/>
  <c r="E341" i="535"/>
  <c r="I341" i="535" s="1"/>
  <c r="M341" i="535" s="1"/>
  <c r="L333" i="535"/>
  <c r="I340" i="535" s="1"/>
  <c r="Z340" i="535"/>
  <c r="Z339" i="535"/>
  <c r="Z338" i="535"/>
  <c r="Z341" i="535"/>
  <c r="Z337" i="535"/>
  <c r="V504" i="535"/>
  <c r="K504" i="535"/>
  <c r="Z335" i="535" a="1"/>
  <c r="Z335" i="535" s="1"/>
  <c r="R342" i="535"/>
  <c r="T335" i="535" a="1"/>
  <c r="T335" i="535" s="1"/>
  <c r="Z171" i="535"/>
  <c r="Z165" i="535" a="1"/>
  <c r="Z165" i="535" s="1"/>
  <c r="K521" i="535"/>
  <c r="R172" i="535"/>
  <c r="Q523" i="535"/>
  <c r="Z167" i="535"/>
  <c r="W163" i="535"/>
  <c r="K163" i="535"/>
  <c r="E171" i="535" s="1"/>
  <c r="R530" i="535"/>
  <c r="R533" i="535" s="1"/>
  <c r="Q533" i="535"/>
  <c r="S533" i="535" s="1" a="1"/>
  <c r="S533" i="535" s="1"/>
  <c r="S530" i="535" a="1"/>
  <c r="S530" i="535" s="1"/>
  <c r="M506" i="535"/>
  <c r="K510" i="535"/>
  <c r="M510" i="535" s="1"/>
  <c r="R513" i="535"/>
  <c r="X513" i="535"/>
  <c r="Z507" i="535" s="1"/>
  <c r="Z336" i="535"/>
  <c r="M504" i="535"/>
  <c r="T336" i="535"/>
  <c r="M333" i="535"/>
  <c r="M165" i="535"/>
  <c r="K169" i="535"/>
  <c r="M169" i="535" s="1"/>
  <c r="J163" i="535" a="1"/>
  <c r="J163" i="535" s="1"/>
  <c r="M170" i="535" s="1"/>
  <c r="B170" i="535"/>
  <c r="C516" i="535" s="1"/>
  <c r="L163" i="535"/>
  <c r="I170" i="535" s="1"/>
  <c r="V333" i="535"/>
  <c r="I342" i="535" s="1"/>
  <c r="M342" i="535" s="1" a="1"/>
  <c r="M342" i="535" s="1"/>
  <c r="Z166" i="535"/>
  <c r="V163" i="535"/>
  <c r="I172" i="535" s="1"/>
  <c r="Z506" i="535" l="1" a="1"/>
  <c r="Z506" i="535" s="1"/>
  <c r="E527" i="535"/>
  <c r="O516" i="535" a="1"/>
  <c r="O516" i="535" s="1"/>
  <c r="T512" i="535"/>
  <c r="T511" i="535"/>
  <c r="T508" i="535"/>
  <c r="T510" i="535"/>
  <c r="T509" i="535"/>
  <c r="Q527" i="535"/>
  <c r="S523" i="535" s="1"/>
  <c r="K527" i="535"/>
  <c r="T171" i="535"/>
  <c r="T168" i="535"/>
  <c r="T166" i="535"/>
  <c r="T167" i="535"/>
  <c r="T169" i="535"/>
  <c r="T170" i="535"/>
  <c r="I513" i="535"/>
  <c r="M513" i="535" s="1" a="1"/>
  <c r="M513" i="535" s="1"/>
  <c r="W504" i="535"/>
  <c r="K518" i="535"/>
  <c r="O518" i="535" s="1" a="1"/>
  <c r="O518" i="535" s="1"/>
  <c r="M172" i="535" a="1"/>
  <c r="M172" i="535" s="1"/>
  <c r="Z512" i="535"/>
  <c r="Z508" i="535"/>
  <c r="Z511" i="535"/>
  <c r="Z509" i="535"/>
  <c r="Z510" i="535"/>
  <c r="T506" i="535" a="1"/>
  <c r="T506" i="535" s="1"/>
  <c r="I171" i="535"/>
  <c r="M171" i="535" s="1"/>
  <c r="T165" i="535" a="1"/>
  <c r="T165" i="535" s="1"/>
  <c r="M521" i="535" a="1"/>
  <c r="M521" i="535" s="1"/>
  <c r="T341" i="535"/>
  <c r="T337" i="535"/>
  <c r="T340" i="535"/>
  <c r="T339" i="535"/>
  <c r="T338" i="535"/>
  <c r="E512" i="535"/>
  <c r="I512" i="535" s="1"/>
  <c r="M512" i="535" s="1"/>
  <c r="L504" i="535"/>
  <c r="I511" i="535" s="1"/>
  <c r="T507" i="535"/>
  <c r="M524" i="535" l="1"/>
  <c r="M525" i="535"/>
  <c r="M522" i="535"/>
  <c r="M526" i="535"/>
  <c r="M523" i="535"/>
  <c r="G517" i="535"/>
  <c r="S524" i="535"/>
  <c r="S526" i="535"/>
  <c r="S521" i="535" a="1"/>
  <c r="S521" i="535" s="1"/>
  <c r="S525" i="535"/>
  <c r="S522" i="535"/>
  <c r="I427" i="533"/>
  <c r="M237" i="533"/>
  <c r="K237" i="533" a="1"/>
  <c r="K237" i="533" s="1"/>
  <c r="J279" i="533" a="1"/>
  <c r="J279" i="533" s="1"/>
  <c r="J278" i="533" a="1"/>
  <c r="J278" i="533" s="1"/>
  <c r="J277" i="533" a="1"/>
  <c r="J277" i="533" s="1"/>
  <c r="J237" i="533" a="1"/>
  <c r="J237" i="533" s="1"/>
  <c r="I185" i="533"/>
  <c r="I293" i="533"/>
  <c r="I292" i="533"/>
  <c r="I277" i="533"/>
  <c r="I279" i="533"/>
  <c r="I278" i="533"/>
  <c r="I288" i="533"/>
  <c r="I208" i="533"/>
  <c r="I15" i="533"/>
  <c r="I118" i="533"/>
  <c r="I17" i="533"/>
  <c r="I91" i="533"/>
  <c r="I37" i="533"/>
  <c r="I38" i="533"/>
  <c r="K517" i="535" l="1"/>
  <c r="O517" i="535" s="1"/>
  <c r="K516" i="535"/>
  <c r="S527" i="535"/>
  <c r="G279" i="533"/>
  <c r="G38" i="533"/>
  <c r="D532" i="533"/>
  <c r="C532" i="533" s="1"/>
  <c r="J532" i="533" s="1"/>
  <c r="Q532" i="533" s="1"/>
  <c r="D531" i="533"/>
  <c r="D530" i="533"/>
  <c r="G427" i="533"/>
  <c r="G293" i="533"/>
  <c r="G234" i="533"/>
  <c r="G185" i="533"/>
  <c r="G208" i="533"/>
  <c r="G15" i="533"/>
  <c r="G66" i="533"/>
  <c r="G118" i="533"/>
  <c r="G37" i="533"/>
  <c r="G64" i="533"/>
  <c r="G31" i="533"/>
  <c r="G91" i="533"/>
  <c r="P533" i="533"/>
  <c r="O533" i="533"/>
  <c r="N533" i="533"/>
  <c r="M533" i="533"/>
  <c r="L533" i="533"/>
  <c r="K533" i="533"/>
  <c r="I533" i="533"/>
  <c r="H533" i="533"/>
  <c r="G533" i="533"/>
  <c r="F533" i="533"/>
  <c r="E533" i="533"/>
  <c r="C531" i="533"/>
  <c r="J531" i="533" s="1"/>
  <c r="Q531" i="533" s="1"/>
  <c r="C530" i="533"/>
  <c r="J530" i="533" s="1"/>
  <c r="N514" i="533"/>
  <c r="G514" i="533"/>
  <c r="X512" i="533"/>
  <c r="X511" i="533"/>
  <c r="X510" i="533"/>
  <c r="G510" i="533"/>
  <c r="E510" i="533"/>
  <c r="C510" i="533"/>
  <c r="X509" i="533"/>
  <c r="I509" i="533"/>
  <c r="E509" i="533"/>
  <c r="X508" i="533"/>
  <c r="I508" i="533"/>
  <c r="I510" i="533" s="1"/>
  <c r="E508" i="533"/>
  <c r="I507" i="533"/>
  <c r="E507" i="533"/>
  <c r="K507" i="533" s="1"/>
  <c r="M507" i="533" s="1"/>
  <c r="I506" i="533"/>
  <c r="E506" i="533"/>
  <c r="K506" i="533" s="1"/>
  <c r="AA503" i="533"/>
  <c r="Z503" i="533"/>
  <c r="Y503" i="533"/>
  <c r="X503" i="533"/>
  <c r="U503" i="533"/>
  <c r="T503" i="533"/>
  <c r="S503" i="533"/>
  <c r="R503" i="533"/>
  <c r="Q503" i="533"/>
  <c r="P503" i="533"/>
  <c r="O503" i="533"/>
  <c r="R511" i="533" s="1"/>
  <c r="I503" i="533"/>
  <c r="G503" i="533"/>
  <c r="H502" i="533"/>
  <c r="H501" i="533"/>
  <c r="H500" i="533"/>
  <c r="H499" i="533"/>
  <c r="D499" i="533"/>
  <c r="V498" i="533"/>
  <c r="W498" i="533" s="1"/>
  <c r="N498" i="533"/>
  <c r="K498" i="533" a="1"/>
  <c r="K498" i="533" s="1"/>
  <c r="M498" i="533" s="1"/>
  <c r="J498" i="533" a="1"/>
  <c r="J498" i="533" s="1"/>
  <c r="H498" i="533"/>
  <c r="H497" i="533"/>
  <c r="H496" i="533"/>
  <c r="V495" i="533"/>
  <c r="W495" i="533" s="1"/>
  <c r="N495" i="533"/>
  <c r="K495" i="533" a="1"/>
  <c r="K495" i="533" s="1"/>
  <c r="M495" i="533" s="1"/>
  <c r="J495" i="533" a="1"/>
  <c r="J495" i="533" s="1"/>
  <c r="H495" i="533"/>
  <c r="V494" i="533"/>
  <c r="W494" i="533" s="1"/>
  <c r="N494" i="533"/>
  <c r="K494" i="533"/>
  <c r="M494" i="533" s="1"/>
  <c r="K494" i="533" a="1"/>
  <c r="J494" i="533"/>
  <c r="J494" i="533" a="1"/>
  <c r="H494" i="533"/>
  <c r="H493" i="533"/>
  <c r="H492" i="533"/>
  <c r="V491" i="533"/>
  <c r="W491" i="533" s="1"/>
  <c r="N491" i="533"/>
  <c r="K491" i="533" a="1"/>
  <c r="K491" i="533" s="1"/>
  <c r="M491" i="533" s="1"/>
  <c r="J491" i="533" a="1"/>
  <c r="J491" i="533" s="1"/>
  <c r="H491" i="533"/>
  <c r="V490" i="533"/>
  <c r="W490" i="533" s="1"/>
  <c r="N490" i="533"/>
  <c r="K490" i="533" a="1"/>
  <c r="K490" i="533" s="1"/>
  <c r="M490" i="533" s="1"/>
  <c r="J490" i="533" a="1"/>
  <c r="J490" i="533" s="1"/>
  <c r="H490" i="533"/>
  <c r="V489" i="533"/>
  <c r="W489" i="533" s="1"/>
  <c r="N489" i="533"/>
  <c r="M489" i="533"/>
  <c r="K489" i="533" a="1"/>
  <c r="K489" i="533" s="1"/>
  <c r="J489" i="533" a="1"/>
  <c r="J489" i="533" s="1"/>
  <c r="H489" i="533"/>
  <c r="W488" i="533"/>
  <c r="V488" i="533"/>
  <c r="N488" i="533"/>
  <c r="N503" i="533" s="1"/>
  <c r="K488" i="533" a="1"/>
  <c r="K488" i="533" s="1"/>
  <c r="J488" i="533" a="1"/>
  <c r="J488" i="533" s="1"/>
  <c r="H488" i="533"/>
  <c r="H503" i="533" s="1"/>
  <c r="AA487" i="533"/>
  <c r="Z487" i="533"/>
  <c r="Y487" i="533"/>
  <c r="X487" i="533"/>
  <c r="U487" i="533"/>
  <c r="T487" i="533"/>
  <c r="S487" i="533"/>
  <c r="Q487" i="533"/>
  <c r="P487" i="533"/>
  <c r="O487" i="533"/>
  <c r="I487" i="533"/>
  <c r="G487" i="533"/>
  <c r="V486" i="533"/>
  <c r="W486" i="533" s="1"/>
  <c r="N486" i="533"/>
  <c r="K486" i="533" a="1"/>
  <c r="K486" i="533" s="1"/>
  <c r="M486" i="533" s="1"/>
  <c r="J486" i="533" a="1"/>
  <c r="J486" i="533" s="1"/>
  <c r="H486" i="533"/>
  <c r="H485" i="533"/>
  <c r="H484" i="533"/>
  <c r="H483" i="533"/>
  <c r="V482" i="533"/>
  <c r="W482" i="533" s="1"/>
  <c r="N482" i="533"/>
  <c r="M482" i="533"/>
  <c r="K482" i="533" a="1"/>
  <c r="K482" i="533" s="1"/>
  <c r="J482" i="533" a="1"/>
  <c r="J482" i="533" s="1"/>
  <c r="H482" i="533"/>
  <c r="W481" i="533"/>
  <c r="V481" i="533"/>
  <c r="N481" i="533"/>
  <c r="K481" i="533" a="1"/>
  <c r="K481" i="533" s="1"/>
  <c r="M481" i="533" s="1"/>
  <c r="J481" i="533" a="1"/>
  <c r="J481" i="533" s="1"/>
  <c r="H481" i="533"/>
  <c r="V480" i="533"/>
  <c r="W480" i="533" s="1"/>
  <c r="N480" i="533"/>
  <c r="M480" i="533"/>
  <c r="K480" i="533" a="1"/>
  <c r="K480" i="533" s="1"/>
  <c r="J480" i="533" a="1"/>
  <c r="J480" i="533" s="1"/>
  <c r="H480" i="533"/>
  <c r="W479" i="533"/>
  <c r="V479" i="533"/>
  <c r="N479" i="533"/>
  <c r="K479" i="533" a="1"/>
  <c r="K479" i="533" s="1"/>
  <c r="M479" i="533" s="1"/>
  <c r="J479" i="533" a="1"/>
  <c r="J479" i="533" s="1"/>
  <c r="H479" i="533"/>
  <c r="V478" i="533"/>
  <c r="W478" i="533" s="1"/>
  <c r="N478" i="533"/>
  <c r="M478" i="533"/>
  <c r="K478" i="533" a="1"/>
  <c r="K478" i="533" s="1"/>
  <c r="J478" i="533" a="1"/>
  <c r="J478" i="533" s="1"/>
  <c r="H478" i="533"/>
  <c r="H487" i="533" s="1"/>
  <c r="AA477" i="533"/>
  <c r="Z477" i="533"/>
  <c r="Y477" i="533"/>
  <c r="X477" i="533"/>
  <c r="U477" i="533"/>
  <c r="T477" i="533"/>
  <c r="S477" i="533"/>
  <c r="Q477" i="533"/>
  <c r="P477" i="533"/>
  <c r="O477" i="533"/>
  <c r="I477" i="533"/>
  <c r="G477" i="533"/>
  <c r="J477" i="533" s="1" a="1"/>
  <c r="J477" i="533" s="1"/>
  <c r="V476" i="533"/>
  <c r="W476" i="533" s="1"/>
  <c r="N476" i="533"/>
  <c r="K476" i="533"/>
  <c r="M476" i="533" s="1"/>
  <c r="K476" i="533" a="1"/>
  <c r="J476" i="533"/>
  <c r="J476" i="533" a="1"/>
  <c r="H476" i="533"/>
  <c r="V475" i="533"/>
  <c r="W475" i="533" s="1"/>
  <c r="N475" i="533"/>
  <c r="K475" i="533" a="1"/>
  <c r="K475" i="533" s="1"/>
  <c r="M475" i="533" s="1"/>
  <c r="J475" i="533" a="1"/>
  <c r="J475" i="533" s="1"/>
  <c r="H475" i="533"/>
  <c r="W474" i="533"/>
  <c r="V474" i="533"/>
  <c r="N474" i="533"/>
  <c r="K474" i="533" a="1"/>
  <c r="K474" i="533" s="1"/>
  <c r="M474" i="533" s="1"/>
  <c r="J474" i="533" a="1"/>
  <c r="J474" i="533" s="1"/>
  <c r="H474" i="533"/>
  <c r="V473" i="533"/>
  <c r="W473" i="533" s="1"/>
  <c r="N473" i="533"/>
  <c r="K473" i="533" a="1"/>
  <c r="K473" i="533" s="1"/>
  <c r="M473" i="533" s="1"/>
  <c r="J473" i="533" a="1"/>
  <c r="J473" i="533" s="1"/>
  <c r="H473" i="533"/>
  <c r="V472" i="533"/>
  <c r="W472" i="533" s="1"/>
  <c r="N472" i="533"/>
  <c r="K472" i="533"/>
  <c r="M472" i="533" s="1"/>
  <c r="K472" i="533" a="1"/>
  <c r="J472" i="533"/>
  <c r="J472" i="533" a="1"/>
  <c r="H472" i="533"/>
  <c r="V471" i="533"/>
  <c r="W471" i="533" s="1"/>
  <c r="N471" i="533"/>
  <c r="K471" i="533" a="1"/>
  <c r="K471" i="533" s="1"/>
  <c r="M471" i="533" s="1"/>
  <c r="J471" i="533" a="1"/>
  <c r="J471" i="533" s="1"/>
  <c r="H471" i="533"/>
  <c r="W470" i="533"/>
  <c r="V470" i="533"/>
  <c r="N470" i="533"/>
  <c r="K470" i="533" a="1"/>
  <c r="K470" i="533" s="1"/>
  <c r="M470" i="533" s="1"/>
  <c r="J470" i="533" a="1"/>
  <c r="J470" i="533" s="1"/>
  <c r="H470" i="533"/>
  <c r="V469" i="533"/>
  <c r="W469" i="533" s="1"/>
  <c r="N469" i="533"/>
  <c r="K469" i="533" a="1"/>
  <c r="K469" i="533" s="1"/>
  <c r="M469" i="533" s="1"/>
  <c r="J469" i="533" a="1"/>
  <c r="J469" i="533" s="1"/>
  <c r="H469" i="533"/>
  <c r="V468" i="533"/>
  <c r="W468" i="533" s="1"/>
  <c r="N468" i="533"/>
  <c r="K468" i="533"/>
  <c r="M468" i="533" s="1"/>
  <c r="K468" i="533" a="1"/>
  <c r="J468" i="533"/>
  <c r="J468" i="533" a="1"/>
  <c r="H468" i="533"/>
  <c r="V467" i="533"/>
  <c r="W467" i="533" s="1"/>
  <c r="N467" i="533"/>
  <c r="K467" i="533" a="1"/>
  <c r="K467" i="533" s="1"/>
  <c r="M467" i="533" s="1"/>
  <c r="J467" i="533" a="1"/>
  <c r="J467" i="533" s="1"/>
  <c r="H467" i="533"/>
  <c r="W466" i="533"/>
  <c r="V466" i="533"/>
  <c r="N466" i="533"/>
  <c r="K466" i="533" a="1"/>
  <c r="K466" i="533" s="1"/>
  <c r="M466" i="533" s="1"/>
  <c r="J466" i="533" a="1"/>
  <c r="J466" i="533" s="1"/>
  <c r="H466" i="533"/>
  <c r="V465" i="533"/>
  <c r="W465" i="533" s="1"/>
  <c r="N465" i="533"/>
  <c r="K465" i="533" a="1"/>
  <c r="K465" i="533" s="1"/>
  <c r="M465" i="533" s="1"/>
  <c r="J465" i="533" a="1"/>
  <c r="J465" i="533" s="1"/>
  <c r="H465" i="533"/>
  <c r="V464" i="533"/>
  <c r="W464" i="533" s="1"/>
  <c r="N464" i="533"/>
  <c r="K464" i="533"/>
  <c r="M464" i="533" s="1"/>
  <c r="K464" i="533" a="1"/>
  <c r="J464" i="533"/>
  <c r="J464" i="533" a="1"/>
  <c r="H464" i="533"/>
  <c r="V463" i="533"/>
  <c r="W463" i="533" s="1"/>
  <c r="N463" i="533"/>
  <c r="K463" i="533" a="1"/>
  <c r="K463" i="533" s="1"/>
  <c r="M463" i="533" s="1"/>
  <c r="J463" i="533" a="1"/>
  <c r="J463" i="533" s="1"/>
  <c r="H463" i="533"/>
  <c r="W462" i="533"/>
  <c r="V462" i="533"/>
  <c r="N462" i="533"/>
  <c r="N477" i="533" s="1"/>
  <c r="K462" i="533" a="1"/>
  <c r="K462" i="533" s="1"/>
  <c r="M462" i="533" s="1"/>
  <c r="J462" i="533" a="1"/>
  <c r="J462" i="533" s="1"/>
  <c r="H462" i="533"/>
  <c r="AA461" i="533"/>
  <c r="Z461" i="533"/>
  <c r="Y461" i="533"/>
  <c r="X461" i="533"/>
  <c r="U461" i="533"/>
  <c r="T461" i="533"/>
  <c r="S461" i="533"/>
  <c r="R461" i="533"/>
  <c r="Q461" i="533"/>
  <c r="P461" i="533"/>
  <c r="O461" i="533"/>
  <c r="I461" i="533"/>
  <c r="G461" i="533"/>
  <c r="V460" i="533"/>
  <c r="W460" i="533" s="1"/>
  <c r="N460" i="533"/>
  <c r="K460" i="533"/>
  <c r="M460" i="533" s="1"/>
  <c r="K460" i="533" a="1"/>
  <c r="J460" i="533"/>
  <c r="J460" i="533" a="1"/>
  <c r="H460" i="533"/>
  <c r="V459" i="533"/>
  <c r="W459" i="533" s="1"/>
  <c r="N459" i="533"/>
  <c r="K459" i="533" a="1"/>
  <c r="K459" i="533" s="1"/>
  <c r="M459" i="533" s="1"/>
  <c r="J459" i="533" a="1"/>
  <c r="J459" i="533" s="1"/>
  <c r="H459" i="533"/>
  <c r="W458" i="533"/>
  <c r="V458" i="533"/>
  <c r="N458" i="533"/>
  <c r="K458" i="533" a="1"/>
  <c r="K458" i="533" s="1"/>
  <c r="M458" i="533" s="1"/>
  <c r="J458" i="533" a="1"/>
  <c r="J458" i="533" s="1"/>
  <c r="H458" i="533"/>
  <c r="K457" i="533"/>
  <c r="M457" i="533" s="1"/>
  <c r="K457" i="533" a="1"/>
  <c r="H457" i="533"/>
  <c r="K456" i="533" a="1"/>
  <c r="K456" i="533" s="1"/>
  <c r="M456" i="533" s="1"/>
  <c r="H456" i="533"/>
  <c r="K455" i="533"/>
  <c r="M455" i="533" s="1"/>
  <c r="K455" i="533" a="1"/>
  <c r="H455" i="533"/>
  <c r="V454" i="533"/>
  <c r="W454" i="533" s="1"/>
  <c r="N454" i="533"/>
  <c r="K454" i="533" a="1"/>
  <c r="K454" i="533" s="1"/>
  <c r="M454" i="533" s="1"/>
  <c r="J454" i="533" a="1"/>
  <c r="J454" i="533" s="1"/>
  <c r="H454" i="533"/>
  <c r="V453" i="533"/>
  <c r="W453" i="533" s="1"/>
  <c r="N453" i="533"/>
  <c r="K453" i="533"/>
  <c r="M453" i="533" s="1"/>
  <c r="K453" i="533" a="1"/>
  <c r="J453" i="533"/>
  <c r="J453" i="533" a="1"/>
  <c r="H453" i="533"/>
  <c r="N452" i="533"/>
  <c r="K452" i="533" a="1"/>
  <c r="K452" i="533" s="1"/>
  <c r="M452" i="533" s="1"/>
  <c r="H452" i="533"/>
  <c r="N451" i="533"/>
  <c r="K451" i="533" a="1"/>
  <c r="K451" i="533" s="1"/>
  <c r="M451" i="533" s="1"/>
  <c r="H451" i="533"/>
  <c r="N450" i="533"/>
  <c r="K450" i="533" a="1"/>
  <c r="K450" i="533" s="1"/>
  <c r="M450" i="533" s="1"/>
  <c r="H450" i="533"/>
  <c r="N449" i="533"/>
  <c r="K449" i="533" a="1"/>
  <c r="K449" i="533" s="1"/>
  <c r="M449" i="533" s="1"/>
  <c r="H449" i="533"/>
  <c r="N448" i="533"/>
  <c r="K448" i="533" a="1"/>
  <c r="K448" i="533" s="1"/>
  <c r="M448" i="533" s="1"/>
  <c r="H448" i="533"/>
  <c r="N447" i="533"/>
  <c r="K447" i="533" a="1"/>
  <c r="K447" i="533" s="1"/>
  <c r="M447" i="533" s="1"/>
  <c r="H447" i="533"/>
  <c r="V446" i="533"/>
  <c r="W446" i="533" s="1"/>
  <c r="N446" i="533"/>
  <c r="M446" i="533"/>
  <c r="K446" i="533" a="1"/>
  <c r="K446" i="533" s="1"/>
  <c r="J446" i="533" a="1"/>
  <c r="J446" i="533" s="1"/>
  <c r="H446" i="533"/>
  <c r="W445" i="533"/>
  <c r="V445" i="533"/>
  <c r="N445" i="533"/>
  <c r="K445" i="533" a="1"/>
  <c r="K445" i="533" s="1"/>
  <c r="M445" i="533" s="1"/>
  <c r="J445" i="533" a="1"/>
  <c r="J445" i="533" s="1"/>
  <c r="H445" i="533"/>
  <c r="V444" i="533"/>
  <c r="W444" i="533" s="1"/>
  <c r="N444" i="533"/>
  <c r="M444" i="533"/>
  <c r="K444" i="533" a="1"/>
  <c r="K444" i="533" s="1"/>
  <c r="J444" i="533" a="1"/>
  <c r="J444" i="533" s="1"/>
  <c r="H444" i="533"/>
  <c r="W443" i="533"/>
  <c r="V443" i="533"/>
  <c r="N443" i="533"/>
  <c r="K443" i="533" a="1"/>
  <c r="K443" i="533" s="1"/>
  <c r="M443" i="533" s="1"/>
  <c r="J443" i="533" a="1"/>
  <c r="J443" i="533" s="1"/>
  <c r="H443" i="533"/>
  <c r="V442" i="533"/>
  <c r="W442" i="533" s="1"/>
  <c r="N442" i="533"/>
  <c r="M442" i="533"/>
  <c r="K442" i="533" a="1"/>
  <c r="K442" i="533" s="1"/>
  <c r="J442" i="533" a="1"/>
  <c r="J442" i="533" s="1"/>
  <c r="H442" i="533"/>
  <c r="W441" i="533"/>
  <c r="V441" i="533"/>
  <c r="N441" i="533"/>
  <c r="K441" i="533" a="1"/>
  <c r="K441" i="533" s="1"/>
  <c r="M441" i="533" s="1"/>
  <c r="J441" i="533" a="1"/>
  <c r="J441" i="533" s="1"/>
  <c r="H441" i="533"/>
  <c r="V440" i="533"/>
  <c r="W440" i="533" s="1"/>
  <c r="N440" i="533"/>
  <c r="M440" i="533"/>
  <c r="K440" i="533" a="1"/>
  <c r="K440" i="533" s="1"/>
  <c r="J440" i="533" a="1"/>
  <c r="J440" i="533" s="1"/>
  <c r="H440" i="533"/>
  <c r="W439" i="533"/>
  <c r="V439" i="533"/>
  <c r="N439" i="533"/>
  <c r="K439" i="533" a="1"/>
  <c r="K439" i="533" s="1"/>
  <c r="M439" i="533" s="1"/>
  <c r="J439" i="533" a="1"/>
  <c r="J439" i="533" s="1"/>
  <c r="H439" i="533"/>
  <c r="V438" i="533"/>
  <c r="W438" i="533" s="1"/>
  <c r="N438" i="533"/>
  <c r="M438" i="533"/>
  <c r="K438" i="533" a="1"/>
  <c r="K438" i="533" s="1"/>
  <c r="J438" i="533" a="1"/>
  <c r="J438" i="533" s="1"/>
  <c r="H438" i="533"/>
  <c r="W437" i="533"/>
  <c r="V437" i="533"/>
  <c r="N437" i="533"/>
  <c r="K437" i="533" a="1"/>
  <c r="K437" i="533" s="1"/>
  <c r="M437" i="533" s="1"/>
  <c r="J437" i="533" a="1"/>
  <c r="J437" i="533" s="1"/>
  <c r="H437" i="533"/>
  <c r="V436" i="533"/>
  <c r="W436" i="533" s="1"/>
  <c r="N436" i="533"/>
  <c r="M436" i="533"/>
  <c r="K436" i="533" a="1"/>
  <c r="K436" i="533" s="1"/>
  <c r="J436" i="533" a="1"/>
  <c r="J436" i="533" s="1"/>
  <c r="H436" i="533"/>
  <c r="W435" i="533"/>
  <c r="V435" i="533"/>
  <c r="N435" i="533"/>
  <c r="K435" i="533" a="1"/>
  <c r="K435" i="533" s="1"/>
  <c r="M435" i="533" s="1"/>
  <c r="J435" i="533" a="1"/>
  <c r="J435" i="533" s="1"/>
  <c r="H435" i="533"/>
  <c r="N434" i="533"/>
  <c r="K434" i="533" a="1"/>
  <c r="K434" i="533" s="1"/>
  <c r="M434" i="533" s="1"/>
  <c r="H434" i="533"/>
  <c r="V433" i="533"/>
  <c r="W433" i="533" s="1"/>
  <c r="N433" i="533"/>
  <c r="K433" i="533"/>
  <c r="M433" i="533" s="1"/>
  <c r="K433" i="533" a="1"/>
  <c r="J433" i="533"/>
  <c r="J433" i="533" a="1"/>
  <c r="H433" i="533"/>
  <c r="V432" i="533"/>
  <c r="W432" i="533" s="1"/>
  <c r="N432" i="533"/>
  <c r="K432" i="533" a="1"/>
  <c r="K432" i="533" s="1"/>
  <c r="M432" i="533" s="1"/>
  <c r="J432" i="533" a="1"/>
  <c r="J432" i="533" s="1"/>
  <c r="H432" i="533"/>
  <c r="V431" i="533"/>
  <c r="W431" i="533" s="1"/>
  <c r="N431" i="533"/>
  <c r="K431" i="533"/>
  <c r="M431" i="533" s="1"/>
  <c r="K431" i="533" a="1"/>
  <c r="J431" i="533"/>
  <c r="J431" i="533" a="1"/>
  <c r="H431" i="533"/>
  <c r="V430" i="533"/>
  <c r="W430" i="533" s="1"/>
  <c r="N430" i="533"/>
  <c r="K430" i="533" a="1"/>
  <c r="K430" i="533" s="1"/>
  <c r="M430" i="533" s="1"/>
  <c r="J430" i="533" a="1"/>
  <c r="J430" i="533" s="1"/>
  <c r="H430" i="533"/>
  <c r="V429" i="533"/>
  <c r="W429" i="533" s="1"/>
  <c r="N429" i="533"/>
  <c r="K429" i="533"/>
  <c r="M429" i="533" s="1"/>
  <c r="K429" i="533" a="1"/>
  <c r="J429" i="533"/>
  <c r="J429" i="533" a="1"/>
  <c r="H429" i="533"/>
  <c r="V428" i="533"/>
  <c r="W428" i="533" s="1"/>
  <c r="N428" i="533"/>
  <c r="K428" i="533" a="1"/>
  <c r="K428" i="533" s="1"/>
  <c r="M428" i="533" s="1"/>
  <c r="J428" i="533" a="1"/>
  <c r="J428" i="533" s="1"/>
  <c r="H428" i="533"/>
  <c r="W427" i="533"/>
  <c r="V427" i="533"/>
  <c r="N427" i="533"/>
  <c r="K427" i="533" a="1"/>
  <c r="K427" i="533" s="1"/>
  <c r="M427" i="533" s="1"/>
  <c r="J427" i="533" a="1"/>
  <c r="J427" i="533" s="1"/>
  <c r="H427" i="533"/>
  <c r="H461" i="533" s="1"/>
  <c r="AA426" i="533"/>
  <c r="Z426" i="533"/>
  <c r="Y426" i="533"/>
  <c r="X426" i="533"/>
  <c r="U426" i="533"/>
  <c r="T426" i="533"/>
  <c r="S426" i="533"/>
  <c r="R426" i="533"/>
  <c r="Q426" i="533"/>
  <c r="P426" i="533"/>
  <c r="O426" i="533"/>
  <c r="I426" i="533"/>
  <c r="G426" i="533"/>
  <c r="J426" i="533" s="1" a="1"/>
  <c r="J426" i="533" s="1"/>
  <c r="K425" i="533" a="1"/>
  <c r="K425" i="533" s="1"/>
  <c r="M425" i="533" s="1"/>
  <c r="H425" i="533"/>
  <c r="K424" i="533" a="1"/>
  <c r="K424" i="533" s="1"/>
  <c r="M424" i="533" s="1"/>
  <c r="H424" i="533"/>
  <c r="K423" i="533" a="1"/>
  <c r="K423" i="533" s="1"/>
  <c r="M423" i="533" s="1"/>
  <c r="H423" i="533"/>
  <c r="K422" i="533" a="1"/>
  <c r="K422" i="533" s="1"/>
  <c r="M422" i="533" s="1"/>
  <c r="H422" i="533"/>
  <c r="K421" i="533" a="1"/>
  <c r="K421" i="533" s="1"/>
  <c r="M421" i="533" s="1"/>
  <c r="H421" i="533"/>
  <c r="K420" i="533" a="1"/>
  <c r="K420" i="533" s="1"/>
  <c r="M420" i="533" s="1"/>
  <c r="H420" i="533"/>
  <c r="K419" i="533" a="1"/>
  <c r="K419" i="533" s="1"/>
  <c r="M419" i="533" s="1"/>
  <c r="H419" i="533"/>
  <c r="K418" i="533" a="1"/>
  <c r="K418" i="533" s="1"/>
  <c r="M418" i="533" s="1"/>
  <c r="H418" i="533"/>
  <c r="K417" i="533" a="1"/>
  <c r="K417" i="533" s="1"/>
  <c r="M417" i="533" s="1"/>
  <c r="H417" i="533"/>
  <c r="K416" i="533" a="1"/>
  <c r="K416" i="533" s="1"/>
  <c r="M416" i="533" s="1"/>
  <c r="H416" i="533"/>
  <c r="W415" i="533"/>
  <c r="V415" i="533"/>
  <c r="N415" i="533"/>
  <c r="K415" i="533" a="1"/>
  <c r="K415" i="533" s="1"/>
  <c r="M415" i="533" s="1"/>
  <c r="J415" i="533" a="1"/>
  <c r="J415" i="533" s="1"/>
  <c r="H415" i="533"/>
  <c r="V414" i="533"/>
  <c r="W414" i="533" s="1"/>
  <c r="N414" i="533"/>
  <c r="K414" i="533" a="1"/>
  <c r="K414" i="533" s="1"/>
  <c r="M414" i="533" s="1"/>
  <c r="J414" i="533" a="1"/>
  <c r="J414" i="533" s="1"/>
  <c r="H414" i="533"/>
  <c r="V413" i="533"/>
  <c r="W413" i="533" s="1"/>
  <c r="N413" i="533"/>
  <c r="K413" i="533"/>
  <c r="M413" i="533" s="1"/>
  <c r="K413" i="533" a="1"/>
  <c r="J413" i="533"/>
  <c r="J413" i="533" a="1"/>
  <c r="H413" i="533"/>
  <c r="V412" i="533"/>
  <c r="W412" i="533" s="1"/>
  <c r="N412" i="533"/>
  <c r="K412" i="533" a="1"/>
  <c r="K412" i="533" s="1"/>
  <c r="M412" i="533" s="1"/>
  <c r="J412" i="533" a="1"/>
  <c r="J412" i="533" s="1"/>
  <c r="H412" i="533"/>
  <c r="H411" i="533"/>
  <c r="V410" i="533"/>
  <c r="W410" i="533" s="1"/>
  <c r="N410" i="533"/>
  <c r="K410" i="533" a="1"/>
  <c r="K410" i="533" s="1"/>
  <c r="M410" i="533" s="1"/>
  <c r="J410" i="533" a="1"/>
  <c r="J410" i="533" s="1"/>
  <c r="H410" i="533"/>
  <c r="W409" i="533"/>
  <c r="V409" i="533"/>
  <c r="N409" i="533"/>
  <c r="K409" i="533" a="1"/>
  <c r="K409" i="533" s="1"/>
  <c r="M409" i="533" s="1"/>
  <c r="J409" i="533" a="1"/>
  <c r="J409" i="533" s="1"/>
  <c r="H409" i="533"/>
  <c r="H408" i="533"/>
  <c r="K407" i="533" a="1"/>
  <c r="K407" i="533" s="1"/>
  <c r="H407" i="533"/>
  <c r="V406" i="533"/>
  <c r="W406" i="533" s="1"/>
  <c r="N406" i="533"/>
  <c r="K406" i="533" a="1"/>
  <c r="K406" i="533" s="1"/>
  <c r="M406" i="533" s="1"/>
  <c r="J406" i="533" a="1"/>
  <c r="J406" i="533" s="1"/>
  <c r="H406" i="533"/>
  <c r="V405" i="533"/>
  <c r="W405" i="533" s="1"/>
  <c r="N405" i="533"/>
  <c r="K405" i="533"/>
  <c r="M405" i="533" s="1"/>
  <c r="K405" i="533" a="1"/>
  <c r="J405" i="533"/>
  <c r="J405" i="533" a="1"/>
  <c r="H405" i="533"/>
  <c r="V404" i="533"/>
  <c r="W404" i="533" s="1"/>
  <c r="N404" i="533"/>
  <c r="K404" i="533" a="1"/>
  <c r="K404" i="533" s="1"/>
  <c r="M404" i="533" s="1"/>
  <c r="J404" i="533" a="1"/>
  <c r="J404" i="533" s="1"/>
  <c r="H404" i="533"/>
  <c r="W403" i="533"/>
  <c r="V403" i="533"/>
  <c r="N403" i="533"/>
  <c r="K403" i="533" a="1"/>
  <c r="K403" i="533" s="1"/>
  <c r="M403" i="533" s="1"/>
  <c r="J403" i="533" a="1"/>
  <c r="J403" i="533" s="1"/>
  <c r="H403" i="533"/>
  <c r="V402" i="533"/>
  <c r="W402" i="533" s="1"/>
  <c r="N402" i="533"/>
  <c r="K402" i="533" a="1"/>
  <c r="K402" i="533" s="1"/>
  <c r="M402" i="533" s="1"/>
  <c r="J402" i="533" a="1"/>
  <c r="J402" i="533" s="1"/>
  <c r="H402" i="533"/>
  <c r="V401" i="533"/>
  <c r="W401" i="533" s="1"/>
  <c r="N401" i="533"/>
  <c r="K401" i="533"/>
  <c r="M401" i="533" s="1"/>
  <c r="K401" i="533" a="1"/>
  <c r="J401" i="533"/>
  <c r="J401" i="533" a="1"/>
  <c r="H401" i="533"/>
  <c r="V400" i="533"/>
  <c r="W400" i="533" s="1"/>
  <c r="N400" i="533"/>
  <c r="K400" i="533" a="1"/>
  <c r="K400" i="533" s="1"/>
  <c r="M400" i="533" s="1"/>
  <c r="J400" i="533" a="1"/>
  <c r="J400" i="533" s="1"/>
  <c r="H400" i="533"/>
  <c r="W399" i="533"/>
  <c r="V399" i="533"/>
  <c r="N399" i="533"/>
  <c r="K399" i="533" a="1"/>
  <c r="K399" i="533" s="1"/>
  <c r="M399" i="533" s="1"/>
  <c r="J399" i="533" a="1"/>
  <c r="J399" i="533" s="1"/>
  <c r="H399" i="533"/>
  <c r="V398" i="533"/>
  <c r="W398" i="533" s="1"/>
  <c r="N398" i="533"/>
  <c r="K398" i="533" a="1"/>
  <c r="K398" i="533" s="1"/>
  <c r="M398" i="533" s="1"/>
  <c r="J398" i="533" a="1"/>
  <c r="J398" i="533" s="1"/>
  <c r="H398" i="533"/>
  <c r="V397" i="533"/>
  <c r="W397" i="533" s="1"/>
  <c r="N397" i="533"/>
  <c r="K397" i="533"/>
  <c r="M397" i="533" s="1"/>
  <c r="K397" i="533" a="1"/>
  <c r="J397" i="533"/>
  <c r="J397" i="533" a="1"/>
  <c r="H397" i="533"/>
  <c r="K396" i="533" a="1"/>
  <c r="K396" i="533" s="1"/>
  <c r="M396" i="533" s="1"/>
  <c r="H396" i="533"/>
  <c r="K395" i="533"/>
  <c r="M395" i="533" s="1"/>
  <c r="K395" i="533" a="1"/>
  <c r="H395" i="533"/>
  <c r="K394" i="533" a="1"/>
  <c r="K394" i="533" s="1"/>
  <c r="M394" i="533" s="1"/>
  <c r="H394" i="533"/>
  <c r="K393" i="533"/>
  <c r="M393" i="533" s="1"/>
  <c r="K393" i="533" a="1"/>
  <c r="H393" i="533"/>
  <c r="N392" i="533"/>
  <c r="K392" i="533" a="1"/>
  <c r="K392" i="533" s="1"/>
  <c r="M392" i="533" s="1"/>
  <c r="H392" i="533"/>
  <c r="N391" i="533"/>
  <c r="K391" i="533" a="1"/>
  <c r="K391" i="533" s="1"/>
  <c r="M391" i="533" s="1"/>
  <c r="H391" i="533"/>
  <c r="N390" i="533"/>
  <c r="K390" i="533" a="1"/>
  <c r="K390" i="533" s="1"/>
  <c r="M390" i="533" s="1"/>
  <c r="H390" i="533"/>
  <c r="N389" i="533"/>
  <c r="K389" i="533"/>
  <c r="M389" i="533" s="1"/>
  <c r="K389" i="533" a="1"/>
  <c r="H389" i="533"/>
  <c r="V388" i="533"/>
  <c r="W388" i="533" s="1"/>
  <c r="N388" i="533"/>
  <c r="K388" i="533" a="1"/>
  <c r="K388" i="533" s="1"/>
  <c r="M388" i="533" s="1"/>
  <c r="J388" i="533" a="1"/>
  <c r="J388" i="533" s="1"/>
  <c r="H388" i="533"/>
  <c r="W387" i="533"/>
  <c r="V387" i="533"/>
  <c r="N387" i="533"/>
  <c r="K387" i="533" a="1"/>
  <c r="K387" i="533" s="1"/>
  <c r="M387" i="533" s="1"/>
  <c r="J387" i="533" a="1"/>
  <c r="J387" i="533" s="1"/>
  <c r="H387" i="533"/>
  <c r="V386" i="533"/>
  <c r="W386" i="533" s="1"/>
  <c r="N386" i="533"/>
  <c r="K386" i="533" a="1"/>
  <c r="K386" i="533" s="1"/>
  <c r="M386" i="533" s="1"/>
  <c r="J386" i="533" a="1"/>
  <c r="J386" i="533" s="1"/>
  <c r="H386" i="533"/>
  <c r="V385" i="533"/>
  <c r="W385" i="533" s="1"/>
  <c r="N385" i="533"/>
  <c r="K385" i="533"/>
  <c r="M385" i="533" s="1"/>
  <c r="K385" i="533" a="1"/>
  <c r="J385" i="533"/>
  <c r="J385" i="533" a="1"/>
  <c r="H385" i="533"/>
  <c r="V384" i="533"/>
  <c r="W384" i="533" s="1"/>
  <c r="N384" i="533"/>
  <c r="K384" i="533" a="1"/>
  <c r="K384" i="533" s="1"/>
  <c r="M384" i="533" s="1"/>
  <c r="J384" i="533" a="1"/>
  <c r="J384" i="533" s="1"/>
  <c r="H384" i="533"/>
  <c r="W383" i="533"/>
  <c r="V383" i="533"/>
  <c r="N383" i="533"/>
  <c r="K383" i="533" a="1"/>
  <c r="K383" i="533" s="1"/>
  <c r="M383" i="533" s="1"/>
  <c r="J383" i="533" a="1"/>
  <c r="J383" i="533" s="1"/>
  <c r="H383" i="533"/>
  <c r="V382" i="533"/>
  <c r="W382" i="533" s="1"/>
  <c r="N382" i="533"/>
  <c r="K382" i="533" a="1"/>
  <c r="K382" i="533" s="1"/>
  <c r="M382" i="533" s="1"/>
  <c r="J382" i="533" a="1"/>
  <c r="J382" i="533" s="1"/>
  <c r="H382" i="533"/>
  <c r="V381" i="533"/>
  <c r="W381" i="533" s="1"/>
  <c r="N381" i="533"/>
  <c r="K381" i="533"/>
  <c r="M381" i="533" s="1"/>
  <c r="K381" i="533" a="1"/>
  <c r="J381" i="533"/>
  <c r="J381" i="533" a="1"/>
  <c r="H381" i="533"/>
  <c r="V380" i="533"/>
  <c r="W380" i="533" s="1"/>
  <c r="N380" i="533"/>
  <c r="K380" i="533" a="1"/>
  <c r="K380" i="533" s="1"/>
  <c r="M380" i="533" s="1"/>
  <c r="J380" i="533" a="1"/>
  <c r="J380" i="533" s="1"/>
  <c r="H380" i="533"/>
  <c r="W379" i="533"/>
  <c r="V379" i="533"/>
  <c r="N379" i="533"/>
  <c r="K379" i="533" a="1"/>
  <c r="K379" i="533" s="1"/>
  <c r="M379" i="533" s="1"/>
  <c r="J379" i="533" a="1"/>
  <c r="J379" i="533" s="1"/>
  <c r="H379" i="533"/>
  <c r="V378" i="533"/>
  <c r="W378" i="533" s="1"/>
  <c r="N378" i="533"/>
  <c r="K378" i="533" a="1"/>
  <c r="K378" i="533" s="1"/>
  <c r="M378" i="533" s="1"/>
  <c r="J378" i="533" a="1"/>
  <c r="J378" i="533" s="1"/>
  <c r="H378" i="533"/>
  <c r="V377" i="533"/>
  <c r="W377" i="533" s="1"/>
  <c r="N377" i="533"/>
  <c r="K377" i="533"/>
  <c r="M377" i="533" s="1"/>
  <c r="K377" i="533" a="1"/>
  <c r="J377" i="533"/>
  <c r="J377" i="533" a="1"/>
  <c r="H377" i="533"/>
  <c r="K376" i="533" a="1"/>
  <c r="K376" i="533" s="1"/>
  <c r="M376" i="533" s="1"/>
  <c r="H376" i="533"/>
  <c r="K375" i="533"/>
  <c r="M375" i="533" s="1"/>
  <c r="K375" i="533" a="1"/>
  <c r="H375" i="533"/>
  <c r="K374" i="533" a="1"/>
  <c r="K374" i="533" s="1"/>
  <c r="M374" i="533" s="1"/>
  <c r="H374" i="533"/>
  <c r="V373" i="533"/>
  <c r="W373" i="533" s="1"/>
  <c r="N373" i="533"/>
  <c r="K373" i="533" a="1"/>
  <c r="K373" i="533" s="1"/>
  <c r="M373" i="533" s="1"/>
  <c r="J373" i="533" a="1"/>
  <c r="J373" i="533" s="1"/>
  <c r="H373" i="533"/>
  <c r="V372" i="533"/>
  <c r="W372" i="533" s="1"/>
  <c r="N372" i="533"/>
  <c r="K372" i="533"/>
  <c r="M372" i="533" s="1"/>
  <c r="K372" i="533" a="1"/>
  <c r="J372" i="533"/>
  <c r="J372" i="533" a="1"/>
  <c r="H372" i="533"/>
  <c r="V371" i="533"/>
  <c r="W371" i="533" s="1"/>
  <c r="N371" i="533"/>
  <c r="K371" i="533" a="1"/>
  <c r="K371" i="533" s="1"/>
  <c r="M371" i="533" s="1"/>
  <c r="J371" i="533" a="1"/>
  <c r="J371" i="533" s="1"/>
  <c r="H371" i="533"/>
  <c r="K370" i="533" a="1"/>
  <c r="K370" i="533" s="1"/>
  <c r="H370" i="533"/>
  <c r="V369" i="533"/>
  <c r="W369" i="533" s="1"/>
  <c r="N369" i="533"/>
  <c r="N426" i="533" s="1"/>
  <c r="K369" i="533" a="1"/>
  <c r="K369" i="533" s="1"/>
  <c r="J369" i="533" a="1"/>
  <c r="J369" i="533" s="1"/>
  <c r="H369" i="533"/>
  <c r="H426" i="533" s="1"/>
  <c r="AA368" i="533"/>
  <c r="AA504" i="533" s="1"/>
  <c r="Z368" i="533"/>
  <c r="Z504" i="533" s="1"/>
  <c r="Y368" i="533"/>
  <c r="Y504" i="533" s="1"/>
  <c r="X368" i="533"/>
  <c r="X504" i="533" s="1"/>
  <c r="U368" i="533"/>
  <c r="U504" i="533" s="1"/>
  <c r="T368" i="533"/>
  <c r="T504" i="533" s="1"/>
  <c r="S368" i="533"/>
  <c r="S504" i="533" s="1"/>
  <c r="R368" i="533"/>
  <c r="R504" i="533" s="1"/>
  <c r="Q368" i="533"/>
  <c r="Q504" i="533" s="1"/>
  <c r="P368" i="533"/>
  <c r="P504" i="533" s="1"/>
  <c r="O368" i="533"/>
  <c r="I368" i="533"/>
  <c r="I504" i="533" s="1"/>
  <c r="B512" i="533" s="1"/>
  <c r="G368" i="533"/>
  <c r="G504" i="533" s="1"/>
  <c r="V367" i="533"/>
  <c r="W367" i="533" s="1"/>
  <c r="N367" i="533"/>
  <c r="K367" i="533" a="1"/>
  <c r="K367" i="533" s="1"/>
  <c r="M367" i="533" s="1"/>
  <c r="J367" i="533" a="1"/>
  <c r="J367" i="533" s="1"/>
  <c r="H367" i="533"/>
  <c r="V366" i="533"/>
  <c r="W366" i="533" s="1"/>
  <c r="N366" i="533"/>
  <c r="K366" i="533"/>
  <c r="M366" i="533" s="1"/>
  <c r="K366" i="533" a="1"/>
  <c r="J366" i="533"/>
  <c r="J366" i="533" a="1"/>
  <c r="H366" i="533"/>
  <c r="K365" i="533" a="1"/>
  <c r="K365" i="533" s="1"/>
  <c r="M365" i="533" s="1"/>
  <c r="H365" i="533"/>
  <c r="K364" i="533"/>
  <c r="M364" i="533" s="1"/>
  <c r="K364" i="533" a="1"/>
  <c r="H364" i="533"/>
  <c r="K363" i="533" a="1"/>
  <c r="K363" i="533" s="1"/>
  <c r="M363" i="533" s="1"/>
  <c r="H363" i="533"/>
  <c r="K362" i="533"/>
  <c r="M362" i="533" s="1"/>
  <c r="K362" i="533" a="1"/>
  <c r="H362" i="533"/>
  <c r="V361" i="533"/>
  <c r="W361" i="533" s="1"/>
  <c r="N361" i="533"/>
  <c r="K361" i="533" a="1"/>
  <c r="K361" i="533" s="1"/>
  <c r="M361" i="533" s="1"/>
  <c r="J361" i="533" a="1"/>
  <c r="J361" i="533" s="1"/>
  <c r="H361" i="533"/>
  <c r="V360" i="533"/>
  <c r="W360" i="533" s="1"/>
  <c r="N360" i="533"/>
  <c r="K360" i="533" a="1"/>
  <c r="K360" i="533" s="1"/>
  <c r="M360" i="533" s="1"/>
  <c r="J360" i="533" a="1"/>
  <c r="J360" i="533" s="1"/>
  <c r="H360" i="533"/>
  <c r="V359" i="533"/>
  <c r="W359" i="533" s="1"/>
  <c r="N359" i="533"/>
  <c r="K359" i="533" a="1"/>
  <c r="K359" i="533" s="1"/>
  <c r="M359" i="533" s="1"/>
  <c r="J359" i="533" a="1"/>
  <c r="J359" i="533" s="1"/>
  <c r="H359" i="533"/>
  <c r="H358" i="533"/>
  <c r="H357" i="533"/>
  <c r="V356" i="533"/>
  <c r="W356" i="533" s="1"/>
  <c r="N356" i="533"/>
  <c r="K356" i="533"/>
  <c r="M356" i="533" s="1"/>
  <c r="K356" i="533" a="1"/>
  <c r="J356" i="533"/>
  <c r="J356" i="533" a="1"/>
  <c r="H356" i="533"/>
  <c r="V355" i="533"/>
  <c r="W355" i="533" s="1"/>
  <c r="N355" i="533"/>
  <c r="K355" i="533" a="1"/>
  <c r="K355" i="533" s="1"/>
  <c r="M355" i="533" s="1"/>
  <c r="J355" i="533" a="1"/>
  <c r="J355" i="533" s="1"/>
  <c r="H355" i="533"/>
  <c r="K354" i="533" a="1"/>
  <c r="K354" i="533" s="1"/>
  <c r="M354" i="533" s="1"/>
  <c r="H354" i="533"/>
  <c r="K353" i="533" a="1"/>
  <c r="K353" i="533" s="1"/>
  <c r="M353" i="533" s="1"/>
  <c r="H353" i="533"/>
  <c r="W352" i="533"/>
  <c r="V352" i="533"/>
  <c r="N352" i="533"/>
  <c r="K352" i="533" a="1"/>
  <c r="K352" i="533" s="1"/>
  <c r="M352" i="533" s="1"/>
  <c r="J352" i="533" a="1"/>
  <c r="J352" i="533" s="1"/>
  <c r="H352" i="533"/>
  <c r="V351" i="533"/>
  <c r="W351" i="533" s="1"/>
  <c r="N351" i="533"/>
  <c r="K351" i="533" a="1"/>
  <c r="K351" i="533" s="1"/>
  <c r="M351" i="533" s="1"/>
  <c r="J351" i="533" a="1"/>
  <c r="J351" i="533" s="1"/>
  <c r="H351" i="533"/>
  <c r="V350" i="533"/>
  <c r="W350" i="533" s="1"/>
  <c r="N350" i="533"/>
  <c r="K350" i="533"/>
  <c r="M350" i="533" s="1"/>
  <c r="K350" i="533" a="1"/>
  <c r="J350" i="533"/>
  <c r="J350" i="533" a="1"/>
  <c r="H350" i="533"/>
  <c r="V349" i="533"/>
  <c r="W349" i="533" s="1"/>
  <c r="N349" i="533"/>
  <c r="K349" i="533" a="1"/>
  <c r="K349" i="533" s="1"/>
  <c r="M349" i="533" s="1"/>
  <c r="J349" i="533" a="1"/>
  <c r="J349" i="533" s="1"/>
  <c r="H349" i="533"/>
  <c r="W348" i="533"/>
  <c r="V348" i="533"/>
  <c r="N348" i="533"/>
  <c r="K348" i="533" a="1"/>
  <c r="K348" i="533" s="1"/>
  <c r="M348" i="533" s="1"/>
  <c r="J348" i="533" a="1"/>
  <c r="J348" i="533" s="1"/>
  <c r="H348" i="533"/>
  <c r="V347" i="533"/>
  <c r="V368" i="533" s="1"/>
  <c r="N347" i="533"/>
  <c r="K347" i="533" a="1"/>
  <c r="K347" i="533" s="1"/>
  <c r="J347" i="533" a="1"/>
  <c r="J347" i="533" s="1"/>
  <c r="H347" i="533"/>
  <c r="H368" i="533" s="1"/>
  <c r="X341" i="533"/>
  <c r="X340" i="533"/>
  <c r="X339" i="533"/>
  <c r="G339" i="533"/>
  <c r="E339" i="533"/>
  <c r="C339" i="533"/>
  <c r="X338" i="533"/>
  <c r="I338" i="533"/>
  <c r="E338" i="533"/>
  <c r="K338" i="533" s="1"/>
  <c r="M338" i="533" s="1"/>
  <c r="I337" i="533"/>
  <c r="E337" i="533"/>
  <c r="I336" i="533"/>
  <c r="E336" i="533"/>
  <c r="K336" i="533" s="1"/>
  <c r="M336" i="533" s="1"/>
  <c r="X335" i="533"/>
  <c r="I335" i="533"/>
  <c r="E335" i="533"/>
  <c r="K335" i="533" s="1"/>
  <c r="AA332" i="533"/>
  <c r="Z332" i="533"/>
  <c r="Y332" i="533"/>
  <c r="X332" i="533"/>
  <c r="U332" i="533"/>
  <c r="T332" i="533"/>
  <c r="S332" i="533"/>
  <c r="R332" i="533"/>
  <c r="Q332" i="533"/>
  <c r="P332" i="533"/>
  <c r="O332" i="533"/>
  <c r="R340" i="533" s="1"/>
  <c r="I332" i="533"/>
  <c r="G332" i="533"/>
  <c r="K331" i="533" a="1"/>
  <c r="K331" i="533" s="1"/>
  <c r="H331" i="533"/>
  <c r="K330" i="533"/>
  <c r="K330" i="533" a="1"/>
  <c r="H330" i="533"/>
  <c r="K329" i="533" a="1"/>
  <c r="K329" i="533" s="1"/>
  <c r="H329" i="533"/>
  <c r="V328" i="533"/>
  <c r="W328" i="533" s="1"/>
  <c r="N328" i="533"/>
  <c r="K328" i="533" a="1"/>
  <c r="K328" i="533" s="1"/>
  <c r="D328" i="533"/>
  <c r="H328" i="533" s="1"/>
  <c r="H327" i="533"/>
  <c r="K326" i="533" a="1"/>
  <c r="K326" i="533" s="1"/>
  <c r="H326" i="533"/>
  <c r="H325" i="533"/>
  <c r="V324" i="533"/>
  <c r="W324" i="533" s="1"/>
  <c r="N324" i="533"/>
  <c r="K324" i="533" a="1"/>
  <c r="K324" i="533" s="1"/>
  <c r="M324" i="533" s="1"/>
  <c r="J324" i="533" a="1"/>
  <c r="J324" i="533" s="1"/>
  <c r="H324" i="533"/>
  <c r="V323" i="533"/>
  <c r="W323" i="533" s="1"/>
  <c r="N323" i="533"/>
  <c r="K323" i="533" a="1"/>
  <c r="K323" i="533" s="1"/>
  <c r="M323" i="533" s="1"/>
  <c r="J323" i="533" a="1"/>
  <c r="J323" i="533" s="1"/>
  <c r="H323" i="533"/>
  <c r="H322" i="533"/>
  <c r="V321" i="533"/>
  <c r="W321" i="533" s="1"/>
  <c r="N321" i="533"/>
  <c r="K321" i="533" a="1"/>
  <c r="K321" i="533" s="1"/>
  <c r="M321" i="533" s="1"/>
  <c r="J321" i="533" a="1"/>
  <c r="J321" i="533" s="1"/>
  <c r="H321" i="533"/>
  <c r="V320" i="533"/>
  <c r="W320" i="533" s="1"/>
  <c r="N320" i="533"/>
  <c r="K320" i="533"/>
  <c r="M320" i="533" s="1"/>
  <c r="K320" i="533" a="1"/>
  <c r="J320" i="533"/>
  <c r="J320" i="533" a="1"/>
  <c r="H320" i="533"/>
  <c r="V319" i="533"/>
  <c r="W319" i="533" s="1"/>
  <c r="N319" i="533"/>
  <c r="K319" i="533" a="1"/>
  <c r="K319" i="533" s="1"/>
  <c r="M319" i="533" s="1"/>
  <c r="J319" i="533" a="1"/>
  <c r="J319" i="533" s="1"/>
  <c r="H319" i="533"/>
  <c r="V318" i="533"/>
  <c r="W318" i="533" s="1"/>
  <c r="W332" i="533" s="1"/>
  <c r="N318" i="533"/>
  <c r="N332" i="533" s="1"/>
  <c r="K318" i="533" a="1"/>
  <c r="K318" i="533" s="1"/>
  <c r="M318" i="533" s="1"/>
  <c r="J318" i="533" a="1"/>
  <c r="J318" i="533" s="1"/>
  <c r="H318" i="533"/>
  <c r="AA317" i="533"/>
  <c r="Z317" i="533"/>
  <c r="Y317" i="533"/>
  <c r="X317" i="533"/>
  <c r="U317" i="533"/>
  <c r="T317" i="533"/>
  <c r="S317" i="533"/>
  <c r="Q317" i="533"/>
  <c r="P317" i="533"/>
  <c r="O317" i="533"/>
  <c r="I317" i="533"/>
  <c r="G317" i="533"/>
  <c r="J317" i="533" s="1" a="1"/>
  <c r="J317" i="533" s="1"/>
  <c r="V316" i="533"/>
  <c r="W316" i="533" s="1"/>
  <c r="N316" i="533"/>
  <c r="K316" i="533" a="1"/>
  <c r="K316" i="533" s="1"/>
  <c r="M316" i="533" s="1"/>
  <c r="J316" i="533" a="1"/>
  <c r="J316" i="533" s="1"/>
  <c r="H316" i="533"/>
  <c r="H315" i="533"/>
  <c r="H314" i="533"/>
  <c r="H313" i="533"/>
  <c r="V312" i="533"/>
  <c r="W312" i="533" s="1"/>
  <c r="N312" i="533"/>
  <c r="K312" i="533" a="1"/>
  <c r="K312" i="533" s="1"/>
  <c r="M312" i="533" s="1"/>
  <c r="J312" i="533" a="1"/>
  <c r="J312" i="533" s="1"/>
  <c r="H312" i="533"/>
  <c r="V311" i="533"/>
  <c r="W311" i="533" s="1"/>
  <c r="N311" i="533"/>
  <c r="K311" i="533" a="1"/>
  <c r="K311" i="533" s="1"/>
  <c r="M311" i="533" s="1"/>
  <c r="J311" i="533" a="1"/>
  <c r="J311" i="533" s="1"/>
  <c r="H311" i="533"/>
  <c r="V310" i="533"/>
  <c r="W310" i="533" s="1"/>
  <c r="N310" i="533"/>
  <c r="K310" i="533" a="1"/>
  <c r="K310" i="533" s="1"/>
  <c r="M310" i="533" s="1"/>
  <c r="J310" i="533" a="1"/>
  <c r="J310" i="533" s="1"/>
  <c r="H310" i="533"/>
  <c r="V309" i="533"/>
  <c r="W309" i="533" s="1"/>
  <c r="N309" i="533"/>
  <c r="K309" i="533"/>
  <c r="M309" i="533" s="1"/>
  <c r="K309" i="533" a="1"/>
  <c r="J309" i="533"/>
  <c r="J309" i="533" a="1"/>
  <c r="H309" i="533"/>
  <c r="V308" i="533"/>
  <c r="V317" i="533" s="1"/>
  <c r="W317" i="533" s="1"/>
  <c r="N308" i="533"/>
  <c r="N317" i="533" s="1"/>
  <c r="K308" i="533" a="1"/>
  <c r="K308" i="533" s="1"/>
  <c r="J308" i="533" a="1"/>
  <c r="J308" i="533" s="1"/>
  <c r="H308" i="533"/>
  <c r="H317" i="533" s="1"/>
  <c r="AA307" i="533"/>
  <c r="Z307" i="533"/>
  <c r="Y307" i="533"/>
  <c r="X307" i="533"/>
  <c r="U307" i="533"/>
  <c r="T307" i="533"/>
  <c r="S307" i="533"/>
  <c r="Q307" i="533"/>
  <c r="P307" i="533"/>
  <c r="O307" i="533"/>
  <c r="I307" i="533"/>
  <c r="G307" i="533"/>
  <c r="V306" i="533"/>
  <c r="W306" i="533" s="1"/>
  <c r="N306" i="533"/>
  <c r="K306" i="533"/>
  <c r="M306" i="533" s="1"/>
  <c r="K306" i="533" a="1"/>
  <c r="J306" i="533"/>
  <c r="J306" i="533" a="1"/>
  <c r="H306" i="533"/>
  <c r="V305" i="533"/>
  <c r="W305" i="533" s="1"/>
  <c r="N305" i="533"/>
  <c r="K305" i="533" a="1"/>
  <c r="K305" i="533" s="1"/>
  <c r="M305" i="533" s="1"/>
  <c r="J305" i="533" a="1"/>
  <c r="J305" i="533" s="1"/>
  <c r="H305" i="533"/>
  <c r="V304" i="533"/>
  <c r="W304" i="533" s="1"/>
  <c r="N304" i="533"/>
  <c r="K304" i="533" a="1"/>
  <c r="K304" i="533" s="1"/>
  <c r="M304" i="533" s="1"/>
  <c r="J304" i="533" a="1"/>
  <c r="J304" i="533" s="1"/>
  <c r="H304" i="533"/>
  <c r="V303" i="533"/>
  <c r="W303" i="533" s="1"/>
  <c r="N303" i="533"/>
  <c r="K303" i="533" a="1"/>
  <c r="K303" i="533" s="1"/>
  <c r="M303" i="533" s="1"/>
  <c r="J303" i="533" a="1"/>
  <c r="J303" i="533" s="1"/>
  <c r="H303" i="533"/>
  <c r="V302" i="533"/>
  <c r="W302" i="533" s="1"/>
  <c r="N302" i="533"/>
  <c r="K302" i="533"/>
  <c r="M302" i="533" s="1"/>
  <c r="K302" i="533" a="1"/>
  <c r="J302" i="533"/>
  <c r="J302" i="533" a="1"/>
  <c r="H302" i="533"/>
  <c r="V301" i="533"/>
  <c r="W301" i="533" s="1"/>
  <c r="N301" i="533"/>
  <c r="K301" i="533" a="1"/>
  <c r="K301" i="533" s="1"/>
  <c r="M301" i="533" s="1"/>
  <c r="J301" i="533" a="1"/>
  <c r="J301" i="533" s="1"/>
  <c r="H301" i="533"/>
  <c r="W300" i="533"/>
  <c r="V300" i="533"/>
  <c r="N300" i="533"/>
  <c r="K300" i="533" a="1"/>
  <c r="K300" i="533" s="1"/>
  <c r="M300" i="533" s="1"/>
  <c r="J300" i="533" a="1"/>
  <c r="J300" i="533" s="1"/>
  <c r="H300" i="533"/>
  <c r="V299" i="533"/>
  <c r="W299" i="533" s="1"/>
  <c r="N299" i="533"/>
  <c r="K299" i="533" a="1"/>
  <c r="K299" i="533" s="1"/>
  <c r="M299" i="533" s="1"/>
  <c r="J299" i="533" a="1"/>
  <c r="J299" i="533" s="1"/>
  <c r="H299" i="533"/>
  <c r="V298" i="533"/>
  <c r="W298" i="533" s="1"/>
  <c r="N298" i="533"/>
  <c r="K298" i="533"/>
  <c r="M298" i="533" s="1"/>
  <c r="K298" i="533" a="1"/>
  <c r="J298" i="533"/>
  <c r="J298" i="533" a="1"/>
  <c r="H298" i="533"/>
  <c r="V297" i="533"/>
  <c r="W297" i="533" s="1"/>
  <c r="N297" i="533"/>
  <c r="K297" i="533" a="1"/>
  <c r="K297" i="533" s="1"/>
  <c r="M297" i="533" s="1"/>
  <c r="J297" i="533" a="1"/>
  <c r="J297" i="533" s="1"/>
  <c r="H297" i="533"/>
  <c r="W296" i="533"/>
  <c r="V296" i="533"/>
  <c r="N296" i="533"/>
  <c r="K296" i="533" a="1"/>
  <c r="K296" i="533" s="1"/>
  <c r="M296" i="533" s="1"/>
  <c r="J296" i="533" a="1"/>
  <c r="J296" i="533" s="1"/>
  <c r="H296" i="533"/>
  <c r="V295" i="533"/>
  <c r="W295" i="533" s="1"/>
  <c r="N295" i="533"/>
  <c r="K295" i="533" a="1"/>
  <c r="K295" i="533" s="1"/>
  <c r="M295" i="533" s="1"/>
  <c r="J295" i="533" a="1"/>
  <c r="J295" i="533" s="1"/>
  <c r="H295" i="533"/>
  <c r="V294" i="533"/>
  <c r="W294" i="533" s="1"/>
  <c r="N294" i="533"/>
  <c r="K294" i="533"/>
  <c r="M294" i="533" s="1"/>
  <c r="K294" i="533" a="1"/>
  <c r="J294" i="533"/>
  <c r="J294" i="533" a="1"/>
  <c r="H294" i="533"/>
  <c r="V293" i="533"/>
  <c r="W293" i="533" s="1"/>
  <c r="N293" i="533"/>
  <c r="K293" i="533" a="1"/>
  <c r="K293" i="533" s="1"/>
  <c r="M293" i="533" s="1"/>
  <c r="J293" i="533" a="1"/>
  <c r="J293" i="533" s="1"/>
  <c r="H293" i="533"/>
  <c r="W292" i="533"/>
  <c r="V292" i="533"/>
  <c r="N292" i="533"/>
  <c r="N307" i="533" s="1"/>
  <c r="K292" i="533" a="1"/>
  <c r="K292" i="533" s="1"/>
  <c r="J292" i="533" a="1"/>
  <c r="J292" i="533" s="1"/>
  <c r="H292" i="533"/>
  <c r="AA291" i="533"/>
  <c r="Z291" i="533"/>
  <c r="Y291" i="533"/>
  <c r="X291" i="533"/>
  <c r="U291" i="533"/>
  <c r="T291" i="533"/>
  <c r="S291" i="533"/>
  <c r="R291" i="533"/>
  <c r="Q291" i="533"/>
  <c r="P291" i="533"/>
  <c r="O291" i="533"/>
  <c r="I291" i="533"/>
  <c r="G291" i="533"/>
  <c r="V290" i="533"/>
  <c r="W290" i="533" s="1"/>
  <c r="N290" i="533"/>
  <c r="K290" i="533"/>
  <c r="M290" i="533" s="1"/>
  <c r="K290" i="533" a="1"/>
  <c r="J290" i="533"/>
  <c r="J290" i="533" a="1"/>
  <c r="H290" i="533"/>
  <c r="V289" i="533"/>
  <c r="W289" i="533" s="1"/>
  <c r="N289" i="533"/>
  <c r="K289" i="533" a="1"/>
  <c r="K289" i="533" s="1"/>
  <c r="M289" i="533" s="1"/>
  <c r="J289" i="533" a="1"/>
  <c r="J289" i="533" s="1"/>
  <c r="H289" i="533"/>
  <c r="W288" i="533"/>
  <c r="V288" i="533"/>
  <c r="N288" i="533"/>
  <c r="K288" i="533" a="1"/>
  <c r="K288" i="533" s="1"/>
  <c r="M288" i="533" s="1"/>
  <c r="J288" i="533" a="1"/>
  <c r="J288" i="533" s="1"/>
  <c r="H288" i="533"/>
  <c r="H287" i="533"/>
  <c r="H286" i="533"/>
  <c r="H285" i="533"/>
  <c r="V284" i="533"/>
  <c r="W284" i="533" s="1"/>
  <c r="N284" i="533"/>
  <c r="K284" i="533"/>
  <c r="M284" i="533" s="1"/>
  <c r="K284" i="533" a="1"/>
  <c r="J284" i="533"/>
  <c r="J284" i="533" a="1"/>
  <c r="H284" i="533"/>
  <c r="V283" i="533"/>
  <c r="W283" i="533" s="1"/>
  <c r="N283" i="533"/>
  <c r="K283" i="533" a="1"/>
  <c r="K283" i="533" s="1"/>
  <c r="M283" i="533" s="1"/>
  <c r="J283" i="533" a="1"/>
  <c r="J283" i="533" s="1"/>
  <c r="H283" i="533"/>
  <c r="N282" i="533"/>
  <c r="K282" i="533" a="1"/>
  <c r="K282" i="533" s="1"/>
  <c r="M282" i="533" s="1"/>
  <c r="H282" i="533"/>
  <c r="N281" i="533"/>
  <c r="K281" i="533" a="1"/>
  <c r="K281" i="533" s="1"/>
  <c r="M281" i="533" s="1"/>
  <c r="H281" i="533"/>
  <c r="N280" i="533"/>
  <c r="K280" i="533"/>
  <c r="M280" i="533" s="1"/>
  <c r="K280" i="533" a="1"/>
  <c r="H280" i="533"/>
  <c r="N279" i="533"/>
  <c r="K279" i="533" a="1"/>
  <c r="K279" i="533" s="1"/>
  <c r="M279" i="533" s="1"/>
  <c r="H279" i="533"/>
  <c r="N278" i="533"/>
  <c r="K278" i="533" a="1"/>
  <c r="K278" i="533" s="1"/>
  <c r="M278" i="533" s="1"/>
  <c r="H278" i="533"/>
  <c r="N277" i="533"/>
  <c r="K277" i="533" a="1"/>
  <c r="K277" i="533" s="1"/>
  <c r="M277" i="533" s="1"/>
  <c r="H277" i="533"/>
  <c r="W276" i="533"/>
  <c r="V276" i="533"/>
  <c r="N276" i="533"/>
  <c r="K276" i="533" a="1"/>
  <c r="K276" i="533" s="1"/>
  <c r="M276" i="533" s="1"/>
  <c r="J276" i="533" a="1"/>
  <c r="J276" i="533" s="1"/>
  <c r="H276" i="533"/>
  <c r="V275" i="533"/>
  <c r="W275" i="533" s="1"/>
  <c r="N275" i="533"/>
  <c r="K275" i="533" a="1"/>
  <c r="K275" i="533" s="1"/>
  <c r="M275" i="533" s="1"/>
  <c r="J275" i="533" a="1"/>
  <c r="J275" i="533" s="1"/>
  <c r="H275" i="533"/>
  <c r="V274" i="533"/>
  <c r="W274" i="533" s="1"/>
  <c r="N274" i="533"/>
  <c r="K274" i="533"/>
  <c r="M274" i="533" s="1"/>
  <c r="K274" i="533" a="1"/>
  <c r="J274" i="533"/>
  <c r="J274" i="533" a="1"/>
  <c r="H274" i="533"/>
  <c r="V273" i="533"/>
  <c r="W273" i="533" s="1"/>
  <c r="N273" i="533"/>
  <c r="K273" i="533" a="1"/>
  <c r="K273" i="533" s="1"/>
  <c r="M273" i="533" s="1"/>
  <c r="J273" i="533" a="1"/>
  <c r="J273" i="533" s="1"/>
  <c r="H273" i="533"/>
  <c r="W272" i="533"/>
  <c r="V272" i="533"/>
  <c r="N272" i="533"/>
  <c r="K272" i="533" a="1"/>
  <c r="K272" i="533" s="1"/>
  <c r="M272" i="533" s="1"/>
  <c r="J272" i="533" a="1"/>
  <c r="J272" i="533" s="1"/>
  <c r="H272" i="533"/>
  <c r="V271" i="533"/>
  <c r="W271" i="533" s="1"/>
  <c r="N271" i="533"/>
  <c r="K271" i="533" a="1"/>
  <c r="K271" i="533" s="1"/>
  <c r="M271" i="533" s="1"/>
  <c r="J271" i="533" a="1"/>
  <c r="J271" i="533" s="1"/>
  <c r="H271" i="533"/>
  <c r="V270" i="533"/>
  <c r="W270" i="533" s="1"/>
  <c r="N270" i="533"/>
  <c r="K270" i="533"/>
  <c r="M270" i="533" s="1"/>
  <c r="K270" i="533" a="1"/>
  <c r="J270" i="533"/>
  <c r="J270" i="533" a="1"/>
  <c r="H270" i="533"/>
  <c r="V269" i="533"/>
  <c r="W269" i="533" s="1"/>
  <c r="N269" i="533"/>
  <c r="K269" i="533" a="1"/>
  <c r="K269" i="533" s="1"/>
  <c r="M269" i="533" s="1"/>
  <c r="J269" i="533" a="1"/>
  <c r="J269" i="533" s="1"/>
  <c r="H269" i="533"/>
  <c r="W268" i="533"/>
  <c r="V268" i="533"/>
  <c r="N268" i="533"/>
  <c r="K268" i="533" a="1"/>
  <c r="K268" i="533" s="1"/>
  <c r="M268" i="533" s="1"/>
  <c r="J268" i="533" a="1"/>
  <c r="J268" i="533" s="1"/>
  <c r="H268" i="533"/>
  <c r="V267" i="533"/>
  <c r="W267" i="533" s="1"/>
  <c r="N267" i="533"/>
  <c r="K267" i="533" a="1"/>
  <c r="K267" i="533" s="1"/>
  <c r="M267" i="533" s="1"/>
  <c r="J267" i="533" a="1"/>
  <c r="J267" i="533" s="1"/>
  <c r="H267" i="533"/>
  <c r="V266" i="533"/>
  <c r="W266" i="533" s="1"/>
  <c r="N266" i="533"/>
  <c r="K266" i="533"/>
  <c r="M266" i="533" s="1"/>
  <c r="K266" i="533" a="1"/>
  <c r="J266" i="533"/>
  <c r="J266" i="533" a="1"/>
  <c r="H266" i="533"/>
  <c r="V265" i="533"/>
  <c r="W265" i="533" s="1"/>
  <c r="N265" i="533"/>
  <c r="K265" i="533" a="1"/>
  <c r="K265" i="533" s="1"/>
  <c r="M265" i="533" s="1"/>
  <c r="J265" i="533" a="1"/>
  <c r="J265" i="533" s="1"/>
  <c r="H265" i="533"/>
  <c r="N264" i="533"/>
  <c r="K264" i="533" a="1"/>
  <c r="K264" i="533" s="1"/>
  <c r="M264" i="533" s="1"/>
  <c r="H264" i="533"/>
  <c r="V263" i="533"/>
  <c r="W263" i="533" s="1"/>
  <c r="N263" i="533"/>
  <c r="K263" i="533" a="1"/>
  <c r="K263" i="533" s="1"/>
  <c r="M263" i="533" s="1"/>
  <c r="J263" i="533" a="1"/>
  <c r="J263" i="533" s="1"/>
  <c r="H263" i="533"/>
  <c r="V262" i="533"/>
  <c r="W262" i="533" s="1"/>
  <c r="N262" i="533"/>
  <c r="K262" i="533"/>
  <c r="M262" i="533" s="1"/>
  <c r="K262" i="533" a="1"/>
  <c r="J262" i="533"/>
  <c r="J262" i="533" a="1"/>
  <c r="H262" i="533"/>
  <c r="V261" i="533"/>
  <c r="W261" i="533" s="1"/>
  <c r="N261" i="533"/>
  <c r="K261" i="533" a="1"/>
  <c r="K261" i="533" s="1"/>
  <c r="M261" i="533" s="1"/>
  <c r="J261" i="533" a="1"/>
  <c r="J261" i="533" s="1"/>
  <c r="H261" i="533"/>
  <c r="W260" i="533"/>
  <c r="V260" i="533"/>
  <c r="N260" i="533"/>
  <c r="K260" i="533" a="1"/>
  <c r="K260" i="533" s="1"/>
  <c r="M260" i="533" s="1"/>
  <c r="J260" i="533" a="1"/>
  <c r="J260" i="533" s="1"/>
  <c r="H260" i="533"/>
  <c r="V259" i="533"/>
  <c r="W259" i="533" s="1"/>
  <c r="N259" i="533"/>
  <c r="K259" i="533" a="1"/>
  <c r="K259" i="533" s="1"/>
  <c r="M259" i="533" s="1"/>
  <c r="J259" i="533" a="1"/>
  <c r="J259" i="533" s="1"/>
  <c r="H259" i="533"/>
  <c r="V258" i="533"/>
  <c r="W258" i="533" s="1"/>
  <c r="N258" i="533"/>
  <c r="K258" i="533"/>
  <c r="M258" i="533" s="1"/>
  <c r="K258" i="533" a="1"/>
  <c r="J258" i="533"/>
  <c r="J258" i="533" a="1"/>
  <c r="H258" i="533"/>
  <c r="V257" i="533"/>
  <c r="N257" i="533"/>
  <c r="N291" i="533" s="1"/>
  <c r="K257" i="533" a="1"/>
  <c r="K257" i="533" s="1"/>
  <c r="J257" i="533" a="1"/>
  <c r="J257" i="533" s="1"/>
  <c r="H257" i="533"/>
  <c r="AA256" i="533"/>
  <c r="Z256" i="533"/>
  <c r="Y256" i="533"/>
  <c r="X256" i="533"/>
  <c r="U256" i="533"/>
  <c r="T256" i="533"/>
  <c r="S256" i="533"/>
  <c r="R256" i="533"/>
  <c r="Q256" i="533"/>
  <c r="P256" i="533"/>
  <c r="O256" i="533"/>
  <c r="R336" i="533" s="1"/>
  <c r="I256" i="533"/>
  <c r="G256" i="533"/>
  <c r="H255" i="533"/>
  <c r="H254" i="533"/>
  <c r="H253" i="533"/>
  <c r="H252" i="533"/>
  <c r="H251" i="533"/>
  <c r="H250" i="533"/>
  <c r="K249" i="533" a="1"/>
  <c r="K249" i="533" s="1"/>
  <c r="M249" i="533" s="1"/>
  <c r="H249" i="533"/>
  <c r="K248" i="533" a="1"/>
  <c r="K248" i="533" s="1"/>
  <c r="M248" i="533" s="1"/>
  <c r="H248" i="533"/>
  <c r="K247" i="533" a="1"/>
  <c r="K247" i="533" s="1"/>
  <c r="M247" i="533" s="1"/>
  <c r="H247" i="533"/>
  <c r="K246" i="533" a="1"/>
  <c r="K246" i="533" s="1"/>
  <c r="M246" i="533" s="1"/>
  <c r="H246" i="533"/>
  <c r="W245" i="533"/>
  <c r="V245" i="533"/>
  <c r="N245" i="533"/>
  <c r="K245" i="533" a="1"/>
  <c r="K245" i="533" s="1"/>
  <c r="M245" i="533" s="1"/>
  <c r="J245" i="533" a="1"/>
  <c r="J245" i="533" s="1"/>
  <c r="H245" i="533"/>
  <c r="V244" i="533"/>
  <c r="W244" i="533" s="1"/>
  <c r="N244" i="533"/>
  <c r="K244" i="533" a="1"/>
  <c r="K244" i="533" s="1"/>
  <c r="M244" i="533" s="1"/>
  <c r="J244" i="533" a="1"/>
  <c r="J244" i="533" s="1"/>
  <c r="H244" i="533"/>
  <c r="V243" i="533"/>
  <c r="W243" i="533" s="1"/>
  <c r="N243" i="533"/>
  <c r="K243" i="533"/>
  <c r="M243" i="533" s="1"/>
  <c r="K243" i="533" a="1"/>
  <c r="J243" i="533"/>
  <c r="J243" i="533" a="1"/>
  <c r="H243" i="533"/>
  <c r="V242" i="533"/>
  <c r="W242" i="533" s="1"/>
  <c r="N242" i="533"/>
  <c r="K242" i="533" a="1"/>
  <c r="K242" i="533" s="1"/>
  <c r="M242" i="533" s="1"/>
  <c r="J242" i="533" a="1"/>
  <c r="J242" i="533" s="1"/>
  <c r="H242" i="533"/>
  <c r="M241" i="533"/>
  <c r="H241" i="533"/>
  <c r="W240" i="533"/>
  <c r="V240" i="533"/>
  <c r="N240" i="533"/>
  <c r="K240" i="533" a="1"/>
  <c r="K240" i="533" s="1"/>
  <c r="M240" i="533" s="1"/>
  <c r="J240" i="533" a="1"/>
  <c r="J240" i="533" s="1"/>
  <c r="H240" i="533"/>
  <c r="V239" i="533"/>
  <c r="W239" i="533" s="1"/>
  <c r="N239" i="533"/>
  <c r="K239" i="533" a="1"/>
  <c r="K239" i="533" s="1"/>
  <c r="M239" i="533" s="1"/>
  <c r="J239" i="533" a="1"/>
  <c r="J239" i="533" s="1"/>
  <c r="H239" i="533"/>
  <c r="K238" i="533" a="1"/>
  <c r="K238" i="533" s="1"/>
  <c r="M238" i="533" s="1"/>
  <c r="H238" i="533"/>
  <c r="H237" i="533"/>
  <c r="V236" i="533"/>
  <c r="W236" i="533" s="1"/>
  <c r="N236" i="533"/>
  <c r="K236" i="533" a="1"/>
  <c r="K236" i="533" s="1"/>
  <c r="M236" i="533" s="1"/>
  <c r="J236" i="533" a="1"/>
  <c r="J236" i="533" s="1"/>
  <c r="H236" i="533"/>
  <c r="W235" i="533"/>
  <c r="V235" i="533"/>
  <c r="N235" i="533"/>
  <c r="K235" i="533" a="1"/>
  <c r="K235" i="533" s="1"/>
  <c r="M235" i="533" s="1"/>
  <c r="J235" i="533" a="1"/>
  <c r="J235" i="533" s="1"/>
  <c r="H235" i="533"/>
  <c r="V234" i="533"/>
  <c r="W234" i="533" s="1"/>
  <c r="N234" i="533"/>
  <c r="K234" i="533" a="1"/>
  <c r="K234" i="533" s="1"/>
  <c r="M234" i="533" s="1"/>
  <c r="J234" i="533" a="1"/>
  <c r="J234" i="533" s="1"/>
  <c r="H234" i="533"/>
  <c r="V233" i="533"/>
  <c r="W233" i="533" s="1"/>
  <c r="N233" i="533"/>
  <c r="K233" i="533" a="1"/>
  <c r="K233" i="533" s="1"/>
  <c r="M233" i="533" s="1"/>
  <c r="J233" i="533" a="1"/>
  <c r="J233" i="533" s="1"/>
  <c r="H233" i="533"/>
  <c r="V232" i="533"/>
  <c r="W232" i="533" s="1"/>
  <c r="N232" i="533"/>
  <c r="K232" i="533" a="1"/>
  <c r="K232" i="533" s="1"/>
  <c r="M232" i="533" s="1"/>
  <c r="J232" i="533" a="1"/>
  <c r="J232" i="533" s="1"/>
  <c r="H232" i="533"/>
  <c r="V231" i="533"/>
  <c r="W231" i="533" s="1"/>
  <c r="N231" i="533"/>
  <c r="K231" i="533" a="1"/>
  <c r="K231" i="533" s="1"/>
  <c r="M231" i="533" s="1"/>
  <c r="J231" i="533" a="1"/>
  <c r="J231" i="533" s="1"/>
  <c r="H231" i="533"/>
  <c r="V230" i="533"/>
  <c r="W230" i="533" s="1"/>
  <c r="N230" i="533"/>
  <c r="K230" i="533" a="1"/>
  <c r="K230" i="533" s="1"/>
  <c r="M230" i="533" s="1"/>
  <c r="J230" i="533" a="1"/>
  <c r="J230" i="533" s="1"/>
  <c r="H230" i="533"/>
  <c r="V229" i="533"/>
  <c r="W229" i="533" s="1"/>
  <c r="N229" i="533"/>
  <c r="K229" i="533"/>
  <c r="M229" i="533" s="1"/>
  <c r="K229" i="533" a="1"/>
  <c r="J229" i="533"/>
  <c r="J229" i="533" a="1"/>
  <c r="H229" i="533"/>
  <c r="V228" i="533"/>
  <c r="W228" i="533" s="1"/>
  <c r="N228" i="533"/>
  <c r="K228" i="533" a="1"/>
  <c r="K228" i="533" s="1"/>
  <c r="M228" i="533" s="1"/>
  <c r="J228" i="533" a="1"/>
  <c r="J228" i="533" s="1"/>
  <c r="H228" i="533"/>
  <c r="V227" i="533"/>
  <c r="W227" i="533" s="1"/>
  <c r="N227" i="533"/>
  <c r="K227" i="533" a="1"/>
  <c r="K227" i="533" s="1"/>
  <c r="M227" i="533" s="1"/>
  <c r="J227" i="533" a="1"/>
  <c r="J227" i="533" s="1"/>
  <c r="H227" i="533"/>
  <c r="N226" i="533"/>
  <c r="K226" i="533" a="1"/>
  <c r="K226" i="533" s="1"/>
  <c r="M226" i="533" s="1"/>
  <c r="H226" i="533"/>
  <c r="N225" i="533"/>
  <c r="K225" i="533" a="1"/>
  <c r="K225" i="533" s="1"/>
  <c r="M225" i="533" s="1"/>
  <c r="H225" i="533"/>
  <c r="N224" i="533"/>
  <c r="K224" i="533" a="1"/>
  <c r="K224" i="533" s="1"/>
  <c r="M224" i="533" s="1"/>
  <c r="H224" i="533"/>
  <c r="N223" i="533"/>
  <c r="K223" i="533" a="1"/>
  <c r="K223" i="533" s="1"/>
  <c r="M223" i="533" s="1"/>
  <c r="H223" i="533"/>
  <c r="N222" i="533"/>
  <c r="K222" i="533" a="1"/>
  <c r="K222" i="533" s="1"/>
  <c r="M222" i="533" s="1"/>
  <c r="H222" i="533"/>
  <c r="N221" i="533"/>
  <c r="K221" i="533" a="1"/>
  <c r="K221" i="533" s="1"/>
  <c r="M221" i="533" s="1"/>
  <c r="H221" i="533"/>
  <c r="N220" i="533"/>
  <c r="K220" i="533" a="1"/>
  <c r="K220" i="533" s="1"/>
  <c r="M220" i="533" s="1"/>
  <c r="H220" i="533"/>
  <c r="N219" i="533"/>
  <c r="K219" i="533" a="1"/>
  <c r="K219" i="533" s="1"/>
  <c r="M219" i="533" s="1"/>
  <c r="H219" i="533"/>
  <c r="V218" i="533"/>
  <c r="W218" i="533" s="1"/>
  <c r="N218" i="533"/>
  <c r="K218" i="533" a="1"/>
  <c r="K218" i="533" s="1"/>
  <c r="M218" i="533" s="1"/>
  <c r="J218" i="533" a="1"/>
  <c r="J218" i="533" s="1"/>
  <c r="H218" i="533"/>
  <c r="V217" i="533"/>
  <c r="W217" i="533" s="1"/>
  <c r="N217" i="533"/>
  <c r="K217" i="533"/>
  <c r="M217" i="533" s="1"/>
  <c r="K217" i="533" a="1"/>
  <c r="J217" i="533"/>
  <c r="J217" i="533" a="1"/>
  <c r="H217" i="533"/>
  <c r="V216" i="533"/>
  <c r="W216" i="533" s="1"/>
  <c r="N216" i="533"/>
  <c r="K216" i="533" a="1"/>
  <c r="K216" i="533" s="1"/>
  <c r="M216" i="533" s="1"/>
  <c r="J216" i="533" a="1"/>
  <c r="J216" i="533" s="1"/>
  <c r="H216" i="533"/>
  <c r="W215" i="533"/>
  <c r="V215" i="533"/>
  <c r="N215" i="533"/>
  <c r="K215" i="533" a="1"/>
  <c r="K215" i="533" s="1"/>
  <c r="M215" i="533" s="1"/>
  <c r="J215" i="533" a="1"/>
  <c r="J215" i="533" s="1"/>
  <c r="H215" i="533"/>
  <c r="V214" i="533"/>
  <c r="W214" i="533" s="1"/>
  <c r="N214" i="533"/>
  <c r="K214" i="533" a="1"/>
  <c r="K214" i="533" s="1"/>
  <c r="M214" i="533" s="1"/>
  <c r="J214" i="533" a="1"/>
  <c r="J214" i="533" s="1"/>
  <c r="H214" i="533"/>
  <c r="V213" i="533"/>
  <c r="W213" i="533" s="1"/>
  <c r="N213" i="533"/>
  <c r="K213" i="533"/>
  <c r="M213" i="533" s="1"/>
  <c r="K213" i="533" a="1"/>
  <c r="J213" i="533"/>
  <c r="J213" i="533" a="1"/>
  <c r="H213" i="533"/>
  <c r="V212" i="533"/>
  <c r="W212" i="533" s="1"/>
  <c r="N212" i="533"/>
  <c r="K212" i="533" a="1"/>
  <c r="K212" i="533" s="1"/>
  <c r="M212" i="533" s="1"/>
  <c r="J212" i="533" a="1"/>
  <c r="J212" i="533" s="1"/>
  <c r="H212" i="533"/>
  <c r="W211" i="533"/>
  <c r="V211" i="533"/>
  <c r="N211" i="533"/>
  <c r="K211" i="533" a="1"/>
  <c r="K211" i="533" s="1"/>
  <c r="M211" i="533" s="1"/>
  <c r="J211" i="533" a="1"/>
  <c r="J211" i="533" s="1"/>
  <c r="H211" i="533"/>
  <c r="V210" i="533"/>
  <c r="W210" i="533" s="1"/>
  <c r="N210" i="533"/>
  <c r="K210" i="533" a="1"/>
  <c r="K210" i="533" s="1"/>
  <c r="M210" i="533" s="1"/>
  <c r="J210" i="533" a="1"/>
  <c r="J210" i="533" s="1"/>
  <c r="H210" i="533"/>
  <c r="V209" i="533"/>
  <c r="W209" i="533" s="1"/>
  <c r="N209" i="533"/>
  <c r="K209" i="533"/>
  <c r="M209" i="533" s="1"/>
  <c r="K209" i="533" a="1"/>
  <c r="J209" i="533"/>
  <c r="J209" i="533" a="1"/>
  <c r="H209" i="533"/>
  <c r="V208" i="533"/>
  <c r="W208" i="533" s="1"/>
  <c r="N208" i="533"/>
  <c r="K208" i="533" a="1"/>
  <c r="K208" i="533" s="1"/>
  <c r="M208" i="533" s="1"/>
  <c r="J208" i="533" a="1"/>
  <c r="J208" i="533" s="1"/>
  <c r="H208" i="533"/>
  <c r="W207" i="533"/>
  <c r="V207" i="533"/>
  <c r="N207" i="533"/>
  <c r="K207" i="533" a="1"/>
  <c r="K207" i="533" s="1"/>
  <c r="M207" i="533" s="1"/>
  <c r="J207" i="533" a="1"/>
  <c r="J207" i="533" s="1"/>
  <c r="H207" i="533"/>
  <c r="H206" i="533"/>
  <c r="H205" i="533"/>
  <c r="H204" i="533"/>
  <c r="V203" i="533"/>
  <c r="W203" i="533" s="1"/>
  <c r="N203" i="533"/>
  <c r="K203" i="533"/>
  <c r="M203" i="533" s="1"/>
  <c r="K203" i="533" a="1"/>
  <c r="J203" i="533"/>
  <c r="J203" i="533" a="1"/>
  <c r="H203" i="533"/>
  <c r="V202" i="533"/>
  <c r="W202" i="533" s="1"/>
  <c r="N202" i="533"/>
  <c r="K202" i="533" a="1"/>
  <c r="K202" i="533" s="1"/>
  <c r="M202" i="533" s="1"/>
  <c r="J202" i="533" a="1"/>
  <c r="J202" i="533" s="1"/>
  <c r="H202" i="533"/>
  <c r="V201" i="533"/>
  <c r="W201" i="533" s="1"/>
  <c r="N201" i="533"/>
  <c r="K201" i="533"/>
  <c r="M201" i="533" s="1"/>
  <c r="K201" i="533" a="1"/>
  <c r="J201" i="533"/>
  <c r="J201" i="533" a="1"/>
  <c r="H201" i="533"/>
  <c r="H200" i="533"/>
  <c r="V199" i="533"/>
  <c r="V256" i="533" s="1"/>
  <c r="W256" i="533" s="1"/>
  <c r="N199" i="533"/>
  <c r="N256" i="533" s="1"/>
  <c r="K199" i="533" a="1"/>
  <c r="K199" i="533" s="1"/>
  <c r="J199" i="533" a="1"/>
  <c r="J199" i="533" s="1"/>
  <c r="H199" i="533"/>
  <c r="H256" i="533" s="1"/>
  <c r="AA198" i="533"/>
  <c r="AA333" i="533" s="1"/>
  <c r="Z198" i="533"/>
  <c r="Z333" i="533" s="1"/>
  <c r="Y198" i="533"/>
  <c r="Y333" i="533" s="1"/>
  <c r="X198" i="533"/>
  <c r="X333" i="533" s="1"/>
  <c r="U198" i="533"/>
  <c r="U333" i="533" s="1"/>
  <c r="T198" i="533"/>
  <c r="T333" i="533" s="1"/>
  <c r="S198" i="533"/>
  <c r="S333" i="533" s="1"/>
  <c r="R198" i="533"/>
  <c r="R333" i="533" s="1"/>
  <c r="Q198" i="533"/>
  <c r="Q333" i="533" s="1"/>
  <c r="P198" i="533"/>
  <c r="O198" i="533"/>
  <c r="I198" i="533"/>
  <c r="I333" i="533" s="1"/>
  <c r="B341" i="533" s="1"/>
  <c r="G198" i="533"/>
  <c r="G333" i="533" s="1"/>
  <c r="V197" i="533"/>
  <c r="W197" i="533" s="1"/>
  <c r="N197" i="533"/>
  <c r="K197" i="533" a="1"/>
  <c r="K197" i="533" s="1"/>
  <c r="M197" i="533" s="1"/>
  <c r="J197" i="533" a="1"/>
  <c r="J197" i="533" s="1"/>
  <c r="H197" i="533"/>
  <c r="V196" i="533"/>
  <c r="W196" i="533" s="1"/>
  <c r="N196" i="533"/>
  <c r="K196" i="533"/>
  <c r="M196" i="533" s="1"/>
  <c r="K196" i="533" a="1"/>
  <c r="J196" i="533" a="1"/>
  <c r="J196" i="533" s="1"/>
  <c r="H196" i="533"/>
  <c r="K195" i="533" a="1"/>
  <c r="K195" i="533" s="1"/>
  <c r="M195" i="533" s="1"/>
  <c r="H195" i="533"/>
  <c r="K194" i="533" a="1"/>
  <c r="K194" i="533" s="1"/>
  <c r="M194" i="533" s="1"/>
  <c r="H194" i="533"/>
  <c r="K193" i="533" a="1"/>
  <c r="K193" i="533" s="1"/>
  <c r="M193" i="533" s="1"/>
  <c r="H193" i="533"/>
  <c r="K192" i="533" a="1"/>
  <c r="K192" i="533" s="1"/>
  <c r="M192" i="533" s="1"/>
  <c r="H192" i="533"/>
  <c r="V191" i="533"/>
  <c r="W191" i="533" s="1"/>
  <c r="N191" i="533"/>
  <c r="K191" i="533" a="1"/>
  <c r="K191" i="533" s="1"/>
  <c r="M191" i="533" s="1"/>
  <c r="J191" i="533" a="1"/>
  <c r="J191" i="533" s="1"/>
  <c r="H191" i="533"/>
  <c r="V190" i="533"/>
  <c r="W190" i="533" s="1"/>
  <c r="N190" i="533"/>
  <c r="K190" i="533"/>
  <c r="M190" i="533" s="1"/>
  <c r="K190" i="533" a="1"/>
  <c r="J190" i="533"/>
  <c r="J190" i="533" a="1"/>
  <c r="H190" i="533"/>
  <c r="V189" i="533"/>
  <c r="W189" i="533" s="1"/>
  <c r="N189" i="533"/>
  <c r="K189" i="533" a="1"/>
  <c r="K189" i="533" s="1"/>
  <c r="M189" i="533" s="1"/>
  <c r="J189" i="533" a="1"/>
  <c r="J189" i="533" s="1"/>
  <c r="H189" i="533"/>
  <c r="N188" i="533"/>
  <c r="K188" i="533"/>
  <c r="M188" i="533" s="1"/>
  <c r="K188" i="533" a="1"/>
  <c r="J188" i="533"/>
  <c r="J188" i="533" a="1"/>
  <c r="H188" i="533"/>
  <c r="N187" i="533"/>
  <c r="K187" i="533" a="1"/>
  <c r="K187" i="533" s="1"/>
  <c r="M187" i="533" s="1"/>
  <c r="J187" i="533" a="1"/>
  <c r="J187" i="533" s="1"/>
  <c r="H187" i="533"/>
  <c r="V186" i="533"/>
  <c r="W186" i="533" s="1"/>
  <c r="N186" i="533"/>
  <c r="K186" i="533" a="1"/>
  <c r="K186" i="533" s="1"/>
  <c r="M186" i="533" s="1"/>
  <c r="J186" i="533" a="1"/>
  <c r="J186" i="533" s="1"/>
  <c r="H186" i="533"/>
  <c r="V185" i="533"/>
  <c r="W185" i="533" s="1"/>
  <c r="N185" i="533"/>
  <c r="K185" i="533" a="1"/>
  <c r="K185" i="533" s="1"/>
  <c r="M185" i="533" s="1"/>
  <c r="J185" i="533" a="1"/>
  <c r="J185" i="533" s="1"/>
  <c r="H185" i="533"/>
  <c r="N184" i="533"/>
  <c r="K184" i="533" a="1"/>
  <c r="K184" i="533" s="1"/>
  <c r="M184" i="533" s="1"/>
  <c r="H184" i="533"/>
  <c r="N183" i="533"/>
  <c r="K183" i="533" a="1"/>
  <c r="K183" i="533" s="1"/>
  <c r="M183" i="533" s="1"/>
  <c r="H183" i="533"/>
  <c r="V182" i="533"/>
  <c r="W182" i="533" s="1"/>
  <c r="N182" i="533"/>
  <c r="K182" i="533" a="1"/>
  <c r="K182" i="533" s="1"/>
  <c r="M182" i="533" s="1"/>
  <c r="J182" i="533" a="1"/>
  <c r="J182" i="533" s="1"/>
  <c r="H182" i="533"/>
  <c r="V181" i="533"/>
  <c r="W181" i="533" s="1"/>
  <c r="N181" i="533"/>
  <c r="K181" i="533" a="1"/>
  <c r="K181" i="533" s="1"/>
  <c r="M181" i="533" s="1"/>
  <c r="J181" i="533" a="1"/>
  <c r="J181" i="533" s="1"/>
  <c r="H181" i="533"/>
  <c r="V180" i="533"/>
  <c r="W180" i="533" s="1"/>
  <c r="N180" i="533"/>
  <c r="K180" i="533"/>
  <c r="M180" i="533" s="1"/>
  <c r="K180" i="533" a="1"/>
  <c r="J180" i="533"/>
  <c r="J180" i="533" a="1"/>
  <c r="H180" i="533"/>
  <c r="V179" i="533"/>
  <c r="W179" i="533" s="1"/>
  <c r="N179" i="533"/>
  <c r="K179" i="533" a="1"/>
  <c r="K179" i="533" s="1"/>
  <c r="M179" i="533" s="1"/>
  <c r="J179" i="533" a="1"/>
  <c r="J179" i="533" s="1"/>
  <c r="H179" i="533"/>
  <c r="V178" i="533"/>
  <c r="W178" i="533" s="1"/>
  <c r="N178" i="533"/>
  <c r="K178" i="533" a="1"/>
  <c r="K178" i="533" s="1"/>
  <c r="M178" i="533" s="1"/>
  <c r="J178" i="533" a="1"/>
  <c r="J178" i="533" s="1"/>
  <c r="H178" i="533"/>
  <c r="V177" i="533"/>
  <c r="V198" i="533" s="1"/>
  <c r="N177" i="533"/>
  <c r="N198" i="533" s="1"/>
  <c r="N333" i="533" s="1"/>
  <c r="B342" i="533" s="1"/>
  <c r="E342" i="533" s="1"/>
  <c r="K177" i="533" a="1"/>
  <c r="K177" i="533" s="1"/>
  <c r="J177" i="533" a="1"/>
  <c r="J177" i="533" s="1"/>
  <c r="H177" i="533"/>
  <c r="H198" i="533" s="1"/>
  <c r="X170" i="533"/>
  <c r="Q526" i="533" s="1"/>
  <c r="X169" i="533"/>
  <c r="Q525" i="533" s="1"/>
  <c r="G169" i="533"/>
  <c r="C169" i="533"/>
  <c r="X168" i="533"/>
  <c r="Q524" i="533" s="1"/>
  <c r="I168" i="533"/>
  <c r="E168" i="533"/>
  <c r="K168" i="533" s="1"/>
  <c r="M168" i="533" s="1"/>
  <c r="I167" i="533"/>
  <c r="E167" i="533"/>
  <c r="K167" i="533" s="1"/>
  <c r="M167" i="533" s="1"/>
  <c r="I166" i="533"/>
  <c r="E166" i="533"/>
  <c r="K166" i="533" s="1"/>
  <c r="M166" i="533" s="1"/>
  <c r="X165" i="533"/>
  <c r="Q521" i="533" s="1"/>
  <c r="I165" i="533"/>
  <c r="I169" i="533" s="1"/>
  <c r="E165" i="533"/>
  <c r="K165" i="533" s="1"/>
  <c r="AA162" i="533"/>
  <c r="Z162" i="533"/>
  <c r="Y162" i="533"/>
  <c r="X162" i="533"/>
  <c r="U162" i="533"/>
  <c r="T162" i="533"/>
  <c r="S162" i="533"/>
  <c r="R162" i="533"/>
  <c r="Q162" i="533"/>
  <c r="P162" i="533"/>
  <c r="O162" i="533"/>
  <c r="R170" i="533" s="1"/>
  <c r="I162" i="533"/>
  <c r="G162" i="533"/>
  <c r="C526" i="533" s="1"/>
  <c r="H161" i="533"/>
  <c r="H160" i="533"/>
  <c r="H159" i="533"/>
  <c r="V158" i="533"/>
  <c r="W158" i="533" s="1"/>
  <c r="N158" i="533"/>
  <c r="K158" i="533"/>
  <c r="K158" i="533" a="1"/>
  <c r="J158" i="533" a="1"/>
  <c r="J158" i="533" s="1"/>
  <c r="H158" i="533"/>
  <c r="D158" i="533"/>
  <c r="V157" i="533"/>
  <c r="W157" i="533" s="1"/>
  <c r="N157" i="533"/>
  <c r="K157" i="533" a="1"/>
  <c r="K157" i="533" s="1"/>
  <c r="M157" i="533" s="1"/>
  <c r="J157" i="533" a="1"/>
  <c r="J157" i="533" s="1"/>
  <c r="H157" i="533"/>
  <c r="H156" i="533"/>
  <c r="H155" i="533"/>
  <c r="W154" i="533"/>
  <c r="V154" i="533"/>
  <c r="N154" i="533"/>
  <c r="K154" i="533" a="1"/>
  <c r="K154" i="533" s="1"/>
  <c r="M154" i="533" s="1"/>
  <c r="J154" i="533" a="1"/>
  <c r="J154" i="533" s="1"/>
  <c r="H154" i="533"/>
  <c r="V153" i="533"/>
  <c r="W153" i="533" s="1"/>
  <c r="N153" i="533"/>
  <c r="K153" i="533"/>
  <c r="M153" i="533" s="1"/>
  <c r="K153" i="533" a="1"/>
  <c r="J153" i="533" a="1"/>
  <c r="J153" i="533" s="1"/>
  <c r="H153" i="533"/>
  <c r="H152" i="533"/>
  <c r="V151" i="533"/>
  <c r="W151" i="533" s="1"/>
  <c r="N151" i="533"/>
  <c r="K151" i="533" a="1"/>
  <c r="K151" i="533" s="1"/>
  <c r="M151" i="533" s="1"/>
  <c r="J151" i="533" a="1"/>
  <c r="J151" i="533" s="1"/>
  <c r="H151" i="533"/>
  <c r="W150" i="533"/>
  <c r="V150" i="533"/>
  <c r="N150" i="533"/>
  <c r="K150" i="533" a="1"/>
  <c r="K150" i="533" s="1"/>
  <c r="M150" i="533" s="1"/>
  <c r="J150" i="533" a="1"/>
  <c r="J150" i="533" s="1"/>
  <c r="H150" i="533"/>
  <c r="V149" i="533"/>
  <c r="W149" i="533" s="1"/>
  <c r="N149" i="533"/>
  <c r="K149" i="533" a="1"/>
  <c r="K149" i="533" s="1"/>
  <c r="M149" i="533" s="1"/>
  <c r="J149" i="533" a="1"/>
  <c r="J149" i="533" s="1"/>
  <c r="H149" i="533"/>
  <c r="V148" i="533"/>
  <c r="V162" i="533" s="1"/>
  <c r="W162" i="533" s="1"/>
  <c r="N148" i="533"/>
  <c r="N162" i="533" s="1"/>
  <c r="K148" i="533"/>
  <c r="K148" i="533" a="1"/>
  <c r="J148" i="533"/>
  <c r="J148" i="533" a="1"/>
  <c r="H148" i="533"/>
  <c r="H162" i="533" s="1"/>
  <c r="AA147" i="533"/>
  <c r="Z147" i="533"/>
  <c r="Y147" i="533"/>
  <c r="X147" i="533"/>
  <c r="U147" i="533"/>
  <c r="T147" i="533"/>
  <c r="S147" i="533"/>
  <c r="Q147" i="533"/>
  <c r="P147" i="533"/>
  <c r="O147" i="533"/>
  <c r="R169" i="533" s="1"/>
  <c r="I147" i="533"/>
  <c r="G147" i="533"/>
  <c r="C525" i="533" s="1"/>
  <c r="V146" i="533"/>
  <c r="W146" i="533" s="1"/>
  <c r="N146" i="533"/>
  <c r="K146" i="533" a="1"/>
  <c r="K146" i="533" s="1"/>
  <c r="M146" i="533" s="1"/>
  <c r="J146" i="533" a="1"/>
  <c r="J146" i="533" s="1"/>
  <c r="H146" i="533"/>
  <c r="K145" i="533"/>
  <c r="K145" i="533" a="1"/>
  <c r="H145" i="533"/>
  <c r="K144" i="533" a="1"/>
  <c r="K144" i="533" s="1"/>
  <c r="H144" i="533"/>
  <c r="K143" i="533" a="1"/>
  <c r="K143" i="533" s="1"/>
  <c r="H143" i="533"/>
  <c r="V142" i="533"/>
  <c r="W142" i="533" s="1"/>
  <c r="N142" i="533"/>
  <c r="K142" i="533" a="1"/>
  <c r="K142" i="533" s="1"/>
  <c r="M142" i="533" s="1"/>
  <c r="J142" i="533" a="1"/>
  <c r="J142" i="533" s="1"/>
  <c r="H142" i="533"/>
  <c r="V141" i="533"/>
  <c r="W141" i="533" s="1"/>
  <c r="N141" i="533"/>
  <c r="K141" i="533"/>
  <c r="M141" i="533" s="1"/>
  <c r="K141" i="533" a="1"/>
  <c r="J141" i="533"/>
  <c r="J141" i="533" a="1"/>
  <c r="H141" i="533"/>
  <c r="V140" i="533"/>
  <c r="W140" i="533" s="1"/>
  <c r="N140" i="533"/>
  <c r="K140" i="533" a="1"/>
  <c r="K140" i="533" s="1"/>
  <c r="M140" i="533" s="1"/>
  <c r="J140" i="533" a="1"/>
  <c r="J140" i="533" s="1"/>
  <c r="H140" i="533"/>
  <c r="V139" i="533"/>
  <c r="W139" i="533" s="1"/>
  <c r="N139" i="533"/>
  <c r="K139" i="533" a="1"/>
  <c r="K139" i="533" s="1"/>
  <c r="M139" i="533" s="1"/>
  <c r="J139" i="533" a="1"/>
  <c r="J139" i="533" s="1"/>
  <c r="H139" i="533"/>
  <c r="V138" i="533"/>
  <c r="W138" i="533" s="1"/>
  <c r="N138" i="533"/>
  <c r="N147" i="533" s="1"/>
  <c r="K138" i="533" a="1"/>
  <c r="K138" i="533" s="1"/>
  <c r="J138" i="533" a="1"/>
  <c r="J138" i="533" s="1"/>
  <c r="H138" i="533"/>
  <c r="H147" i="533" s="1"/>
  <c r="AA137" i="533"/>
  <c r="Z137" i="533"/>
  <c r="Y137" i="533"/>
  <c r="X137" i="533"/>
  <c r="U137" i="533"/>
  <c r="T137" i="533"/>
  <c r="S137" i="533"/>
  <c r="Q137" i="533"/>
  <c r="P137" i="533"/>
  <c r="O137" i="533"/>
  <c r="R168" i="533" s="1"/>
  <c r="I137" i="533"/>
  <c r="G137" i="533"/>
  <c r="C524" i="533" s="1"/>
  <c r="V136" i="533"/>
  <c r="W136" i="533" s="1"/>
  <c r="N136" i="533"/>
  <c r="K136" i="533"/>
  <c r="M136" i="533" s="1"/>
  <c r="K136" i="533" a="1"/>
  <c r="J136" i="533"/>
  <c r="J136" i="533" a="1"/>
  <c r="H136" i="533"/>
  <c r="V135" i="533"/>
  <c r="W135" i="533" s="1"/>
  <c r="N135" i="533"/>
  <c r="K135" i="533" a="1"/>
  <c r="K135" i="533" s="1"/>
  <c r="M135" i="533" s="1"/>
  <c r="J135" i="533" a="1"/>
  <c r="J135" i="533" s="1"/>
  <c r="H135" i="533"/>
  <c r="V134" i="533"/>
  <c r="W134" i="533" s="1"/>
  <c r="N134" i="533"/>
  <c r="K134" i="533" a="1"/>
  <c r="K134" i="533" s="1"/>
  <c r="M134" i="533" s="1"/>
  <c r="J134" i="533" a="1"/>
  <c r="J134" i="533" s="1"/>
  <c r="H134" i="533"/>
  <c r="V133" i="533"/>
  <c r="W133" i="533" s="1"/>
  <c r="N133" i="533"/>
  <c r="K133" i="533" a="1"/>
  <c r="K133" i="533" s="1"/>
  <c r="M133" i="533" s="1"/>
  <c r="J133" i="533" a="1"/>
  <c r="J133" i="533" s="1"/>
  <c r="H133" i="533"/>
  <c r="V132" i="533"/>
  <c r="W132" i="533" s="1"/>
  <c r="N132" i="533"/>
  <c r="K132" i="533"/>
  <c r="M132" i="533" s="1"/>
  <c r="K132" i="533" a="1"/>
  <c r="J132" i="533"/>
  <c r="J132" i="533" a="1"/>
  <c r="H132" i="533"/>
  <c r="V131" i="533"/>
  <c r="W131" i="533" s="1"/>
  <c r="N131" i="533"/>
  <c r="K131" i="533" a="1"/>
  <c r="K131" i="533" s="1"/>
  <c r="M131" i="533" s="1"/>
  <c r="J131" i="533" a="1"/>
  <c r="J131" i="533" s="1"/>
  <c r="H131" i="533"/>
  <c r="W130" i="533"/>
  <c r="V130" i="533"/>
  <c r="N130" i="533"/>
  <c r="K130" i="533" a="1"/>
  <c r="K130" i="533" s="1"/>
  <c r="M130" i="533" s="1"/>
  <c r="J130" i="533" a="1"/>
  <c r="J130" i="533" s="1"/>
  <c r="H130" i="533"/>
  <c r="V129" i="533"/>
  <c r="W129" i="533" s="1"/>
  <c r="N129" i="533"/>
  <c r="K129" i="533" a="1"/>
  <c r="K129" i="533" s="1"/>
  <c r="M129" i="533" s="1"/>
  <c r="J129" i="533" a="1"/>
  <c r="J129" i="533" s="1"/>
  <c r="H129" i="533"/>
  <c r="V128" i="533"/>
  <c r="W128" i="533" s="1"/>
  <c r="N128" i="533"/>
  <c r="K128" i="533"/>
  <c r="M128" i="533" s="1"/>
  <c r="K128" i="533" a="1"/>
  <c r="J128" i="533"/>
  <c r="J128" i="533" a="1"/>
  <c r="H128" i="533"/>
  <c r="V127" i="533"/>
  <c r="W127" i="533" s="1"/>
  <c r="N127" i="533"/>
  <c r="K127" i="533" a="1"/>
  <c r="K127" i="533" s="1"/>
  <c r="M127" i="533" s="1"/>
  <c r="J127" i="533" a="1"/>
  <c r="J127" i="533" s="1"/>
  <c r="H127" i="533"/>
  <c r="W126" i="533"/>
  <c r="V126" i="533"/>
  <c r="N126" i="533"/>
  <c r="K126" i="533" a="1"/>
  <c r="K126" i="533" s="1"/>
  <c r="M126" i="533" s="1"/>
  <c r="J126" i="533" a="1"/>
  <c r="J126" i="533" s="1"/>
  <c r="H126" i="533"/>
  <c r="V125" i="533"/>
  <c r="W125" i="533" s="1"/>
  <c r="N125" i="533"/>
  <c r="K125" i="533" a="1"/>
  <c r="K125" i="533" s="1"/>
  <c r="M125" i="533" s="1"/>
  <c r="J125" i="533" a="1"/>
  <c r="J125" i="533" s="1"/>
  <c r="H125" i="533"/>
  <c r="V124" i="533"/>
  <c r="W124" i="533" s="1"/>
  <c r="N124" i="533"/>
  <c r="K124" i="533"/>
  <c r="M124" i="533" s="1"/>
  <c r="K124" i="533" a="1"/>
  <c r="J124" i="533"/>
  <c r="J124" i="533" a="1"/>
  <c r="H124" i="533"/>
  <c r="V123" i="533"/>
  <c r="W123" i="533" s="1"/>
  <c r="N123" i="533"/>
  <c r="K123" i="533" a="1"/>
  <c r="K123" i="533" s="1"/>
  <c r="M123" i="533" s="1"/>
  <c r="J123" i="533" a="1"/>
  <c r="J123" i="533" s="1"/>
  <c r="H123" i="533"/>
  <c r="W122" i="533"/>
  <c r="V122" i="533"/>
  <c r="N122" i="533"/>
  <c r="N137" i="533" s="1"/>
  <c r="K122" i="533" a="1"/>
  <c r="K122" i="533" s="1"/>
  <c r="M122" i="533" s="1"/>
  <c r="J122" i="533" a="1"/>
  <c r="J122" i="533" s="1"/>
  <c r="H122" i="533"/>
  <c r="AA121" i="533"/>
  <c r="Z121" i="533"/>
  <c r="Y121" i="533"/>
  <c r="X121" i="533"/>
  <c r="U121" i="533"/>
  <c r="T121" i="533"/>
  <c r="S121" i="533"/>
  <c r="R121" i="533"/>
  <c r="Q121" i="533"/>
  <c r="P121" i="533"/>
  <c r="O121" i="533"/>
  <c r="R167" i="533" s="1"/>
  <c r="I121" i="533"/>
  <c r="G121" i="533"/>
  <c r="C523" i="533" s="1"/>
  <c r="V120" i="533"/>
  <c r="W120" i="533" s="1"/>
  <c r="N120" i="533"/>
  <c r="K120" i="533" a="1"/>
  <c r="K120" i="533" s="1"/>
  <c r="M120" i="533" s="1"/>
  <c r="J120" i="533" a="1"/>
  <c r="J120" i="533" s="1"/>
  <c r="H120" i="533"/>
  <c r="W119" i="533"/>
  <c r="V119" i="533"/>
  <c r="N119" i="533"/>
  <c r="K119" i="533" a="1"/>
  <c r="K119" i="533" s="1"/>
  <c r="M119" i="533" s="1"/>
  <c r="J119" i="533" a="1"/>
  <c r="J119" i="533" s="1"/>
  <c r="H119" i="533"/>
  <c r="W118" i="533"/>
  <c r="V118" i="533"/>
  <c r="N118" i="533"/>
  <c r="K118" i="533"/>
  <c r="M118" i="533" s="1"/>
  <c r="K118" i="533" a="1"/>
  <c r="J118" i="533" a="1"/>
  <c r="J118" i="533" s="1"/>
  <c r="H118" i="533"/>
  <c r="K117" i="533" a="1"/>
  <c r="K117" i="533" s="1"/>
  <c r="H117" i="533"/>
  <c r="K116" i="533" a="1"/>
  <c r="K116" i="533" s="1"/>
  <c r="H116" i="533"/>
  <c r="K115" i="533" a="1"/>
  <c r="K115" i="533" s="1"/>
  <c r="H115" i="533"/>
  <c r="W114" i="533"/>
  <c r="V114" i="533"/>
  <c r="N114" i="533"/>
  <c r="K114" i="533" a="1"/>
  <c r="K114" i="533" s="1"/>
  <c r="M114" i="533" s="1"/>
  <c r="J114" i="533" a="1"/>
  <c r="J114" i="533" s="1"/>
  <c r="H114" i="533"/>
  <c r="V113" i="533"/>
  <c r="W113" i="533" s="1"/>
  <c r="N113" i="533"/>
  <c r="K113" i="533"/>
  <c r="M113" i="533" s="1"/>
  <c r="K113" i="533" a="1"/>
  <c r="J113" i="533" a="1"/>
  <c r="J113" i="533" s="1"/>
  <c r="H113" i="533"/>
  <c r="N112" i="533"/>
  <c r="K112" i="533" a="1"/>
  <c r="K112" i="533" s="1"/>
  <c r="M112" i="533" s="1"/>
  <c r="H112" i="533"/>
  <c r="N111" i="533"/>
  <c r="K111" i="533" a="1"/>
  <c r="K111" i="533" s="1"/>
  <c r="M111" i="533" s="1"/>
  <c r="H111" i="533"/>
  <c r="N110" i="533"/>
  <c r="K110" i="533" a="1"/>
  <c r="K110" i="533" s="1"/>
  <c r="M110" i="533" s="1"/>
  <c r="H110" i="533"/>
  <c r="N109" i="533"/>
  <c r="K109" i="533" a="1"/>
  <c r="K109" i="533" s="1"/>
  <c r="M109" i="533" s="1"/>
  <c r="H109" i="533"/>
  <c r="N108" i="533"/>
  <c r="K108" i="533" a="1"/>
  <c r="K108" i="533" s="1"/>
  <c r="M108" i="533" s="1"/>
  <c r="H108" i="533"/>
  <c r="N107" i="533"/>
  <c r="K107" i="533" a="1"/>
  <c r="K107" i="533" s="1"/>
  <c r="M107" i="533" s="1"/>
  <c r="H107" i="533"/>
  <c r="V106" i="533"/>
  <c r="W106" i="533" s="1"/>
  <c r="N106" i="533"/>
  <c r="K106" i="533"/>
  <c r="M106" i="533" s="1"/>
  <c r="K106" i="533" a="1"/>
  <c r="J106" i="533" a="1"/>
  <c r="J106" i="533" s="1"/>
  <c r="H106" i="533"/>
  <c r="V105" i="533"/>
  <c r="W105" i="533" s="1"/>
  <c r="N105" i="533"/>
  <c r="K105" i="533" a="1"/>
  <c r="K105" i="533" s="1"/>
  <c r="M105" i="533" s="1"/>
  <c r="J105" i="533" a="1"/>
  <c r="J105" i="533" s="1"/>
  <c r="H105" i="533"/>
  <c r="V104" i="533"/>
  <c r="W104" i="533" s="1"/>
  <c r="N104" i="533"/>
  <c r="K104" i="533"/>
  <c r="M104" i="533" s="1"/>
  <c r="K104" i="533" a="1"/>
  <c r="J104" i="533"/>
  <c r="J104" i="533" a="1"/>
  <c r="H104" i="533"/>
  <c r="V103" i="533"/>
  <c r="W103" i="533" s="1"/>
  <c r="N103" i="533"/>
  <c r="K103" i="533" a="1"/>
  <c r="K103" i="533" s="1"/>
  <c r="M103" i="533" s="1"/>
  <c r="J103" i="533" a="1"/>
  <c r="J103" i="533" s="1"/>
  <c r="H103" i="533"/>
  <c r="V102" i="533"/>
  <c r="W102" i="533" s="1"/>
  <c r="N102" i="533"/>
  <c r="K102" i="533" a="1"/>
  <c r="K102" i="533" s="1"/>
  <c r="M102" i="533" s="1"/>
  <c r="J102" i="533" a="1"/>
  <c r="J102" i="533" s="1"/>
  <c r="H102" i="533"/>
  <c r="V101" i="533"/>
  <c r="W101" i="533" s="1"/>
  <c r="N101" i="533"/>
  <c r="K101" i="533" a="1"/>
  <c r="K101" i="533" s="1"/>
  <c r="M101" i="533" s="1"/>
  <c r="J101" i="533" a="1"/>
  <c r="J101" i="533" s="1"/>
  <c r="H101" i="533"/>
  <c r="V100" i="533"/>
  <c r="W100" i="533" s="1"/>
  <c r="N100" i="533"/>
  <c r="K100" i="533"/>
  <c r="M100" i="533" s="1"/>
  <c r="K100" i="533" a="1"/>
  <c r="J100" i="533"/>
  <c r="J100" i="533" a="1"/>
  <c r="H100" i="533"/>
  <c r="V99" i="533"/>
  <c r="W99" i="533" s="1"/>
  <c r="N99" i="533"/>
  <c r="K99" i="533" a="1"/>
  <c r="K99" i="533" s="1"/>
  <c r="M99" i="533" s="1"/>
  <c r="J99" i="533" a="1"/>
  <c r="J99" i="533" s="1"/>
  <c r="H99" i="533"/>
  <c r="W98" i="533"/>
  <c r="V98" i="533"/>
  <c r="N98" i="533"/>
  <c r="K98" i="533" a="1"/>
  <c r="K98" i="533" s="1"/>
  <c r="M98" i="533" s="1"/>
  <c r="J98" i="533" a="1"/>
  <c r="J98" i="533" s="1"/>
  <c r="H98" i="533"/>
  <c r="V97" i="533"/>
  <c r="W97" i="533" s="1"/>
  <c r="N97" i="533"/>
  <c r="K97" i="533" a="1"/>
  <c r="K97" i="533" s="1"/>
  <c r="M97" i="533" s="1"/>
  <c r="J97" i="533" a="1"/>
  <c r="J97" i="533" s="1"/>
  <c r="H97" i="533"/>
  <c r="V96" i="533"/>
  <c r="W96" i="533" s="1"/>
  <c r="N96" i="533"/>
  <c r="K96" i="533"/>
  <c r="M96" i="533" s="1"/>
  <c r="K96" i="533" a="1"/>
  <c r="J96" i="533"/>
  <c r="J96" i="533" a="1"/>
  <c r="H96" i="533"/>
  <c r="V95" i="533"/>
  <c r="W95" i="533" s="1"/>
  <c r="N95" i="533"/>
  <c r="K95" i="533" a="1"/>
  <c r="K95" i="533" s="1"/>
  <c r="M95" i="533" s="1"/>
  <c r="J95" i="533" a="1"/>
  <c r="J95" i="533" s="1"/>
  <c r="H95" i="533"/>
  <c r="K94" i="533" a="1"/>
  <c r="K94" i="533" s="1"/>
  <c r="M94" i="533" s="1"/>
  <c r="H94" i="533"/>
  <c r="W93" i="533"/>
  <c r="V93" i="533"/>
  <c r="N93" i="533"/>
  <c r="K93" i="533" a="1"/>
  <c r="K93" i="533" s="1"/>
  <c r="M93" i="533" s="1"/>
  <c r="J93" i="533" a="1"/>
  <c r="J93" i="533" s="1"/>
  <c r="H93" i="533"/>
  <c r="V92" i="533"/>
  <c r="W92" i="533" s="1"/>
  <c r="N92" i="533"/>
  <c r="K92" i="533" a="1"/>
  <c r="K92" i="533" s="1"/>
  <c r="M92" i="533" s="1"/>
  <c r="J92" i="533" a="1"/>
  <c r="J92" i="533" s="1"/>
  <c r="H92" i="533"/>
  <c r="W91" i="533"/>
  <c r="V91" i="533"/>
  <c r="N91" i="533"/>
  <c r="K91" i="533" a="1"/>
  <c r="K91" i="533" s="1"/>
  <c r="M91" i="533" s="1"/>
  <c r="J91" i="533" a="1"/>
  <c r="J91" i="533" s="1"/>
  <c r="H91" i="533"/>
  <c r="V90" i="533"/>
  <c r="W90" i="533" s="1"/>
  <c r="N90" i="533"/>
  <c r="K90" i="533" a="1"/>
  <c r="K90" i="533" s="1"/>
  <c r="M90" i="533" s="1"/>
  <c r="J90" i="533" a="1"/>
  <c r="J90" i="533" s="1"/>
  <c r="H90" i="533"/>
  <c r="V89" i="533"/>
  <c r="W89" i="533" s="1"/>
  <c r="N89" i="533"/>
  <c r="K89" i="533" a="1"/>
  <c r="K89" i="533" s="1"/>
  <c r="M89" i="533" s="1"/>
  <c r="J89" i="533" a="1"/>
  <c r="J89" i="533" s="1"/>
  <c r="H89" i="533"/>
  <c r="V88" i="533"/>
  <c r="W88" i="533" s="1"/>
  <c r="N88" i="533"/>
  <c r="K88" i="533" a="1"/>
  <c r="K88" i="533" s="1"/>
  <c r="M88" i="533" s="1"/>
  <c r="J88" i="533" a="1"/>
  <c r="J88" i="533" s="1"/>
  <c r="H88" i="533"/>
  <c r="V87" i="533"/>
  <c r="V121" i="533" s="1"/>
  <c r="W121" i="533" s="1"/>
  <c r="N87" i="533"/>
  <c r="K87" i="533"/>
  <c r="M87" i="533" s="1"/>
  <c r="K87" i="533" a="1"/>
  <c r="J87" i="533"/>
  <c r="J87" i="533" a="1"/>
  <c r="H87" i="533"/>
  <c r="H121" i="533" s="1"/>
  <c r="AA86" i="533"/>
  <c r="Z86" i="533"/>
  <c r="Y86" i="533"/>
  <c r="X86" i="533"/>
  <c r="U86" i="533"/>
  <c r="T86" i="533"/>
  <c r="S86" i="533"/>
  <c r="R86" i="533"/>
  <c r="Q86" i="533"/>
  <c r="P86" i="533"/>
  <c r="O86" i="533"/>
  <c r="R166" i="533" s="1"/>
  <c r="I86" i="533"/>
  <c r="G86" i="533"/>
  <c r="C522" i="533" s="1"/>
  <c r="K85" i="533" a="1"/>
  <c r="K85" i="533" s="1"/>
  <c r="H85" i="533"/>
  <c r="K84" i="533"/>
  <c r="K84" i="533" a="1"/>
  <c r="H84" i="533"/>
  <c r="K83" i="533" a="1"/>
  <c r="K83" i="533" s="1"/>
  <c r="H83" i="533"/>
  <c r="K82" i="533" a="1"/>
  <c r="K82" i="533" s="1"/>
  <c r="H82" i="533"/>
  <c r="K81" i="533" a="1"/>
  <c r="K81" i="533" s="1"/>
  <c r="H81" i="533"/>
  <c r="K80" i="533" a="1"/>
  <c r="K80" i="533" s="1"/>
  <c r="H80" i="533"/>
  <c r="K79" i="533" a="1"/>
  <c r="K79" i="533" s="1"/>
  <c r="M79" i="533" s="1"/>
  <c r="H79" i="533"/>
  <c r="K78" i="533" a="1"/>
  <c r="K78" i="533" s="1"/>
  <c r="M78" i="533" s="1"/>
  <c r="H78" i="533"/>
  <c r="K77" i="533" a="1"/>
  <c r="K77" i="533" s="1"/>
  <c r="M77" i="533" s="1"/>
  <c r="H77" i="533"/>
  <c r="K76" i="533" a="1"/>
  <c r="K76" i="533" s="1"/>
  <c r="M76" i="533" s="1"/>
  <c r="H76" i="533"/>
  <c r="W75" i="533"/>
  <c r="V75" i="533"/>
  <c r="N75" i="533"/>
  <c r="K75" i="533" a="1"/>
  <c r="K75" i="533" s="1"/>
  <c r="M75" i="533" s="1"/>
  <c r="J75" i="533" a="1"/>
  <c r="J75" i="533" s="1"/>
  <c r="H75" i="533"/>
  <c r="V74" i="533"/>
  <c r="W74" i="533" s="1"/>
  <c r="N74" i="533"/>
  <c r="K74" i="533" a="1"/>
  <c r="K74" i="533" s="1"/>
  <c r="M74" i="533" s="1"/>
  <c r="J74" i="533" a="1"/>
  <c r="J74" i="533" s="1"/>
  <c r="H74" i="533"/>
  <c r="V73" i="533"/>
  <c r="W73" i="533" s="1"/>
  <c r="N73" i="533"/>
  <c r="K73" i="533"/>
  <c r="M73" i="533" s="1"/>
  <c r="K73" i="533" a="1"/>
  <c r="J73" i="533"/>
  <c r="J73" i="533" a="1"/>
  <c r="H73" i="533"/>
  <c r="V72" i="533"/>
  <c r="W72" i="533" s="1"/>
  <c r="N72" i="533"/>
  <c r="K72" i="533" a="1"/>
  <c r="K72" i="533" s="1"/>
  <c r="M72" i="533" s="1"/>
  <c r="J72" i="533" a="1"/>
  <c r="J72" i="533" s="1"/>
  <c r="H72" i="533"/>
  <c r="H71" i="533"/>
  <c r="V70" i="533"/>
  <c r="W70" i="533" s="1"/>
  <c r="N70" i="533"/>
  <c r="K70" i="533" a="1"/>
  <c r="K70" i="533" s="1"/>
  <c r="M70" i="533" s="1"/>
  <c r="J70" i="533" a="1"/>
  <c r="J70" i="533" s="1"/>
  <c r="H70" i="533"/>
  <c r="W69" i="533"/>
  <c r="V69" i="533"/>
  <c r="N69" i="533"/>
  <c r="K69" i="533" a="1"/>
  <c r="K69" i="533" s="1"/>
  <c r="M69" i="533" s="1"/>
  <c r="J69" i="533" a="1"/>
  <c r="J69" i="533" s="1"/>
  <c r="H69" i="533"/>
  <c r="K68" i="533" a="1"/>
  <c r="K68" i="533" s="1"/>
  <c r="H68" i="533"/>
  <c r="K67" i="533"/>
  <c r="K67" i="533" a="1"/>
  <c r="H67" i="533"/>
  <c r="V66" i="533"/>
  <c r="W66" i="533" s="1"/>
  <c r="N66" i="533"/>
  <c r="K66" i="533" a="1"/>
  <c r="K66" i="533" s="1"/>
  <c r="M66" i="533" s="1"/>
  <c r="J66" i="533" a="1"/>
  <c r="J66" i="533" s="1"/>
  <c r="H66" i="533"/>
  <c r="W65" i="533"/>
  <c r="V65" i="533"/>
  <c r="N65" i="533"/>
  <c r="K65" i="533" a="1"/>
  <c r="K65" i="533" s="1"/>
  <c r="M65" i="533" s="1"/>
  <c r="J65" i="533" a="1"/>
  <c r="J65" i="533" s="1"/>
  <c r="H65" i="533"/>
  <c r="V64" i="533"/>
  <c r="W64" i="533" s="1"/>
  <c r="N64" i="533"/>
  <c r="K64" i="533" a="1"/>
  <c r="K64" i="533" s="1"/>
  <c r="M64" i="533" s="1"/>
  <c r="J64" i="533" a="1"/>
  <c r="J64" i="533" s="1"/>
  <c r="H64" i="533"/>
  <c r="V63" i="533"/>
  <c r="W63" i="533" s="1"/>
  <c r="N63" i="533"/>
  <c r="K63" i="533"/>
  <c r="M63" i="533" s="1"/>
  <c r="K63" i="533" a="1"/>
  <c r="J63" i="533" a="1"/>
  <c r="J63" i="533" s="1"/>
  <c r="H63" i="533"/>
  <c r="V62" i="533"/>
  <c r="W62" i="533" s="1"/>
  <c r="N62" i="533"/>
  <c r="K62" i="533" a="1"/>
  <c r="K62" i="533" s="1"/>
  <c r="M62" i="533" s="1"/>
  <c r="J62" i="533" a="1"/>
  <c r="J62" i="533" s="1"/>
  <c r="H62" i="533"/>
  <c r="V61" i="533"/>
  <c r="W61" i="533" s="1"/>
  <c r="N61" i="533"/>
  <c r="K61" i="533" a="1"/>
  <c r="K61" i="533" s="1"/>
  <c r="M61" i="533" s="1"/>
  <c r="J61" i="533" a="1"/>
  <c r="J61" i="533" s="1"/>
  <c r="H61" i="533"/>
  <c r="V60" i="533"/>
  <c r="W60" i="533" s="1"/>
  <c r="N60" i="533"/>
  <c r="K60" i="533" a="1"/>
  <c r="K60" i="533" s="1"/>
  <c r="M60" i="533" s="1"/>
  <c r="J60" i="533" a="1"/>
  <c r="J60" i="533" s="1"/>
  <c r="H60" i="533"/>
  <c r="V59" i="533"/>
  <c r="W59" i="533" s="1"/>
  <c r="N59" i="533"/>
  <c r="K59" i="533"/>
  <c r="M59" i="533" s="1"/>
  <c r="K59" i="533" a="1"/>
  <c r="J59" i="533"/>
  <c r="J59" i="533" a="1"/>
  <c r="H59" i="533"/>
  <c r="V58" i="533"/>
  <c r="W58" i="533" s="1"/>
  <c r="N58" i="533"/>
  <c r="K58" i="533" a="1"/>
  <c r="K58" i="533" s="1"/>
  <c r="M58" i="533" s="1"/>
  <c r="J58" i="533" a="1"/>
  <c r="J58" i="533" s="1"/>
  <c r="H58" i="533"/>
  <c r="V57" i="533"/>
  <c r="W57" i="533" s="1"/>
  <c r="N57" i="533"/>
  <c r="K57" i="533" a="1"/>
  <c r="K57" i="533" s="1"/>
  <c r="M57" i="533" s="1"/>
  <c r="J57" i="533" a="1"/>
  <c r="J57" i="533" s="1"/>
  <c r="H57" i="533"/>
  <c r="K56" i="533"/>
  <c r="M56" i="533" s="1"/>
  <c r="K56" i="533" a="1"/>
  <c r="H56" i="533"/>
  <c r="K55" i="533" a="1"/>
  <c r="K55" i="533" s="1"/>
  <c r="M55" i="533" s="1"/>
  <c r="H55" i="533"/>
  <c r="K54" i="533"/>
  <c r="M54" i="533" s="1"/>
  <c r="K54" i="533" a="1"/>
  <c r="H54" i="533"/>
  <c r="K53" i="533" a="1"/>
  <c r="K53" i="533" s="1"/>
  <c r="M53" i="533" s="1"/>
  <c r="H53" i="533"/>
  <c r="N52" i="533"/>
  <c r="K52" i="533" a="1"/>
  <c r="K52" i="533" s="1"/>
  <c r="M52" i="533" s="1"/>
  <c r="H52" i="533"/>
  <c r="N51" i="533"/>
  <c r="K51" i="533" a="1"/>
  <c r="K51" i="533" s="1"/>
  <c r="M51" i="533" s="1"/>
  <c r="H51" i="533"/>
  <c r="N50" i="533"/>
  <c r="K50" i="533" a="1"/>
  <c r="K50" i="533" s="1"/>
  <c r="M50" i="533" s="1"/>
  <c r="H50" i="533"/>
  <c r="N49" i="533"/>
  <c r="K49" i="533" a="1"/>
  <c r="K49" i="533" s="1"/>
  <c r="M49" i="533" s="1"/>
  <c r="H49" i="533"/>
  <c r="V48" i="533"/>
  <c r="W48" i="533" s="1"/>
  <c r="N48" i="533"/>
  <c r="K48" i="533" a="1"/>
  <c r="K48" i="533" s="1"/>
  <c r="M48" i="533" s="1"/>
  <c r="J48" i="533" a="1"/>
  <c r="J48" i="533" s="1"/>
  <c r="H48" i="533"/>
  <c r="V47" i="533"/>
  <c r="W47" i="533" s="1"/>
  <c r="N47" i="533"/>
  <c r="K47" i="533"/>
  <c r="M47" i="533" s="1"/>
  <c r="K47" i="533" a="1"/>
  <c r="J47" i="533"/>
  <c r="J47" i="533" a="1"/>
  <c r="H47" i="533"/>
  <c r="V46" i="533"/>
  <c r="W46" i="533" s="1"/>
  <c r="N46" i="533"/>
  <c r="K46" i="533" a="1"/>
  <c r="K46" i="533" s="1"/>
  <c r="M46" i="533" s="1"/>
  <c r="J46" i="533" a="1"/>
  <c r="J46" i="533" s="1"/>
  <c r="H46" i="533"/>
  <c r="V45" i="533"/>
  <c r="W45" i="533" s="1"/>
  <c r="N45" i="533"/>
  <c r="K45" i="533" a="1"/>
  <c r="K45" i="533" s="1"/>
  <c r="M45" i="533" s="1"/>
  <c r="J45" i="533" a="1"/>
  <c r="J45" i="533" s="1"/>
  <c r="H45" i="533"/>
  <c r="V44" i="533"/>
  <c r="W44" i="533" s="1"/>
  <c r="N44" i="533"/>
  <c r="K44" i="533" a="1"/>
  <c r="K44" i="533" s="1"/>
  <c r="M44" i="533" s="1"/>
  <c r="J44" i="533" a="1"/>
  <c r="J44" i="533" s="1"/>
  <c r="H44" i="533"/>
  <c r="V43" i="533"/>
  <c r="W43" i="533" s="1"/>
  <c r="N43" i="533"/>
  <c r="K43" i="533"/>
  <c r="M43" i="533" s="1"/>
  <c r="K43" i="533" a="1"/>
  <c r="J43" i="533"/>
  <c r="J43" i="533" a="1"/>
  <c r="H43" i="533"/>
  <c r="V42" i="533"/>
  <c r="W42" i="533" s="1"/>
  <c r="N42" i="533"/>
  <c r="K42" i="533" a="1"/>
  <c r="K42" i="533" s="1"/>
  <c r="M42" i="533" s="1"/>
  <c r="J42" i="533" a="1"/>
  <c r="J42" i="533" s="1"/>
  <c r="H42" i="533"/>
  <c r="V41" i="533"/>
  <c r="W41" i="533" s="1"/>
  <c r="N41" i="533"/>
  <c r="K41" i="533" a="1"/>
  <c r="K41" i="533" s="1"/>
  <c r="M41" i="533" s="1"/>
  <c r="J41" i="533" a="1"/>
  <c r="J41" i="533" s="1"/>
  <c r="H41" i="533"/>
  <c r="V40" i="533"/>
  <c r="W40" i="533" s="1"/>
  <c r="N40" i="533"/>
  <c r="K40" i="533" a="1"/>
  <c r="K40" i="533" s="1"/>
  <c r="M40" i="533" s="1"/>
  <c r="J40" i="533" a="1"/>
  <c r="J40" i="533" s="1"/>
  <c r="H40" i="533"/>
  <c r="V39" i="533"/>
  <c r="W39" i="533" s="1"/>
  <c r="N39" i="533"/>
  <c r="K39" i="533"/>
  <c r="M39" i="533" s="1"/>
  <c r="K39" i="533" a="1"/>
  <c r="J39" i="533"/>
  <c r="J39" i="533" a="1"/>
  <c r="H39" i="533"/>
  <c r="V38" i="533"/>
  <c r="W38" i="533" s="1"/>
  <c r="N38" i="533"/>
  <c r="K38" i="533" a="1"/>
  <c r="K38" i="533" s="1"/>
  <c r="M38" i="533" s="1"/>
  <c r="J38" i="533" a="1"/>
  <c r="J38" i="533" s="1"/>
  <c r="H38" i="533"/>
  <c r="W37" i="533"/>
  <c r="V37" i="533"/>
  <c r="N37" i="533"/>
  <c r="K37" i="533" a="1"/>
  <c r="K37" i="533" s="1"/>
  <c r="M37" i="533" s="1"/>
  <c r="J37" i="533" a="1"/>
  <c r="J37" i="533" s="1"/>
  <c r="H37" i="533"/>
  <c r="H36" i="533"/>
  <c r="H35" i="533"/>
  <c r="H34" i="533"/>
  <c r="V33" i="533"/>
  <c r="W33" i="533" s="1"/>
  <c r="N33" i="533"/>
  <c r="K33" i="533" a="1"/>
  <c r="K33" i="533" s="1"/>
  <c r="M33" i="533" s="1"/>
  <c r="J33" i="533" a="1"/>
  <c r="J33" i="533" s="1"/>
  <c r="H33" i="533"/>
  <c r="V32" i="533"/>
  <c r="W32" i="533" s="1"/>
  <c r="N32" i="533"/>
  <c r="K32" i="533" a="1"/>
  <c r="K32" i="533" s="1"/>
  <c r="M32" i="533" s="1"/>
  <c r="J32" i="533" a="1"/>
  <c r="J32" i="533" s="1"/>
  <c r="H32" i="533"/>
  <c r="W31" i="533"/>
  <c r="V31" i="533"/>
  <c r="N31" i="533"/>
  <c r="K31" i="533" a="1"/>
  <c r="K31" i="533" s="1"/>
  <c r="M31" i="533" s="1"/>
  <c r="J31" i="533" a="1"/>
  <c r="J31" i="533" s="1"/>
  <c r="H31" i="533"/>
  <c r="K30" i="533" a="1"/>
  <c r="K30" i="533" s="1"/>
  <c r="H30" i="533"/>
  <c r="W29" i="533"/>
  <c r="V29" i="533"/>
  <c r="V86" i="533" s="1"/>
  <c r="W86" i="533" s="1"/>
  <c r="N29" i="533"/>
  <c r="N86" i="533" s="1"/>
  <c r="K29" i="533" a="1"/>
  <c r="K29" i="533" s="1"/>
  <c r="M29" i="533" s="1"/>
  <c r="J29" i="533" a="1"/>
  <c r="J29" i="533" s="1"/>
  <c r="H29" i="533"/>
  <c r="H86" i="533" s="1"/>
  <c r="AA28" i="533"/>
  <c r="AA163" i="533" s="1"/>
  <c r="Z28" i="533"/>
  <c r="Z163" i="533" s="1"/>
  <c r="Y28" i="533"/>
  <c r="Y163" i="533" s="1"/>
  <c r="X28" i="533"/>
  <c r="X163" i="533" s="1"/>
  <c r="U28" i="533"/>
  <c r="U163" i="533" s="1"/>
  <c r="T28" i="533"/>
  <c r="T163" i="533" s="1"/>
  <c r="S28" i="533"/>
  <c r="S163" i="533" s="1"/>
  <c r="R28" i="533"/>
  <c r="R163" i="533" s="1"/>
  <c r="Q28" i="533"/>
  <c r="Q163" i="533" s="1"/>
  <c r="P28" i="533"/>
  <c r="X166" i="533" s="1"/>
  <c r="O28" i="533"/>
  <c r="R165" i="533" s="1"/>
  <c r="I28" i="533"/>
  <c r="I163" i="533" s="1"/>
  <c r="B171" i="533" s="1"/>
  <c r="G28" i="533"/>
  <c r="C521" i="533" s="1"/>
  <c r="V27" i="533"/>
  <c r="W27" i="533" s="1"/>
  <c r="N27" i="533"/>
  <c r="K27" i="533" a="1"/>
  <c r="K27" i="533" s="1"/>
  <c r="M27" i="533" s="1"/>
  <c r="J27" i="533" a="1"/>
  <c r="J27" i="533" s="1"/>
  <c r="H27" i="533"/>
  <c r="V26" i="533"/>
  <c r="W26" i="533" s="1"/>
  <c r="N26" i="533"/>
  <c r="K26" i="533" a="1"/>
  <c r="K26" i="533" s="1"/>
  <c r="M26" i="533" s="1"/>
  <c r="J26" i="533" a="1"/>
  <c r="J26" i="533" s="1"/>
  <c r="H26" i="533"/>
  <c r="K25" i="533"/>
  <c r="M25" i="533" s="1"/>
  <c r="K25" i="533" a="1"/>
  <c r="J25" i="533" a="1"/>
  <c r="J25" i="533" s="1"/>
  <c r="H25" i="533"/>
  <c r="K24" i="533" a="1"/>
  <c r="K24" i="533" s="1"/>
  <c r="M24" i="533" s="1"/>
  <c r="J24" i="533" a="1"/>
  <c r="J24" i="533" s="1"/>
  <c r="H24" i="533"/>
  <c r="K23" i="533" a="1"/>
  <c r="K23" i="533" s="1"/>
  <c r="M23" i="533" s="1"/>
  <c r="J23" i="533" a="1"/>
  <c r="J23" i="533" s="1"/>
  <c r="H23" i="533"/>
  <c r="K22" i="533" a="1"/>
  <c r="K22" i="533" s="1"/>
  <c r="M22" i="533" s="1"/>
  <c r="J22" i="533" a="1"/>
  <c r="J22" i="533" s="1"/>
  <c r="H22" i="533"/>
  <c r="V21" i="533"/>
  <c r="W21" i="533" s="1"/>
  <c r="N21" i="533"/>
  <c r="K21" i="533"/>
  <c r="M21" i="533" s="1"/>
  <c r="K21" i="533" a="1"/>
  <c r="J21" i="533"/>
  <c r="J21" i="533" a="1"/>
  <c r="H21" i="533"/>
  <c r="V20" i="533"/>
  <c r="W20" i="533" s="1"/>
  <c r="N20" i="533"/>
  <c r="K20" i="533" a="1"/>
  <c r="K20" i="533" s="1"/>
  <c r="M20" i="533" s="1"/>
  <c r="J20" i="533" a="1"/>
  <c r="J20" i="533" s="1"/>
  <c r="H20" i="533"/>
  <c r="V19" i="533"/>
  <c r="W19" i="533" s="1"/>
  <c r="N19" i="533"/>
  <c r="K19" i="533"/>
  <c r="M19" i="533" s="1"/>
  <c r="K19" i="533" a="1"/>
  <c r="J19" i="533"/>
  <c r="J19" i="533" a="1"/>
  <c r="H19" i="533"/>
  <c r="N18" i="533"/>
  <c r="K18" i="533" a="1"/>
  <c r="K18" i="533" s="1"/>
  <c r="M18" i="533" s="1"/>
  <c r="J18" i="533" a="1"/>
  <c r="J18" i="533" s="1"/>
  <c r="H18" i="533"/>
  <c r="N17" i="533"/>
  <c r="K17" i="533" a="1"/>
  <c r="K17" i="533" s="1"/>
  <c r="M17" i="533" s="1"/>
  <c r="J17" i="533" a="1"/>
  <c r="J17" i="533" s="1"/>
  <c r="H17" i="533"/>
  <c r="V16" i="533"/>
  <c r="W16" i="533" s="1"/>
  <c r="N16" i="533"/>
  <c r="K16" i="533" a="1"/>
  <c r="K16" i="533" s="1"/>
  <c r="M16" i="533" s="1"/>
  <c r="J16" i="533" a="1"/>
  <c r="J16" i="533" s="1"/>
  <c r="H16" i="533"/>
  <c r="W15" i="533"/>
  <c r="V15" i="533"/>
  <c r="N15" i="533"/>
  <c r="K15" i="533" a="1"/>
  <c r="K15" i="533" s="1"/>
  <c r="M15" i="533" s="1"/>
  <c r="J15" i="533" a="1"/>
  <c r="J15" i="533" s="1"/>
  <c r="H15" i="533"/>
  <c r="N14" i="533"/>
  <c r="K14" i="533" a="1"/>
  <c r="K14" i="533" s="1"/>
  <c r="M14" i="533" s="1"/>
  <c r="H14" i="533"/>
  <c r="N13" i="533"/>
  <c r="K13" i="533" a="1"/>
  <c r="K13" i="533" s="1"/>
  <c r="M13" i="533" s="1"/>
  <c r="H13" i="533"/>
  <c r="V12" i="533"/>
  <c r="W12" i="533" s="1"/>
  <c r="N12" i="533"/>
  <c r="K12" i="533" a="1"/>
  <c r="K12" i="533" s="1"/>
  <c r="M12" i="533" s="1"/>
  <c r="J12" i="533" a="1"/>
  <c r="J12" i="533" s="1"/>
  <c r="H12" i="533"/>
  <c r="V11" i="533"/>
  <c r="W11" i="533" s="1"/>
  <c r="N11" i="533"/>
  <c r="K11" i="533"/>
  <c r="M11" i="533" s="1"/>
  <c r="K11" i="533" a="1"/>
  <c r="J11" i="533"/>
  <c r="J11" i="533" a="1"/>
  <c r="H11" i="533"/>
  <c r="V10" i="533"/>
  <c r="W10" i="533" s="1"/>
  <c r="N10" i="533"/>
  <c r="K10" i="533" a="1"/>
  <c r="K10" i="533" s="1"/>
  <c r="M10" i="533" s="1"/>
  <c r="J10" i="533" a="1"/>
  <c r="J10" i="533" s="1"/>
  <c r="H10" i="533"/>
  <c r="V9" i="533"/>
  <c r="W9" i="533" s="1"/>
  <c r="N9" i="533"/>
  <c r="K9" i="533" a="1"/>
  <c r="K9" i="533" s="1"/>
  <c r="M9" i="533" s="1"/>
  <c r="J9" i="533" a="1"/>
  <c r="J9" i="533" s="1"/>
  <c r="H9" i="533"/>
  <c r="V8" i="533"/>
  <c r="W8" i="533" s="1"/>
  <c r="N8" i="533"/>
  <c r="K8" i="533" a="1"/>
  <c r="K8" i="533" s="1"/>
  <c r="M8" i="533" s="1"/>
  <c r="J8" i="533" a="1"/>
  <c r="J8" i="533" s="1"/>
  <c r="H8" i="533"/>
  <c r="V7" i="533"/>
  <c r="V28" i="533" s="1"/>
  <c r="N7" i="533"/>
  <c r="N28" i="533" s="1"/>
  <c r="K7" i="533" a="1"/>
  <c r="K7" i="533" s="1"/>
  <c r="M7" i="533" s="1"/>
  <c r="J7" i="533" a="1"/>
  <c r="J7" i="533" s="1"/>
  <c r="H7" i="533"/>
  <c r="H28" i="533" s="1"/>
  <c r="J461" i="533" l="1" a="1"/>
  <c r="J461" i="533" s="1"/>
  <c r="J307" i="533" a="1"/>
  <c r="J307" i="533" s="1"/>
  <c r="J291" i="533" a="1"/>
  <c r="J291" i="533" s="1"/>
  <c r="J256" i="533" a="1"/>
  <c r="J256" i="533" s="1"/>
  <c r="R339" i="533"/>
  <c r="H307" i="533"/>
  <c r="K307" i="533"/>
  <c r="V307" i="533"/>
  <c r="W307" i="533" s="1"/>
  <c r="H291" i="533"/>
  <c r="V291" i="533"/>
  <c r="W291" i="533" s="1"/>
  <c r="W199" i="533"/>
  <c r="D533" i="533"/>
  <c r="J533" i="533"/>
  <c r="M487" i="533"/>
  <c r="W503" i="533"/>
  <c r="H504" i="533"/>
  <c r="E511" i="533" s="1"/>
  <c r="H477" i="533"/>
  <c r="V477" i="533"/>
  <c r="W477" i="533" s="1"/>
  <c r="J487" i="533" a="1"/>
  <c r="J487" i="533" s="1"/>
  <c r="R510" i="533"/>
  <c r="N461" i="533"/>
  <c r="N368" i="533"/>
  <c r="M137" i="533"/>
  <c r="J137" i="533" a="1"/>
  <c r="J137" i="533" s="1"/>
  <c r="W148" i="533"/>
  <c r="H163" i="533"/>
  <c r="E170" i="533" s="1"/>
  <c r="H137" i="533"/>
  <c r="V137" i="533"/>
  <c r="W137" i="533" s="1"/>
  <c r="J162" i="533" a="1"/>
  <c r="J162" i="533" s="1"/>
  <c r="N121" i="533"/>
  <c r="N163" i="533" s="1"/>
  <c r="B172" i="533" s="1"/>
  <c r="E172" i="533" s="1"/>
  <c r="W87" i="533"/>
  <c r="W7" i="533"/>
  <c r="M86" i="533"/>
  <c r="M121" i="533"/>
  <c r="J121" i="533" a="1"/>
  <c r="J121" i="533" s="1"/>
  <c r="M28" i="533"/>
  <c r="W28" i="533"/>
  <c r="K521" i="533"/>
  <c r="R172" i="533"/>
  <c r="K522" i="533"/>
  <c r="K523" i="533"/>
  <c r="K526" i="533"/>
  <c r="T170" i="533"/>
  <c r="M199" i="533"/>
  <c r="M256" i="533" s="1"/>
  <c r="K256" i="533"/>
  <c r="C517" i="533"/>
  <c r="Q522" i="533"/>
  <c r="K524" i="533"/>
  <c r="T168" i="533"/>
  <c r="K147" i="533"/>
  <c r="M138" i="533"/>
  <c r="M147" i="533" s="1"/>
  <c r="K525" i="533"/>
  <c r="T169" i="533"/>
  <c r="K162" i="533"/>
  <c r="K169" i="533"/>
  <c r="M165" i="533"/>
  <c r="M177" i="533"/>
  <c r="M198" i="533" s="1"/>
  <c r="K198" i="533"/>
  <c r="J28" i="533" a="1"/>
  <c r="J28" i="533" s="1"/>
  <c r="K28" i="533"/>
  <c r="J86" i="533" a="1"/>
  <c r="J86" i="533" s="1"/>
  <c r="K86" i="533"/>
  <c r="K121" i="533"/>
  <c r="K137" i="533"/>
  <c r="V147" i="533"/>
  <c r="W147" i="533" s="1"/>
  <c r="O163" i="533"/>
  <c r="E169" i="533"/>
  <c r="W177" i="533"/>
  <c r="W198" i="533" s="1"/>
  <c r="W333" i="533" s="1"/>
  <c r="J198" i="533" a="1"/>
  <c r="J198" i="533" s="1"/>
  <c r="X336" i="533"/>
  <c r="P333" i="533"/>
  <c r="X337" i="533" s="1"/>
  <c r="M332" i="533"/>
  <c r="C527" i="533"/>
  <c r="E525" i="533" s="1"/>
  <c r="J147" i="533" a="1"/>
  <c r="J147" i="533" s="1"/>
  <c r="M148" i="533"/>
  <c r="M162" i="533" s="1"/>
  <c r="G163" i="533"/>
  <c r="P163" i="533"/>
  <c r="X167" i="533" s="1"/>
  <c r="X172" i="533" s="1"/>
  <c r="Z170" i="533" s="1"/>
  <c r="B340" i="533"/>
  <c r="J333" i="533" a="1"/>
  <c r="J333" i="533" s="1"/>
  <c r="M340" i="533" s="1"/>
  <c r="R335" i="533"/>
  <c r="O333" i="533"/>
  <c r="K291" i="533"/>
  <c r="M257" i="533"/>
  <c r="M291" i="533" s="1"/>
  <c r="M308" i="533"/>
  <c r="M317" i="533" s="1"/>
  <c r="K317" i="533"/>
  <c r="W257" i="533"/>
  <c r="R337" i="533"/>
  <c r="M292" i="533"/>
  <c r="M307" i="533" s="1"/>
  <c r="R338" i="533"/>
  <c r="W308" i="533"/>
  <c r="V332" i="533"/>
  <c r="V333" i="533" s="1"/>
  <c r="I342" i="533" s="1"/>
  <c r="M342" i="533" s="1" a="1"/>
  <c r="M342" i="533" s="1"/>
  <c r="I339" i="533"/>
  <c r="K337" i="533"/>
  <c r="M337" i="533" s="1"/>
  <c r="K368" i="533"/>
  <c r="M347" i="533"/>
  <c r="M368" i="533" s="1"/>
  <c r="K426" i="533"/>
  <c r="M369" i="533"/>
  <c r="M426" i="533" s="1"/>
  <c r="H332" i="533"/>
  <c r="H333" i="533" s="1"/>
  <c r="E340" i="533" s="1"/>
  <c r="G516" i="533" s="1"/>
  <c r="K332" i="533"/>
  <c r="K339" i="533"/>
  <c r="M339" i="533" s="1"/>
  <c r="M335" i="533"/>
  <c r="X342" i="533"/>
  <c r="Z335" i="533" s="1" a="1"/>
  <c r="Z335" i="533" s="1"/>
  <c r="B511" i="533"/>
  <c r="R506" i="533"/>
  <c r="O504" i="533"/>
  <c r="X507" i="533" s="1"/>
  <c r="V426" i="533"/>
  <c r="W426" i="533" s="1"/>
  <c r="K461" i="533"/>
  <c r="M477" i="533"/>
  <c r="K477" i="533"/>
  <c r="V487" i="533"/>
  <c r="W487" i="533" s="1"/>
  <c r="M506" i="533"/>
  <c r="R531" i="533"/>
  <c r="S531" i="533" a="1"/>
  <c r="S531" i="533" s="1"/>
  <c r="W347" i="533"/>
  <c r="W368" i="533" s="1"/>
  <c r="J368" i="533" a="1"/>
  <c r="J368" i="533" s="1"/>
  <c r="M461" i="533"/>
  <c r="V461" i="533"/>
  <c r="W461" i="533" s="1"/>
  <c r="K487" i="533"/>
  <c r="N487" i="533"/>
  <c r="N504" i="533" s="1"/>
  <c r="B513" i="533" s="1"/>
  <c r="K503" i="533"/>
  <c r="M488" i="533"/>
  <c r="M503" i="533" s="1"/>
  <c r="J504" i="533" a="1"/>
  <c r="J504" i="533" s="1"/>
  <c r="M511" i="533" s="1"/>
  <c r="X506" i="533"/>
  <c r="R532" i="533"/>
  <c r="S532" i="533" a="1"/>
  <c r="S532" i="533" s="1"/>
  <c r="Q530" i="533"/>
  <c r="T530" i="533" a="1"/>
  <c r="T530" i="533" s="1"/>
  <c r="T531" i="533" a="1"/>
  <c r="T531" i="533" s="1"/>
  <c r="T532" i="533" a="1"/>
  <c r="T532" i="533" s="1"/>
  <c r="R507" i="533"/>
  <c r="R508" i="533"/>
  <c r="R509" i="533"/>
  <c r="V503" i="533"/>
  <c r="J503" i="533" a="1"/>
  <c r="J503" i="533" s="1"/>
  <c r="K508" i="533"/>
  <c r="M508" i="533" s="1"/>
  <c r="K509" i="533"/>
  <c r="M509" i="533" s="1"/>
  <c r="C533" i="533"/>
  <c r="T533" i="533" s="1" a="1"/>
  <c r="T533" i="533" s="1"/>
  <c r="M67" i="532"/>
  <c r="I432" i="532"/>
  <c r="M287" i="532"/>
  <c r="K287" i="532" a="1"/>
  <c r="K287" i="532" s="1"/>
  <c r="J287" i="532" a="1"/>
  <c r="J287" i="532" s="1"/>
  <c r="J282" i="532" a="1"/>
  <c r="J282" i="532" s="1"/>
  <c r="J281" i="532" a="1"/>
  <c r="J281" i="532" s="1"/>
  <c r="J280" i="532" a="1"/>
  <c r="J280" i="532" s="1"/>
  <c r="J279" i="532" a="1"/>
  <c r="J279" i="532" s="1"/>
  <c r="J278" i="532" a="1"/>
  <c r="J278" i="532" s="1"/>
  <c r="I287" i="532"/>
  <c r="I281" i="532"/>
  <c r="I282" i="532"/>
  <c r="I292" i="532"/>
  <c r="I199" i="532"/>
  <c r="I185" i="532"/>
  <c r="J67" i="532" a="1"/>
  <c r="J67" i="532" s="1"/>
  <c r="I15" i="532"/>
  <c r="I123" i="532"/>
  <c r="I122" i="532"/>
  <c r="I31" i="532"/>
  <c r="I29" i="532"/>
  <c r="Z341" i="533" l="1"/>
  <c r="E524" i="533"/>
  <c r="E522" i="533"/>
  <c r="E523" i="533"/>
  <c r="E521" i="533"/>
  <c r="E513" i="533"/>
  <c r="C518" i="533"/>
  <c r="G518" i="533" s="1"/>
  <c r="R530" i="533"/>
  <c r="R533" i="533" s="1"/>
  <c r="S530" i="533" a="1"/>
  <c r="S530" i="533" s="1"/>
  <c r="Q533" i="533"/>
  <c r="S533" i="533" s="1" a="1"/>
  <c r="S533" i="533" s="1"/>
  <c r="K510" i="533"/>
  <c r="M510" i="533" s="1"/>
  <c r="M504" i="533"/>
  <c r="R342" i="533"/>
  <c r="T335" i="533" s="1" a="1"/>
  <c r="T335" i="533" s="1"/>
  <c r="B170" i="533"/>
  <c r="C516" i="533" s="1"/>
  <c r="J163" i="533" a="1"/>
  <c r="J163" i="533" s="1"/>
  <c r="M170" i="533" s="1"/>
  <c r="Z337" i="533"/>
  <c r="K163" i="533"/>
  <c r="E171" i="533" s="1"/>
  <c r="M333" i="533"/>
  <c r="K527" i="533"/>
  <c r="M524" i="533" s="1"/>
  <c r="T171" i="533"/>
  <c r="W163" i="533"/>
  <c r="M163" i="533"/>
  <c r="X513" i="533"/>
  <c r="Z506" i="533" s="1" a="1"/>
  <c r="Z506" i="533" s="1"/>
  <c r="R513" i="533"/>
  <c r="Z340" i="533"/>
  <c r="Z339" i="533"/>
  <c r="Z338" i="533"/>
  <c r="V504" i="533"/>
  <c r="K504" i="533"/>
  <c r="Z165" i="533" a="1"/>
  <c r="Z165" i="533" s="1"/>
  <c r="Z171" i="533"/>
  <c r="Q523" i="533"/>
  <c r="Z167" i="533"/>
  <c r="Z336" i="533"/>
  <c r="Z169" i="533"/>
  <c r="Z168" i="533"/>
  <c r="E526" i="533"/>
  <c r="E527" i="533" s="1"/>
  <c r="K333" i="533"/>
  <c r="M169" i="533"/>
  <c r="Z166" i="533"/>
  <c r="T167" i="533"/>
  <c r="T166" i="533"/>
  <c r="T165" i="533" a="1"/>
  <c r="T165" i="533" s="1"/>
  <c r="M521" i="533" a="1"/>
  <c r="M521" i="533" s="1"/>
  <c r="V163" i="533"/>
  <c r="I172" i="533" s="1"/>
  <c r="T338" i="533" l="1"/>
  <c r="T337" i="533"/>
  <c r="M522" i="533"/>
  <c r="M172" i="533" a="1"/>
  <c r="M172" i="533" s="1"/>
  <c r="E512" i="533"/>
  <c r="I512" i="533" s="1"/>
  <c r="M512" i="533" s="1"/>
  <c r="L504" i="533"/>
  <c r="I511" i="533" s="1"/>
  <c r="T512" i="533"/>
  <c r="T511" i="533"/>
  <c r="T510" i="533"/>
  <c r="M526" i="533"/>
  <c r="M525" i="533"/>
  <c r="I171" i="533"/>
  <c r="M171" i="533" s="1"/>
  <c r="L163" i="533"/>
  <c r="I170" i="533" s="1"/>
  <c r="T507" i="533"/>
  <c r="E341" i="533"/>
  <c r="I341" i="533" s="1"/>
  <c r="M341" i="533" s="1"/>
  <c r="L333" i="533"/>
  <c r="I340" i="533" s="1"/>
  <c r="Q527" i="533"/>
  <c r="S523" i="533" s="1"/>
  <c r="W504" i="533"/>
  <c r="I513" i="533"/>
  <c r="M513" i="533" s="1" a="1"/>
  <c r="M513" i="533" s="1"/>
  <c r="T506" i="533" a="1"/>
  <c r="T506" i="533" s="1"/>
  <c r="Z511" i="533"/>
  <c r="Z509" i="533"/>
  <c r="Z510" i="533"/>
  <c r="Z508" i="533"/>
  <c r="Z512" i="533"/>
  <c r="T508" i="533"/>
  <c r="M523" i="533"/>
  <c r="O516" i="533" a="1"/>
  <c r="O516" i="533" s="1"/>
  <c r="T341" i="533"/>
  <c r="T336" i="533"/>
  <c r="T339" i="533"/>
  <c r="T340" i="533"/>
  <c r="Z507" i="533"/>
  <c r="T509" i="533"/>
  <c r="D531" i="532"/>
  <c r="D532" i="532"/>
  <c r="D530" i="532"/>
  <c r="G282" i="532"/>
  <c r="G185" i="532"/>
  <c r="G517" i="533" l="1"/>
  <c r="S521" i="533" a="1"/>
  <c r="S521" i="533" s="1"/>
  <c r="S525" i="533"/>
  <c r="S524" i="533"/>
  <c r="S526" i="533"/>
  <c r="S522" i="533"/>
  <c r="K518" i="533"/>
  <c r="O518" i="533" s="1" a="1"/>
  <c r="O518" i="533" s="1"/>
  <c r="G432" i="532"/>
  <c r="G281" i="532"/>
  <c r="G292" i="532"/>
  <c r="G235" i="532"/>
  <c r="G199" i="532"/>
  <c r="G122" i="532"/>
  <c r="G31" i="532"/>
  <c r="G15" i="532"/>
  <c r="G123" i="532"/>
  <c r="G65" i="532"/>
  <c r="G67" i="532"/>
  <c r="P533" i="532"/>
  <c r="O533" i="532"/>
  <c r="N533" i="532"/>
  <c r="M533" i="532"/>
  <c r="L533" i="532"/>
  <c r="K533" i="532"/>
  <c r="I533" i="532"/>
  <c r="H533" i="532"/>
  <c r="G533" i="532"/>
  <c r="F533" i="532"/>
  <c r="E533" i="532"/>
  <c r="D533" i="532"/>
  <c r="C532" i="532"/>
  <c r="J532" i="532" s="1"/>
  <c r="Q532" i="532" s="1"/>
  <c r="C531" i="532"/>
  <c r="T531" i="532" s="1" a="1"/>
  <c r="T531" i="532" s="1"/>
  <c r="C530" i="532"/>
  <c r="J530" i="532" s="1"/>
  <c r="N514" i="532"/>
  <c r="G514" i="532"/>
  <c r="X512" i="532"/>
  <c r="X511" i="532"/>
  <c r="X510" i="532"/>
  <c r="I510" i="532"/>
  <c r="G510" i="532"/>
  <c r="E510" i="532"/>
  <c r="C510" i="532"/>
  <c r="X509" i="532"/>
  <c r="M509" i="532"/>
  <c r="K509" i="532"/>
  <c r="I509" i="532"/>
  <c r="E509" i="532"/>
  <c r="X508" i="532"/>
  <c r="M508" i="532"/>
  <c r="K508" i="532"/>
  <c r="I508" i="532"/>
  <c r="E508" i="532"/>
  <c r="M507" i="532"/>
  <c r="K507" i="532"/>
  <c r="I507" i="532"/>
  <c r="E507" i="532"/>
  <c r="I506" i="532"/>
  <c r="E506" i="532"/>
  <c r="K506" i="532" s="1"/>
  <c r="K510" i="532" s="1"/>
  <c r="M510" i="532" s="1"/>
  <c r="AA503" i="532"/>
  <c r="Z503" i="532"/>
  <c r="Y503" i="532"/>
  <c r="X503" i="532"/>
  <c r="U503" i="532"/>
  <c r="T503" i="532"/>
  <c r="S503" i="532"/>
  <c r="R503" i="532"/>
  <c r="Q503" i="532"/>
  <c r="P503" i="532"/>
  <c r="R511" i="532" s="1"/>
  <c r="O503" i="532"/>
  <c r="I503" i="532"/>
  <c r="G503" i="532"/>
  <c r="J503" i="532" s="1" a="1"/>
  <c r="J503" i="532" s="1"/>
  <c r="H502" i="532"/>
  <c r="H501" i="532"/>
  <c r="H500" i="532"/>
  <c r="H499" i="532"/>
  <c r="D499" i="532"/>
  <c r="V498" i="532"/>
  <c r="W498" i="532" s="1"/>
  <c r="N498" i="532"/>
  <c r="K498" i="532" a="1"/>
  <c r="K498" i="532" s="1"/>
  <c r="M498" i="532" s="1"/>
  <c r="J498" i="532" a="1"/>
  <c r="J498" i="532" s="1"/>
  <c r="H498" i="532"/>
  <c r="H497" i="532"/>
  <c r="H496" i="532"/>
  <c r="V495" i="532"/>
  <c r="W495" i="532" s="1"/>
  <c r="N495" i="532"/>
  <c r="K495" i="532" a="1"/>
  <c r="K495" i="532" s="1"/>
  <c r="M495" i="532" s="1"/>
  <c r="J495" i="532" a="1"/>
  <c r="J495" i="532" s="1"/>
  <c r="H495" i="532"/>
  <c r="V494" i="532"/>
  <c r="W494" i="532" s="1"/>
  <c r="N494" i="532"/>
  <c r="K494" i="532"/>
  <c r="M494" i="532" s="1"/>
  <c r="K494" i="532" a="1"/>
  <c r="J494" i="532"/>
  <c r="J494" i="532" a="1"/>
  <c r="H494" i="532"/>
  <c r="H493" i="532"/>
  <c r="H492" i="532"/>
  <c r="V491" i="532"/>
  <c r="W491" i="532" s="1"/>
  <c r="N491" i="532"/>
  <c r="K491" i="532" a="1"/>
  <c r="K491" i="532" s="1"/>
  <c r="M491" i="532" s="1"/>
  <c r="J491" i="532" a="1"/>
  <c r="J491" i="532" s="1"/>
  <c r="H491" i="532"/>
  <c r="V490" i="532"/>
  <c r="W490" i="532" s="1"/>
  <c r="N490" i="532"/>
  <c r="K490" i="532" a="1"/>
  <c r="K490" i="532" s="1"/>
  <c r="M490" i="532" s="1"/>
  <c r="J490" i="532" a="1"/>
  <c r="J490" i="532" s="1"/>
  <c r="H490" i="532"/>
  <c r="V489" i="532"/>
  <c r="W489" i="532" s="1"/>
  <c r="N489" i="532"/>
  <c r="K489" i="532" a="1"/>
  <c r="K489" i="532" s="1"/>
  <c r="M489" i="532" s="1"/>
  <c r="J489" i="532" a="1"/>
  <c r="J489" i="532" s="1"/>
  <c r="H489" i="532"/>
  <c r="V488" i="532"/>
  <c r="V503" i="532" s="1"/>
  <c r="N488" i="532"/>
  <c r="K488" i="532" a="1"/>
  <c r="K488" i="532" s="1"/>
  <c r="J488" i="532" a="1"/>
  <c r="J488" i="532" s="1"/>
  <c r="H488" i="532"/>
  <c r="AA487" i="532"/>
  <c r="Z487" i="532"/>
  <c r="Y487" i="532"/>
  <c r="X487" i="532"/>
  <c r="U487" i="532"/>
  <c r="T487" i="532"/>
  <c r="S487" i="532"/>
  <c r="Q487" i="532"/>
  <c r="P487" i="532"/>
  <c r="O487" i="532"/>
  <c r="I487" i="532"/>
  <c r="G487" i="532"/>
  <c r="J487" i="532" s="1" a="1"/>
  <c r="J487" i="532" s="1"/>
  <c r="W486" i="532"/>
  <c r="V486" i="532"/>
  <c r="N486" i="532"/>
  <c r="K486" i="532" a="1"/>
  <c r="K486" i="532" s="1"/>
  <c r="M486" i="532" s="1"/>
  <c r="J486" i="532" a="1"/>
  <c r="J486" i="532" s="1"/>
  <c r="H486" i="532"/>
  <c r="H485" i="532"/>
  <c r="H484" i="532"/>
  <c r="H483" i="532"/>
  <c r="V482" i="532"/>
  <c r="W482" i="532" s="1"/>
  <c r="N482" i="532"/>
  <c r="K482" i="532"/>
  <c r="M482" i="532" s="1"/>
  <c r="K482" i="532" a="1"/>
  <c r="J482" i="532"/>
  <c r="J482" i="532" a="1"/>
  <c r="H482" i="532"/>
  <c r="V481" i="532"/>
  <c r="W481" i="532" s="1"/>
  <c r="N481" i="532"/>
  <c r="K481" i="532" a="1"/>
  <c r="K481" i="532" s="1"/>
  <c r="M481" i="532" s="1"/>
  <c r="J481" i="532" a="1"/>
  <c r="J481" i="532" s="1"/>
  <c r="H481" i="532"/>
  <c r="W480" i="532"/>
  <c r="V480" i="532"/>
  <c r="N480" i="532"/>
  <c r="K480" i="532" a="1"/>
  <c r="K480" i="532" s="1"/>
  <c r="M480" i="532" s="1"/>
  <c r="J480" i="532" a="1"/>
  <c r="J480" i="532" s="1"/>
  <c r="H480" i="532"/>
  <c r="V479" i="532"/>
  <c r="W479" i="532" s="1"/>
  <c r="N479" i="532"/>
  <c r="K479" i="532" a="1"/>
  <c r="K479" i="532" s="1"/>
  <c r="M479" i="532" s="1"/>
  <c r="J479" i="532" a="1"/>
  <c r="J479" i="532" s="1"/>
  <c r="H479" i="532"/>
  <c r="V478" i="532"/>
  <c r="V487" i="532" s="1"/>
  <c r="W487" i="532" s="1"/>
  <c r="N478" i="532"/>
  <c r="N487" i="532" s="1"/>
  <c r="K478" i="532"/>
  <c r="K478" i="532" a="1"/>
  <c r="J478" i="532"/>
  <c r="J478" i="532" a="1"/>
  <c r="H478" i="532"/>
  <c r="H487" i="532" s="1"/>
  <c r="AA477" i="532"/>
  <c r="Z477" i="532"/>
  <c r="Y477" i="532"/>
  <c r="X477" i="532"/>
  <c r="U477" i="532"/>
  <c r="T477" i="532"/>
  <c r="S477" i="532"/>
  <c r="Q477" i="532"/>
  <c r="P477" i="532"/>
  <c r="O477" i="532"/>
  <c r="R509" i="532" s="1"/>
  <c r="I477" i="532"/>
  <c r="G477" i="532"/>
  <c r="J477" i="532" s="1" a="1"/>
  <c r="J477" i="532" s="1"/>
  <c r="V476" i="532"/>
  <c r="W476" i="532" s="1"/>
  <c r="N476" i="532"/>
  <c r="K476" i="532" a="1"/>
  <c r="K476" i="532" s="1"/>
  <c r="M476" i="532" s="1"/>
  <c r="J476" i="532" a="1"/>
  <c r="J476" i="532" s="1"/>
  <c r="H476" i="532"/>
  <c r="W475" i="532"/>
  <c r="V475" i="532"/>
  <c r="N475" i="532"/>
  <c r="K475" i="532" a="1"/>
  <c r="K475" i="532" s="1"/>
  <c r="M475" i="532" s="1"/>
  <c r="J475" i="532" a="1"/>
  <c r="J475" i="532" s="1"/>
  <c r="H475" i="532"/>
  <c r="V474" i="532"/>
  <c r="W474" i="532" s="1"/>
  <c r="N474" i="532"/>
  <c r="K474" i="532" a="1"/>
  <c r="K474" i="532" s="1"/>
  <c r="M474" i="532" s="1"/>
  <c r="J474" i="532" a="1"/>
  <c r="J474" i="532" s="1"/>
  <c r="H474" i="532"/>
  <c r="V473" i="532"/>
  <c r="W473" i="532" s="1"/>
  <c r="N473" i="532"/>
  <c r="K473" i="532"/>
  <c r="M473" i="532" s="1"/>
  <c r="K473" i="532" a="1"/>
  <c r="J473" i="532"/>
  <c r="J473" i="532" a="1"/>
  <c r="H473" i="532"/>
  <c r="V472" i="532"/>
  <c r="W472" i="532" s="1"/>
  <c r="N472" i="532"/>
  <c r="K472" i="532" a="1"/>
  <c r="K472" i="532" s="1"/>
  <c r="M472" i="532" s="1"/>
  <c r="J472" i="532" a="1"/>
  <c r="J472" i="532" s="1"/>
  <c r="H472" i="532"/>
  <c r="W471" i="532"/>
  <c r="V471" i="532"/>
  <c r="N471" i="532"/>
  <c r="K471" i="532" a="1"/>
  <c r="K471" i="532" s="1"/>
  <c r="M471" i="532" s="1"/>
  <c r="J471" i="532" a="1"/>
  <c r="J471" i="532" s="1"/>
  <c r="H471" i="532"/>
  <c r="V470" i="532"/>
  <c r="W470" i="532" s="1"/>
  <c r="N470" i="532"/>
  <c r="K470" i="532" a="1"/>
  <c r="K470" i="532" s="1"/>
  <c r="M470" i="532" s="1"/>
  <c r="J470" i="532" a="1"/>
  <c r="J470" i="532" s="1"/>
  <c r="H470" i="532"/>
  <c r="V469" i="532"/>
  <c r="W469" i="532" s="1"/>
  <c r="N469" i="532"/>
  <c r="K469" i="532"/>
  <c r="M469" i="532" s="1"/>
  <c r="K469" i="532" a="1"/>
  <c r="J469" i="532"/>
  <c r="J469" i="532" a="1"/>
  <c r="H469" i="532"/>
  <c r="V468" i="532"/>
  <c r="W468" i="532" s="1"/>
  <c r="N468" i="532"/>
  <c r="K468" i="532" a="1"/>
  <c r="K468" i="532" s="1"/>
  <c r="M468" i="532" s="1"/>
  <c r="J468" i="532" a="1"/>
  <c r="J468" i="532" s="1"/>
  <c r="H468" i="532"/>
  <c r="W467" i="532"/>
  <c r="V467" i="532"/>
  <c r="N467" i="532"/>
  <c r="K467" i="532" a="1"/>
  <c r="K467" i="532" s="1"/>
  <c r="M467" i="532" s="1"/>
  <c r="J467" i="532" a="1"/>
  <c r="J467" i="532" s="1"/>
  <c r="H467" i="532"/>
  <c r="V466" i="532"/>
  <c r="W466" i="532" s="1"/>
  <c r="N466" i="532"/>
  <c r="K466" i="532" a="1"/>
  <c r="K466" i="532" s="1"/>
  <c r="M466" i="532" s="1"/>
  <c r="J466" i="532" a="1"/>
  <c r="J466" i="532" s="1"/>
  <c r="H466" i="532"/>
  <c r="V465" i="532"/>
  <c r="W465" i="532" s="1"/>
  <c r="N465" i="532"/>
  <c r="K465" i="532"/>
  <c r="M465" i="532" s="1"/>
  <c r="K465" i="532" a="1"/>
  <c r="J465" i="532"/>
  <c r="J465" i="532" a="1"/>
  <c r="H465" i="532"/>
  <c r="V464" i="532"/>
  <c r="W464" i="532" s="1"/>
  <c r="N464" i="532"/>
  <c r="K464" i="532" a="1"/>
  <c r="K464" i="532" s="1"/>
  <c r="M464" i="532" s="1"/>
  <c r="J464" i="532" a="1"/>
  <c r="J464" i="532" s="1"/>
  <c r="H464" i="532"/>
  <c r="W463" i="532"/>
  <c r="V463" i="532"/>
  <c r="N463" i="532"/>
  <c r="K463" i="532" a="1"/>
  <c r="K463" i="532" s="1"/>
  <c r="M463" i="532" s="1"/>
  <c r="J463" i="532" a="1"/>
  <c r="J463" i="532" s="1"/>
  <c r="H463" i="532"/>
  <c r="V462" i="532"/>
  <c r="V477" i="532" s="1"/>
  <c r="W477" i="532" s="1"/>
  <c r="N462" i="532"/>
  <c r="K462" i="532" a="1"/>
  <c r="K462" i="532" s="1"/>
  <c r="J462" i="532" a="1"/>
  <c r="J462" i="532" s="1"/>
  <c r="H462" i="532"/>
  <c r="H477" i="532" s="1"/>
  <c r="AA461" i="532"/>
  <c r="Z461" i="532"/>
  <c r="Y461" i="532"/>
  <c r="X461" i="532"/>
  <c r="U461" i="532"/>
  <c r="T461" i="532"/>
  <c r="S461" i="532"/>
  <c r="R461" i="532"/>
  <c r="Q461" i="532"/>
  <c r="P461" i="532"/>
  <c r="O461" i="532"/>
  <c r="R508" i="532" s="1"/>
  <c r="I461" i="532"/>
  <c r="G461" i="532"/>
  <c r="V460" i="532"/>
  <c r="W460" i="532" s="1"/>
  <c r="N460" i="532"/>
  <c r="K460" i="532" a="1"/>
  <c r="K460" i="532" s="1"/>
  <c r="M460" i="532" s="1"/>
  <c r="J460" i="532" a="1"/>
  <c r="J460" i="532" s="1"/>
  <c r="H460" i="532"/>
  <c r="V459" i="532"/>
  <c r="W459" i="532" s="1"/>
  <c r="N459" i="532"/>
  <c r="K459" i="532" a="1"/>
  <c r="K459" i="532" s="1"/>
  <c r="M459" i="532" s="1"/>
  <c r="J459" i="532" a="1"/>
  <c r="J459" i="532" s="1"/>
  <c r="H459" i="532"/>
  <c r="V458" i="532"/>
  <c r="W458" i="532" s="1"/>
  <c r="N458" i="532"/>
  <c r="K458" i="532" a="1"/>
  <c r="K458" i="532" s="1"/>
  <c r="M458" i="532" s="1"/>
  <c r="J458" i="532" a="1"/>
  <c r="J458" i="532" s="1"/>
  <c r="H458" i="532"/>
  <c r="K457" i="532" a="1"/>
  <c r="K457" i="532" s="1"/>
  <c r="M457" i="532" s="1"/>
  <c r="H457" i="532"/>
  <c r="K456" i="532" a="1"/>
  <c r="K456" i="532" s="1"/>
  <c r="M456" i="532" s="1"/>
  <c r="H456" i="532"/>
  <c r="K455" i="532" a="1"/>
  <c r="K455" i="532" s="1"/>
  <c r="M455" i="532" s="1"/>
  <c r="H455" i="532"/>
  <c r="W454" i="532"/>
  <c r="V454" i="532"/>
  <c r="N454" i="532"/>
  <c r="K454" i="532" a="1"/>
  <c r="K454" i="532" s="1"/>
  <c r="M454" i="532" s="1"/>
  <c r="J454" i="532" a="1"/>
  <c r="J454" i="532" s="1"/>
  <c r="H454" i="532"/>
  <c r="V453" i="532"/>
  <c r="W453" i="532" s="1"/>
  <c r="N453" i="532"/>
  <c r="K453" i="532" a="1"/>
  <c r="K453" i="532" s="1"/>
  <c r="M453" i="532" s="1"/>
  <c r="J453" i="532" a="1"/>
  <c r="J453" i="532" s="1"/>
  <c r="H453" i="532"/>
  <c r="N452" i="532"/>
  <c r="K452" i="532"/>
  <c r="M452" i="532" s="1"/>
  <c r="K452" i="532" a="1"/>
  <c r="H452" i="532"/>
  <c r="N451" i="532"/>
  <c r="K451" i="532" a="1"/>
  <c r="K451" i="532" s="1"/>
  <c r="M451" i="532" s="1"/>
  <c r="H451" i="532"/>
  <c r="N450" i="532"/>
  <c r="K450" i="532" a="1"/>
  <c r="K450" i="532" s="1"/>
  <c r="M450" i="532" s="1"/>
  <c r="H450" i="532"/>
  <c r="N449" i="532"/>
  <c r="K449" i="532" a="1"/>
  <c r="K449" i="532" s="1"/>
  <c r="M449" i="532" s="1"/>
  <c r="H449" i="532"/>
  <c r="N448" i="532"/>
  <c r="K448" i="532"/>
  <c r="M448" i="532" s="1"/>
  <c r="K448" i="532" a="1"/>
  <c r="H448" i="532"/>
  <c r="N447" i="532"/>
  <c r="K447" i="532" a="1"/>
  <c r="K447" i="532" s="1"/>
  <c r="M447" i="532" s="1"/>
  <c r="H447" i="532"/>
  <c r="W446" i="532"/>
  <c r="V446" i="532"/>
  <c r="N446" i="532"/>
  <c r="K446" i="532" a="1"/>
  <c r="K446" i="532" s="1"/>
  <c r="M446" i="532" s="1"/>
  <c r="J446" i="532" a="1"/>
  <c r="J446" i="532" s="1"/>
  <c r="H446" i="532"/>
  <c r="V445" i="532"/>
  <c r="W445" i="532" s="1"/>
  <c r="N445" i="532"/>
  <c r="K445" i="532" a="1"/>
  <c r="K445" i="532" s="1"/>
  <c r="M445" i="532" s="1"/>
  <c r="J445" i="532" a="1"/>
  <c r="J445" i="532" s="1"/>
  <c r="H445" i="532"/>
  <c r="V444" i="532"/>
  <c r="W444" i="532" s="1"/>
  <c r="N444" i="532"/>
  <c r="K444" i="532"/>
  <c r="M444" i="532" s="1"/>
  <c r="K444" i="532" a="1"/>
  <c r="J444" i="532"/>
  <c r="J444" i="532" a="1"/>
  <c r="H444" i="532"/>
  <c r="V443" i="532"/>
  <c r="W443" i="532" s="1"/>
  <c r="N443" i="532"/>
  <c r="K443" i="532" a="1"/>
  <c r="K443" i="532" s="1"/>
  <c r="M443" i="532" s="1"/>
  <c r="J443" i="532" a="1"/>
  <c r="J443" i="532" s="1"/>
  <c r="H443" i="532"/>
  <c r="W442" i="532"/>
  <c r="V442" i="532"/>
  <c r="N442" i="532"/>
  <c r="K442" i="532" a="1"/>
  <c r="K442" i="532" s="1"/>
  <c r="M442" i="532" s="1"/>
  <c r="J442" i="532" a="1"/>
  <c r="J442" i="532" s="1"/>
  <c r="H442" i="532"/>
  <c r="V441" i="532"/>
  <c r="W441" i="532" s="1"/>
  <c r="N441" i="532"/>
  <c r="K441" i="532" a="1"/>
  <c r="K441" i="532" s="1"/>
  <c r="M441" i="532" s="1"/>
  <c r="J441" i="532" a="1"/>
  <c r="J441" i="532" s="1"/>
  <c r="H441" i="532"/>
  <c r="V440" i="532"/>
  <c r="W440" i="532" s="1"/>
  <c r="N440" i="532"/>
  <c r="K440" i="532"/>
  <c r="M440" i="532" s="1"/>
  <c r="K440" i="532" a="1"/>
  <c r="J440" i="532"/>
  <c r="J440" i="532" a="1"/>
  <c r="H440" i="532"/>
  <c r="V439" i="532"/>
  <c r="W439" i="532" s="1"/>
  <c r="N439" i="532"/>
  <c r="K439" i="532" a="1"/>
  <c r="K439" i="532" s="1"/>
  <c r="M439" i="532" s="1"/>
  <c r="J439" i="532" a="1"/>
  <c r="J439" i="532" s="1"/>
  <c r="H439" i="532"/>
  <c r="W438" i="532"/>
  <c r="V438" i="532"/>
  <c r="N438" i="532"/>
  <c r="K438" i="532" a="1"/>
  <c r="K438" i="532" s="1"/>
  <c r="M438" i="532" s="1"/>
  <c r="J438" i="532" a="1"/>
  <c r="J438" i="532" s="1"/>
  <c r="H438" i="532"/>
  <c r="V437" i="532"/>
  <c r="W437" i="532" s="1"/>
  <c r="N437" i="532"/>
  <c r="K437" i="532" a="1"/>
  <c r="K437" i="532" s="1"/>
  <c r="M437" i="532" s="1"/>
  <c r="J437" i="532" a="1"/>
  <c r="J437" i="532" s="1"/>
  <c r="H437" i="532"/>
  <c r="V436" i="532"/>
  <c r="W436" i="532" s="1"/>
  <c r="N436" i="532"/>
  <c r="K436" i="532"/>
  <c r="M436" i="532" s="1"/>
  <c r="K436" i="532" a="1"/>
  <c r="J436" i="532"/>
  <c r="J436" i="532" a="1"/>
  <c r="H436" i="532"/>
  <c r="V435" i="532"/>
  <c r="W435" i="532" s="1"/>
  <c r="N435" i="532"/>
  <c r="K435" i="532" a="1"/>
  <c r="K435" i="532" s="1"/>
  <c r="M435" i="532" s="1"/>
  <c r="J435" i="532" a="1"/>
  <c r="J435" i="532" s="1"/>
  <c r="H435" i="532"/>
  <c r="N434" i="532"/>
  <c r="K434" i="532" a="1"/>
  <c r="K434" i="532" s="1"/>
  <c r="M434" i="532" s="1"/>
  <c r="H434" i="532"/>
  <c r="V433" i="532"/>
  <c r="W433" i="532" s="1"/>
  <c r="N433" i="532"/>
  <c r="K433" i="532" a="1"/>
  <c r="K433" i="532" s="1"/>
  <c r="M433" i="532" s="1"/>
  <c r="J433" i="532" a="1"/>
  <c r="J433" i="532" s="1"/>
  <c r="H433" i="532"/>
  <c r="W432" i="532"/>
  <c r="V432" i="532"/>
  <c r="N432" i="532"/>
  <c r="K432" i="532" a="1"/>
  <c r="K432" i="532" s="1"/>
  <c r="M432" i="532" s="1"/>
  <c r="J432" i="532" a="1"/>
  <c r="J432" i="532" s="1"/>
  <c r="H432" i="532"/>
  <c r="V431" i="532"/>
  <c r="W431" i="532" s="1"/>
  <c r="N431" i="532"/>
  <c r="K431" i="532" a="1"/>
  <c r="K431" i="532" s="1"/>
  <c r="M431" i="532" s="1"/>
  <c r="J431" i="532" a="1"/>
  <c r="J431" i="532" s="1"/>
  <c r="H431" i="532"/>
  <c r="V430" i="532"/>
  <c r="W430" i="532" s="1"/>
  <c r="N430" i="532"/>
  <c r="K430" i="532"/>
  <c r="M430" i="532" s="1"/>
  <c r="K430" i="532" a="1"/>
  <c r="J430" i="532" a="1"/>
  <c r="J430" i="532" s="1"/>
  <c r="H430" i="532"/>
  <c r="V429" i="532"/>
  <c r="W429" i="532" s="1"/>
  <c r="N429" i="532"/>
  <c r="K429" i="532" a="1"/>
  <c r="K429" i="532" s="1"/>
  <c r="M429" i="532" s="1"/>
  <c r="J429" i="532" a="1"/>
  <c r="J429" i="532" s="1"/>
  <c r="H429" i="532"/>
  <c r="V428" i="532"/>
  <c r="W428" i="532" s="1"/>
  <c r="N428" i="532"/>
  <c r="K428" i="532" a="1"/>
  <c r="K428" i="532" s="1"/>
  <c r="M428" i="532" s="1"/>
  <c r="J428" i="532" a="1"/>
  <c r="J428" i="532" s="1"/>
  <c r="H428" i="532"/>
  <c r="V427" i="532"/>
  <c r="V461" i="532" s="1"/>
  <c r="W461" i="532" s="1"/>
  <c r="N427" i="532"/>
  <c r="K427" i="532" a="1"/>
  <c r="K427" i="532" s="1"/>
  <c r="J427" i="532" a="1"/>
  <c r="J427" i="532" s="1"/>
  <c r="H427" i="532"/>
  <c r="H461" i="532" s="1"/>
  <c r="AA426" i="532"/>
  <c r="Z426" i="532"/>
  <c r="Y426" i="532"/>
  <c r="X426" i="532"/>
  <c r="U426" i="532"/>
  <c r="T426" i="532"/>
  <c r="S426" i="532"/>
  <c r="R426" i="532"/>
  <c r="Q426" i="532"/>
  <c r="P426" i="532"/>
  <c r="O426" i="532"/>
  <c r="R507" i="532" s="1"/>
  <c r="I426" i="532"/>
  <c r="G426" i="532"/>
  <c r="J426" i="532" s="1" a="1"/>
  <c r="J426" i="532" s="1"/>
  <c r="K425" i="532" a="1"/>
  <c r="K425" i="532" s="1"/>
  <c r="M425" i="532" s="1"/>
  <c r="H425" i="532"/>
  <c r="K424" i="532"/>
  <c r="M424" i="532" s="1"/>
  <c r="K424" i="532" a="1"/>
  <c r="H424" i="532"/>
  <c r="K423" i="532" a="1"/>
  <c r="K423" i="532" s="1"/>
  <c r="M423" i="532" s="1"/>
  <c r="H423" i="532"/>
  <c r="K422" i="532" a="1"/>
  <c r="K422" i="532" s="1"/>
  <c r="M422" i="532" s="1"/>
  <c r="H422" i="532"/>
  <c r="K421" i="532" a="1"/>
  <c r="K421" i="532" s="1"/>
  <c r="M421" i="532" s="1"/>
  <c r="H421" i="532"/>
  <c r="K420" i="532" a="1"/>
  <c r="K420" i="532" s="1"/>
  <c r="M420" i="532" s="1"/>
  <c r="H420" i="532"/>
  <c r="K419" i="532" a="1"/>
  <c r="K419" i="532" s="1"/>
  <c r="M419" i="532" s="1"/>
  <c r="H419" i="532"/>
  <c r="K418" i="532" a="1"/>
  <c r="K418" i="532" s="1"/>
  <c r="M418" i="532" s="1"/>
  <c r="H418" i="532"/>
  <c r="K417" i="532" a="1"/>
  <c r="K417" i="532" s="1"/>
  <c r="M417" i="532" s="1"/>
  <c r="H417" i="532"/>
  <c r="K416" i="532" a="1"/>
  <c r="K416" i="532" s="1"/>
  <c r="M416" i="532" s="1"/>
  <c r="H416" i="532"/>
  <c r="W415" i="532"/>
  <c r="V415" i="532"/>
  <c r="N415" i="532"/>
  <c r="K415" i="532" a="1"/>
  <c r="K415" i="532" s="1"/>
  <c r="M415" i="532" s="1"/>
  <c r="J415" i="532" a="1"/>
  <c r="J415" i="532" s="1"/>
  <c r="H415" i="532"/>
  <c r="V414" i="532"/>
  <c r="W414" i="532" s="1"/>
  <c r="N414" i="532"/>
  <c r="K414" i="532" a="1"/>
  <c r="K414" i="532" s="1"/>
  <c r="M414" i="532" s="1"/>
  <c r="J414" i="532" a="1"/>
  <c r="J414" i="532" s="1"/>
  <c r="H414" i="532"/>
  <c r="V413" i="532"/>
  <c r="W413" i="532" s="1"/>
  <c r="N413" i="532"/>
  <c r="K413" i="532"/>
  <c r="M413" i="532" s="1"/>
  <c r="K413" i="532" a="1"/>
  <c r="J413" i="532"/>
  <c r="J413" i="532" a="1"/>
  <c r="H413" i="532"/>
  <c r="V412" i="532"/>
  <c r="W412" i="532" s="1"/>
  <c r="N412" i="532"/>
  <c r="K412" i="532" a="1"/>
  <c r="K412" i="532" s="1"/>
  <c r="M412" i="532" s="1"/>
  <c r="J412" i="532" a="1"/>
  <c r="J412" i="532" s="1"/>
  <c r="H412" i="532"/>
  <c r="H411" i="532"/>
  <c r="V410" i="532"/>
  <c r="W410" i="532" s="1"/>
  <c r="N410" i="532"/>
  <c r="K410" i="532" a="1"/>
  <c r="K410" i="532" s="1"/>
  <c r="M410" i="532" s="1"/>
  <c r="J410" i="532" a="1"/>
  <c r="J410" i="532" s="1"/>
  <c r="H410" i="532"/>
  <c r="W409" i="532"/>
  <c r="V409" i="532"/>
  <c r="N409" i="532"/>
  <c r="K409" i="532" a="1"/>
  <c r="K409" i="532" s="1"/>
  <c r="M409" i="532" s="1"/>
  <c r="J409" i="532" a="1"/>
  <c r="J409" i="532" s="1"/>
  <c r="H409" i="532"/>
  <c r="H408" i="532"/>
  <c r="K407" i="532" a="1"/>
  <c r="K407" i="532" s="1"/>
  <c r="H407" i="532"/>
  <c r="V406" i="532"/>
  <c r="W406" i="532" s="1"/>
  <c r="N406" i="532"/>
  <c r="K406" i="532" a="1"/>
  <c r="K406" i="532" s="1"/>
  <c r="M406" i="532" s="1"/>
  <c r="J406" i="532" a="1"/>
  <c r="J406" i="532" s="1"/>
  <c r="H406" i="532"/>
  <c r="V405" i="532"/>
  <c r="W405" i="532" s="1"/>
  <c r="N405" i="532"/>
  <c r="K405" i="532"/>
  <c r="M405" i="532" s="1"/>
  <c r="K405" i="532" a="1"/>
  <c r="J405" i="532"/>
  <c r="J405" i="532" a="1"/>
  <c r="H405" i="532"/>
  <c r="V404" i="532"/>
  <c r="W404" i="532" s="1"/>
  <c r="N404" i="532"/>
  <c r="K404" i="532" a="1"/>
  <c r="K404" i="532" s="1"/>
  <c r="M404" i="532" s="1"/>
  <c r="J404" i="532" a="1"/>
  <c r="J404" i="532" s="1"/>
  <c r="H404" i="532"/>
  <c r="W403" i="532"/>
  <c r="V403" i="532"/>
  <c r="N403" i="532"/>
  <c r="K403" i="532" a="1"/>
  <c r="K403" i="532" s="1"/>
  <c r="M403" i="532" s="1"/>
  <c r="J403" i="532" a="1"/>
  <c r="J403" i="532" s="1"/>
  <c r="H403" i="532"/>
  <c r="V402" i="532"/>
  <c r="W402" i="532" s="1"/>
  <c r="N402" i="532"/>
  <c r="K402" i="532" a="1"/>
  <c r="K402" i="532" s="1"/>
  <c r="M402" i="532" s="1"/>
  <c r="J402" i="532" a="1"/>
  <c r="J402" i="532" s="1"/>
  <c r="H402" i="532"/>
  <c r="V401" i="532"/>
  <c r="W401" i="532" s="1"/>
  <c r="N401" i="532"/>
  <c r="K401" i="532"/>
  <c r="M401" i="532" s="1"/>
  <c r="K401" i="532" a="1"/>
  <c r="J401" i="532"/>
  <c r="J401" i="532" a="1"/>
  <c r="H401" i="532"/>
  <c r="V400" i="532"/>
  <c r="W400" i="532" s="1"/>
  <c r="N400" i="532"/>
  <c r="K400" i="532" a="1"/>
  <c r="K400" i="532" s="1"/>
  <c r="M400" i="532" s="1"/>
  <c r="J400" i="532" a="1"/>
  <c r="J400" i="532" s="1"/>
  <c r="H400" i="532"/>
  <c r="W399" i="532"/>
  <c r="V399" i="532"/>
  <c r="N399" i="532"/>
  <c r="K399" i="532" a="1"/>
  <c r="K399" i="532" s="1"/>
  <c r="M399" i="532" s="1"/>
  <c r="J399" i="532" a="1"/>
  <c r="J399" i="532" s="1"/>
  <c r="H399" i="532"/>
  <c r="V398" i="532"/>
  <c r="W398" i="532" s="1"/>
  <c r="N398" i="532"/>
  <c r="K398" i="532" a="1"/>
  <c r="K398" i="532" s="1"/>
  <c r="M398" i="532" s="1"/>
  <c r="J398" i="532" a="1"/>
  <c r="J398" i="532" s="1"/>
  <c r="H398" i="532"/>
  <c r="V397" i="532"/>
  <c r="W397" i="532" s="1"/>
  <c r="N397" i="532"/>
  <c r="K397" i="532"/>
  <c r="M397" i="532" s="1"/>
  <c r="K397" i="532" a="1"/>
  <c r="J397" i="532"/>
  <c r="J397" i="532" a="1"/>
  <c r="H397" i="532"/>
  <c r="K396" i="532" a="1"/>
  <c r="K396" i="532" s="1"/>
  <c r="M396" i="532" s="1"/>
  <c r="H396" i="532"/>
  <c r="K395" i="532"/>
  <c r="M395" i="532" s="1"/>
  <c r="K395" i="532" a="1"/>
  <c r="H395" i="532"/>
  <c r="K394" i="532" a="1"/>
  <c r="K394" i="532" s="1"/>
  <c r="M394" i="532" s="1"/>
  <c r="H394" i="532"/>
  <c r="K393" i="532"/>
  <c r="M393" i="532" s="1"/>
  <c r="K393" i="532" a="1"/>
  <c r="H393" i="532"/>
  <c r="N392" i="532"/>
  <c r="K392" i="532" a="1"/>
  <c r="K392" i="532" s="1"/>
  <c r="M392" i="532" s="1"/>
  <c r="H392" i="532"/>
  <c r="N391" i="532"/>
  <c r="K391" i="532" a="1"/>
  <c r="K391" i="532" s="1"/>
  <c r="M391" i="532" s="1"/>
  <c r="H391" i="532"/>
  <c r="N390" i="532"/>
  <c r="K390" i="532" a="1"/>
  <c r="K390" i="532" s="1"/>
  <c r="M390" i="532" s="1"/>
  <c r="H390" i="532"/>
  <c r="N389" i="532"/>
  <c r="K389" i="532"/>
  <c r="M389" i="532" s="1"/>
  <c r="K389" i="532" a="1"/>
  <c r="H389" i="532"/>
  <c r="V388" i="532"/>
  <c r="W388" i="532" s="1"/>
  <c r="N388" i="532"/>
  <c r="K388" i="532" a="1"/>
  <c r="K388" i="532" s="1"/>
  <c r="M388" i="532" s="1"/>
  <c r="J388" i="532" a="1"/>
  <c r="J388" i="532" s="1"/>
  <c r="H388" i="532"/>
  <c r="W387" i="532"/>
  <c r="V387" i="532"/>
  <c r="N387" i="532"/>
  <c r="K387" i="532" a="1"/>
  <c r="K387" i="532" s="1"/>
  <c r="M387" i="532" s="1"/>
  <c r="J387" i="532" a="1"/>
  <c r="J387" i="532" s="1"/>
  <c r="H387" i="532"/>
  <c r="V386" i="532"/>
  <c r="W386" i="532" s="1"/>
  <c r="N386" i="532"/>
  <c r="K386" i="532" a="1"/>
  <c r="K386" i="532" s="1"/>
  <c r="M386" i="532" s="1"/>
  <c r="J386" i="532" a="1"/>
  <c r="J386" i="532" s="1"/>
  <c r="H386" i="532"/>
  <c r="V385" i="532"/>
  <c r="W385" i="532" s="1"/>
  <c r="N385" i="532"/>
  <c r="K385" i="532"/>
  <c r="M385" i="532" s="1"/>
  <c r="K385" i="532" a="1"/>
  <c r="J385" i="532"/>
  <c r="J385" i="532" a="1"/>
  <c r="H385" i="532"/>
  <c r="V384" i="532"/>
  <c r="W384" i="532" s="1"/>
  <c r="N384" i="532"/>
  <c r="K384" i="532" a="1"/>
  <c r="K384" i="532" s="1"/>
  <c r="M384" i="532" s="1"/>
  <c r="J384" i="532" a="1"/>
  <c r="J384" i="532" s="1"/>
  <c r="H384" i="532"/>
  <c r="W383" i="532"/>
  <c r="V383" i="532"/>
  <c r="N383" i="532"/>
  <c r="K383" i="532" a="1"/>
  <c r="K383" i="532" s="1"/>
  <c r="M383" i="532" s="1"/>
  <c r="J383" i="532" a="1"/>
  <c r="J383" i="532" s="1"/>
  <c r="H383" i="532"/>
  <c r="V382" i="532"/>
  <c r="W382" i="532" s="1"/>
  <c r="N382" i="532"/>
  <c r="K382" i="532" a="1"/>
  <c r="K382" i="532" s="1"/>
  <c r="M382" i="532" s="1"/>
  <c r="J382" i="532" a="1"/>
  <c r="J382" i="532" s="1"/>
  <c r="H382" i="532"/>
  <c r="V381" i="532"/>
  <c r="W381" i="532" s="1"/>
  <c r="N381" i="532"/>
  <c r="K381" i="532"/>
  <c r="M381" i="532" s="1"/>
  <c r="K381" i="532" a="1"/>
  <c r="J381" i="532"/>
  <c r="J381" i="532" a="1"/>
  <c r="H381" i="532"/>
  <c r="V380" i="532"/>
  <c r="W380" i="532" s="1"/>
  <c r="N380" i="532"/>
  <c r="K380" i="532" a="1"/>
  <c r="K380" i="532" s="1"/>
  <c r="M380" i="532" s="1"/>
  <c r="J380" i="532" a="1"/>
  <c r="J380" i="532" s="1"/>
  <c r="H380" i="532"/>
  <c r="W379" i="532"/>
  <c r="V379" i="532"/>
  <c r="N379" i="532"/>
  <c r="K379" i="532" a="1"/>
  <c r="K379" i="532" s="1"/>
  <c r="M379" i="532" s="1"/>
  <c r="J379" i="532" a="1"/>
  <c r="J379" i="532" s="1"/>
  <c r="H379" i="532"/>
  <c r="V378" i="532"/>
  <c r="W378" i="532" s="1"/>
  <c r="N378" i="532"/>
  <c r="K378" i="532" a="1"/>
  <c r="K378" i="532" s="1"/>
  <c r="M378" i="532" s="1"/>
  <c r="J378" i="532" a="1"/>
  <c r="J378" i="532" s="1"/>
  <c r="H378" i="532"/>
  <c r="V377" i="532"/>
  <c r="W377" i="532" s="1"/>
  <c r="N377" i="532"/>
  <c r="K377" i="532"/>
  <c r="M377" i="532" s="1"/>
  <c r="K377" i="532" a="1"/>
  <c r="J377" i="532"/>
  <c r="J377" i="532" a="1"/>
  <c r="H377" i="532"/>
  <c r="K376" i="532" a="1"/>
  <c r="K376" i="532" s="1"/>
  <c r="M376" i="532" s="1"/>
  <c r="H376" i="532"/>
  <c r="K375" i="532"/>
  <c r="M375" i="532" s="1"/>
  <c r="K375" i="532" a="1"/>
  <c r="H375" i="532"/>
  <c r="K374" i="532" a="1"/>
  <c r="K374" i="532" s="1"/>
  <c r="M374" i="532" s="1"/>
  <c r="H374" i="532"/>
  <c r="V373" i="532"/>
  <c r="W373" i="532" s="1"/>
  <c r="N373" i="532"/>
  <c r="K373" i="532" a="1"/>
  <c r="K373" i="532" s="1"/>
  <c r="M373" i="532" s="1"/>
  <c r="J373" i="532" a="1"/>
  <c r="J373" i="532" s="1"/>
  <c r="H373" i="532"/>
  <c r="V372" i="532"/>
  <c r="W372" i="532" s="1"/>
  <c r="N372" i="532"/>
  <c r="K372" i="532"/>
  <c r="M372" i="532" s="1"/>
  <c r="K372" i="532" a="1"/>
  <c r="J372" i="532"/>
  <c r="J372" i="532" a="1"/>
  <c r="H372" i="532"/>
  <c r="V371" i="532"/>
  <c r="W371" i="532" s="1"/>
  <c r="N371" i="532"/>
  <c r="K371" i="532" a="1"/>
  <c r="K371" i="532" s="1"/>
  <c r="M371" i="532" s="1"/>
  <c r="J371" i="532" a="1"/>
  <c r="J371" i="532" s="1"/>
  <c r="H371" i="532"/>
  <c r="K370" i="532"/>
  <c r="K370" i="532" a="1"/>
  <c r="H370" i="532"/>
  <c r="V369" i="532"/>
  <c r="N369" i="532"/>
  <c r="K369" i="532" a="1"/>
  <c r="K369" i="532" s="1"/>
  <c r="J369" i="532" a="1"/>
  <c r="J369" i="532" s="1"/>
  <c r="H369" i="532"/>
  <c r="AA368" i="532"/>
  <c r="AA504" i="532" s="1"/>
  <c r="Z368" i="532"/>
  <c r="Z504" i="532" s="1"/>
  <c r="Y368" i="532"/>
  <c r="Y504" i="532" s="1"/>
  <c r="X368" i="532"/>
  <c r="X504" i="532" s="1"/>
  <c r="U368" i="532"/>
  <c r="U504" i="532" s="1"/>
  <c r="T368" i="532"/>
  <c r="T504" i="532" s="1"/>
  <c r="S368" i="532"/>
  <c r="S504" i="532" s="1"/>
  <c r="R368" i="532"/>
  <c r="R504" i="532" s="1"/>
  <c r="Q368" i="532"/>
  <c r="Q504" i="532" s="1"/>
  <c r="P368" i="532"/>
  <c r="P504" i="532" s="1"/>
  <c r="O368" i="532"/>
  <c r="I368" i="532"/>
  <c r="I504" i="532" s="1"/>
  <c r="B512" i="532" s="1"/>
  <c r="G368" i="532"/>
  <c r="G504" i="532" s="1"/>
  <c r="V367" i="532"/>
  <c r="W367" i="532" s="1"/>
  <c r="N367" i="532"/>
  <c r="K367" i="532" a="1"/>
  <c r="K367" i="532" s="1"/>
  <c r="M367" i="532" s="1"/>
  <c r="J367" i="532" a="1"/>
  <c r="J367" i="532" s="1"/>
  <c r="H367" i="532"/>
  <c r="W366" i="532"/>
  <c r="V366" i="532"/>
  <c r="N366" i="532"/>
  <c r="K366" i="532" a="1"/>
  <c r="K366" i="532" s="1"/>
  <c r="M366" i="532" s="1"/>
  <c r="J366" i="532" a="1"/>
  <c r="J366" i="532" s="1"/>
  <c r="H366" i="532"/>
  <c r="K365" i="532"/>
  <c r="M365" i="532" s="1"/>
  <c r="K365" i="532" a="1"/>
  <c r="H365" i="532"/>
  <c r="K364" i="532" a="1"/>
  <c r="K364" i="532" s="1"/>
  <c r="M364" i="532" s="1"/>
  <c r="H364" i="532"/>
  <c r="K363" i="532"/>
  <c r="M363" i="532" s="1"/>
  <c r="K363" i="532" a="1"/>
  <c r="H363" i="532"/>
  <c r="K362" i="532" a="1"/>
  <c r="K362" i="532" s="1"/>
  <c r="M362" i="532" s="1"/>
  <c r="H362" i="532"/>
  <c r="V361" i="532"/>
  <c r="W361" i="532" s="1"/>
  <c r="N361" i="532"/>
  <c r="K361" i="532" a="1"/>
  <c r="K361" i="532" s="1"/>
  <c r="M361" i="532" s="1"/>
  <c r="J361" i="532" a="1"/>
  <c r="J361" i="532" s="1"/>
  <c r="H361" i="532"/>
  <c r="V360" i="532"/>
  <c r="W360" i="532" s="1"/>
  <c r="N360" i="532"/>
  <c r="K360" i="532"/>
  <c r="M360" i="532" s="1"/>
  <c r="K360" i="532" a="1"/>
  <c r="J360" i="532"/>
  <c r="J360" i="532" a="1"/>
  <c r="H360" i="532"/>
  <c r="V359" i="532"/>
  <c r="W359" i="532" s="1"/>
  <c r="N359" i="532"/>
  <c r="K359" i="532" a="1"/>
  <c r="K359" i="532" s="1"/>
  <c r="M359" i="532" s="1"/>
  <c r="J359" i="532" a="1"/>
  <c r="J359" i="532" s="1"/>
  <c r="H359" i="532"/>
  <c r="H358" i="532"/>
  <c r="H357" i="532"/>
  <c r="W356" i="532"/>
  <c r="V356" i="532"/>
  <c r="N356" i="532"/>
  <c r="K356" i="532" a="1"/>
  <c r="K356" i="532" s="1"/>
  <c r="M356" i="532" s="1"/>
  <c r="J356" i="532" a="1"/>
  <c r="J356" i="532" s="1"/>
  <c r="H356" i="532"/>
  <c r="V355" i="532"/>
  <c r="W355" i="532" s="1"/>
  <c r="N355" i="532"/>
  <c r="K355" i="532" a="1"/>
  <c r="K355" i="532" s="1"/>
  <c r="M355" i="532" s="1"/>
  <c r="J355" i="532" a="1"/>
  <c r="J355" i="532" s="1"/>
  <c r="H355" i="532"/>
  <c r="K354" i="532" a="1"/>
  <c r="K354" i="532" s="1"/>
  <c r="M354" i="532" s="1"/>
  <c r="H354" i="532"/>
  <c r="K353" i="532" a="1"/>
  <c r="K353" i="532" s="1"/>
  <c r="M353" i="532" s="1"/>
  <c r="H353" i="532"/>
  <c r="V352" i="532"/>
  <c r="W352" i="532" s="1"/>
  <c r="N352" i="532"/>
  <c r="K352" i="532"/>
  <c r="M352" i="532" s="1"/>
  <c r="K352" i="532" a="1"/>
  <c r="J352" i="532"/>
  <c r="J352" i="532" a="1"/>
  <c r="H352" i="532"/>
  <c r="V351" i="532"/>
  <c r="W351" i="532" s="1"/>
  <c r="N351" i="532"/>
  <c r="K351" i="532" a="1"/>
  <c r="K351" i="532" s="1"/>
  <c r="M351" i="532" s="1"/>
  <c r="J351" i="532" a="1"/>
  <c r="J351" i="532" s="1"/>
  <c r="H351" i="532"/>
  <c r="W350" i="532"/>
  <c r="V350" i="532"/>
  <c r="N350" i="532"/>
  <c r="K350" i="532" a="1"/>
  <c r="K350" i="532" s="1"/>
  <c r="M350" i="532" s="1"/>
  <c r="J350" i="532" a="1"/>
  <c r="J350" i="532" s="1"/>
  <c r="H350" i="532"/>
  <c r="V349" i="532"/>
  <c r="W349" i="532" s="1"/>
  <c r="N349" i="532"/>
  <c r="K349" i="532" a="1"/>
  <c r="K349" i="532" s="1"/>
  <c r="M349" i="532" s="1"/>
  <c r="J349" i="532" a="1"/>
  <c r="J349" i="532" s="1"/>
  <c r="H349" i="532"/>
  <c r="V348" i="532"/>
  <c r="W348" i="532" s="1"/>
  <c r="N348" i="532"/>
  <c r="K348" i="532"/>
  <c r="M348" i="532" s="1"/>
  <c r="K348" i="532" a="1"/>
  <c r="J348" i="532"/>
  <c r="J348" i="532" a="1"/>
  <c r="H348" i="532"/>
  <c r="V347" i="532"/>
  <c r="N347" i="532"/>
  <c r="N368" i="532" s="1"/>
  <c r="K347" i="532" a="1"/>
  <c r="K347" i="532" s="1"/>
  <c r="J347" i="532" a="1"/>
  <c r="J347" i="532" s="1"/>
  <c r="H347" i="532"/>
  <c r="X341" i="532"/>
  <c r="X340" i="532"/>
  <c r="X339" i="532"/>
  <c r="G339" i="532"/>
  <c r="C339" i="532"/>
  <c r="X338" i="532"/>
  <c r="I338" i="532"/>
  <c r="E338" i="532"/>
  <c r="K338" i="532" s="1"/>
  <c r="M338" i="532" s="1"/>
  <c r="I337" i="532"/>
  <c r="E337" i="532"/>
  <c r="K337" i="532" s="1"/>
  <c r="M337" i="532" s="1"/>
  <c r="I336" i="532"/>
  <c r="E336" i="532"/>
  <c r="K336" i="532" s="1"/>
  <c r="M336" i="532" s="1"/>
  <c r="X335" i="532"/>
  <c r="I335" i="532"/>
  <c r="I339" i="532" s="1"/>
  <c r="E335" i="532"/>
  <c r="K335" i="532" s="1"/>
  <c r="AA332" i="532"/>
  <c r="Z332" i="532"/>
  <c r="Y332" i="532"/>
  <c r="X332" i="532"/>
  <c r="U332" i="532"/>
  <c r="T332" i="532"/>
  <c r="S332" i="532"/>
  <c r="R332" i="532"/>
  <c r="Q332" i="532"/>
  <c r="P332" i="532"/>
  <c r="O332" i="532"/>
  <c r="R340" i="532" s="1"/>
  <c r="I332" i="532"/>
  <c r="G332" i="532"/>
  <c r="K331" i="532" a="1"/>
  <c r="K331" i="532" s="1"/>
  <c r="H331" i="532"/>
  <c r="K330" i="532"/>
  <c r="K330" i="532" a="1"/>
  <c r="H330" i="532"/>
  <c r="K329" i="532" a="1"/>
  <c r="K329" i="532" s="1"/>
  <c r="H329" i="532"/>
  <c r="V328" i="532"/>
  <c r="W328" i="532" s="1"/>
  <c r="N328" i="532"/>
  <c r="K328" i="532" a="1"/>
  <c r="K328" i="532" s="1"/>
  <c r="D328" i="532"/>
  <c r="H328" i="532" s="1"/>
  <c r="H327" i="532"/>
  <c r="K326" i="532" a="1"/>
  <c r="K326" i="532" s="1"/>
  <c r="H326" i="532"/>
  <c r="H325" i="532"/>
  <c r="V324" i="532"/>
  <c r="W324" i="532" s="1"/>
  <c r="N324" i="532"/>
  <c r="K324" i="532" a="1"/>
  <c r="K324" i="532" s="1"/>
  <c r="M324" i="532" s="1"/>
  <c r="J324" i="532" a="1"/>
  <c r="J324" i="532" s="1"/>
  <c r="H324" i="532"/>
  <c r="W323" i="532"/>
  <c r="V323" i="532"/>
  <c r="N323" i="532"/>
  <c r="K323" i="532" a="1"/>
  <c r="K323" i="532" s="1"/>
  <c r="M323" i="532" s="1"/>
  <c r="J323" i="532" a="1"/>
  <c r="J323" i="532" s="1"/>
  <c r="H323" i="532"/>
  <c r="H322" i="532"/>
  <c r="V321" i="532"/>
  <c r="W321" i="532" s="1"/>
  <c r="N321" i="532"/>
  <c r="K321" i="532" a="1"/>
  <c r="K321" i="532" s="1"/>
  <c r="M321" i="532" s="1"/>
  <c r="J321" i="532" a="1"/>
  <c r="J321" i="532" s="1"/>
  <c r="H321" i="532"/>
  <c r="V320" i="532"/>
  <c r="W320" i="532" s="1"/>
  <c r="N320" i="532"/>
  <c r="K320" i="532"/>
  <c r="M320" i="532" s="1"/>
  <c r="K320" i="532" a="1"/>
  <c r="J320" i="532"/>
  <c r="J320" i="532" a="1"/>
  <c r="H320" i="532"/>
  <c r="V319" i="532"/>
  <c r="W319" i="532" s="1"/>
  <c r="N319" i="532"/>
  <c r="K319" i="532" a="1"/>
  <c r="K319" i="532" s="1"/>
  <c r="M319" i="532" s="1"/>
  <c r="J319" i="532" a="1"/>
  <c r="J319" i="532" s="1"/>
  <c r="H319" i="532"/>
  <c r="V318" i="532"/>
  <c r="W318" i="532" s="1"/>
  <c r="N318" i="532"/>
  <c r="N332" i="532" s="1"/>
  <c r="K318" i="532" a="1"/>
  <c r="K318" i="532" s="1"/>
  <c r="J318" i="532" a="1"/>
  <c r="J318" i="532" s="1"/>
  <c r="H318" i="532"/>
  <c r="H332" i="532" s="1"/>
  <c r="AA317" i="532"/>
  <c r="Z317" i="532"/>
  <c r="Y317" i="532"/>
  <c r="X317" i="532"/>
  <c r="U317" i="532"/>
  <c r="T317" i="532"/>
  <c r="S317" i="532"/>
  <c r="Q317" i="532"/>
  <c r="P317" i="532"/>
  <c r="O317" i="532"/>
  <c r="I317" i="532"/>
  <c r="G317" i="532"/>
  <c r="J317" i="532" s="1" a="1"/>
  <c r="J317" i="532" s="1"/>
  <c r="V316" i="532"/>
  <c r="W316" i="532" s="1"/>
  <c r="N316" i="532"/>
  <c r="K316" i="532" a="1"/>
  <c r="K316" i="532" s="1"/>
  <c r="M316" i="532" s="1"/>
  <c r="J316" i="532" a="1"/>
  <c r="J316" i="532" s="1"/>
  <c r="H316" i="532"/>
  <c r="H315" i="532"/>
  <c r="H314" i="532"/>
  <c r="H313" i="532"/>
  <c r="V312" i="532"/>
  <c r="W312" i="532" s="1"/>
  <c r="N312" i="532"/>
  <c r="K312" i="532" a="1"/>
  <c r="K312" i="532" s="1"/>
  <c r="M312" i="532" s="1"/>
  <c r="J312" i="532" a="1"/>
  <c r="J312" i="532" s="1"/>
  <c r="H312" i="532"/>
  <c r="V311" i="532"/>
  <c r="W311" i="532" s="1"/>
  <c r="N311" i="532"/>
  <c r="K311" i="532"/>
  <c r="M311" i="532" s="1"/>
  <c r="K311" i="532" a="1"/>
  <c r="J311" i="532"/>
  <c r="J311" i="532" a="1"/>
  <c r="H311" i="532"/>
  <c r="V310" i="532"/>
  <c r="W310" i="532" s="1"/>
  <c r="N310" i="532"/>
  <c r="K310" i="532" a="1"/>
  <c r="K310" i="532" s="1"/>
  <c r="M310" i="532" s="1"/>
  <c r="J310" i="532" a="1"/>
  <c r="J310" i="532" s="1"/>
  <c r="H310" i="532"/>
  <c r="V309" i="532"/>
  <c r="W309" i="532" s="1"/>
  <c r="N309" i="532"/>
  <c r="K309" i="532"/>
  <c r="M309" i="532" s="1"/>
  <c r="K309" i="532" a="1"/>
  <c r="J309" i="532" a="1"/>
  <c r="J309" i="532" s="1"/>
  <c r="H309" i="532"/>
  <c r="V308" i="532"/>
  <c r="W308" i="532" s="1"/>
  <c r="N308" i="532"/>
  <c r="N317" i="532" s="1"/>
  <c r="K308" i="532" a="1"/>
  <c r="K308" i="532" s="1"/>
  <c r="J308" i="532" a="1"/>
  <c r="J308" i="532" s="1"/>
  <c r="H308" i="532"/>
  <c r="H317" i="532" s="1"/>
  <c r="AA307" i="532"/>
  <c r="Z307" i="532"/>
  <c r="Y307" i="532"/>
  <c r="X307" i="532"/>
  <c r="U307" i="532"/>
  <c r="T307" i="532"/>
  <c r="S307" i="532"/>
  <c r="Q307" i="532"/>
  <c r="P307" i="532"/>
  <c r="O307" i="532"/>
  <c r="I307" i="532"/>
  <c r="G307" i="532"/>
  <c r="V306" i="532"/>
  <c r="W306" i="532" s="1"/>
  <c r="N306" i="532"/>
  <c r="K306" i="532"/>
  <c r="M306" i="532" s="1"/>
  <c r="K306" i="532" a="1"/>
  <c r="J306" i="532"/>
  <c r="J306" i="532" a="1"/>
  <c r="H306" i="532"/>
  <c r="V305" i="532"/>
  <c r="W305" i="532" s="1"/>
  <c r="N305" i="532"/>
  <c r="K305" i="532" a="1"/>
  <c r="K305" i="532" s="1"/>
  <c r="M305" i="532" s="1"/>
  <c r="J305" i="532" a="1"/>
  <c r="J305" i="532" s="1"/>
  <c r="H305" i="532"/>
  <c r="V304" i="532"/>
  <c r="W304" i="532" s="1"/>
  <c r="N304" i="532"/>
  <c r="K304" i="532" a="1"/>
  <c r="K304" i="532" s="1"/>
  <c r="M304" i="532" s="1"/>
  <c r="J304" i="532" a="1"/>
  <c r="J304" i="532" s="1"/>
  <c r="H304" i="532"/>
  <c r="V303" i="532"/>
  <c r="W303" i="532" s="1"/>
  <c r="N303" i="532"/>
  <c r="K303" i="532" a="1"/>
  <c r="K303" i="532" s="1"/>
  <c r="M303" i="532" s="1"/>
  <c r="J303" i="532" a="1"/>
  <c r="J303" i="532" s="1"/>
  <c r="H303" i="532"/>
  <c r="V302" i="532"/>
  <c r="W302" i="532" s="1"/>
  <c r="N302" i="532"/>
  <c r="K302" i="532"/>
  <c r="M302" i="532" s="1"/>
  <c r="K302" i="532" a="1"/>
  <c r="J302" i="532"/>
  <c r="J302" i="532" a="1"/>
  <c r="H302" i="532"/>
  <c r="V301" i="532"/>
  <c r="W301" i="532" s="1"/>
  <c r="N301" i="532"/>
  <c r="K301" i="532" a="1"/>
  <c r="K301" i="532" s="1"/>
  <c r="M301" i="532" s="1"/>
  <c r="J301" i="532" a="1"/>
  <c r="J301" i="532" s="1"/>
  <c r="H301" i="532"/>
  <c r="W300" i="532"/>
  <c r="V300" i="532"/>
  <c r="N300" i="532"/>
  <c r="K300" i="532" a="1"/>
  <c r="K300" i="532" s="1"/>
  <c r="M300" i="532" s="1"/>
  <c r="J300" i="532" a="1"/>
  <c r="J300" i="532" s="1"/>
  <c r="H300" i="532"/>
  <c r="V299" i="532"/>
  <c r="W299" i="532" s="1"/>
  <c r="N299" i="532"/>
  <c r="K299" i="532" a="1"/>
  <c r="K299" i="532" s="1"/>
  <c r="M299" i="532" s="1"/>
  <c r="J299" i="532" a="1"/>
  <c r="J299" i="532" s="1"/>
  <c r="H299" i="532"/>
  <c r="V298" i="532"/>
  <c r="W298" i="532" s="1"/>
  <c r="N298" i="532"/>
  <c r="K298" i="532"/>
  <c r="M298" i="532" s="1"/>
  <c r="K298" i="532" a="1"/>
  <c r="J298" i="532"/>
  <c r="J298" i="532" a="1"/>
  <c r="H298" i="532"/>
  <c r="V297" i="532"/>
  <c r="W297" i="532" s="1"/>
  <c r="N297" i="532"/>
  <c r="K297" i="532" a="1"/>
  <c r="K297" i="532" s="1"/>
  <c r="M297" i="532" s="1"/>
  <c r="J297" i="532" a="1"/>
  <c r="J297" i="532" s="1"/>
  <c r="H297" i="532"/>
  <c r="W296" i="532"/>
  <c r="V296" i="532"/>
  <c r="N296" i="532"/>
  <c r="K296" i="532" a="1"/>
  <c r="K296" i="532" s="1"/>
  <c r="M296" i="532" s="1"/>
  <c r="J296" i="532" a="1"/>
  <c r="J296" i="532" s="1"/>
  <c r="H296" i="532"/>
  <c r="V295" i="532"/>
  <c r="W295" i="532" s="1"/>
  <c r="N295" i="532"/>
  <c r="K295" i="532" a="1"/>
  <c r="K295" i="532" s="1"/>
  <c r="M295" i="532" s="1"/>
  <c r="J295" i="532" a="1"/>
  <c r="J295" i="532" s="1"/>
  <c r="H295" i="532"/>
  <c r="V294" i="532"/>
  <c r="W294" i="532" s="1"/>
  <c r="N294" i="532"/>
  <c r="K294" i="532"/>
  <c r="M294" i="532" s="1"/>
  <c r="K294" i="532" a="1"/>
  <c r="J294" i="532"/>
  <c r="J294" i="532" a="1"/>
  <c r="H294" i="532"/>
  <c r="V293" i="532"/>
  <c r="W293" i="532" s="1"/>
  <c r="N293" i="532"/>
  <c r="K293" i="532" a="1"/>
  <c r="K293" i="532" s="1"/>
  <c r="M293" i="532" s="1"/>
  <c r="J293" i="532" a="1"/>
  <c r="J293" i="532" s="1"/>
  <c r="H293" i="532"/>
  <c r="W292" i="532"/>
  <c r="V292" i="532"/>
  <c r="N292" i="532"/>
  <c r="N307" i="532" s="1"/>
  <c r="K292" i="532" a="1"/>
  <c r="K292" i="532" s="1"/>
  <c r="M292" i="532" s="1"/>
  <c r="J292" i="532" a="1"/>
  <c r="J292" i="532" s="1"/>
  <c r="H292" i="532"/>
  <c r="AA291" i="532"/>
  <c r="Z291" i="532"/>
  <c r="Y291" i="532"/>
  <c r="X291" i="532"/>
  <c r="U291" i="532"/>
  <c r="T291" i="532"/>
  <c r="S291" i="532"/>
  <c r="R291" i="532"/>
  <c r="Q291" i="532"/>
  <c r="P291" i="532"/>
  <c r="O291" i="532"/>
  <c r="I291" i="532"/>
  <c r="G291" i="532"/>
  <c r="V290" i="532"/>
  <c r="W290" i="532" s="1"/>
  <c r="N290" i="532"/>
  <c r="K290" i="532" a="1"/>
  <c r="K290" i="532" s="1"/>
  <c r="M290" i="532" s="1"/>
  <c r="J290" i="532" a="1"/>
  <c r="J290" i="532" s="1"/>
  <c r="H290" i="532"/>
  <c r="V289" i="532"/>
  <c r="W289" i="532" s="1"/>
  <c r="N289" i="532"/>
  <c r="K289" i="532" a="1"/>
  <c r="K289" i="532" s="1"/>
  <c r="M289" i="532" s="1"/>
  <c r="J289" i="532" a="1"/>
  <c r="J289" i="532" s="1"/>
  <c r="H289" i="532"/>
  <c r="V288" i="532"/>
  <c r="W288" i="532" s="1"/>
  <c r="N288" i="532"/>
  <c r="K288" i="532" a="1"/>
  <c r="K288" i="532" s="1"/>
  <c r="M288" i="532" s="1"/>
  <c r="J288" i="532" a="1"/>
  <c r="J288" i="532" s="1"/>
  <c r="H288" i="532"/>
  <c r="H287" i="532"/>
  <c r="H286" i="532"/>
  <c r="H285" i="532"/>
  <c r="V284" i="532"/>
  <c r="W284" i="532" s="1"/>
  <c r="N284" i="532"/>
  <c r="K284" i="532" a="1"/>
  <c r="K284" i="532" s="1"/>
  <c r="M284" i="532" s="1"/>
  <c r="J284" i="532" a="1"/>
  <c r="J284" i="532" s="1"/>
  <c r="H284" i="532"/>
  <c r="W283" i="532"/>
  <c r="V283" i="532"/>
  <c r="N283" i="532"/>
  <c r="K283" i="532"/>
  <c r="M283" i="532" s="1"/>
  <c r="K283" i="532" a="1"/>
  <c r="J283" i="532" a="1"/>
  <c r="J283" i="532" s="1"/>
  <c r="H283" i="532"/>
  <c r="N282" i="532"/>
  <c r="K282" i="532" a="1"/>
  <c r="K282" i="532" s="1"/>
  <c r="M282" i="532" s="1"/>
  <c r="H282" i="532"/>
  <c r="N281" i="532"/>
  <c r="K281" i="532" a="1"/>
  <c r="K281" i="532" s="1"/>
  <c r="M281" i="532" s="1"/>
  <c r="H281" i="532"/>
  <c r="N280" i="532"/>
  <c r="K280" i="532" a="1"/>
  <c r="K280" i="532" s="1"/>
  <c r="M280" i="532" s="1"/>
  <c r="H280" i="532"/>
  <c r="N279" i="532"/>
  <c r="K279" i="532" a="1"/>
  <c r="K279" i="532" s="1"/>
  <c r="M279" i="532" s="1"/>
  <c r="H279" i="532"/>
  <c r="N278" i="532"/>
  <c r="K278" i="532" a="1"/>
  <c r="K278" i="532" s="1"/>
  <c r="M278" i="532" s="1"/>
  <c r="H278" i="532"/>
  <c r="N277" i="532"/>
  <c r="K277" i="532"/>
  <c r="M277" i="532" s="1"/>
  <c r="K277" i="532" a="1"/>
  <c r="H277" i="532"/>
  <c r="V276" i="532"/>
  <c r="W276" i="532" s="1"/>
  <c r="N276" i="532"/>
  <c r="K276" i="532" a="1"/>
  <c r="K276" i="532" s="1"/>
  <c r="M276" i="532" s="1"/>
  <c r="J276" i="532" a="1"/>
  <c r="J276" i="532" s="1"/>
  <c r="H276" i="532"/>
  <c r="W275" i="532"/>
  <c r="V275" i="532"/>
  <c r="N275" i="532"/>
  <c r="K275" i="532" a="1"/>
  <c r="K275" i="532" s="1"/>
  <c r="M275" i="532" s="1"/>
  <c r="J275" i="532" a="1"/>
  <c r="J275" i="532" s="1"/>
  <c r="H275" i="532"/>
  <c r="V274" i="532"/>
  <c r="W274" i="532" s="1"/>
  <c r="N274" i="532"/>
  <c r="K274" i="532" a="1"/>
  <c r="K274" i="532" s="1"/>
  <c r="M274" i="532" s="1"/>
  <c r="J274" i="532" a="1"/>
  <c r="J274" i="532" s="1"/>
  <c r="H274" i="532"/>
  <c r="V273" i="532"/>
  <c r="W273" i="532" s="1"/>
  <c r="N273" i="532"/>
  <c r="K273" i="532" a="1"/>
  <c r="K273" i="532" s="1"/>
  <c r="M273" i="532" s="1"/>
  <c r="J273" i="532" a="1"/>
  <c r="J273" i="532" s="1"/>
  <c r="H273" i="532"/>
  <c r="V272" i="532"/>
  <c r="W272" i="532" s="1"/>
  <c r="N272" i="532"/>
  <c r="K272" i="532" a="1"/>
  <c r="K272" i="532" s="1"/>
  <c r="M272" i="532" s="1"/>
  <c r="J272" i="532" a="1"/>
  <c r="J272" i="532" s="1"/>
  <c r="H272" i="532"/>
  <c r="V271" i="532"/>
  <c r="W271" i="532" s="1"/>
  <c r="N271" i="532"/>
  <c r="K271" i="532" a="1"/>
  <c r="K271" i="532" s="1"/>
  <c r="M271" i="532" s="1"/>
  <c r="J271" i="532" a="1"/>
  <c r="J271" i="532" s="1"/>
  <c r="H271" i="532"/>
  <c r="V270" i="532"/>
  <c r="W270" i="532" s="1"/>
  <c r="N270" i="532"/>
  <c r="K270" i="532" a="1"/>
  <c r="K270" i="532" s="1"/>
  <c r="M270" i="532" s="1"/>
  <c r="J270" i="532" a="1"/>
  <c r="J270" i="532" s="1"/>
  <c r="H270" i="532"/>
  <c r="V269" i="532"/>
  <c r="W269" i="532" s="1"/>
  <c r="N269" i="532"/>
  <c r="K269" i="532" a="1"/>
  <c r="K269" i="532" s="1"/>
  <c r="M269" i="532" s="1"/>
  <c r="J269" i="532" a="1"/>
  <c r="J269" i="532" s="1"/>
  <c r="H269" i="532"/>
  <c r="V268" i="532"/>
  <c r="W268" i="532" s="1"/>
  <c r="N268" i="532"/>
  <c r="K268" i="532" a="1"/>
  <c r="K268" i="532" s="1"/>
  <c r="M268" i="532" s="1"/>
  <c r="J268" i="532" a="1"/>
  <c r="J268" i="532" s="1"/>
  <c r="H268" i="532"/>
  <c r="V267" i="532"/>
  <c r="W267" i="532" s="1"/>
  <c r="N267" i="532"/>
  <c r="K267" i="532" a="1"/>
  <c r="K267" i="532" s="1"/>
  <c r="M267" i="532" s="1"/>
  <c r="J267" i="532" a="1"/>
  <c r="J267" i="532" s="1"/>
  <c r="H267" i="532"/>
  <c r="V266" i="532"/>
  <c r="W266" i="532" s="1"/>
  <c r="N266" i="532"/>
  <c r="K266" i="532" a="1"/>
  <c r="K266" i="532" s="1"/>
  <c r="M266" i="532" s="1"/>
  <c r="J266" i="532" a="1"/>
  <c r="J266" i="532" s="1"/>
  <c r="H266" i="532"/>
  <c r="V265" i="532"/>
  <c r="W265" i="532" s="1"/>
  <c r="N265" i="532"/>
  <c r="K265" i="532" a="1"/>
  <c r="K265" i="532" s="1"/>
  <c r="M265" i="532" s="1"/>
  <c r="J265" i="532" a="1"/>
  <c r="J265" i="532" s="1"/>
  <c r="H265" i="532"/>
  <c r="N264" i="532"/>
  <c r="K264" i="532" a="1"/>
  <c r="K264" i="532" s="1"/>
  <c r="M264" i="532" s="1"/>
  <c r="H264" i="532"/>
  <c r="V263" i="532"/>
  <c r="W263" i="532" s="1"/>
  <c r="N263" i="532"/>
  <c r="K263" i="532" a="1"/>
  <c r="K263" i="532" s="1"/>
  <c r="M263" i="532" s="1"/>
  <c r="J263" i="532" a="1"/>
  <c r="J263" i="532" s="1"/>
  <c r="H263" i="532"/>
  <c r="V262" i="532"/>
  <c r="W262" i="532" s="1"/>
  <c r="N262" i="532"/>
  <c r="K262" i="532" a="1"/>
  <c r="K262" i="532" s="1"/>
  <c r="M262" i="532" s="1"/>
  <c r="J262" i="532" a="1"/>
  <c r="J262" i="532" s="1"/>
  <c r="H262" i="532"/>
  <c r="V261" i="532"/>
  <c r="W261" i="532" s="1"/>
  <c r="N261" i="532"/>
  <c r="K261" i="532"/>
  <c r="M261" i="532" s="1"/>
  <c r="K261" i="532" a="1"/>
  <c r="J261" i="532" a="1"/>
  <c r="J261" i="532" s="1"/>
  <c r="H261" i="532"/>
  <c r="V260" i="532"/>
  <c r="W260" i="532" s="1"/>
  <c r="N260" i="532"/>
  <c r="K260" i="532" a="1"/>
  <c r="K260" i="532" s="1"/>
  <c r="M260" i="532" s="1"/>
  <c r="J260" i="532" a="1"/>
  <c r="J260" i="532" s="1"/>
  <c r="H260" i="532"/>
  <c r="V259" i="532"/>
  <c r="W259" i="532" s="1"/>
  <c r="N259" i="532"/>
  <c r="K259" i="532" a="1"/>
  <c r="K259" i="532" s="1"/>
  <c r="M259" i="532" s="1"/>
  <c r="J259" i="532" a="1"/>
  <c r="J259" i="532" s="1"/>
  <c r="H259" i="532"/>
  <c r="V258" i="532"/>
  <c r="W258" i="532" s="1"/>
  <c r="N258" i="532"/>
  <c r="K258" i="532" a="1"/>
  <c r="K258" i="532" s="1"/>
  <c r="M258" i="532" s="1"/>
  <c r="J258" i="532" a="1"/>
  <c r="J258" i="532" s="1"/>
  <c r="H258" i="532"/>
  <c r="V257" i="532"/>
  <c r="W257" i="532" s="1"/>
  <c r="N257" i="532"/>
  <c r="K257" i="532" a="1"/>
  <c r="K257" i="532" s="1"/>
  <c r="J257" i="532" a="1"/>
  <c r="J257" i="532" s="1"/>
  <c r="H257" i="532"/>
  <c r="AA256" i="532"/>
  <c r="Z256" i="532"/>
  <c r="Y256" i="532"/>
  <c r="X256" i="532"/>
  <c r="U256" i="532"/>
  <c r="T256" i="532"/>
  <c r="S256" i="532"/>
  <c r="R256" i="532"/>
  <c r="Q256" i="532"/>
  <c r="P256" i="532"/>
  <c r="O256" i="532"/>
  <c r="R336" i="532" s="1"/>
  <c r="I256" i="532"/>
  <c r="G256" i="532"/>
  <c r="H255" i="532"/>
  <c r="H254" i="532"/>
  <c r="H253" i="532"/>
  <c r="H252" i="532"/>
  <c r="H251" i="532"/>
  <c r="H250" i="532"/>
  <c r="K249" i="532" a="1"/>
  <c r="K249" i="532" s="1"/>
  <c r="M249" i="532" s="1"/>
  <c r="H249" i="532"/>
  <c r="K248" i="532" a="1"/>
  <c r="K248" i="532" s="1"/>
  <c r="M248" i="532" s="1"/>
  <c r="H248" i="532"/>
  <c r="K247" i="532" a="1"/>
  <c r="K247" i="532" s="1"/>
  <c r="M247" i="532" s="1"/>
  <c r="H247" i="532"/>
  <c r="K246" i="532" a="1"/>
  <c r="K246" i="532" s="1"/>
  <c r="M246" i="532" s="1"/>
  <c r="H246" i="532"/>
  <c r="W245" i="532"/>
  <c r="V245" i="532"/>
  <c r="N245" i="532"/>
  <c r="K245" i="532" a="1"/>
  <c r="K245" i="532" s="1"/>
  <c r="M245" i="532" s="1"/>
  <c r="J245" i="532" a="1"/>
  <c r="J245" i="532" s="1"/>
  <c r="H245" i="532"/>
  <c r="V244" i="532"/>
  <c r="W244" i="532" s="1"/>
  <c r="N244" i="532"/>
  <c r="K244" i="532" a="1"/>
  <c r="K244" i="532" s="1"/>
  <c r="M244" i="532" s="1"/>
  <c r="J244" i="532" a="1"/>
  <c r="J244" i="532" s="1"/>
  <c r="H244" i="532"/>
  <c r="V243" i="532"/>
  <c r="W243" i="532" s="1"/>
  <c r="N243" i="532"/>
  <c r="K243" i="532"/>
  <c r="M243" i="532" s="1"/>
  <c r="K243" i="532" a="1"/>
  <c r="J243" i="532"/>
  <c r="J243" i="532" a="1"/>
  <c r="H243" i="532"/>
  <c r="V242" i="532"/>
  <c r="W242" i="532" s="1"/>
  <c r="N242" i="532"/>
  <c r="K242" i="532" a="1"/>
  <c r="K242" i="532" s="1"/>
  <c r="M242" i="532" s="1"/>
  <c r="J242" i="532" a="1"/>
  <c r="J242" i="532" s="1"/>
  <c r="H242" i="532"/>
  <c r="M241" i="532"/>
  <c r="H241" i="532"/>
  <c r="W240" i="532"/>
  <c r="V240" i="532"/>
  <c r="N240" i="532"/>
  <c r="K240" i="532" a="1"/>
  <c r="K240" i="532" s="1"/>
  <c r="M240" i="532" s="1"/>
  <c r="J240" i="532" a="1"/>
  <c r="J240" i="532" s="1"/>
  <c r="H240" i="532"/>
  <c r="V239" i="532"/>
  <c r="W239" i="532" s="1"/>
  <c r="N239" i="532"/>
  <c r="K239" i="532" a="1"/>
  <c r="K239" i="532" s="1"/>
  <c r="M239" i="532" s="1"/>
  <c r="J239" i="532" a="1"/>
  <c r="J239" i="532" s="1"/>
  <c r="H239" i="532"/>
  <c r="K238" i="532" a="1"/>
  <c r="K238" i="532" s="1"/>
  <c r="M238" i="532" s="1"/>
  <c r="H238" i="532"/>
  <c r="H237" i="532"/>
  <c r="V236" i="532"/>
  <c r="W236" i="532" s="1"/>
  <c r="N236" i="532"/>
  <c r="K236" i="532" a="1"/>
  <c r="K236" i="532" s="1"/>
  <c r="M236" i="532" s="1"/>
  <c r="J236" i="532" a="1"/>
  <c r="J236" i="532" s="1"/>
  <c r="H236" i="532"/>
  <c r="W235" i="532"/>
  <c r="V235" i="532"/>
  <c r="N235" i="532"/>
  <c r="K235" i="532"/>
  <c r="M235" i="532" s="1"/>
  <c r="K235" i="532" a="1"/>
  <c r="J235" i="532" a="1"/>
  <c r="J235" i="532" s="1"/>
  <c r="H235" i="532"/>
  <c r="V234" i="532"/>
  <c r="W234" i="532" s="1"/>
  <c r="N234" i="532"/>
  <c r="K234" i="532" a="1"/>
  <c r="K234" i="532" s="1"/>
  <c r="M234" i="532" s="1"/>
  <c r="J234" i="532" a="1"/>
  <c r="J234" i="532" s="1"/>
  <c r="H234" i="532"/>
  <c r="W233" i="532"/>
  <c r="V233" i="532"/>
  <c r="N233" i="532"/>
  <c r="K233" i="532" a="1"/>
  <c r="K233" i="532" s="1"/>
  <c r="M233" i="532" s="1"/>
  <c r="J233" i="532" a="1"/>
  <c r="J233" i="532" s="1"/>
  <c r="H233" i="532"/>
  <c r="V232" i="532"/>
  <c r="W232" i="532" s="1"/>
  <c r="N232" i="532"/>
  <c r="K232" i="532" a="1"/>
  <c r="K232" i="532" s="1"/>
  <c r="M232" i="532" s="1"/>
  <c r="J232" i="532" a="1"/>
  <c r="J232" i="532" s="1"/>
  <c r="H232" i="532"/>
  <c r="V231" i="532"/>
  <c r="W231" i="532" s="1"/>
  <c r="N231" i="532"/>
  <c r="K231" i="532"/>
  <c r="M231" i="532" s="1"/>
  <c r="K231" i="532" a="1"/>
  <c r="J231" i="532"/>
  <c r="J231" i="532" a="1"/>
  <c r="H231" i="532"/>
  <c r="V230" i="532"/>
  <c r="W230" i="532" s="1"/>
  <c r="N230" i="532"/>
  <c r="K230" i="532" a="1"/>
  <c r="K230" i="532" s="1"/>
  <c r="M230" i="532" s="1"/>
  <c r="J230" i="532" a="1"/>
  <c r="J230" i="532" s="1"/>
  <c r="H230" i="532"/>
  <c r="W229" i="532"/>
  <c r="V229" i="532"/>
  <c r="N229" i="532"/>
  <c r="K229" i="532" a="1"/>
  <c r="K229" i="532" s="1"/>
  <c r="M229" i="532" s="1"/>
  <c r="J229" i="532" a="1"/>
  <c r="J229" i="532" s="1"/>
  <c r="H229" i="532"/>
  <c r="V228" i="532"/>
  <c r="W228" i="532" s="1"/>
  <c r="N228" i="532"/>
  <c r="K228" i="532" a="1"/>
  <c r="K228" i="532" s="1"/>
  <c r="M228" i="532" s="1"/>
  <c r="J228" i="532" a="1"/>
  <c r="J228" i="532" s="1"/>
  <c r="H228" i="532"/>
  <c r="V227" i="532"/>
  <c r="W227" i="532" s="1"/>
  <c r="N227" i="532"/>
  <c r="K227" i="532"/>
  <c r="M227" i="532" s="1"/>
  <c r="K227" i="532" a="1"/>
  <c r="J227" i="532"/>
  <c r="J227" i="532" a="1"/>
  <c r="H227" i="532"/>
  <c r="N226" i="532"/>
  <c r="K226" i="532" a="1"/>
  <c r="K226" i="532" s="1"/>
  <c r="M226" i="532" s="1"/>
  <c r="H226" i="532"/>
  <c r="N225" i="532"/>
  <c r="K225" i="532" a="1"/>
  <c r="K225" i="532" s="1"/>
  <c r="M225" i="532" s="1"/>
  <c r="H225" i="532"/>
  <c r="N224" i="532"/>
  <c r="K224" i="532" a="1"/>
  <c r="K224" i="532" s="1"/>
  <c r="M224" i="532" s="1"/>
  <c r="H224" i="532"/>
  <c r="N223" i="532"/>
  <c r="K223" i="532"/>
  <c r="M223" i="532" s="1"/>
  <c r="K223" i="532" a="1"/>
  <c r="H223" i="532"/>
  <c r="N222" i="532"/>
  <c r="K222" i="532" a="1"/>
  <c r="K222" i="532" s="1"/>
  <c r="M222" i="532" s="1"/>
  <c r="H222" i="532"/>
  <c r="N221" i="532"/>
  <c r="K221" i="532" a="1"/>
  <c r="K221" i="532" s="1"/>
  <c r="M221" i="532" s="1"/>
  <c r="H221" i="532"/>
  <c r="N220" i="532"/>
  <c r="K220" i="532" a="1"/>
  <c r="K220" i="532" s="1"/>
  <c r="M220" i="532" s="1"/>
  <c r="H220" i="532"/>
  <c r="N219" i="532"/>
  <c r="K219" i="532"/>
  <c r="M219" i="532" s="1"/>
  <c r="K219" i="532" a="1"/>
  <c r="H219" i="532"/>
  <c r="V218" i="532"/>
  <c r="W218" i="532" s="1"/>
  <c r="N218" i="532"/>
  <c r="K218" i="532" a="1"/>
  <c r="K218" i="532" s="1"/>
  <c r="M218" i="532" s="1"/>
  <c r="J218" i="532" a="1"/>
  <c r="J218" i="532" s="1"/>
  <c r="H218" i="532"/>
  <c r="W217" i="532"/>
  <c r="V217" i="532"/>
  <c r="N217" i="532"/>
  <c r="K217" i="532" a="1"/>
  <c r="K217" i="532" s="1"/>
  <c r="M217" i="532" s="1"/>
  <c r="J217" i="532" a="1"/>
  <c r="J217" i="532" s="1"/>
  <c r="H217" i="532"/>
  <c r="V216" i="532"/>
  <c r="W216" i="532" s="1"/>
  <c r="N216" i="532"/>
  <c r="K216" i="532" a="1"/>
  <c r="K216" i="532" s="1"/>
  <c r="M216" i="532" s="1"/>
  <c r="J216" i="532" a="1"/>
  <c r="J216" i="532" s="1"/>
  <c r="H216" i="532"/>
  <c r="V215" i="532"/>
  <c r="W215" i="532" s="1"/>
  <c r="N215" i="532"/>
  <c r="K215" i="532"/>
  <c r="M215" i="532" s="1"/>
  <c r="K215" i="532" a="1"/>
  <c r="J215" i="532"/>
  <c r="J215" i="532" a="1"/>
  <c r="H215" i="532"/>
  <c r="V214" i="532"/>
  <c r="W214" i="532" s="1"/>
  <c r="N214" i="532"/>
  <c r="K214" i="532" a="1"/>
  <c r="K214" i="532" s="1"/>
  <c r="M214" i="532" s="1"/>
  <c r="J214" i="532" a="1"/>
  <c r="J214" i="532" s="1"/>
  <c r="H214" i="532"/>
  <c r="W213" i="532"/>
  <c r="V213" i="532"/>
  <c r="N213" i="532"/>
  <c r="K213" i="532" a="1"/>
  <c r="K213" i="532" s="1"/>
  <c r="M213" i="532" s="1"/>
  <c r="J213" i="532" a="1"/>
  <c r="J213" i="532" s="1"/>
  <c r="H213" i="532"/>
  <c r="V212" i="532"/>
  <c r="W212" i="532" s="1"/>
  <c r="N212" i="532"/>
  <c r="K212" i="532" a="1"/>
  <c r="K212" i="532" s="1"/>
  <c r="M212" i="532" s="1"/>
  <c r="J212" i="532" a="1"/>
  <c r="J212" i="532" s="1"/>
  <c r="H212" i="532"/>
  <c r="V211" i="532"/>
  <c r="W211" i="532" s="1"/>
  <c r="N211" i="532"/>
  <c r="K211" i="532"/>
  <c r="M211" i="532" s="1"/>
  <c r="K211" i="532" a="1"/>
  <c r="J211" i="532"/>
  <c r="J211" i="532" a="1"/>
  <c r="H211" i="532"/>
  <c r="V210" i="532"/>
  <c r="W210" i="532" s="1"/>
  <c r="N210" i="532"/>
  <c r="K210" i="532" a="1"/>
  <c r="K210" i="532" s="1"/>
  <c r="M210" i="532" s="1"/>
  <c r="J210" i="532" a="1"/>
  <c r="J210" i="532" s="1"/>
  <c r="H210" i="532"/>
  <c r="W209" i="532"/>
  <c r="V209" i="532"/>
  <c r="N209" i="532"/>
  <c r="K209" i="532" a="1"/>
  <c r="K209" i="532" s="1"/>
  <c r="M209" i="532" s="1"/>
  <c r="J209" i="532" a="1"/>
  <c r="J209" i="532" s="1"/>
  <c r="H209" i="532"/>
  <c r="V208" i="532"/>
  <c r="W208" i="532" s="1"/>
  <c r="N208" i="532"/>
  <c r="K208" i="532" a="1"/>
  <c r="K208" i="532" s="1"/>
  <c r="M208" i="532" s="1"/>
  <c r="J208" i="532" a="1"/>
  <c r="J208" i="532" s="1"/>
  <c r="H208" i="532"/>
  <c r="V207" i="532"/>
  <c r="W207" i="532" s="1"/>
  <c r="N207" i="532"/>
  <c r="K207" i="532"/>
  <c r="M207" i="532" s="1"/>
  <c r="K207" i="532" a="1"/>
  <c r="J207" i="532"/>
  <c r="J207" i="532" a="1"/>
  <c r="H207" i="532"/>
  <c r="H206" i="532"/>
  <c r="H205" i="532"/>
  <c r="H204" i="532"/>
  <c r="W203" i="532"/>
  <c r="V203" i="532"/>
  <c r="N203" i="532"/>
  <c r="K203" i="532" a="1"/>
  <c r="K203" i="532" s="1"/>
  <c r="M203" i="532" s="1"/>
  <c r="J203" i="532" a="1"/>
  <c r="J203" i="532" s="1"/>
  <c r="H203" i="532"/>
  <c r="V202" i="532"/>
  <c r="W202" i="532" s="1"/>
  <c r="N202" i="532"/>
  <c r="K202" i="532" a="1"/>
  <c r="K202" i="532" s="1"/>
  <c r="M202" i="532" s="1"/>
  <c r="J202" i="532" a="1"/>
  <c r="J202" i="532" s="1"/>
  <c r="H202" i="532"/>
  <c r="V201" i="532"/>
  <c r="W201" i="532" s="1"/>
  <c r="N201" i="532"/>
  <c r="K201" i="532"/>
  <c r="M201" i="532" s="1"/>
  <c r="K201" i="532" a="1"/>
  <c r="J201" i="532"/>
  <c r="J201" i="532" a="1"/>
  <c r="H201" i="532"/>
  <c r="H200" i="532"/>
  <c r="V199" i="532"/>
  <c r="V256" i="532" s="1"/>
  <c r="W256" i="532" s="1"/>
  <c r="N199" i="532"/>
  <c r="N256" i="532" s="1"/>
  <c r="K199" i="532" a="1"/>
  <c r="K199" i="532" s="1"/>
  <c r="J199" i="532" a="1"/>
  <c r="J199" i="532" s="1"/>
  <c r="H199" i="532"/>
  <c r="H256" i="532" s="1"/>
  <c r="AA198" i="532"/>
  <c r="AA333" i="532" s="1"/>
  <c r="Z198" i="532"/>
  <c r="Z333" i="532" s="1"/>
  <c r="Y198" i="532"/>
  <c r="Y333" i="532" s="1"/>
  <c r="X198" i="532"/>
  <c r="X333" i="532" s="1"/>
  <c r="U198" i="532"/>
  <c r="U333" i="532" s="1"/>
  <c r="T198" i="532"/>
  <c r="T333" i="532" s="1"/>
  <c r="S198" i="532"/>
  <c r="S333" i="532" s="1"/>
  <c r="R198" i="532"/>
  <c r="R333" i="532" s="1"/>
  <c r="Q198" i="532"/>
  <c r="Q333" i="532" s="1"/>
  <c r="P198" i="532"/>
  <c r="O198" i="532"/>
  <c r="I198" i="532"/>
  <c r="I333" i="532" s="1"/>
  <c r="B341" i="532" s="1"/>
  <c r="G198" i="532"/>
  <c r="G333" i="532" s="1"/>
  <c r="V197" i="532"/>
  <c r="W197" i="532" s="1"/>
  <c r="N197" i="532"/>
  <c r="K197" i="532" a="1"/>
  <c r="K197" i="532" s="1"/>
  <c r="M197" i="532" s="1"/>
  <c r="J197" i="532" a="1"/>
  <c r="J197" i="532" s="1"/>
  <c r="H197" i="532"/>
  <c r="V196" i="532"/>
  <c r="W196" i="532" s="1"/>
  <c r="N196" i="532"/>
  <c r="K196" i="532" a="1"/>
  <c r="K196" i="532" s="1"/>
  <c r="M196" i="532" s="1"/>
  <c r="J196" i="532" a="1"/>
  <c r="J196" i="532" s="1"/>
  <c r="H196" i="532"/>
  <c r="K195" i="532"/>
  <c r="M195" i="532" s="1"/>
  <c r="K195" i="532" a="1"/>
  <c r="H195" i="532"/>
  <c r="K194" i="532" a="1"/>
  <c r="K194" i="532" s="1"/>
  <c r="M194" i="532" s="1"/>
  <c r="H194" i="532"/>
  <c r="K193" i="532"/>
  <c r="M193" i="532" s="1"/>
  <c r="K193" i="532" a="1"/>
  <c r="H193" i="532"/>
  <c r="K192" i="532" a="1"/>
  <c r="K192" i="532" s="1"/>
  <c r="M192" i="532" s="1"/>
  <c r="H192" i="532"/>
  <c r="V191" i="532"/>
  <c r="W191" i="532" s="1"/>
  <c r="N191" i="532"/>
  <c r="K191" i="532" a="1"/>
  <c r="K191" i="532" s="1"/>
  <c r="M191" i="532" s="1"/>
  <c r="J191" i="532" a="1"/>
  <c r="J191" i="532" s="1"/>
  <c r="H191" i="532"/>
  <c r="V190" i="532"/>
  <c r="W190" i="532" s="1"/>
  <c r="N190" i="532"/>
  <c r="K190" i="532"/>
  <c r="M190" i="532" s="1"/>
  <c r="K190" i="532" a="1"/>
  <c r="J190" i="532"/>
  <c r="J190" i="532" a="1"/>
  <c r="H190" i="532"/>
  <c r="V189" i="532"/>
  <c r="W189" i="532" s="1"/>
  <c r="N189" i="532"/>
  <c r="K189" i="532" a="1"/>
  <c r="K189" i="532" s="1"/>
  <c r="M189" i="532" s="1"/>
  <c r="J189" i="532" a="1"/>
  <c r="J189" i="532" s="1"/>
  <c r="H189" i="532"/>
  <c r="N188" i="532"/>
  <c r="K188" i="532" a="1"/>
  <c r="K188" i="532" s="1"/>
  <c r="M188" i="532" s="1"/>
  <c r="J188" i="532" a="1"/>
  <c r="J188" i="532" s="1"/>
  <c r="H188" i="532"/>
  <c r="N187" i="532"/>
  <c r="K187" i="532" a="1"/>
  <c r="K187" i="532" s="1"/>
  <c r="M187" i="532" s="1"/>
  <c r="J187" i="532" a="1"/>
  <c r="J187" i="532" s="1"/>
  <c r="H187" i="532"/>
  <c r="V186" i="532"/>
  <c r="W186" i="532" s="1"/>
  <c r="N186" i="532"/>
  <c r="K186" i="532" a="1"/>
  <c r="K186" i="532" s="1"/>
  <c r="M186" i="532" s="1"/>
  <c r="J186" i="532" a="1"/>
  <c r="J186" i="532" s="1"/>
  <c r="H186" i="532"/>
  <c r="V185" i="532"/>
  <c r="W185" i="532" s="1"/>
  <c r="N185" i="532"/>
  <c r="K185" i="532" a="1"/>
  <c r="K185" i="532" s="1"/>
  <c r="M185" i="532" s="1"/>
  <c r="J185" i="532" a="1"/>
  <c r="J185" i="532" s="1"/>
  <c r="H185" i="532"/>
  <c r="N184" i="532"/>
  <c r="K184" i="532" a="1"/>
  <c r="K184" i="532" s="1"/>
  <c r="M184" i="532" s="1"/>
  <c r="H184" i="532"/>
  <c r="N183" i="532"/>
  <c r="K183" i="532" a="1"/>
  <c r="K183" i="532" s="1"/>
  <c r="M183" i="532" s="1"/>
  <c r="H183" i="532"/>
  <c r="W182" i="532"/>
  <c r="V182" i="532"/>
  <c r="N182" i="532"/>
  <c r="K182" i="532" a="1"/>
  <c r="K182" i="532" s="1"/>
  <c r="M182" i="532" s="1"/>
  <c r="J182" i="532" a="1"/>
  <c r="J182" i="532" s="1"/>
  <c r="H182" i="532"/>
  <c r="V181" i="532"/>
  <c r="W181" i="532" s="1"/>
  <c r="N181" i="532"/>
  <c r="K181" i="532" a="1"/>
  <c r="K181" i="532" s="1"/>
  <c r="M181" i="532" s="1"/>
  <c r="J181" i="532" a="1"/>
  <c r="J181" i="532" s="1"/>
  <c r="H181" i="532"/>
  <c r="V180" i="532"/>
  <c r="W180" i="532" s="1"/>
  <c r="N180" i="532"/>
  <c r="K180" i="532"/>
  <c r="M180" i="532" s="1"/>
  <c r="K180" i="532" a="1"/>
  <c r="J180" i="532"/>
  <c r="J180" i="532" a="1"/>
  <c r="H180" i="532"/>
  <c r="V179" i="532"/>
  <c r="W179" i="532" s="1"/>
  <c r="N179" i="532"/>
  <c r="K179" i="532" a="1"/>
  <c r="K179" i="532" s="1"/>
  <c r="M179" i="532" s="1"/>
  <c r="J179" i="532" a="1"/>
  <c r="J179" i="532" s="1"/>
  <c r="H179" i="532"/>
  <c r="W178" i="532"/>
  <c r="V178" i="532"/>
  <c r="N178" i="532"/>
  <c r="K178" i="532" a="1"/>
  <c r="K178" i="532" s="1"/>
  <c r="M178" i="532" s="1"/>
  <c r="J178" i="532" a="1"/>
  <c r="J178" i="532" s="1"/>
  <c r="H178" i="532"/>
  <c r="V177" i="532"/>
  <c r="V198" i="532" s="1"/>
  <c r="N177" i="532"/>
  <c r="K177" i="532" a="1"/>
  <c r="K177" i="532" s="1"/>
  <c r="J177" i="532" a="1"/>
  <c r="J177" i="532" s="1"/>
  <c r="H177" i="532"/>
  <c r="H198" i="532" s="1"/>
  <c r="X170" i="532"/>
  <c r="Q526" i="532" s="1"/>
  <c r="X169" i="532"/>
  <c r="Q525" i="532" s="1"/>
  <c r="G169" i="532"/>
  <c r="C169" i="532"/>
  <c r="X168" i="532"/>
  <c r="Q524" i="532" s="1"/>
  <c r="I168" i="532"/>
  <c r="E168" i="532"/>
  <c r="K168" i="532" s="1"/>
  <c r="M168" i="532" s="1"/>
  <c r="I167" i="532"/>
  <c r="E167" i="532"/>
  <c r="K167" i="532" s="1"/>
  <c r="M167" i="532" s="1"/>
  <c r="I166" i="532"/>
  <c r="E166" i="532"/>
  <c r="K166" i="532" s="1"/>
  <c r="M166" i="532" s="1"/>
  <c r="X165" i="532"/>
  <c r="Q521" i="532" s="1"/>
  <c r="I165" i="532"/>
  <c r="I169" i="532" s="1"/>
  <c r="E165" i="532"/>
  <c r="E169" i="532" s="1"/>
  <c r="AA162" i="532"/>
  <c r="Z162" i="532"/>
  <c r="Y162" i="532"/>
  <c r="X162" i="532"/>
  <c r="U162" i="532"/>
  <c r="T162" i="532"/>
  <c r="S162" i="532"/>
  <c r="R162" i="532"/>
  <c r="Q162" i="532"/>
  <c r="P162" i="532"/>
  <c r="O162" i="532"/>
  <c r="R170" i="532" s="1"/>
  <c r="I162" i="532"/>
  <c r="G162" i="532"/>
  <c r="C526" i="532" s="1"/>
  <c r="H161" i="532"/>
  <c r="H160" i="532"/>
  <c r="H159" i="532"/>
  <c r="V158" i="532"/>
  <c r="W158" i="532" s="1"/>
  <c r="N158" i="532"/>
  <c r="K158" i="532"/>
  <c r="K158" i="532" a="1"/>
  <c r="J158" i="532" a="1"/>
  <c r="J158" i="532" s="1"/>
  <c r="H158" i="532"/>
  <c r="D158" i="532"/>
  <c r="V157" i="532"/>
  <c r="W157" i="532" s="1"/>
  <c r="N157" i="532"/>
  <c r="K157" i="532" a="1"/>
  <c r="K157" i="532" s="1"/>
  <c r="M157" i="532" s="1"/>
  <c r="J157" i="532" a="1"/>
  <c r="J157" i="532" s="1"/>
  <c r="H157" i="532"/>
  <c r="H156" i="532"/>
  <c r="H155" i="532"/>
  <c r="V154" i="532"/>
  <c r="W154" i="532" s="1"/>
  <c r="N154" i="532"/>
  <c r="K154" i="532" a="1"/>
  <c r="K154" i="532" s="1"/>
  <c r="M154" i="532" s="1"/>
  <c r="J154" i="532" a="1"/>
  <c r="J154" i="532" s="1"/>
  <c r="H154" i="532"/>
  <c r="V153" i="532"/>
  <c r="W153" i="532" s="1"/>
  <c r="N153" i="532"/>
  <c r="K153" i="532"/>
  <c r="M153" i="532" s="1"/>
  <c r="K153" i="532" a="1"/>
  <c r="J153" i="532"/>
  <c r="J153" i="532" a="1"/>
  <c r="H153" i="532"/>
  <c r="H152" i="532"/>
  <c r="W151" i="532"/>
  <c r="V151" i="532"/>
  <c r="N151" i="532"/>
  <c r="K151" i="532" a="1"/>
  <c r="K151" i="532" s="1"/>
  <c r="M151" i="532" s="1"/>
  <c r="J151" i="532" a="1"/>
  <c r="J151" i="532" s="1"/>
  <c r="H151" i="532"/>
  <c r="V150" i="532"/>
  <c r="W150" i="532" s="1"/>
  <c r="N150" i="532"/>
  <c r="K150" i="532" a="1"/>
  <c r="K150" i="532" s="1"/>
  <c r="M150" i="532" s="1"/>
  <c r="J150" i="532" a="1"/>
  <c r="J150" i="532" s="1"/>
  <c r="H150" i="532"/>
  <c r="V149" i="532"/>
  <c r="W149" i="532" s="1"/>
  <c r="N149" i="532"/>
  <c r="K149" i="532"/>
  <c r="M149" i="532" s="1"/>
  <c r="K149" i="532" a="1"/>
  <c r="J149" i="532"/>
  <c r="J149" i="532" a="1"/>
  <c r="H149" i="532"/>
  <c r="V148" i="532"/>
  <c r="W148" i="532" s="1"/>
  <c r="N148" i="532"/>
  <c r="N162" i="532" s="1"/>
  <c r="K148" i="532" a="1"/>
  <c r="K148" i="532" s="1"/>
  <c r="J148" i="532" a="1"/>
  <c r="J148" i="532" s="1"/>
  <c r="H148" i="532"/>
  <c r="H162" i="532" s="1"/>
  <c r="AA147" i="532"/>
  <c r="Z147" i="532"/>
  <c r="Y147" i="532"/>
  <c r="X147" i="532"/>
  <c r="U147" i="532"/>
  <c r="T147" i="532"/>
  <c r="S147" i="532"/>
  <c r="Q147" i="532"/>
  <c r="P147" i="532"/>
  <c r="O147" i="532"/>
  <c r="R169" i="532" s="1"/>
  <c r="I147" i="532"/>
  <c r="G147" i="532"/>
  <c r="C525" i="532" s="1"/>
  <c r="V146" i="532"/>
  <c r="W146" i="532" s="1"/>
  <c r="N146" i="532"/>
  <c r="K146" i="532" a="1"/>
  <c r="K146" i="532" s="1"/>
  <c r="M146" i="532" s="1"/>
  <c r="J146" i="532" a="1"/>
  <c r="J146" i="532" s="1"/>
  <c r="H146" i="532"/>
  <c r="K145" i="532" a="1"/>
  <c r="K145" i="532" s="1"/>
  <c r="H145" i="532"/>
  <c r="K144" i="532" a="1"/>
  <c r="K144" i="532" s="1"/>
  <c r="H144" i="532"/>
  <c r="K143" i="532" a="1"/>
  <c r="K143" i="532" s="1"/>
  <c r="H143" i="532"/>
  <c r="V142" i="532"/>
  <c r="W142" i="532" s="1"/>
  <c r="N142" i="532"/>
  <c r="K142" i="532" a="1"/>
  <c r="K142" i="532" s="1"/>
  <c r="M142" i="532" s="1"/>
  <c r="J142" i="532" a="1"/>
  <c r="J142" i="532" s="1"/>
  <c r="H142" i="532"/>
  <c r="V141" i="532"/>
  <c r="W141" i="532" s="1"/>
  <c r="N141" i="532"/>
  <c r="K141" i="532"/>
  <c r="M141" i="532" s="1"/>
  <c r="K141" i="532" a="1"/>
  <c r="J141" i="532" a="1"/>
  <c r="J141" i="532" s="1"/>
  <c r="H141" i="532"/>
  <c r="V140" i="532"/>
  <c r="W140" i="532" s="1"/>
  <c r="N140" i="532"/>
  <c r="K140" i="532" a="1"/>
  <c r="K140" i="532" s="1"/>
  <c r="M140" i="532" s="1"/>
  <c r="J140" i="532" a="1"/>
  <c r="J140" i="532" s="1"/>
  <c r="H140" i="532"/>
  <c r="V139" i="532"/>
  <c r="W139" i="532" s="1"/>
  <c r="N139" i="532"/>
  <c r="K139" i="532"/>
  <c r="M139" i="532" s="1"/>
  <c r="K139" i="532" a="1"/>
  <c r="J139" i="532"/>
  <c r="J139" i="532" a="1"/>
  <c r="H139" i="532"/>
  <c r="V138" i="532"/>
  <c r="N138" i="532"/>
  <c r="N147" i="532" s="1"/>
  <c r="K138" i="532" a="1"/>
  <c r="K138" i="532" s="1"/>
  <c r="J138" i="532" a="1"/>
  <c r="J138" i="532" s="1"/>
  <c r="H138" i="532"/>
  <c r="H147" i="532" s="1"/>
  <c r="AA137" i="532"/>
  <c r="Z137" i="532"/>
  <c r="Y137" i="532"/>
  <c r="X137" i="532"/>
  <c r="U137" i="532"/>
  <c r="T137" i="532"/>
  <c r="S137" i="532"/>
  <c r="Q137" i="532"/>
  <c r="P137" i="532"/>
  <c r="O137" i="532"/>
  <c r="R168" i="532" s="1"/>
  <c r="I137" i="532"/>
  <c r="G137" i="532"/>
  <c r="C524" i="532" s="1"/>
  <c r="V136" i="532"/>
  <c r="W136" i="532" s="1"/>
  <c r="N136" i="532"/>
  <c r="K136" i="532" a="1"/>
  <c r="K136" i="532" s="1"/>
  <c r="M136" i="532" s="1"/>
  <c r="J136" i="532" a="1"/>
  <c r="J136" i="532" s="1"/>
  <c r="H136" i="532"/>
  <c r="V135" i="532"/>
  <c r="W135" i="532" s="1"/>
  <c r="N135" i="532"/>
  <c r="K135" i="532" a="1"/>
  <c r="K135" i="532" s="1"/>
  <c r="M135" i="532" s="1"/>
  <c r="J135" i="532" a="1"/>
  <c r="J135" i="532" s="1"/>
  <c r="H135" i="532"/>
  <c r="V134" i="532"/>
  <c r="W134" i="532" s="1"/>
  <c r="N134" i="532"/>
  <c r="K134" i="532" a="1"/>
  <c r="K134" i="532" s="1"/>
  <c r="M134" i="532" s="1"/>
  <c r="J134" i="532" a="1"/>
  <c r="J134" i="532" s="1"/>
  <c r="H134" i="532"/>
  <c r="V133" i="532"/>
  <c r="W133" i="532" s="1"/>
  <c r="N133" i="532"/>
  <c r="K133" i="532"/>
  <c r="M133" i="532" s="1"/>
  <c r="K133" i="532" a="1"/>
  <c r="J133" i="532"/>
  <c r="J133" i="532" a="1"/>
  <c r="H133" i="532"/>
  <c r="V132" i="532"/>
  <c r="W132" i="532" s="1"/>
  <c r="N132" i="532"/>
  <c r="K132" i="532" a="1"/>
  <c r="K132" i="532" s="1"/>
  <c r="M132" i="532" s="1"/>
  <c r="J132" i="532" a="1"/>
  <c r="J132" i="532" s="1"/>
  <c r="H132" i="532"/>
  <c r="W131" i="532"/>
  <c r="V131" i="532"/>
  <c r="N131" i="532"/>
  <c r="K131" i="532" a="1"/>
  <c r="K131" i="532" s="1"/>
  <c r="M131" i="532" s="1"/>
  <c r="J131" i="532" a="1"/>
  <c r="J131" i="532" s="1"/>
  <c r="H131" i="532"/>
  <c r="V130" i="532"/>
  <c r="W130" i="532" s="1"/>
  <c r="N130" i="532"/>
  <c r="K130" i="532" a="1"/>
  <c r="K130" i="532" s="1"/>
  <c r="M130" i="532" s="1"/>
  <c r="J130" i="532" a="1"/>
  <c r="J130" i="532" s="1"/>
  <c r="H130" i="532"/>
  <c r="V129" i="532"/>
  <c r="W129" i="532" s="1"/>
  <c r="N129" i="532"/>
  <c r="K129" i="532"/>
  <c r="M129" i="532" s="1"/>
  <c r="K129" i="532" a="1"/>
  <c r="J129" i="532"/>
  <c r="J129" i="532" a="1"/>
  <c r="H129" i="532"/>
  <c r="V128" i="532"/>
  <c r="W128" i="532" s="1"/>
  <c r="N128" i="532"/>
  <c r="K128" i="532" a="1"/>
  <c r="K128" i="532" s="1"/>
  <c r="M128" i="532" s="1"/>
  <c r="J128" i="532" a="1"/>
  <c r="J128" i="532" s="1"/>
  <c r="H128" i="532"/>
  <c r="W127" i="532"/>
  <c r="V127" i="532"/>
  <c r="N127" i="532"/>
  <c r="K127" i="532" a="1"/>
  <c r="K127" i="532" s="1"/>
  <c r="M127" i="532" s="1"/>
  <c r="J127" i="532" a="1"/>
  <c r="J127" i="532" s="1"/>
  <c r="H127" i="532"/>
  <c r="V126" i="532"/>
  <c r="W126" i="532" s="1"/>
  <c r="N126" i="532"/>
  <c r="K126" i="532" a="1"/>
  <c r="K126" i="532" s="1"/>
  <c r="M126" i="532" s="1"/>
  <c r="J126" i="532" a="1"/>
  <c r="J126" i="532" s="1"/>
  <c r="H126" i="532"/>
  <c r="V125" i="532"/>
  <c r="W125" i="532" s="1"/>
  <c r="N125" i="532"/>
  <c r="K125" i="532"/>
  <c r="M125" i="532" s="1"/>
  <c r="K125" i="532" a="1"/>
  <c r="J125" i="532"/>
  <c r="J125" i="532" a="1"/>
  <c r="H125" i="532"/>
  <c r="V124" i="532"/>
  <c r="W124" i="532" s="1"/>
  <c r="N124" i="532"/>
  <c r="K124" i="532" a="1"/>
  <c r="K124" i="532" s="1"/>
  <c r="M124" i="532" s="1"/>
  <c r="J124" i="532" a="1"/>
  <c r="J124" i="532" s="1"/>
  <c r="H124" i="532"/>
  <c r="W123" i="532"/>
  <c r="V123" i="532"/>
  <c r="N123" i="532"/>
  <c r="K123" i="532" a="1"/>
  <c r="K123" i="532" s="1"/>
  <c r="M123" i="532" s="1"/>
  <c r="J123" i="532" a="1"/>
  <c r="J123" i="532" s="1"/>
  <c r="H123" i="532"/>
  <c r="V122" i="532"/>
  <c r="W122" i="532" s="1"/>
  <c r="N122" i="532"/>
  <c r="K122" i="532" a="1"/>
  <c r="K122" i="532" s="1"/>
  <c r="J122" i="532" a="1"/>
  <c r="J122" i="532" s="1"/>
  <c r="H122" i="532"/>
  <c r="H137" i="532" s="1"/>
  <c r="AA121" i="532"/>
  <c r="Z121" i="532"/>
  <c r="Y121" i="532"/>
  <c r="X121" i="532"/>
  <c r="U121" i="532"/>
  <c r="T121" i="532"/>
  <c r="S121" i="532"/>
  <c r="R121" i="532"/>
  <c r="Q121" i="532"/>
  <c r="P121" i="532"/>
  <c r="O121" i="532"/>
  <c r="R167" i="532" s="1"/>
  <c r="I121" i="532"/>
  <c r="G121" i="532"/>
  <c r="C523" i="532" s="1"/>
  <c r="V120" i="532"/>
  <c r="W120" i="532" s="1"/>
  <c r="N120" i="532"/>
  <c r="K120" i="532" a="1"/>
  <c r="K120" i="532" s="1"/>
  <c r="M120" i="532" s="1"/>
  <c r="J120" i="532" a="1"/>
  <c r="J120" i="532" s="1"/>
  <c r="H120" i="532"/>
  <c r="V119" i="532"/>
  <c r="W119" i="532" s="1"/>
  <c r="N119" i="532"/>
  <c r="K119" i="532"/>
  <c r="M119" i="532" s="1"/>
  <c r="K119" i="532" a="1"/>
  <c r="J119" i="532" a="1"/>
  <c r="J119" i="532" s="1"/>
  <c r="H119" i="532"/>
  <c r="V118" i="532"/>
  <c r="W118" i="532" s="1"/>
  <c r="N118" i="532"/>
  <c r="K118" i="532" a="1"/>
  <c r="K118" i="532" s="1"/>
  <c r="M118" i="532" s="1"/>
  <c r="J118" i="532" a="1"/>
  <c r="J118" i="532" s="1"/>
  <c r="H118" i="532"/>
  <c r="K117" i="532" a="1"/>
  <c r="K117" i="532" s="1"/>
  <c r="H117" i="532"/>
  <c r="K116" i="532" a="1"/>
  <c r="K116" i="532" s="1"/>
  <c r="H116" i="532"/>
  <c r="K115" i="532"/>
  <c r="K115" i="532" a="1"/>
  <c r="H115" i="532"/>
  <c r="V114" i="532"/>
  <c r="W114" i="532" s="1"/>
  <c r="N114" i="532"/>
  <c r="K114" i="532" a="1"/>
  <c r="K114" i="532" s="1"/>
  <c r="M114" i="532" s="1"/>
  <c r="J114" i="532" a="1"/>
  <c r="J114" i="532" s="1"/>
  <c r="H114" i="532"/>
  <c r="V113" i="532"/>
  <c r="W113" i="532" s="1"/>
  <c r="N113" i="532"/>
  <c r="K113" i="532" a="1"/>
  <c r="K113" i="532" s="1"/>
  <c r="M113" i="532" s="1"/>
  <c r="J113" i="532" a="1"/>
  <c r="J113" i="532" s="1"/>
  <c r="H113" i="532"/>
  <c r="N112" i="532"/>
  <c r="K112" i="532" a="1"/>
  <c r="K112" i="532" s="1"/>
  <c r="M112" i="532" s="1"/>
  <c r="H112" i="532"/>
  <c r="N111" i="532"/>
  <c r="K111" i="532" a="1"/>
  <c r="K111" i="532" s="1"/>
  <c r="M111" i="532" s="1"/>
  <c r="H111" i="532"/>
  <c r="N110" i="532"/>
  <c r="K110" i="532" a="1"/>
  <c r="K110" i="532" s="1"/>
  <c r="M110" i="532" s="1"/>
  <c r="H110" i="532"/>
  <c r="N109" i="532"/>
  <c r="K109" i="532" a="1"/>
  <c r="K109" i="532" s="1"/>
  <c r="M109" i="532" s="1"/>
  <c r="H109" i="532"/>
  <c r="N108" i="532"/>
  <c r="K108" i="532" a="1"/>
  <c r="K108" i="532" s="1"/>
  <c r="M108" i="532" s="1"/>
  <c r="H108" i="532"/>
  <c r="N107" i="532"/>
  <c r="K107" i="532" a="1"/>
  <c r="K107" i="532" s="1"/>
  <c r="M107" i="532" s="1"/>
  <c r="H107" i="532"/>
  <c r="V106" i="532"/>
  <c r="W106" i="532" s="1"/>
  <c r="N106" i="532"/>
  <c r="K106" i="532" a="1"/>
  <c r="K106" i="532" s="1"/>
  <c r="M106" i="532" s="1"/>
  <c r="J106" i="532" a="1"/>
  <c r="J106" i="532" s="1"/>
  <c r="H106" i="532"/>
  <c r="V105" i="532"/>
  <c r="W105" i="532" s="1"/>
  <c r="N105" i="532"/>
  <c r="K105" i="532"/>
  <c r="M105" i="532" s="1"/>
  <c r="K105" i="532" a="1"/>
  <c r="J105" i="532"/>
  <c r="J105" i="532" a="1"/>
  <c r="H105" i="532"/>
  <c r="V104" i="532"/>
  <c r="W104" i="532" s="1"/>
  <c r="N104" i="532"/>
  <c r="K104" i="532" a="1"/>
  <c r="K104" i="532" s="1"/>
  <c r="M104" i="532" s="1"/>
  <c r="J104" i="532" a="1"/>
  <c r="J104" i="532" s="1"/>
  <c r="H104" i="532"/>
  <c r="V103" i="532"/>
  <c r="W103" i="532" s="1"/>
  <c r="N103" i="532"/>
  <c r="K103" i="532" a="1"/>
  <c r="K103" i="532" s="1"/>
  <c r="M103" i="532" s="1"/>
  <c r="J103" i="532" a="1"/>
  <c r="J103" i="532" s="1"/>
  <c r="H103" i="532"/>
  <c r="V102" i="532"/>
  <c r="W102" i="532" s="1"/>
  <c r="N102" i="532"/>
  <c r="K102" i="532" a="1"/>
  <c r="K102" i="532" s="1"/>
  <c r="M102" i="532" s="1"/>
  <c r="J102" i="532" a="1"/>
  <c r="J102" i="532" s="1"/>
  <c r="H102" i="532"/>
  <c r="V101" i="532"/>
  <c r="W101" i="532" s="1"/>
  <c r="N101" i="532"/>
  <c r="K101" i="532"/>
  <c r="M101" i="532" s="1"/>
  <c r="K101" i="532" a="1"/>
  <c r="J101" i="532"/>
  <c r="J101" i="532" a="1"/>
  <c r="H101" i="532"/>
  <c r="V100" i="532"/>
  <c r="W100" i="532" s="1"/>
  <c r="N100" i="532"/>
  <c r="K100" i="532" a="1"/>
  <c r="K100" i="532" s="1"/>
  <c r="M100" i="532" s="1"/>
  <c r="J100" i="532" a="1"/>
  <c r="J100" i="532" s="1"/>
  <c r="H100" i="532"/>
  <c r="W99" i="532"/>
  <c r="V99" i="532"/>
  <c r="N99" i="532"/>
  <c r="K99" i="532" a="1"/>
  <c r="K99" i="532" s="1"/>
  <c r="M99" i="532" s="1"/>
  <c r="J99" i="532" a="1"/>
  <c r="J99" i="532" s="1"/>
  <c r="H99" i="532"/>
  <c r="V98" i="532"/>
  <c r="W98" i="532" s="1"/>
  <c r="N98" i="532"/>
  <c r="K98" i="532" a="1"/>
  <c r="K98" i="532" s="1"/>
  <c r="M98" i="532" s="1"/>
  <c r="J98" i="532" a="1"/>
  <c r="J98" i="532" s="1"/>
  <c r="H98" i="532"/>
  <c r="V97" i="532"/>
  <c r="W97" i="532" s="1"/>
  <c r="N97" i="532"/>
  <c r="K97" i="532"/>
  <c r="M97" i="532" s="1"/>
  <c r="K97" i="532" a="1"/>
  <c r="J97" i="532"/>
  <c r="J97" i="532" a="1"/>
  <c r="H97" i="532"/>
  <c r="V96" i="532"/>
  <c r="W96" i="532" s="1"/>
  <c r="N96" i="532"/>
  <c r="K96" i="532" a="1"/>
  <c r="K96" i="532" s="1"/>
  <c r="M96" i="532" s="1"/>
  <c r="J96" i="532" a="1"/>
  <c r="J96" i="532" s="1"/>
  <c r="H96" i="532"/>
  <c r="W95" i="532"/>
  <c r="V95" i="532"/>
  <c r="N95" i="532"/>
  <c r="K95" i="532" a="1"/>
  <c r="K95" i="532" s="1"/>
  <c r="M95" i="532" s="1"/>
  <c r="J95" i="532" a="1"/>
  <c r="J95" i="532" s="1"/>
  <c r="H95" i="532"/>
  <c r="K94" i="532"/>
  <c r="M94" i="532" s="1"/>
  <c r="K94" i="532" a="1"/>
  <c r="H94" i="532"/>
  <c r="V93" i="532"/>
  <c r="W93" i="532" s="1"/>
  <c r="N93" i="532"/>
  <c r="K93" i="532" a="1"/>
  <c r="K93" i="532" s="1"/>
  <c r="M93" i="532" s="1"/>
  <c r="J93" i="532" a="1"/>
  <c r="J93" i="532" s="1"/>
  <c r="H93" i="532"/>
  <c r="W92" i="532"/>
  <c r="V92" i="532"/>
  <c r="N92" i="532"/>
  <c r="K92" i="532" a="1"/>
  <c r="K92" i="532" s="1"/>
  <c r="M92" i="532" s="1"/>
  <c r="J92" i="532" a="1"/>
  <c r="J92" i="532" s="1"/>
  <c r="H92" i="532"/>
  <c r="V91" i="532"/>
  <c r="W91" i="532" s="1"/>
  <c r="N91" i="532"/>
  <c r="K91" i="532" a="1"/>
  <c r="K91" i="532" s="1"/>
  <c r="M91" i="532" s="1"/>
  <c r="J91" i="532" a="1"/>
  <c r="J91" i="532" s="1"/>
  <c r="H91" i="532"/>
  <c r="V90" i="532"/>
  <c r="W90" i="532" s="1"/>
  <c r="N90" i="532"/>
  <c r="K90" i="532"/>
  <c r="M90" i="532" s="1"/>
  <c r="K90" i="532" a="1"/>
  <c r="J90" i="532"/>
  <c r="J90" i="532" a="1"/>
  <c r="H90" i="532"/>
  <c r="V89" i="532"/>
  <c r="W89" i="532" s="1"/>
  <c r="N89" i="532"/>
  <c r="K89" i="532" a="1"/>
  <c r="K89" i="532" s="1"/>
  <c r="M89" i="532" s="1"/>
  <c r="J89" i="532" a="1"/>
  <c r="J89" i="532" s="1"/>
  <c r="H89" i="532"/>
  <c r="W88" i="532"/>
  <c r="V88" i="532"/>
  <c r="N88" i="532"/>
  <c r="K88" i="532" a="1"/>
  <c r="K88" i="532" s="1"/>
  <c r="M88" i="532" s="1"/>
  <c r="J88" i="532" a="1"/>
  <c r="J88" i="532" s="1"/>
  <c r="H88" i="532"/>
  <c r="V87" i="532"/>
  <c r="V121" i="532" s="1"/>
  <c r="W121" i="532" s="1"/>
  <c r="N87" i="532"/>
  <c r="K87" i="532" a="1"/>
  <c r="K87" i="532" s="1"/>
  <c r="J87" i="532" a="1"/>
  <c r="J87" i="532" s="1"/>
  <c r="H87" i="532"/>
  <c r="H121" i="532" s="1"/>
  <c r="AA86" i="532"/>
  <c r="Z86" i="532"/>
  <c r="Y86" i="532"/>
  <c r="X86" i="532"/>
  <c r="U86" i="532"/>
  <c r="T86" i="532"/>
  <c r="S86" i="532"/>
  <c r="R86" i="532"/>
  <c r="Q86" i="532"/>
  <c r="P86" i="532"/>
  <c r="O86" i="532"/>
  <c r="R166" i="532" s="1"/>
  <c r="I86" i="532"/>
  <c r="G86" i="532"/>
  <c r="C522" i="532" s="1"/>
  <c r="K85" i="532" a="1"/>
  <c r="K85" i="532" s="1"/>
  <c r="H85" i="532"/>
  <c r="K84" i="532"/>
  <c r="K84" i="532" a="1"/>
  <c r="H84" i="532"/>
  <c r="K83" i="532" a="1"/>
  <c r="K83" i="532" s="1"/>
  <c r="H83" i="532"/>
  <c r="K82" i="532" a="1"/>
  <c r="K82" i="532" s="1"/>
  <c r="H82" i="532"/>
  <c r="K81" i="532" a="1"/>
  <c r="K81" i="532" s="1"/>
  <c r="H81" i="532"/>
  <c r="K80" i="532" a="1"/>
  <c r="K80" i="532" s="1"/>
  <c r="H80" i="532"/>
  <c r="K79" i="532" a="1"/>
  <c r="K79" i="532" s="1"/>
  <c r="M79" i="532" s="1"/>
  <c r="H79" i="532"/>
  <c r="K78" i="532" a="1"/>
  <c r="K78" i="532" s="1"/>
  <c r="M78" i="532" s="1"/>
  <c r="H78" i="532"/>
  <c r="K77" i="532" a="1"/>
  <c r="K77" i="532" s="1"/>
  <c r="M77" i="532" s="1"/>
  <c r="H77" i="532"/>
  <c r="K76" i="532" a="1"/>
  <c r="K76" i="532" s="1"/>
  <c r="M76" i="532" s="1"/>
  <c r="H76" i="532"/>
  <c r="W75" i="532"/>
  <c r="V75" i="532"/>
  <c r="N75" i="532"/>
  <c r="K75" i="532" a="1"/>
  <c r="K75" i="532" s="1"/>
  <c r="M75" i="532" s="1"/>
  <c r="J75" i="532" a="1"/>
  <c r="J75" i="532" s="1"/>
  <c r="H75" i="532"/>
  <c r="V74" i="532"/>
  <c r="W74" i="532" s="1"/>
  <c r="N74" i="532"/>
  <c r="K74" i="532" a="1"/>
  <c r="K74" i="532" s="1"/>
  <c r="M74" i="532" s="1"/>
  <c r="J74" i="532" a="1"/>
  <c r="J74" i="532" s="1"/>
  <c r="H74" i="532"/>
  <c r="V73" i="532"/>
  <c r="W73" i="532" s="1"/>
  <c r="N73" i="532"/>
  <c r="K73" i="532"/>
  <c r="M73" i="532" s="1"/>
  <c r="K73" i="532" a="1"/>
  <c r="J73" i="532"/>
  <c r="J73" i="532" a="1"/>
  <c r="H73" i="532"/>
  <c r="V72" i="532"/>
  <c r="W72" i="532" s="1"/>
  <c r="N72" i="532"/>
  <c r="K72" i="532" a="1"/>
  <c r="K72" i="532" s="1"/>
  <c r="M72" i="532" s="1"/>
  <c r="J72" i="532" a="1"/>
  <c r="J72" i="532" s="1"/>
  <c r="H72" i="532"/>
  <c r="H71" i="532"/>
  <c r="V70" i="532"/>
  <c r="W70" i="532" s="1"/>
  <c r="N70" i="532"/>
  <c r="K70" i="532" a="1"/>
  <c r="K70" i="532" s="1"/>
  <c r="M70" i="532" s="1"/>
  <c r="J70" i="532" a="1"/>
  <c r="J70" i="532" s="1"/>
  <c r="H70" i="532"/>
  <c r="W69" i="532"/>
  <c r="V69" i="532"/>
  <c r="N69" i="532"/>
  <c r="K69" i="532" a="1"/>
  <c r="K69" i="532" s="1"/>
  <c r="M69" i="532" s="1"/>
  <c r="J69" i="532" a="1"/>
  <c r="J69" i="532" s="1"/>
  <c r="H69" i="532"/>
  <c r="K68" i="532" a="1"/>
  <c r="K68" i="532" s="1"/>
  <c r="H68" i="532"/>
  <c r="K67" i="532" a="1"/>
  <c r="K67" i="532" s="1"/>
  <c r="H67" i="532"/>
  <c r="V66" i="532"/>
  <c r="W66" i="532" s="1"/>
  <c r="N66" i="532"/>
  <c r="K66" i="532" a="1"/>
  <c r="K66" i="532" s="1"/>
  <c r="M66" i="532" s="1"/>
  <c r="J66" i="532" a="1"/>
  <c r="J66" i="532" s="1"/>
  <c r="H66" i="532"/>
  <c r="W65" i="532"/>
  <c r="V65" i="532"/>
  <c r="N65" i="532"/>
  <c r="K65" i="532" a="1"/>
  <c r="K65" i="532" s="1"/>
  <c r="M65" i="532" s="1"/>
  <c r="J65" i="532" a="1"/>
  <c r="J65" i="532" s="1"/>
  <c r="H65" i="532"/>
  <c r="V64" i="532"/>
  <c r="W64" i="532" s="1"/>
  <c r="N64" i="532"/>
  <c r="K64" i="532" a="1"/>
  <c r="K64" i="532" s="1"/>
  <c r="M64" i="532" s="1"/>
  <c r="J64" i="532" a="1"/>
  <c r="J64" i="532" s="1"/>
  <c r="H64" i="532"/>
  <c r="V63" i="532"/>
  <c r="W63" i="532" s="1"/>
  <c r="N63" i="532"/>
  <c r="K63" i="532" a="1"/>
  <c r="K63" i="532" s="1"/>
  <c r="M63" i="532" s="1"/>
  <c r="J63" i="532" a="1"/>
  <c r="J63" i="532" s="1"/>
  <c r="H63" i="532"/>
  <c r="V62" i="532"/>
  <c r="W62" i="532" s="1"/>
  <c r="N62" i="532"/>
  <c r="K62" i="532" a="1"/>
  <c r="K62" i="532" s="1"/>
  <c r="M62" i="532" s="1"/>
  <c r="J62" i="532" a="1"/>
  <c r="J62" i="532" s="1"/>
  <c r="H62" i="532"/>
  <c r="V61" i="532"/>
  <c r="W61" i="532" s="1"/>
  <c r="N61" i="532"/>
  <c r="K61" i="532"/>
  <c r="M61" i="532" s="1"/>
  <c r="K61" i="532" a="1"/>
  <c r="J61" i="532"/>
  <c r="J61" i="532" a="1"/>
  <c r="H61" i="532"/>
  <c r="V60" i="532"/>
  <c r="W60" i="532" s="1"/>
  <c r="N60" i="532"/>
  <c r="K60" i="532" a="1"/>
  <c r="K60" i="532" s="1"/>
  <c r="M60" i="532" s="1"/>
  <c r="J60" i="532" a="1"/>
  <c r="J60" i="532" s="1"/>
  <c r="H60" i="532"/>
  <c r="V59" i="532"/>
  <c r="W59" i="532" s="1"/>
  <c r="N59" i="532"/>
  <c r="K59" i="532" a="1"/>
  <c r="K59" i="532" s="1"/>
  <c r="M59" i="532" s="1"/>
  <c r="J59" i="532" a="1"/>
  <c r="J59" i="532" s="1"/>
  <c r="H59" i="532"/>
  <c r="V58" i="532"/>
  <c r="W58" i="532" s="1"/>
  <c r="N58" i="532"/>
  <c r="K58" i="532" a="1"/>
  <c r="K58" i="532" s="1"/>
  <c r="M58" i="532" s="1"/>
  <c r="J58" i="532" a="1"/>
  <c r="J58" i="532" s="1"/>
  <c r="H58" i="532"/>
  <c r="V57" i="532"/>
  <c r="W57" i="532" s="1"/>
  <c r="N57" i="532"/>
  <c r="K57" i="532"/>
  <c r="M57" i="532" s="1"/>
  <c r="K57" i="532" a="1"/>
  <c r="J57" i="532"/>
  <c r="J57" i="532" a="1"/>
  <c r="H57" i="532"/>
  <c r="K56" i="532" a="1"/>
  <c r="K56" i="532" s="1"/>
  <c r="M56" i="532" s="1"/>
  <c r="H56" i="532"/>
  <c r="K55" i="532" a="1"/>
  <c r="K55" i="532" s="1"/>
  <c r="M55" i="532" s="1"/>
  <c r="H55" i="532"/>
  <c r="K54" i="532" a="1"/>
  <c r="K54" i="532" s="1"/>
  <c r="M54" i="532" s="1"/>
  <c r="H54" i="532"/>
  <c r="K53" i="532" a="1"/>
  <c r="K53" i="532" s="1"/>
  <c r="M53" i="532" s="1"/>
  <c r="H53" i="532"/>
  <c r="N52" i="532"/>
  <c r="K52" i="532" a="1"/>
  <c r="K52" i="532" s="1"/>
  <c r="M52" i="532" s="1"/>
  <c r="H52" i="532"/>
  <c r="N51" i="532"/>
  <c r="K51" i="532" a="1"/>
  <c r="K51" i="532" s="1"/>
  <c r="M51" i="532" s="1"/>
  <c r="H51" i="532"/>
  <c r="N50" i="532"/>
  <c r="K50" i="532"/>
  <c r="M50" i="532" s="1"/>
  <c r="K50" i="532" a="1"/>
  <c r="H50" i="532"/>
  <c r="N49" i="532"/>
  <c r="K49" i="532" a="1"/>
  <c r="K49" i="532" s="1"/>
  <c r="M49" i="532" s="1"/>
  <c r="H49" i="532"/>
  <c r="W48" i="532"/>
  <c r="V48" i="532"/>
  <c r="N48" i="532"/>
  <c r="K48" i="532" a="1"/>
  <c r="K48" i="532" s="1"/>
  <c r="M48" i="532" s="1"/>
  <c r="J48" i="532" a="1"/>
  <c r="J48" i="532" s="1"/>
  <c r="H48" i="532"/>
  <c r="V47" i="532"/>
  <c r="W47" i="532" s="1"/>
  <c r="N47" i="532"/>
  <c r="K47" i="532" a="1"/>
  <c r="K47" i="532" s="1"/>
  <c r="M47" i="532" s="1"/>
  <c r="J47" i="532" a="1"/>
  <c r="J47" i="532" s="1"/>
  <c r="H47" i="532"/>
  <c r="V46" i="532"/>
  <c r="W46" i="532" s="1"/>
  <c r="N46" i="532"/>
  <c r="K46" i="532"/>
  <c r="M46" i="532" s="1"/>
  <c r="K46" i="532" a="1"/>
  <c r="J46" i="532"/>
  <c r="J46" i="532" a="1"/>
  <c r="H46" i="532"/>
  <c r="V45" i="532"/>
  <c r="W45" i="532" s="1"/>
  <c r="N45" i="532"/>
  <c r="K45" i="532" a="1"/>
  <c r="K45" i="532" s="1"/>
  <c r="M45" i="532" s="1"/>
  <c r="J45" i="532" a="1"/>
  <c r="J45" i="532" s="1"/>
  <c r="H45" i="532"/>
  <c r="W44" i="532"/>
  <c r="V44" i="532"/>
  <c r="N44" i="532"/>
  <c r="K44" i="532" a="1"/>
  <c r="K44" i="532" s="1"/>
  <c r="M44" i="532" s="1"/>
  <c r="J44" i="532" a="1"/>
  <c r="J44" i="532" s="1"/>
  <c r="H44" i="532"/>
  <c r="V43" i="532"/>
  <c r="W43" i="532" s="1"/>
  <c r="N43" i="532"/>
  <c r="K43" i="532" a="1"/>
  <c r="K43" i="532" s="1"/>
  <c r="M43" i="532" s="1"/>
  <c r="J43" i="532" a="1"/>
  <c r="J43" i="532" s="1"/>
  <c r="H43" i="532"/>
  <c r="V42" i="532"/>
  <c r="W42" i="532" s="1"/>
  <c r="N42" i="532"/>
  <c r="K42" i="532"/>
  <c r="M42" i="532" s="1"/>
  <c r="K42" i="532" a="1"/>
  <c r="J42" i="532"/>
  <c r="J42" i="532" a="1"/>
  <c r="H42" i="532"/>
  <c r="V41" i="532"/>
  <c r="W41" i="532" s="1"/>
  <c r="N41" i="532"/>
  <c r="K41" i="532" a="1"/>
  <c r="K41" i="532" s="1"/>
  <c r="M41" i="532" s="1"/>
  <c r="J41" i="532" a="1"/>
  <c r="J41" i="532" s="1"/>
  <c r="H41" i="532"/>
  <c r="W40" i="532"/>
  <c r="V40" i="532"/>
  <c r="N40" i="532"/>
  <c r="K40" i="532" a="1"/>
  <c r="K40" i="532" s="1"/>
  <c r="M40" i="532" s="1"/>
  <c r="J40" i="532" a="1"/>
  <c r="J40" i="532" s="1"/>
  <c r="H40" i="532"/>
  <c r="V39" i="532"/>
  <c r="W39" i="532" s="1"/>
  <c r="N39" i="532"/>
  <c r="K39" i="532" a="1"/>
  <c r="K39" i="532" s="1"/>
  <c r="M39" i="532" s="1"/>
  <c r="J39" i="532" a="1"/>
  <c r="J39" i="532" s="1"/>
  <c r="H39" i="532"/>
  <c r="V38" i="532"/>
  <c r="W38" i="532" s="1"/>
  <c r="N38" i="532"/>
  <c r="K38" i="532"/>
  <c r="M38" i="532" s="1"/>
  <c r="K38" i="532" a="1"/>
  <c r="J38" i="532"/>
  <c r="J38" i="532" a="1"/>
  <c r="H38" i="532"/>
  <c r="V37" i="532"/>
  <c r="W37" i="532" s="1"/>
  <c r="N37" i="532"/>
  <c r="K37" i="532" a="1"/>
  <c r="K37" i="532" s="1"/>
  <c r="M37" i="532" s="1"/>
  <c r="J37" i="532" a="1"/>
  <c r="J37" i="532" s="1"/>
  <c r="H37" i="532"/>
  <c r="H36" i="532"/>
  <c r="H35" i="532"/>
  <c r="H34" i="532"/>
  <c r="V33" i="532"/>
  <c r="W33" i="532" s="1"/>
  <c r="N33" i="532"/>
  <c r="K33" i="532" a="1"/>
  <c r="K33" i="532" s="1"/>
  <c r="M33" i="532" s="1"/>
  <c r="J33" i="532" a="1"/>
  <c r="J33" i="532" s="1"/>
  <c r="H33" i="532"/>
  <c r="W32" i="532"/>
  <c r="V32" i="532"/>
  <c r="N32" i="532"/>
  <c r="K32" i="532" a="1"/>
  <c r="K32" i="532" s="1"/>
  <c r="M32" i="532" s="1"/>
  <c r="J32" i="532" a="1"/>
  <c r="J32" i="532" s="1"/>
  <c r="H32" i="532"/>
  <c r="V31" i="532"/>
  <c r="W31" i="532" s="1"/>
  <c r="N31" i="532"/>
  <c r="K31" i="532" a="1"/>
  <c r="K31" i="532" s="1"/>
  <c r="M31" i="532" s="1"/>
  <c r="J31" i="532" a="1"/>
  <c r="J31" i="532" s="1"/>
  <c r="H31" i="532"/>
  <c r="K30" i="532" a="1"/>
  <c r="K30" i="532" s="1"/>
  <c r="H30" i="532"/>
  <c r="V29" i="532"/>
  <c r="V86" i="532" s="1"/>
  <c r="W86" i="532" s="1"/>
  <c r="N29" i="532"/>
  <c r="N86" i="532" s="1"/>
  <c r="K29" i="532" a="1"/>
  <c r="K29" i="532" s="1"/>
  <c r="J29" i="532" a="1"/>
  <c r="J29" i="532" s="1"/>
  <c r="H29" i="532"/>
  <c r="H86" i="532" s="1"/>
  <c r="AA28" i="532"/>
  <c r="AA163" i="532" s="1"/>
  <c r="Z28" i="532"/>
  <c r="Z163" i="532" s="1"/>
  <c r="Y28" i="532"/>
  <c r="Y163" i="532" s="1"/>
  <c r="X28" i="532"/>
  <c r="X163" i="532" s="1"/>
  <c r="U28" i="532"/>
  <c r="U163" i="532" s="1"/>
  <c r="T28" i="532"/>
  <c r="T163" i="532" s="1"/>
  <c r="S28" i="532"/>
  <c r="S163" i="532" s="1"/>
  <c r="R28" i="532"/>
  <c r="R163" i="532" s="1"/>
  <c r="Q28" i="532"/>
  <c r="Q163" i="532" s="1"/>
  <c r="P28" i="532"/>
  <c r="O28" i="532"/>
  <c r="I28" i="532"/>
  <c r="I163" i="532" s="1"/>
  <c r="B171" i="532" s="1"/>
  <c r="G28" i="532"/>
  <c r="V27" i="532"/>
  <c r="W27" i="532" s="1"/>
  <c r="N27" i="532"/>
  <c r="K27" i="532" a="1"/>
  <c r="K27" i="532" s="1"/>
  <c r="M27" i="532" s="1"/>
  <c r="J27" i="532" a="1"/>
  <c r="J27" i="532" s="1"/>
  <c r="H27" i="532"/>
  <c r="V26" i="532"/>
  <c r="W26" i="532" s="1"/>
  <c r="N26" i="532"/>
  <c r="K26" i="532" a="1"/>
  <c r="K26" i="532" s="1"/>
  <c r="M26" i="532" s="1"/>
  <c r="J26" i="532" a="1"/>
  <c r="J26" i="532" s="1"/>
  <c r="H26" i="532"/>
  <c r="K25" i="532"/>
  <c r="M25" i="532" s="1"/>
  <c r="K25" i="532" a="1"/>
  <c r="J25" i="532"/>
  <c r="J25" i="532" a="1"/>
  <c r="H25" i="532"/>
  <c r="K24" i="532" a="1"/>
  <c r="K24" i="532" s="1"/>
  <c r="M24" i="532" s="1"/>
  <c r="J24" i="532" a="1"/>
  <c r="J24" i="532" s="1"/>
  <c r="H24" i="532"/>
  <c r="K23" i="532" a="1"/>
  <c r="K23" i="532" s="1"/>
  <c r="M23" i="532" s="1"/>
  <c r="J23" i="532" a="1"/>
  <c r="J23" i="532" s="1"/>
  <c r="H23" i="532"/>
  <c r="K22" i="532" a="1"/>
  <c r="K22" i="532" s="1"/>
  <c r="M22" i="532" s="1"/>
  <c r="J22" i="532" a="1"/>
  <c r="J22" i="532" s="1"/>
  <c r="H22" i="532"/>
  <c r="V21" i="532"/>
  <c r="W21" i="532" s="1"/>
  <c r="N21" i="532"/>
  <c r="K21" i="532" a="1"/>
  <c r="K21" i="532" s="1"/>
  <c r="M21" i="532" s="1"/>
  <c r="J21" i="532" a="1"/>
  <c r="J21" i="532" s="1"/>
  <c r="H21" i="532"/>
  <c r="V20" i="532"/>
  <c r="W20" i="532" s="1"/>
  <c r="N20" i="532"/>
  <c r="K20" i="532" a="1"/>
  <c r="K20" i="532" s="1"/>
  <c r="M20" i="532" s="1"/>
  <c r="J20" i="532" a="1"/>
  <c r="J20" i="532" s="1"/>
  <c r="H20" i="532"/>
  <c r="V19" i="532"/>
  <c r="W19" i="532" s="1"/>
  <c r="N19" i="532"/>
  <c r="K19" i="532"/>
  <c r="M19" i="532" s="1"/>
  <c r="K19" i="532" a="1"/>
  <c r="J19" i="532"/>
  <c r="J19" i="532" a="1"/>
  <c r="H19" i="532"/>
  <c r="N18" i="532"/>
  <c r="K18" i="532" a="1"/>
  <c r="K18" i="532" s="1"/>
  <c r="M18" i="532" s="1"/>
  <c r="J18" i="532" a="1"/>
  <c r="J18" i="532" s="1"/>
  <c r="H18" i="532"/>
  <c r="N17" i="532"/>
  <c r="K17" i="532" a="1"/>
  <c r="K17" i="532" s="1"/>
  <c r="M17" i="532" s="1"/>
  <c r="J17" i="532" a="1"/>
  <c r="J17" i="532" s="1"/>
  <c r="H17" i="532"/>
  <c r="V16" i="532"/>
  <c r="W16" i="532" s="1"/>
  <c r="N16" i="532"/>
  <c r="K16" i="532" a="1"/>
  <c r="K16" i="532" s="1"/>
  <c r="M16" i="532" s="1"/>
  <c r="J16" i="532" a="1"/>
  <c r="J16" i="532" s="1"/>
  <c r="H16" i="532"/>
  <c r="W15" i="532"/>
  <c r="V15" i="532"/>
  <c r="N15" i="532"/>
  <c r="K15" i="532" a="1"/>
  <c r="K15" i="532" s="1"/>
  <c r="M15" i="532" s="1"/>
  <c r="J15" i="532" a="1"/>
  <c r="J15" i="532" s="1"/>
  <c r="H15" i="532"/>
  <c r="N14" i="532"/>
  <c r="K14" i="532" a="1"/>
  <c r="K14" i="532" s="1"/>
  <c r="M14" i="532" s="1"/>
  <c r="H14" i="532"/>
  <c r="N13" i="532"/>
  <c r="K13" i="532"/>
  <c r="M13" i="532" s="1"/>
  <c r="K13" i="532" a="1"/>
  <c r="H13" i="532"/>
  <c r="V12" i="532"/>
  <c r="W12" i="532" s="1"/>
  <c r="N12" i="532"/>
  <c r="K12" i="532" a="1"/>
  <c r="K12" i="532" s="1"/>
  <c r="M12" i="532" s="1"/>
  <c r="J12" i="532" a="1"/>
  <c r="J12" i="532" s="1"/>
  <c r="H12" i="532"/>
  <c r="V11" i="532"/>
  <c r="W11" i="532" s="1"/>
  <c r="N11" i="532"/>
  <c r="K11" i="532" a="1"/>
  <c r="K11" i="532" s="1"/>
  <c r="M11" i="532" s="1"/>
  <c r="J11" i="532" a="1"/>
  <c r="J11" i="532" s="1"/>
  <c r="H11" i="532"/>
  <c r="V10" i="532"/>
  <c r="W10" i="532" s="1"/>
  <c r="N10" i="532"/>
  <c r="K10" i="532" a="1"/>
  <c r="K10" i="532" s="1"/>
  <c r="M10" i="532" s="1"/>
  <c r="J10" i="532" a="1"/>
  <c r="J10" i="532" s="1"/>
  <c r="H10" i="532"/>
  <c r="V9" i="532"/>
  <c r="W9" i="532" s="1"/>
  <c r="N9" i="532"/>
  <c r="K9" i="532"/>
  <c r="M9" i="532" s="1"/>
  <c r="K9" i="532" a="1"/>
  <c r="J9" i="532"/>
  <c r="J9" i="532" a="1"/>
  <c r="H9" i="532"/>
  <c r="V8" i="532"/>
  <c r="W8" i="532" s="1"/>
  <c r="N8" i="532"/>
  <c r="K8" i="532" a="1"/>
  <c r="K8" i="532" s="1"/>
  <c r="M8" i="532" s="1"/>
  <c r="J8" i="532" a="1"/>
  <c r="J8" i="532" s="1"/>
  <c r="H8" i="532"/>
  <c r="W7" i="532"/>
  <c r="V7" i="532"/>
  <c r="V28" i="532" s="1"/>
  <c r="N7" i="532"/>
  <c r="N28" i="532" s="1"/>
  <c r="K7" i="532" a="1"/>
  <c r="K7" i="532" s="1"/>
  <c r="M7" i="532" s="1"/>
  <c r="J7" i="532" a="1"/>
  <c r="J7" i="532" s="1"/>
  <c r="H7" i="532"/>
  <c r="H28" i="532" s="1"/>
  <c r="H163" i="532" s="1"/>
  <c r="E170" i="532" s="1"/>
  <c r="S527" i="533" l="1"/>
  <c r="K517" i="533"/>
  <c r="O517" i="533" s="1"/>
  <c r="K516" i="533"/>
  <c r="J461" i="532" a="1"/>
  <c r="J461" i="532" s="1"/>
  <c r="J307" i="532" a="1"/>
  <c r="J307" i="532" s="1"/>
  <c r="J291" i="532" a="1"/>
  <c r="J291" i="532" s="1"/>
  <c r="J256" i="532" a="1"/>
  <c r="J256" i="532" s="1"/>
  <c r="J28" i="532" a="1"/>
  <c r="J28" i="532" s="1"/>
  <c r="R532" i="532"/>
  <c r="S532" i="532" a="1"/>
  <c r="S532" i="532" s="1"/>
  <c r="T532" i="532" a="1"/>
  <c r="T532" i="532" s="1"/>
  <c r="J531" i="532"/>
  <c r="Q531" i="532" s="1"/>
  <c r="R531" i="532" s="1"/>
  <c r="J533" i="532"/>
  <c r="Q530" i="532"/>
  <c r="S530" i="532" s="1" a="1"/>
  <c r="S530" i="532" s="1"/>
  <c r="T530" i="532" a="1"/>
  <c r="T530" i="532" s="1"/>
  <c r="C533" i="532"/>
  <c r="T533" i="532" s="1" a="1"/>
  <c r="T533" i="532" s="1"/>
  <c r="N291" i="532"/>
  <c r="K487" i="532"/>
  <c r="N477" i="532"/>
  <c r="W478" i="532"/>
  <c r="N461" i="532"/>
  <c r="H368" i="532"/>
  <c r="V368" i="532"/>
  <c r="V504" i="532" s="1"/>
  <c r="I513" i="532" s="1"/>
  <c r="V426" i="532"/>
  <c r="W426" i="532" s="1"/>
  <c r="R339" i="532"/>
  <c r="H307" i="532"/>
  <c r="M307" i="532"/>
  <c r="V307" i="532"/>
  <c r="W307" i="532" s="1"/>
  <c r="H291" i="532"/>
  <c r="H333" i="532" s="1"/>
  <c r="E340" i="532" s="1"/>
  <c r="V291" i="532"/>
  <c r="W291" i="532" s="1"/>
  <c r="N198" i="532"/>
  <c r="N333" i="532" s="1"/>
  <c r="B342" i="532" s="1"/>
  <c r="E342" i="532" s="1"/>
  <c r="K291" i="532"/>
  <c r="V147" i="532"/>
  <c r="W147" i="532" s="1"/>
  <c r="J147" i="532" a="1"/>
  <c r="J147" i="532" s="1"/>
  <c r="J162" i="532" a="1"/>
  <c r="J162" i="532" s="1"/>
  <c r="N137" i="532"/>
  <c r="N121" i="532"/>
  <c r="N163" i="532" s="1"/>
  <c r="B172" i="532" s="1"/>
  <c r="E172" i="532" s="1"/>
  <c r="M28" i="532"/>
  <c r="W28" i="532"/>
  <c r="K86" i="532"/>
  <c r="M29" i="532"/>
  <c r="M86" i="532" s="1"/>
  <c r="K28" i="532"/>
  <c r="X166" i="532"/>
  <c r="P163" i="532"/>
  <c r="X167" i="532" s="1"/>
  <c r="W29" i="532"/>
  <c r="K121" i="532"/>
  <c r="M87" i="532"/>
  <c r="M121" i="532" s="1"/>
  <c r="K137" i="532"/>
  <c r="M122" i="532"/>
  <c r="M137" i="532" s="1"/>
  <c r="K524" i="532"/>
  <c r="M138" i="532"/>
  <c r="M147" i="532" s="1"/>
  <c r="K147" i="532"/>
  <c r="K525" i="532"/>
  <c r="K162" i="532"/>
  <c r="M148" i="532"/>
  <c r="M162" i="532" s="1"/>
  <c r="K526" i="532"/>
  <c r="K256" i="532"/>
  <c r="M199" i="532"/>
  <c r="M256" i="532" s="1"/>
  <c r="C521" i="532"/>
  <c r="G163" i="532"/>
  <c r="C517" i="532"/>
  <c r="O163" i="532"/>
  <c r="R165" i="532"/>
  <c r="K522" i="532"/>
  <c r="K523" i="532"/>
  <c r="K198" i="532"/>
  <c r="M177" i="532"/>
  <c r="M198" i="532" s="1"/>
  <c r="K317" i="532"/>
  <c r="M308" i="532"/>
  <c r="M317" i="532" s="1"/>
  <c r="V137" i="532"/>
  <c r="W137" i="532" s="1"/>
  <c r="W138" i="532"/>
  <c r="V162" i="532"/>
  <c r="W162" i="532" s="1"/>
  <c r="K165" i="532"/>
  <c r="X172" i="532"/>
  <c r="Z169" i="532" s="1"/>
  <c r="B340" i="532"/>
  <c r="J333" i="532" a="1"/>
  <c r="J333" i="532" s="1"/>
  <c r="M340" i="532" s="1"/>
  <c r="R335" i="532"/>
  <c r="O333" i="532"/>
  <c r="M257" i="532"/>
  <c r="M291" i="532" s="1"/>
  <c r="K307" i="532"/>
  <c r="V317" i="532"/>
  <c r="W317" i="532" s="1"/>
  <c r="K332" i="532"/>
  <c r="W332" i="532"/>
  <c r="K368" i="532"/>
  <c r="M347" i="532"/>
  <c r="M368" i="532" s="1"/>
  <c r="K426" i="532"/>
  <c r="M369" i="532"/>
  <c r="M426" i="532" s="1"/>
  <c r="J86" i="532" a="1"/>
  <c r="J86" i="532" s="1"/>
  <c r="W87" i="532"/>
  <c r="J121" i="532" a="1"/>
  <c r="J121" i="532" s="1"/>
  <c r="J137" i="532" a="1"/>
  <c r="J137" i="532" s="1"/>
  <c r="Z168" i="532"/>
  <c r="W177" i="532"/>
  <c r="W198" i="532" s="1"/>
  <c r="W333" i="532" s="1"/>
  <c r="J198" i="532" a="1"/>
  <c r="J198" i="532" s="1"/>
  <c r="X336" i="532"/>
  <c r="P333" i="532"/>
  <c r="X337" i="532" s="1"/>
  <c r="W199" i="532"/>
  <c r="R337" i="532"/>
  <c r="R338" i="532"/>
  <c r="M318" i="532"/>
  <c r="M332" i="532" s="1"/>
  <c r="V332" i="532"/>
  <c r="K339" i="532"/>
  <c r="M335" i="532"/>
  <c r="E339" i="532"/>
  <c r="B511" i="532"/>
  <c r="J504" i="532" a="1"/>
  <c r="J504" i="532" s="1"/>
  <c r="M511" i="532" s="1"/>
  <c r="R506" i="532"/>
  <c r="O504" i="532"/>
  <c r="X507" i="532" s="1"/>
  <c r="X506" i="532"/>
  <c r="M462" i="532"/>
  <c r="M477" i="532" s="1"/>
  <c r="K477" i="532"/>
  <c r="K503" i="532"/>
  <c r="M488" i="532"/>
  <c r="M503" i="532" s="1"/>
  <c r="W347" i="532"/>
  <c r="W368" i="532" s="1"/>
  <c r="J368" i="532" a="1"/>
  <c r="J368" i="532" s="1"/>
  <c r="H426" i="532"/>
  <c r="H504" i="532" s="1"/>
  <c r="E511" i="532" s="1"/>
  <c r="N426" i="532"/>
  <c r="W369" i="532"/>
  <c r="M427" i="532"/>
  <c r="M461" i="532" s="1"/>
  <c r="K461" i="532"/>
  <c r="W427" i="532"/>
  <c r="W462" i="532"/>
  <c r="M478" i="532"/>
  <c r="M487" i="532" s="1"/>
  <c r="R510" i="532"/>
  <c r="H503" i="532"/>
  <c r="N503" i="532"/>
  <c r="W488" i="532"/>
  <c r="W503" i="532" s="1"/>
  <c r="M506" i="532"/>
  <c r="R530" i="532"/>
  <c r="R533" i="532" s="1"/>
  <c r="Q533" i="532"/>
  <c r="S531" i="532" a="1"/>
  <c r="S531" i="532" s="1"/>
  <c r="I433" i="531"/>
  <c r="I432" i="531"/>
  <c r="I429" i="531"/>
  <c r="I428" i="531"/>
  <c r="I427" i="531"/>
  <c r="I453" i="530"/>
  <c r="J281" i="531" a="1"/>
  <c r="J281" i="531" s="1"/>
  <c r="J332" i="530" a="1"/>
  <c r="J332" i="530" s="1"/>
  <c r="M326" i="530"/>
  <c r="M325" i="530"/>
  <c r="K325" i="530" a="1"/>
  <c r="K325" i="530" s="1"/>
  <c r="J326" i="530" a="1"/>
  <c r="J326" i="530" s="1"/>
  <c r="J325" i="530" a="1"/>
  <c r="J325" i="530" s="1"/>
  <c r="J281" i="530" a="1"/>
  <c r="J281" i="530" s="1"/>
  <c r="J280" i="530" a="1"/>
  <c r="J280" i="530" s="1"/>
  <c r="J279" i="530" a="1"/>
  <c r="J279" i="530" s="1"/>
  <c r="J278" i="530" a="1"/>
  <c r="J278" i="530" s="1"/>
  <c r="M200" i="530"/>
  <c r="K200" i="530"/>
  <c r="K200" i="530" a="1"/>
  <c r="J200" i="530" a="1"/>
  <c r="J200" i="530" s="1"/>
  <c r="I281" i="530"/>
  <c r="I278" i="530"/>
  <c r="I262" i="530"/>
  <c r="I199" i="530"/>
  <c r="I200" i="530"/>
  <c r="I326" i="530"/>
  <c r="I146" i="531"/>
  <c r="I325" i="530"/>
  <c r="J155" i="530" a="1"/>
  <c r="J155" i="530" s="1"/>
  <c r="M155" i="530"/>
  <c r="K155" i="530" a="1"/>
  <c r="K155" i="530" s="1"/>
  <c r="J112" i="530" a="1"/>
  <c r="J112" i="530" s="1"/>
  <c r="J30" i="530" a="1"/>
  <c r="J30" i="530" s="1"/>
  <c r="M30" i="530"/>
  <c r="M145" i="531"/>
  <c r="M144" i="531"/>
  <c r="J145" i="531" a="1"/>
  <c r="J145" i="531" s="1"/>
  <c r="J144" i="531" a="1"/>
  <c r="J144" i="531" s="1"/>
  <c r="J112" i="531" a="1"/>
  <c r="J112" i="531" s="1"/>
  <c r="J111" i="531" a="1"/>
  <c r="J111" i="531" s="1"/>
  <c r="J110" i="531" a="1"/>
  <c r="J110" i="531" s="1"/>
  <c r="J109" i="531" a="1"/>
  <c r="J109" i="531" s="1"/>
  <c r="J108" i="531" a="1"/>
  <c r="J108" i="531" s="1"/>
  <c r="J107" i="531" a="1"/>
  <c r="J107" i="531" s="1"/>
  <c r="J106" i="531" a="1"/>
  <c r="J106" i="531" s="1"/>
  <c r="J105" i="531" a="1"/>
  <c r="J105" i="531" s="1"/>
  <c r="J104" i="531" a="1"/>
  <c r="J104" i="531" s="1"/>
  <c r="J103" i="531" a="1"/>
  <c r="J103" i="531" s="1"/>
  <c r="J102" i="531" a="1"/>
  <c r="J102" i="531" s="1"/>
  <c r="J101" i="531" a="1"/>
  <c r="J101" i="531" s="1"/>
  <c r="J100" i="531" a="1"/>
  <c r="J100" i="531" s="1"/>
  <c r="J99" i="531" a="1"/>
  <c r="J99" i="531" s="1"/>
  <c r="J98" i="531" a="1"/>
  <c r="J98" i="531" s="1"/>
  <c r="J97" i="531" a="1"/>
  <c r="J97" i="531" s="1"/>
  <c r="J96" i="531" a="1"/>
  <c r="J96" i="531" s="1"/>
  <c r="J95" i="531" a="1"/>
  <c r="J95" i="531" s="1"/>
  <c r="J94" i="531" a="1"/>
  <c r="J94" i="531" s="1"/>
  <c r="I111" i="531"/>
  <c r="I109" i="531"/>
  <c r="I107" i="531"/>
  <c r="I112" i="530"/>
  <c r="I94" i="531"/>
  <c r="I93" i="531"/>
  <c r="I92" i="530"/>
  <c r="I112" i="531"/>
  <c r="I145" i="531"/>
  <c r="I123" i="530"/>
  <c r="I122" i="530"/>
  <c r="G107" i="531"/>
  <c r="G109" i="531"/>
  <c r="G433" i="531"/>
  <c r="G122" i="530"/>
  <c r="G292" i="530"/>
  <c r="G281" i="531"/>
  <c r="D531" i="531"/>
  <c r="D532" i="531"/>
  <c r="D530" i="531"/>
  <c r="D533" i="531" s="1"/>
  <c r="G281" i="530"/>
  <c r="G30" i="530"/>
  <c r="G278" i="530"/>
  <c r="G432" i="531"/>
  <c r="G94" i="531"/>
  <c r="G112" i="531"/>
  <c r="G111" i="531"/>
  <c r="P533" i="531"/>
  <c r="O533" i="531"/>
  <c r="N533" i="531"/>
  <c r="M533" i="531"/>
  <c r="L533" i="531"/>
  <c r="K533" i="531"/>
  <c r="I533" i="531"/>
  <c r="H533" i="531"/>
  <c r="G533" i="531"/>
  <c r="F533" i="531"/>
  <c r="E533" i="531"/>
  <c r="C532" i="531"/>
  <c r="J532" i="531" s="1"/>
  <c r="Q532" i="531" s="1"/>
  <c r="C531" i="531"/>
  <c r="J531" i="531" s="1"/>
  <c r="Q531" i="531" s="1"/>
  <c r="C530" i="531"/>
  <c r="J530" i="531" s="1"/>
  <c r="G514" i="531"/>
  <c r="N514" i="531" s="1"/>
  <c r="X512" i="531"/>
  <c r="X511" i="531"/>
  <c r="X510" i="531"/>
  <c r="G510" i="531"/>
  <c r="C510" i="531"/>
  <c r="X509" i="531"/>
  <c r="I509" i="531"/>
  <c r="E509" i="531"/>
  <c r="K509" i="531" s="1"/>
  <c r="M509" i="531" s="1"/>
  <c r="X508" i="531"/>
  <c r="I508" i="531"/>
  <c r="E508" i="531"/>
  <c r="K508" i="531" s="1"/>
  <c r="M508" i="531" s="1"/>
  <c r="I507" i="531"/>
  <c r="E507" i="531"/>
  <c r="K507" i="531" s="1"/>
  <c r="M507" i="531" s="1"/>
  <c r="I506" i="531"/>
  <c r="I510" i="531" s="1"/>
  <c r="E506" i="531"/>
  <c r="K506" i="531" s="1"/>
  <c r="AA503" i="531"/>
  <c r="Z503" i="531"/>
  <c r="Y503" i="531"/>
  <c r="X503" i="531"/>
  <c r="U503" i="531"/>
  <c r="T503" i="531"/>
  <c r="S503" i="531"/>
  <c r="R503" i="531"/>
  <c r="Q503" i="531"/>
  <c r="P503" i="531"/>
  <c r="O503" i="531"/>
  <c r="R511" i="531" s="1"/>
  <c r="I503" i="531"/>
  <c r="G503" i="531"/>
  <c r="J503" i="531" s="1" a="1"/>
  <c r="J503" i="531" s="1"/>
  <c r="H502" i="531"/>
  <c r="H501" i="531"/>
  <c r="H500" i="531"/>
  <c r="D499" i="531"/>
  <c r="H499" i="531" s="1"/>
  <c r="V498" i="531"/>
  <c r="W498" i="531" s="1"/>
  <c r="N498" i="531"/>
  <c r="K498" i="531" a="1"/>
  <c r="K498" i="531" s="1"/>
  <c r="M498" i="531" s="1"/>
  <c r="J498" i="531" a="1"/>
  <c r="J498" i="531" s="1"/>
  <c r="H498" i="531"/>
  <c r="H497" i="531"/>
  <c r="H496" i="531"/>
  <c r="V495" i="531"/>
  <c r="W495" i="531" s="1"/>
  <c r="N495" i="531"/>
  <c r="K495" i="531"/>
  <c r="M495" i="531" s="1"/>
  <c r="K495" i="531" a="1"/>
  <c r="J495" i="531"/>
  <c r="J495" i="531" a="1"/>
  <c r="H495" i="531"/>
  <c r="V494" i="531"/>
  <c r="W494" i="531" s="1"/>
  <c r="N494" i="531"/>
  <c r="K494" i="531" a="1"/>
  <c r="K494" i="531" s="1"/>
  <c r="M494" i="531" s="1"/>
  <c r="J494" i="531" a="1"/>
  <c r="J494" i="531" s="1"/>
  <c r="H494" i="531"/>
  <c r="H493" i="531"/>
  <c r="H492" i="531"/>
  <c r="V491" i="531"/>
  <c r="W491" i="531" s="1"/>
  <c r="N491" i="531"/>
  <c r="K491" i="531" a="1"/>
  <c r="K491" i="531" s="1"/>
  <c r="M491" i="531" s="1"/>
  <c r="J491" i="531" a="1"/>
  <c r="J491" i="531" s="1"/>
  <c r="H491" i="531"/>
  <c r="V490" i="531"/>
  <c r="W490" i="531" s="1"/>
  <c r="N490" i="531"/>
  <c r="K490" i="531" a="1"/>
  <c r="K490" i="531" s="1"/>
  <c r="M490" i="531" s="1"/>
  <c r="J490" i="531" a="1"/>
  <c r="J490" i="531" s="1"/>
  <c r="H490" i="531"/>
  <c r="V489" i="531"/>
  <c r="W489" i="531" s="1"/>
  <c r="N489" i="531"/>
  <c r="K489" i="531"/>
  <c r="M489" i="531" s="1"/>
  <c r="K489" i="531" a="1"/>
  <c r="J489" i="531"/>
  <c r="J489" i="531" a="1"/>
  <c r="H489" i="531"/>
  <c r="V488" i="531"/>
  <c r="V503" i="531" s="1"/>
  <c r="N488" i="531"/>
  <c r="N503" i="531" s="1"/>
  <c r="K488" i="531" a="1"/>
  <c r="K488" i="531" s="1"/>
  <c r="J488" i="531" a="1"/>
  <c r="J488" i="531" s="1"/>
  <c r="H488" i="531"/>
  <c r="H503" i="531" s="1"/>
  <c r="AA487" i="531"/>
  <c r="Z487" i="531"/>
  <c r="Y487" i="531"/>
  <c r="X487" i="531"/>
  <c r="U487" i="531"/>
  <c r="T487" i="531"/>
  <c r="S487" i="531"/>
  <c r="Q487" i="531"/>
  <c r="P487" i="531"/>
  <c r="O487" i="531"/>
  <c r="I487" i="531"/>
  <c r="G487" i="531"/>
  <c r="J487" i="531" s="1" a="1"/>
  <c r="J487" i="531" s="1"/>
  <c r="V486" i="531"/>
  <c r="W486" i="531" s="1"/>
  <c r="N486" i="531"/>
  <c r="K486" i="531" a="1"/>
  <c r="K486" i="531" s="1"/>
  <c r="M486" i="531" s="1"/>
  <c r="J486" i="531" a="1"/>
  <c r="J486" i="531" s="1"/>
  <c r="H486" i="531"/>
  <c r="H485" i="531"/>
  <c r="H484" i="531"/>
  <c r="H483" i="531"/>
  <c r="V482" i="531"/>
  <c r="W482" i="531" s="1"/>
  <c r="N482" i="531"/>
  <c r="K482" i="531"/>
  <c r="M482" i="531" s="1"/>
  <c r="K482" i="531" a="1"/>
  <c r="J482" i="531"/>
  <c r="J482" i="531" a="1"/>
  <c r="H482" i="531"/>
  <c r="V481" i="531"/>
  <c r="W481" i="531" s="1"/>
  <c r="N481" i="531"/>
  <c r="K481" i="531" a="1"/>
  <c r="K481" i="531" s="1"/>
  <c r="M481" i="531" s="1"/>
  <c r="J481" i="531" a="1"/>
  <c r="J481" i="531" s="1"/>
  <c r="H481" i="531"/>
  <c r="V480" i="531"/>
  <c r="W480" i="531" s="1"/>
  <c r="N480" i="531"/>
  <c r="K480" i="531" a="1"/>
  <c r="K480" i="531" s="1"/>
  <c r="M480" i="531" s="1"/>
  <c r="J480" i="531" a="1"/>
  <c r="J480" i="531" s="1"/>
  <c r="H480" i="531"/>
  <c r="V479" i="531"/>
  <c r="W479" i="531" s="1"/>
  <c r="N479" i="531"/>
  <c r="K479" i="531" a="1"/>
  <c r="K479" i="531" s="1"/>
  <c r="M479" i="531" s="1"/>
  <c r="J479" i="531" a="1"/>
  <c r="J479" i="531" s="1"/>
  <c r="H479" i="531"/>
  <c r="V478" i="531"/>
  <c r="V487" i="531" s="1"/>
  <c r="W487" i="531" s="1"/>
  <c r="N478" i="531"/>
  <c r="N487" i="531" s="1"/>
  <c r="K478" i="531"/>
  <c r="M478" i="531" s="1"/>
  <c r="K478" i="531" a="1"/>
  <c r="J478" i="531"/>
  <c r="J478" i="531" a="1"/>
  <c r="H478" i="531"/>
  <c r="H487" i="531" s="1"/>
  <c r="AA477" i="531"/>
  <c r="Z477" i="531"/>
  <c r="Y477" i="531"/>
  <c r="X477" i="531"/>
  <c r="U477" i="531"/>
  <c r="T477" i="531"/>
  <c r="S477" i="531"/>
  <c r="Q477" i="531"/>
  <c r="P477" i="531"/>
  <c r="O477" i="531"/>
  <c r="R509" i="531" s="1"/>
  <c r="I477" i="531"/>
  <c r="G477" i="531"/>
  <c r="J477" i="531" s="1" a="1"/>
  <c r="J477" i="531" s="1"/>
  <c r="V476" i="531"/>
  <c r="W476" i="531" s="1"/>
  <c r="N476" i="531"/>
  <c r="K476" i="531" a="1"/>
  <c r="K476" i="531" s="1"/>
  <c r="M476" i="531" s="1"/>
  <c r="J476" i="531" a="1"/>
  <c r="J476" i="531" s="1"/>
  <c r="H476" i="531"/>
  <c r="W475" i="531"/>
  <c r="V475" i="531"/>
  <c r="N475" i="531"/>
  <c r="K475" i="531" a="1"/>
  <c r="K475" i="531" s="1"/>
  <c r="M475" i="531" s="1"/>
  <c r="J475" i="531" a="1"/>
  <c r="J475" i="531" s="1"/>
  <c r="H475" i="531"/>
  <c r="V474" i="531"/>
  <c r="W474" i="531" s="1"/>
  <c r="N474" i="531"/>
  <c r="K474" i="531" a="1"/>
  <c r="K474" i="531" s="1"/>
  <c r="M474" i="531" s="1"/>
  <c r="J474" i="531" a="1"/>
  <c r="J474" i="531" s="1"/>
  <c r="H474" i="531"/>
  <c r="V473" i="531"/>
  <c r="W473" i="531" s="1"/>
  <c r="N473" i="531"/>
  <c r="K473" i="531"/>
  <c r="M473" i="531" s="1"/>
  <c r="K473" i="531" a="1"/>
  <c r="J473" i="531"/>
  <c r="J473" i="531" a="1"/>
  <c r="H473" i="531"/>
  <c r="V472" i="531"/>
  <c r="W472" i="531" s="1"/>
  <c r="N472" i="531"/>
  <c r="K472" i="531" a="1"/>
  <c r="K472" i="531" s="1"/>
  <c r="M472" i="531" s="1"/>
  <c r="J472" i="531" a="1"/>
  <c r="J472" i="531" s="1"/>
  <c r="H472" i="531"/>
  <c r="W471" i="531"/>
  <c r="V471" i="531"/>
  <c r="N471" i="531"/>
  <c r="K471" i="531" a="1"/>
  <c r="K471" i="531" s="1"/>
  <c r="M471" i="531" s="1"/>
  <c r="J471" i="531" a="1"/>
  <c r="J471" i="531" s="1"/>
  <c r="H471" i="531"/>
  <c r="V470" i="531"/>
  <c r="W470" i="531" s="1"/>
  <c r="N470" i="531"/>
  <c r="K470" i="531" a="1"/>
  <c r="K470" i="531" s="1"/>
  <c r="M470" i="531" s="1"/>
  <c r="J470" i="531" a="1"/>
  <c r="J470" i="531" s="1"/>
  <c r="H470" i="531"/>
  <c r="V469" i="531"/>
  <c r="W469" i="531" s="1"/>
  <c r="N469" i="531"/>
  <c r="K469" i="531"/>
  <c r="M469" i="531" s="1"/>
  <c r="K469" i="531" a="1"/>
  <c r="J469" i="531"/>
  <c r="J469" i="531" a="1"/>
  <c r="H469" i="531"/>
  <c r="V468" i="531"/>
  <c r="W468" i="531" s="1"/>
  <c r="N468" i="531"/>
  <c r="K468" i="531" a="1"/>
  <c r="K468" i="531" s="1"/>
  <c r="M468" i="531" s="1"/>
  <c r="J468" i="531" a="1"/>
  <c r="J468" i="531" s="1"/>
  <c r="H468" i="531"/>
  <c r="W467" i="531"/>
  <c r="V467" i="531"/>
  <c r="N467" i="531"/>
  <c r="K467" i="531" a="1"/>
  <c r="K467" i="531" s="1"/>
  <c r="M467" i="531" s="1"/>
  <c r="J467" i="531" a="1"/>
  <c r="J467" i="531" s="1"/>
  <c r="H467" i="531"/>
  <c r="V466" i="531"/>
  <c r="W466" i="531" s="1"/>
  <c r="N466" i="531"/>
  <c r="K466" i="531" a="1"/>
  <c r="K466" i="531" s="1"/>
  <c r="M466" i="531" s="1"/>
  <c r="J466" i="531" a="1"/>
  <c r="J466" i="531" s="1"/>
  <c r="H466" i="531"/>
  <c r="V465" i="531"/>
  <c r="W465" i="531" s="1"/>
  <c r="N465" i="531"/>
  <c r="K465" i="531"/>
  <c r="M465" i="531" s="1"/>
  <c r="K465" i="531" a="1"/>
  <c r="J465" i="531"/>
  <c r="J465" i="531" a="1"/>
  <c r="H465" i="531"/>
  <c r="V464" i="531"/>
  <c r="W464" i="531" s="1"/>
  <c r="N464" i="531"/>
  <c r="K464" i="531" a="1"/>
  <c r="K464" i="531" s="1"/>
  <c r="M464" i="531" s="1"/>
  <c r="J464" i="531" a="1"/>
  <c r="J464" i="531" s="1"/>
  <c r="H464" i="531"/>
  <c r="W463" i="531"/>
  <c r="V463" i="531"/>
  <c r="N463" i="531"/>
  <c r="K463" i="531" a="1"/>
  <c r="K463" i="531" s="1"/>
  <c r="M463" i="531" s="1"/>
  <c r="J463" i="531" a="1"/>
  <c r="J463" i="531" s="1"/>
  <c r="H463" i="531"/>
  <c r="V462" i="531"/>
  <c r="N462" i="531"/>
  <c r="K462" i="531" a="1"/>
  <c r="K462" i="531" s="1"/>
  <c r="J462" i="531" a="1"/>
  <c r="J462" i="531" s="1"/>
  <c r="H462" i="531"/>
  <c r="H477" i="531" s="1"/>
  <c r="AA461" i="531"/>
  <c r="Z461" i="531"/>
  <c r="Y461" i="531"/>
  <c r="X461" i="531"/>
  <c r="U461" i="531"/>
  <c r="T461" i="531"/>
  <c r="S461" i="531"/>
  <c r="R461" i="531"/>
  <c r="Q461" i="531"/>
  <c r="P461" i="531"/>
  <c r="O461" i="531"/>
  <c r="R508" i="531" s="1"/>
  <c r="I461" i="531"/>
  <c r="G461" i="531"/>
  <c r="V460" i="531"/>
  <c r="W460" i="531" s="1"/>
  <c r="N460" i="531"/>
  <c r="K460" i="531" a="1"/>
  <c r="K460" i="531" s="1"/>
  <c r="M460" i="531" s="1"/>
  <c r="J460" i="531" a="1"/>
  <c r="J460" i="531" s="1"/>
  <c r="H460" i="531"/>
  <c r="V459" i="531"/>
  <c r="W459" i="531" s="1"/>
  <c r="N459" i="531"/>
  <c r="K459" i="531" a="1"/>
  <c r="K459" i="531" s="1"/>
  <c r="M459" i="531" s="1"/>
  <c r="J459" i="531" a="1"/>
  <c r="J459" i="531" s="1"/>
  <c r="H459" i="531"/>
  <c r="V458" i="531"/>
  <c r="W458" i="531" s="1"/>
  <c r="N458" i="531"/>
  <c r="K458" i="531"/>
  <c r="M458" i="531" s="1"/>
  <c r="K458" i="531" a="1"/>
  <c r="J458" i="531"/>
  <c r="J458" i="531" a="1"/>
  <c r="H458" i="531"/>
  <c r="K457" i="531" a="1"/>
  <c r="K457" i="531" s="1"/>
  <c r="M457" i="531" s="1"/>
  <c r="H457" i="531"/>
  <c r="K456" i="531"/>
  <c r="M456" i="531" s="1"/>
  <c r="K456" i="531" a="1"/>
  <c r="H456" i="531"/>
  <c r="K455" i="531" a="1"/>
  <c r="K455" i="531" s="1"/>
  <c r="M455" i="531" s="1"/>
  <c r="H455" i="531"/>
  <c r="V454" i="531"/>
  <c r="W454" i="531" s="1"/>
  <c r="N454" i="531"/>
  <c r="K454" i="531" a="1"/>
  <c r="K454" i="531" s="1"/>
  <c r="M454" i="531" s="1"/>
  <c r="J454" i="531" a="1"/>
  <c r="J454" i="531" s="1"/>
  <c r="H454" i="531"/>
  <c r="V453" i="531"/>
  <c r="W453" i="531" s="1"/>
  <c r="N453" i="531"/>
  <c r="K453" i="531"/>
  <c r="M453" i="531" s="1"/>
  <c r="K453" i="531" a="1"/>
  <c r="J453" i="531"/>
  <c r="J453" i="531" a="1"/>
  <c r="H453" i="531"/>
  <c r="N452" i="531"/>
  <c r="K452" i="531" a="1"/>
  <c r="K452" i="531" s="1"/>
  <c r="M452" i="531" s="1"/>
  <c r="H452" i="531"/>
  <c r="N451" i="531"/>
  <c r="K451" i="531" a="1"/>
  <c r="K451" i="531" s="1"/>
  <c r="M451" i="531" s="1"/>
  <c r="H451" i="531"/>
  <c r="N450" i="531"/>
  <c r="K450" i="531" a="1"/>
  <c r="K450" i="531" s="1"/>
  <c r="M450" i="531" s="1"/>
  <c r="H450" i="531"/>
  <c r="N449" i="531"/>
  <c r="K449" i="531" a="1"/>
  <c r="K449" i="531" s="1"/>
  <c r="M449" i="531" s="1"/>
  <c r="H449" i="531"/>
  <c r="N448" i="531"/>
  <c r="K448" i="531" a="1"/>
  <c r="K448" i="531" s="1"/>
  <c r="M448" i="531" s="1"/>
  <c r="H448" i="531"/>
  <c r="N447" i="531"/>
  <c r="K447" i="531" a="1"/>
  <c r="K447" i="531" s="1"/>
  <c r="M447" i="531" s="1"/>
  <c r="H447" i="531"/>
  <c r="V446" i="531"/>
  <c r="W446" i="531" s="1"/>
  <c r="N446" i="531"/>
  <c r="K446" i="531" a="1"/>
  <c r="K446" i="531" s="1"/>
  <c r="M446" i="531" s="1"/>
  <c r="J446" i="531" a="1"/>
  <c r="J446" i="531" s="1"/>
  <c r="H446" i="531"/>
  <c r="V445" i="531"/>
  <c r="W445" i="531" s="1"/>
  <c r="N445" i="531"/>
  <c r="K445" i="531"/>
  <c r="M445" i="531" s="1"/>
  <c r="K445" i="531" a="1"/>
  <c r="J445" i="531"/>
  <c r="J445" i="531" a="1"/>
  <c r="H445" i="531"/>
  <c r="V444" i="531"/>
  <c r="W444" i="531" s="1"/>
  <c r="N444" i="531"/>
  <c r="K444" i="531" a="1"/>
  <c r="K444" i="531" s="1"/>
  <c r="M444" i="531" s="1"/>
  <c r="J444" i="531" a="1"/>
  <c r="J444" i="531" s="1"/>
  <c r="H444" i="531"/>
  <c r="V443" i="531"/>
  <c r="W443" i="531" s="1"/>
  <c r="N443" i="531"/>
  <c r="K443" i="531" a="1"/>
  <c r="K443" i="531" s="1"/>
  <c r="M443" i="531" s="1"/>
  <c r="J443" i="531" a="1"/>
  <c r="J443" i="531" s="1"/>
  <c r="H443" i="531"/>
  <c r="V442" i="531"/>
  <c r="W442" i="531" s="1"/>
  <c r="N442" i="531"/>
  <c r="K442" i="531" a="1"/>
  <c r="K442" i="531" s="1"/>
  <c r="M442" i="531" s="1"/>
  <c r="J442" i="531" a="1"/>
  <c r="J442" i="531" s="1"/>
  <c r="H442" i="531"/>
  <c r="V441" i="531"/>
  <c r="W441" i="531" s="1"/>
  <c r="N441" i="531"/>
  <c r="K441" i="531"/>
  <c r="M441" i="531" s="1"/>
  <c r="K441" i="531" a="1"/>
  <c r="J441" i="531"/>
  <c r="J441" i="531" a="1"/>
  <c r="H441" i="531"/>
  <c r="V440" i="531"/>
  <c r="W440" i="531" s="1"/>
  <c r="N440" i="531"/>
  <c r="K440" i="531" a="1"/>
  <c r="K440" i="531" s="1"/>
  <c r="M440" i="531" s="1"/>
  <c r="J440" i="531" a="1"/>
  <c r="J440" i="531" s="1"/>
  <c r="H440" i="531"/>
  <c r="W439" i="531"/>
  <c r="V439" i="531"/>
  <c r="N439" i="531"/>
  <c r="K439" i="531" a="1"/>
  <c r="K439" i="531" s="1"/>
  <c r="M439" i="531" s="1"/>
  <c r="J439" i="531" a="1"/>
  <c r="J439" i="531" s="1"/>
  <c r="H439" i="531"/>
  <c r="V438" i="531"/>
  <c r="W438" i="531" s="1"/>
  <c r="N438" i="531"/>
  <c r="K438" i="531" a="1"/>
  <c r="K438" i="531" s="1"/>
  <c r="M438" i="531" s="1"/>
  <c r="J438" i="531" a="1"/>
  <c r="J438" i="531" s="1"/>
  <c r="H438" i="531"/>
  <c r="V437" i="531"/>
  <c r="W437" i="531" s="1"/>
  <c r="N437" i="531"/>
  <c r="K437" i="531"/>
  <c r="M437" i="531" s="1"/>
  <c r="K437" i="531" a="1"/>
  <c r="J437" i="531"/>
  <c r="J437" i="531" a="1"/>
  <c r="H437" i="531"/>
  <c r="V436" i="531"/>
  <c r="W436" i="531" s="1"/>
  <c r="N436" i="531"/>
  <c r="K436" i="531" a="1"/>
  <c r="K436" i="531" s="1"/>
  <c r="M436" i="531" s="1"/>
  <c r="J436" i="531" a="1"/>
  <c r="J436" i="531" s="1"/>
  <c r="H436" i="531"/>
  <c r="W435" i="531"/>
  <c r="V435" i="531"/>
  <c r="N435" i="531"/>
  <c r="K435" i="531" a="1"/>
  <c r="K435" i="531" s="1"/>
  <c r="M435" i="531" s="1"/>
  <c r="J435" i="531" a="1"/>
  <c r="J435" i="531" s="1"/>
  <c r="H435" i="531"/>
  <c r="N434" i="531"/>
  <c r="K434" i="531" a="1"/>
  <c r="K434" i="531" s="1"/>
  <c r="M434" i="531" s="1"/>
  <c r="H434" i="531"/>
  <c r="W433" i="531"/>
  <c r="V433" i="531"/>
  <c r="N433" i="531"/>
  <c r="K433" i="531" a="1"/>
  <c r="K433" i="531" s="1"/>
  <c r="M433" i="531" s="1"/>
  <c r="J433" i="531" a="1"/>
  <c r="J433" i="531" s="1"/>
  <c r="H433" i="531"/>
  <c r="V432" i="531"/>
  <c r="W432" i="531" s="1"/>
  <c r="N432" i="531"/>
  <c r="K432" i="531" a="1"/>
  <c r="K432" i="531" s="1"/>
  <c r="M432" i="531" s="1"/>
  <c r="J432" i="531" a="1"/>
  <c r="J432" i="531" s="1"/>
  <c r="H432" i="531"/>
  <c r="W431" i="531"/>
  <c r="V431" i="531"/>
  <c r="N431" i="531"/>
  <c r="K431" i="531" a="1"/>
  <c r="K431" i="531" s="1"/>
  <c r="M431" i="531" s="1"/>
  <c r="J431" i="531" a="1"/>
  <c r="J431" i="531" s="1"/>
  <c r="H431" i="531"/>
  <c r="V430" i="531"/>
  <c r="W430" i="531" s="1"/>
  <c r="N430" i="531"/>
  <c r="K430" i="531" a="1"/>
  <c r="K430" i="531" s="1"/>
  <c r="M430" i="531" s="1"/>
  <c r="J430" i="531" a="1"/>
  <c r="J430" i="531" s="1"/>
  <c r="H430" i="531"/>
  <c r="W429" i="531"/>
  <c r="V429" i="531"/>
  <c r="N429" i="531"/>
  <c r="K429" i="531"/>
  <c r="M429" i="531" s="1"/>
  <c r="K429" i="531" a="1"/>
  <c r="J429" i="531" a="1"/>
  <c r="J429" i="531" s="1"/>
  <c r="H429" i="531"/>
  <c r="V428" i="531"/>
  <c r="W428" i="531" s="1"/>
  <c r="N428" i="531"/>
  <c r="K428" i="531" a="1"/>
  <c r="K428" i="531" s="1"/>
  <c r="M428" i="531" s="1"/>
  <c r="J428" i="531" a="1"/>
  <c r="J428" i="531" s="1"/>
  <c r="H428" i="531"/>
  <c r="W427" i="531"/>
  <c r="V427" i="531"/>
  <c r="N427" i="531"/>
  <c r="N461" i="531" s="1"/>
  <c r="K427" i="531" a="1"/>
  <c r="K427" i="531" s="1"/>
  <c r="M427" i="531" s="1"/>
  <c r="J427" i="531" a="1"/>
  <c r="J427" i="531" s="1"/>
  <c r="H427" i="531"/>
  <c r="AA426" i="531"/>
  <c r="Z426" i="531"/>
  <c r="Y426" i="531"/>
  <c r="X426" i="531"/>
  <c r="U426" i="531"/>
  <c r="T426" i="531"/>
  <c r="S426" i="531"/>
  <c r="R426" i="531"/>
  <c r="Q426" i="531"/>
  <c r="P426" i="531"/>
  <c r="O426" i="531"/>
  <c r="I426" i="531"/>
  <c r="G426" i="531"/>
  <c r="J426" i="531" s="1" a="1"/>
  <c r="J426" i="531" s="1"/>
  <c r="K425" i="531" a="1"/>
  <c r="K425" i="531" s="1"/>
  <c r="M425" i="531" s="1"/>
  <c r="H425" i="531"/>
  <c r="K424" i="531" a="1"/>
  <c r="K424" i="531" s="1"/>
  <c r="M424" i="531" s="1"/>
  <c r="H424" i="531"/>
  <c r="K423" i="531" a="1"/>
  <c r="K423" i="531" s="1"/>
  <c r="M423" i="531" s="1"/>
  <c r="H423" i="531"/>
  <c r="K422" i="531" a="1"/>
  <c r="K422" i="531" s="1"/>
  <c r="M422" i="531" s="1"/>
  <c r="H422" i="531"/>
  <c r="K421" i="531" a="1"/>
  <c r="K421" i="531" s="1"/>
  <c r="M421" i="531" s="1"/>
  <c r="H421" i="531"/>
  <c r="K420" i="531" a="1"/>
  <c r="K420" i="531" s="1"/>
  <c r="M420" i="531" s="1"/>
  <c r="H420" i="531"/>
  <c r="K419" i="531" a="1"/>
  <c r="K419" i="531" s="1"/>
  <c r="M419" i="531" s="1"/>
  <c r="H419" i="531"/>
  <c r="K418" i="531" a="1"/>
  <c r="K418" i="531" s="1"/>
  <c r="M418" i="531" s="1"/>
  <c r="H418" i="531"/>
  <c r="K417" i="531" a="1"/>
  <c r="K417" i="531" s="1"/>
  <c r="M417" i="531" s="1"/>
  <c r="H417" i="531"/>
  <c r="K416" i="531" a="1"/>
  <c r="K416" i="531" s="1"/>
  <c r="M416" i="531" s="1"/>
  <c r="H416" i="531"/>
  <c r="W415" i="531"/>
  <c r="V415" i="531"/>
  <c r="N415" i="531"/>
  <c r="K415" i="531" a="1"/>
  <c r="K415" i="531" s="1"/>
  <c r="M415" i="531" s="1"/>
  <c r="J415" i="531" a="1"/>
  <c r="J415" i="531" s="1"/>
  <c r="H415" i="531"/>
  <c r="V414" i="531"/>
  <c r="W414" i="531" s="1"/>
  <c r="N414" i="531"/>
  <c r="K414" i="531" a="1"/>
  <c r="K414" i="531" s="1"/>
  <c r="M414" i="531" s="1"/>
  <c r="J414" i="531" a="1"/>
  <c r="J414" i="531" s="1"/>
  <c r="H414" i="531"/>
  <c r="V413" i="531"/>
  <c r="W413" i="531" s="1"/>
  <c r="N413" i="531"/>
  <c r="K413" i="531"/>
  <c r="M413" i="531" s="1"/>
  <c r="K413" i="531" a="1"/>
  <c r="J413" i="531"/>
  <c r="J413" i="531" a="1"/>
  <c r="H413" i="531"/>
  <c r="V412" i="531"/>
  <c r="W412" i="531" s="1"/>
  <c r="N412" i="531"/>
  <c r="K412" i="531" a="1"/>
  <c r="K412" i="531" s="1"/>
  <c r="M412" i="531" s="1"/>
  <c r="J412" i="531" a="1"/>
  <c r="J412" i="531" s="1"/>
  <c r="H412" i="531"/>
  <c r="H411" i="531"/>
  <c r="V410" i="531"/>
  <c r="W410" i="531" s="1"/>
  <c r="N410" i="531"/>
  <c r="K410" i="531" a="1"/>
  <c r="K410" i="531" s="1"/>
  <c r="M410" i="531" s="1"/>
  <c r="J410" i="531" a="1"/>
  <c r="J410" i="531" s="1"/>
  <c r="H410" i="531"/>
  <c r="W409" i="531"/>
  <c r="V409" i="531"/>
  <c r="N409" i="531"/>
  <c r="K409" i="531" a="1"/>
  <c r="K409" i="531" s="1"/>
  <c r="M409" i="531" s="1"/>
  <c r="J409" i="531" a="1"/>
  <c r="J409" i="531" s="1"/>
  <c r="H409" i="531"/>
  <c r="H408" i="531"/>
  <c r="K407" i="531" a="1"/>
  <c r="K407" i="531" s="1"/>
  <c r="H407" i="531"/>
  <c r="V406" i="531"/>
  <c r="W406" i="531" s="1"/>
  <c r="N406" i="531"/>
  <c r="K406" i="531" a="1"/>
  <c r="K406" i="531" s="1"/>
  <c r="M406" i="531" s="1"/>
  <c r="J406" i="531" a="1"/>
  <c r="J406" i="531" s="1"/>
  <c r="H406" i="531"/>
  <c r="V405" i="531"/>
  <c r="W405" i="531" s="1"/>
  <c r="N405" i="531"/>
  <c r="K405" i="531"/>
  <c r="M405" i="531" s="1"/>
  <c r="K405" i="531" a="1"/>
  <c r="J405" i="531"/>
  <c r="J405" i="531" a="1"/>
  <c r="H405" i="531"/>
  <c r="V404" i="531"/>
  <c r="W404" i="531" s="1"/>
  <c r="N404" i="531"/>
  <c r="K404" i="531" a="1"/>
  <c r="K404" i="531" s="1"/>
  <c r="M404" i="531" s="1"/>
  <c r="J404" i="531" a="1"/>
  <c r="J404" i="531" s="1"/>
  <c r="H404" i="531"/>
  <c r="W403" i="531"/>
  <c r="V403" i="531"/>
  <c r="N403" i="531"/>
  <c r="K403" i="531" a="1"/>
  <c r="K403" i="531" s="1"/>
  <c r="M403" i="531" s="1"/>
  <c r="J403" i="531" a="1"/>
  <c r="J403" i="531" s="1"/>
  <c r="H403" i="531"/>
  <c r="V402" i="531"/>
  <c r="W402" i="531" s="1"/>
  <c r="N402" i="531"/>
  <c r="K402" i="531" a="1"/>
  <c r="K402" i="531" s="1"/>
  <c r="M402" i="531" s="1"/>
  <c r="J402" i="531" a="1"/>
  <c r="J402" i="531" s="1"/>
  <c r="H402" i="531"/>
  <c r="V401" i="531"/>
  <c r="W401" i="531" s="1"/>
  <c r="N401" i="531"/>
  <c r="K401" i="531"/>
  <c r="M401" i="531" s="1"/>
  <c r="K401" i="531" a="1"/>
  <c r="J401" i="531"/>
  <c r="J401" i="531" a="1"/>
  <c r="H401" i="531"/>
  <c r="V400" i="531"/>
  <c r="W400" i="531" s="1"/>
  <c r="N400" i="531"/>
  <c r="K400" i="531" a="1"/>
  <c r="K400" i="531" s="1"/>
  <c r="M400" i="531" s="1"/>
  <c r="J400" i="531" a="1"/>
  <c r="J400" i="531" s="1"/>
  <c r="H400" i="531"/>
  <c r="W399" i="531"/>
  <c r="V399" i="531"/>
  <c r="N399" i="531"/>
  <c r="K399" i="531" a="1"/>
  <c r="K399" i="531" s="1"/>
  <c r="M399" i="531" s="1"/>
  <c r="J399" i="531" a="1"/>
  <c r="J399" i="531" s="1"/>
  <c r="H399" i="531"/>
  <c r="V398" i="531"/>
  <c r="W398" i="531" s="1"/>
  <c r="N398" i="531"/>
  <c r="K398" i="531" a="1"/>
  <c r="K398" i="531" s="1"/>
  <c r="M398" i="531" s="1"/>
  <c r="J398" i="531" a="1"/>
  <c r="J398" i="531" s="1"/>
  <c r="H398" i="531"/>
  <c r="V397" i="531"/>
  <c r="W397" i="531" s="1"/>
  <c r="N397" i="531"/>
  <c r="K397" i="531"/>
  <c r="M397" i="531" s="1"/>
  <c r="K397" i="531" a="1"/>
  <c r="J397" i="531"/>
  <c r="J397" i="531" a="1"/>
  <c r="H397" i="531"/>
  <c r="K396" i="531" a="1"/>
  <c r="K396" i="531" s="1"/>
  <c r="M396" i="531" s="1"/>
  <c r="H396" i="531"/>
  <c r="K395" i="531"/>
  <c r="M395" i="531" s="1"/>
  <c r="K395" i="531" a="1"/>
  <c r="H395" i="531"/>
  <c r="K394" i="531" a="1"/>
  <c r="K394" i="531" s="1"/>
  <c r="M394" i="531" s="1"/>
  <c r="H394" i="531"/>
  <c r="K393" i="531"/>
  <c r="M393" i="531" s="1"/>
  <c r="K393" i="531" a="1"/>
  <c r="H393" i="531"/>
  <c r="N392" i="531"/>
  <c r="K392" i="531" a="1"/>
  <c r="K392" i="531" s="1"/>
  <c r="M392" i="531" s="1"/>
  <c r="H392" i="531"/>
  <c r="N391" i="531"/>
  <c r="K391" i="531" a="1"/>
  <c r="K391" i="531" s="1"/>
  <c r="M391" i="531" s="1"/>
  <c r="H391" i="531"/>
  <c r="N390" i="531"/>
  <c r="K390" i="531" a="1"/>
  <c r="K390" i="531" s="1"/>
  <c r="M390" i="531" s="1"/>
  <c r="H390" i="531"/>
  <c r="N389" i="531"/>
  <c r="K389" i="531" a="1"/>
  <c r="K389" i="531" s="1"/>
  <c r="M389" i="531" s="1"/>
  <c r="H389" i="531"/>
  <c r="V388" i="531"/>
  <c r="W388" i="531" s="1"/>
  <c r="N388" i="531"/>
  <c r="K388" i="531"/>
  <c r="M388" i="531" s="1"/>
  <c r="K388" i="531" a="1"/>
  <c r="J388" i="531"/>
  <c r="J388" i="531" a="1"/>
  <c r="H388" i="531"/>
  <c r="V387" i="531"/>
  <c r="W387" i="531" s="1"/>
  <c r="N387" i="531"/>
  <c r="K387" i="531" a="1"/>
  <c r="K387" i="531" s="1"/>
  <c r="M387" i="531" s="1"/>
  <c r="J387" i="531" a="1"/>
  <c r="J387" i="531" s="1"/>
  <c r="H387" i="531"/>
  <c r="W386" i="531"/>
  <c r="V386" i="531"/>
  <c r="N386" i="531"/>
  <c r="K386" i="531" a="1"/>
  <c r="K386" i="531" s="1"/>
  <c r="M386" i="531" s="1"/>
  <c r="J386" i="531" a="1"/>
  <c r="J386" i="531" s="1"/>
  <c r="H386" i="531"/>
  <c r="V385" i="531"/>
  <c r="W385" i="531" s="1"/>
  <c r="N385" i="531"/>
  <c r="K385" i="531" a="1"/>
  <c r="K385" i="531" s="1"/>
  <c r="M385" i="531" s="1"/>
  <c r="J385" i="531" a="1"/>
  <c r="J385" i="531" s="1"/>
  <c r="H385" i="531"/>
  <c r="V384" i="531"/>
  <c r="W384" i="531" s="1"/>
  <c r="N384" i="531"/>
  <c r="K384" i="531"/>
  <c r="M384" i="531" s="1"/>
  <c r="K384" i="531" a="1"/>
  <c r="J384" i="531"/>
  <c r="J384" i="531" a="1"/>
  <c r="H384" i="531"/>
  <c r="V383" i="531"/>
  <c r="W383" i="531" s="1"/>
  <c r="N383" i="531"/>
  <c r="K383" i="531" a="1"/>
  <c r="K383" i="531" s="1"/>
  <c r="M383" i="531" s="1"/>
  <c r="J383" i="531" a="1"/>
  <c r="J383" i="531" s="1"/>
  <c r="H383" i="531"/>
  <c r="W382" i="531"/>
  <c r="V382" i="531"/>
  <c r="N382" i="531"/>
  <c r="K382" i="531" a="1"/>
  <c r="K382" i="531" s="1"/>
  <c r="M382" i="531" s="1"/>
  <c r="J382" i="531" a="1"/>
  <c r="J382" i="531" s="1"/>
  <c r="H382" i="531"/>
  <c r="V381" i="531"/>
  <c r="W381" i="531" s="1"/>
  <c r="N381" i="531"/>
  <c r="K381" i="531" a="1"/>
  <c r="K381" i="531" s="1"/>
  <c r="M381" i="531" s="1"/>
  <c r="J381" i="531" a="1"/>
  <c r="J381" i="531" s="1"/>
  <c r="H381" i="531"/>
  <c r="V380" i="531"/>
  <c r="W380" i="531" s="1"/>
  <c r="N380" i="531"/>
  <c r="K380" i="531"/>
  <c r="M380" i="531" s="1"/>
  <c r="K380" i="531" a="1"/>
  <c r="J380" i="531"/>
  <c r="J380" i="531" a="1"/>
  <c r="H380" i="531"/>
  <c r="V379" i="531"/>
  <c r="W379" i="531" s="1"/>
  <c r="N379" i="531"/>
  <c r="K379" i="531" a="1"/>
  <c r="K379" i="531" s="1"/>
  <c r="M379" i="531" s="1"/>
  <c r="J379" i="531" a="1"/>
  <c r="J379" i="531" s="1"/>
  <c r="H379" i="531"/>
  <c r="W378" i="531"/>
  <c r="V378" i="531"/>
  <c r="N378" i="531"/>
  <c r="K378" i="531" a="1"/>
  <c r="K378" i="531" s="1"/>
  <c r="M378" i="531" s="1"/>
  <c r="J378" i="531" a="1"/>
  <c r="J378" i="531" s="1"/>
  <c r="H378" i="531"/>
  <c r="V377" i="531"/>
  <c r="W377" i="531" s="1"/>
  <c r="N377" i="531"/>
  <c r="K377" i="531" a="1"/>
  <c r="K377" i="531" s="1"/>
  <c r="M377" i="531" s="1"/>
  <c r="J377" i="531" a="1"/>
  <c r="J377" i="531" s="1"/>
  <c r="H377" i="531"/>
  <c r="K376" i="531" a="1"/>
  <c r="K376" i="531" s="1"/>
  <c r="M376" i="531" s="1"/>
  <c r="H376" i="531"/>
  <c r="K375" i="531" a="1"/>
  <c r="K375" i="531" s="1"/>
  <c r="M375" i="531" s="1"/>
  <c r="H375" i="531"/>
  <c r="K374" i="531" a="1"/>
  <c r="K374" i="531" s="1"/>
  <c r="M374" i="531" s="1"/>
  <c r="H374" i="531"/>
  <c r="V373" i="531"/>
  <c r="W373" i="531" s="1"/>
  <c r="N373" i="531"/>
  <c r="K373" i="531"/>
  <c r="M373" i="531" s="1"/>
  <c r="K373" i="531" a="1"/>
  <c r="J373" i="531"/>
  <c r="J373" i="531" a="1"/>
  <c r="H373" i="531"/>
  <c r="V372" i="531"/>
  <c r="W372" i="531" s="1"/>
  <c r="N372" i="531"/>
  <c r="K372" i="531" a="1"/>
  <c r="K372" i="531" s="1"/>
  <c r="M372" i="531" s="1"/>
  <c r="J372" i="531" a="1"/>
  <c r="J372" i="531" s="1"/>
  <c r="H372" i="531"/>
  <c r="V371" i="531"/>
  <c r="W371" i="531" s="1"/>
  <c r="N371" i="531"/>
  <c r="K371" i="531" a="1"/>
  <c r="K371" i="531" s="1"/>
  <c r="M371" i="531" s="1"/>
  <c r="J371" i="531" a="1"/>
  <c r="J371" i="531" s="1"/>
  <c r="H371" i="531"/>
  <c r="K370" i="531" a="1"/>
  <c r="K370" i="531" s="1"/>
  <c r="H370" i="531"/>
  <c r="W369" i="531"/>
  <c r="V369" i="531"/>
  <c r="V426" i="531" s="1"/>
  <c r="W426" i="531" s="1"/>
  <c r="N369" i="531"/>
  <c r="N426" i="531" s="1"/>
  <c r="K369" i="531" a="1"/>
  <c r="K369" i="531" s="1"/>
  <c r="K426" i="531" s="1"/>
  <c r="J369" i="531" a="1"/>
  <c r="J369" i="531" s="1"/>
  <c r="H369" i="531"/>
  <c r="H426" i="531" s="1"/>
  <c r="AA368" i="531"/>
  <c r="AA504" i="531" s="1"/>
  <c r="Z368" i="531"/>
  <c r="Z504" i="531" s="1"/>
  <c r="Y368" i="531"/>
  <c r="Y504" i="531" s="1"/>
  <c r="X368" i="531"/>
  <c r="X504" i="531" s="1"/>
  <c r="U368" i="531"/>
  <c r="U504" i="531" s="1"/>
  <c r="T368" i="531"/>
  <c r="T504" i="531" s="1"/>
  <c r="S368" i="531"/>
  <c r="S504" i="531" s="1"/>
  <c r="R368" i="531"/>
  <c r="R504" i="531" s="1"/>
  <c r="Q368" i="531"/>
  <c r="Q504" i="531" s="1"/>
  <c r="P368" i="531"/>
  <c r="P504" i="531" s="1"/>
  <c r="O368" i="531"/>
  <c r="I368" i="531"/>
  <c r="I504" i="531" s="1"/>
  <c r="B512" i="531" s="1"/>
  <c r="G368" i="531"/>
  <c r="G504" i="531" s="1"/>
  <c r="V367" i="531"/>
  <c r="W367" i="531" s="1"/>
  <c r="N367" i="531"/>
  <c r="K367" i="531" a="1"/>
  <c r="K367" i="531" s="1"/>
  <c r="M367" i="531" s="1"/>
  <c r="J367" i="531" a="1"/>
  <c r="J367" i="531" s="1"/>
  <c r="H367" i="531"/>
  <c r="V366" i="531"/>
  <c r="W366" i="531" s="1"/>
  <c r="N366" i="531"/>
  <c r="K366" i="531"/>
  <c r="M366" i="531" s="1"/>
  <c r="K366" i="531" a="1"/>
  <c r="J366" i="531" a="1"/>
  <c r="J366" i="531" s="1"/>
  <c r="H366" i="531"/>
  <c r="K365" i="531" a="1"/>
  <c r="K365" i="531" s="1"/>
  <c r="M365" i="531" s="1"/>
  <c r="H365" i="531"/>
  <c r="K364" i="531" a="1"/>
  <c r="K364" i="531" s="1"/>
  <c r="M364" i="531" s="1"/>
  <c r="H364" i="531"/>
  <c r="K363" i="531" a="1"/>
  <c r="K363" i="531" s="1"/>
  <c r="M363" i="531" s="1"/>
  <c r="H363" i="531"/>
  <c r="K362" i="531" a="1"/>
  <c r="K362" i="531" s="1"/>
  <c r="M362" i="531" s="1"/>
  <c r="H362" i="531"/>
  <c r="W361" i="531"/>
  <c r="V361" i="531"/>
  <c r="N361" i="531"/>
  <c r="K361" i="531" a="1"/>
  <c r="K361" i="531" s="1"/>
  <c r="M361" i="531" s="1"/>
  <c r="J361" i="531" a="1"/>
  <c r="J361" i="531" s="1"/>
  <c r="H361" i="531"/>
  <c r="V360" i="531"/>
  <c r="W360" i="531" s="1"/>
  <c r="N360" i="531"/>
  <c r="K360" i="531" a="1"/>
  <c r="K360" i="531" s="1"/>
  <c r="M360" i="531" s="1"/>
  <c r="J360" i="531" a="1"/>
  <c r="J360" i="531" s="1"/>
  <c r="H360" i="531"/>
  <c r="V359" i="531"/>
  <c r="W359" i="531" s="1"/>
  <c r="N359" i="531"/>
  <c r="K359" i="531"/>
  <c r="M359" i="531" s="1"/>
  <c r="K359" i="531" a="1"/>
  <c r="J359" i="531"/>
  <c r="J359" i="531" a="1"/>
  <c r="H359" i="531"/>
  <c r="H358" i="531"/>
  <c r="H357" i="531"/>
  <c r="V356" i="531"/>
  <c r="W356" i="531" s="1"/>
  <c r="N356" i="531"/>
  <c r="K356" i="531" a="1"/>
  <c r="K356" i="531" s="1"/>
  <c r="M356" i="531" s="1"/>
  <c r="J356" i="531" a="1"/>
  <c r="J356" i="531" s="1"/>
  <c r="H356" i="531"/>
  <c r="W355" i="531"/>
  <c r="V355" i="531"/>
  <c r="N355" i="531"/>
  <c r="K355" i="531" a="1"/>
  <c r="K355" i="531" s="1"/>
  <c r="M355" i="531" s="1"/>
  <c r="J355" i="531" a="1"/>
  <c r="J355" i="531" s="1"/>
  <c r="H355" i="531"/>
  <c r="K354" i="531"/>
  <c r="M354" i="531" s="1"/>
  <c r="K354" i="531" a="1"/>
  <c r="H354" i="531"/>
  <c r="K353" i="531" a="1"/>
  <c r="K353" i="531" s="1"/>
  <c r="M353" i="531" s="1"/>
  <c r="H353" i="531"/>
  <c r="V352" i="531"/>
  <c r="W352" i="531" s="1"/>
  <c r="N352" i="531"/>
  <c r="K352" i="531"/>
  <c r="M352" i="531" s="1"/>
  <c r="K352" i="531" a="1"/>
  <c r="J352" i="531" a="1"/>
  <c r="J352" i="531" s="1"/>
  <c r="H352" i="531"/>
  <c r="W351" i="531"/>
  <c r="V351" i="531"/>
  <c r="N351" i="531"/>
  <c r="K351" i="531" a="1"/>
  <c r="K351" i="531" s="1"/>
  <c r="M351" i="531" s="1"/>
  <c r="J351" i="531" a="1"/>
  <c r="J351" i="531" s="1"/>
  <c r="H351" i="531"/>
  <c r="V350" i="531"/>
  <c r="W350" i="531" s="1"/>
  <c r="N350" i="531"/>
  <c r="K350" i="531" a="1"/>
  <c r="K350" i="531" s="1"/>
  <c r="M350" i="531" s="1"/>
  <c r="J350" i="531" a="1"/>
  <c r="J350" i="531" s="1"/>
  <c r="H350" i="531"/>
  <c r="V349" i="531"/>
  <c r="W349" i="531" s="1"/>
  <c r="N349" i="531"/>
  <c r="K349" i="531"/>
  <c r="M349" i="531" s="1"/>
  <c r="K349" i="531" a="1"/>
  <c r="J349" i="531"/>
  <c r="J349" i="531" a="1"/>
  <c r="H349" i="531"/>
  <c r="V348" i="531"/>
  <c r="W348" i="531" s="1"/>
  <c r="N348" i="531"/>
  <c r="K348" i="531" a="1"/>
  <c r="K348" i="531" s="1"/>
  <c r="M348" i="531" s="1"/>
  <c r="J348" i="531" a="1"/>
  <c r="J348" i="531" s="1"/>
  <c r="H348" i="531"/>
  <c r="W347" i="531"/>
  <c r="V347" i="531"/>
  <c r="V368" i="531" s="1"/>
  <c r="N347" i="531"/>
  <c r="N368" i="531" s="1"/>
  <c r="K347" i="531" a="1"/>
  <c r="K347" i="531" s="1"/>
  <c r="M347" i="531" s="1"/>
  <c r="J347" i="531" a="1"/>
  <c r="J347" i="531" s="1"/>
  <c r="H347" i="531"/>
  <c r="H368" i="531" s="1"/>
  <c r="X341" i="531"/>
  <c r="X340" i="531"/>
  <c r="X339" i="531"/>
  <c r="G339" i="531"/>
  <c r="C339" i="531"/>
  <c r="X338" i="531"/>
  <c r="I338" i="531"/>
  <c r="E338" i="531"/>
  <c r="K338" i="531" s="1"/>
  <c r="M338" i="531" s="1"/>
  <c r="I337" i="531"/>
  <c r="E337" i="531"/>
  <c r="K337" i="531" s="1"/>
  <c r="M337" i="531" s="1"/>
  <c r="I336" i="531"/>
  <c r="E336" i="531"/>
  <c r="K336" i="531" s="1"/>
  <c r="M336" i="531" s="1"/>
  <c r="X335" i="531"/>
  <c r="I335" i="531"/>
  <c r="I339" i="531" s="1"/>
  <c r="E335" i="531"/>
  <c r="E339" i="531" s="1"/>
  <c r="AA332" i="531"/>
  <c r="Z332" i="531"/>
  <c r="Y332" i="531"/>
  <c r="X332" i="531"/>
  <c r="U332" i="531"/>
  <c r="T332" i="531"/>
  <c r="S332" i="531"/>
  <c r="R332" i="531"/>
  <c r="Q332" i="531"/>
  <c r="P332" i="531"/>
  <c r="O332" i="531"/>
  <c r="R340" i="531" s="1"/>
  <c r="I332" i="531"/>
  <c r="G332" i="531"/>
  <c r="K331" i="531" a="1"/>
  <c r="K331" i="531" s="1"/>
  <c r="H331" i="531"/>
  <c r="K330" i="531"/>
  <c r="K330" i="531" a="1"/>
  <c r="H330" i="531"/>
  <c r="K329" i="531" a="1"/>
  <c r="K329" i="531" s="1"/>
  <c r="H329" i="531"/>
  <c r="V328" i="531"/>
  <c r="W328" i="531" s="1"/>
  <c r="N328" i="531"/>
  <c r="K328" i="531" a="1"/>
  <c r="K328" i="531" s="1"/>
  <c r="D328" i="531"/>
  <c r="H328" i="531" s="1"/>
  <c r="H327" i="531"/>
  <c r="K326" i="531" a="1"/>
  <c r="K326" i="531" s="1"/>
  <c r="H326" i="531"/>
  <c r="H325" i="531"/>
  <c r="V324" i="531"/>
  <c r="W324" i="531" s="1"/>
  <c r="N324" i="531"/>
  <c r="K324" i="531" a="1"/>
  <c r="K324" i="531" s="1"/>
  <c r="M324" i="531" s="1"/>
  <c r="J324" i="531" a="1"/>
  <c r="J324" i="531" s="1"/>
  <c r="H324" i="531"/>
  <c r="V323" i="531"/>
  <c r="W323" i="531" s="1"/>
  <c r="N323" i="531"/>
  <c r="K323" i="531" a="1"/>
  <c r="K323" i="531" s="1"/>
  <c r="M323" i="531" s="1"/>
  <c r="J323" i="531" a="1"/>
  <c r="J323" i="531" s="1"/>
  <c r="H323" i="531"/>
  <c r="H322" i="531"/>
  <c r="V321" i="531"/>
  <c r="W321" i="531" s="1"/>
  <c r="N321" i="531"/>
  <c r="K321" i="531" a="1"/>
  <c r="K321" i="531" s="1"/>
  <c r="M321" i="531" s="1"/>
  <c r="J321" i="531" a="1"/>
  <c r="J321" i="531" s="1"/>
  <c r="H321" i="531"/>
  <c r="V320" i="531"/>
  <c r="W320" i="531" s="1"/>
  <c r="N320" i="531"/>
  <c r="K320" i="531"/>
  <c r="M320" i="531" s="1"/>
  <c r="K320" i="531" a="1"/>
  <c r="J320" i="531"/>
  <c r="J320" i="531" a="1"/>
  <c r="H320" i="531"/>
  <c r="V319" i="531"/>
  <c r="W319" i="531" s="1"/>
  <c r="N319" i="531"/>
  <c r="K319" i="531" a="1"/>
  <c r="K319" i="531" s="1"/>
  <c r="M319" i="531" s="1"/>
  <c r="J319" i="531" a="1"/>
  <c r="J319" i="531" s="1"/>
  <c r="H319" i="531"/>
  <c r="V318" i="531"/>
  <c r="V332" i="531" s="1"/>
  <c r="N318" i="531"/>
  <c r="N332" i="531" s="1"/>
  <c r="K318" i="531" a="1"/>
  <c r="K318" i="531" s="1"/>
  <c r="K332" i="531" s="1"/>
  <c r="J318" i="531" a="1"/>
  <c r="J318" i="531" s="1"/>
  <c r="H318" i="531"/>
  <c r="H332" i="531" s="1"/>
  <c r="AA317" i="531"/>
  <c r="Z317" i="531"/>
  <c r="Y317" i="531"/>
  <c r="X317" i="531"/>
  <c r="U317" i="531"/>
  <c r="T317" i="531"/>
  <c r="S317" i="531"/>
  <c r="Q317" i="531"/>
  <c r="P317" i="531"/>
  <c r="O317" i="531"/>
  <c r="R339" i="531" s="1"/>
  <c r="I317" i="531"/>
  <c r="G317" i="531"/>
  <c r="J317" i="531" s="1" a="1"/>
  <c r="J317" i="531" s="1"/>
  <c r="V316" i="531"/>
  <c r="W316" i="531" s="1"/>
  <c r="N316" i="531"/>
  <c r="K316" i="531" a="1"/>
  <c r="K316" i="531" s="1"/>
  <c r="M316" i="531" s="1"/>
  <c r="J316" i="531" a="1"/>
  <c r="J316" i="531" s="1"/>
  <c r="H316" i="531"/>
  <c r="H315" i="531"/>
  <c r="H314" i="531"/>
  <c r="H313" i="531"/>
  <c r="V312" i="531"/>
  <c r="W312" i="531" s="1"/>
  <c r="N312" i="531"/>
  <c r="K312" i="531" a="1"/>
  <c r="K312" i="531" s="1"/>
  <c r="M312" i="531" s="1"/>
  <c r="J312" i="531" a="1"/>
  <c r="J312" i="531" s="1"/>
  <c r="H312" i="531"/>
  <c r="V311" i="531"/>
  <c r="W311" i="531" s="1"/>
  <c r="N311" i="531"/>
  <c r="K311" i="531"/>
  <c r="M311" i="531" s="1"/>
  <c r="K311" i="531" a="1"/>
  <c r="J311" i="531"/>
  <c r="J311" i="531" a="1"/>
  <c r="H311" i="531"/>
  <c r="V310" i="531"/>
  <c r="W310" i="531" s="1"/>
  <c r="N310" i="531"/>
  <c r="K310" i="531" a="1"/>
  <c r="K310" i="531" s="1"/>
  <c r="M310" i="531" s="1"/>
  <c r="J310" i="531" a="1"/>
  <c r="J310" i="531" s="1"/>
  <c r="H310" i="531"/>
  <c r="V309" i="531"/>
  <c r="W309" i="531" s="1"/>
  <c r="N309" i="531"/>
  <c r="K309" i="531"/>
  <c r="M309" i="531" s="1"/>
  <c r="K309" i="531" a="1"/>
  <c r="J309" i="531"/>
  <c r="J309" i="531" a="1"/>
  <c r="H309" i="531"/>
  <c r="V308" i="531"/>
  <c r="W308" i="531" s="1"/>
  <c r="N308" i="531"/>
  <c r="N317" i="531" s="1"/>
  <c r="K308" i="531" a="1"/>
  <c r="K308" i="531" s="1"/>
  <c r="J308" i="531" a="1"/>
  <c r="J308" i="531" s="1"/>
  <c r="H308" i="531"/>
  <c r="H317" i="531" s="1"/>
  <c r="AA307" i="531"/>
  <c r="Z307" i="531"/>
  <c r="Y307" i="531"/>
  <c r="X307" i="531"/>
  <c r="U307" i="531"/>
  <c r="T307" i="531"/>
  <c r="S307" i="531"/>
  <c r="Q307" i="531"/>
  <c r="P307" i="531"/>
  <c r="O307" i="531"/>
  <c r="I307" i="531"/>
  <c r="G307" i="531"/>
  <c r="J307" i="531" s="1" a="1"/>
  <c r="J307" i="531" s="1"/>
  <c r="V306" i="531"/>
  <c r="W306" i="531" s="1"/>
  <c r="N306" i="531"/>
  <c r="K306" i="531" a="1"/>
  <c r="K306" i="531" s="1"/>
  <c r="M306" i="531" s="1"/>
  <c r="J306" i="531" a="1"/>
  <c r="J306" i="531" s="1"/>
  <c r="H306" i="531"/>
  <c r="V305" i="531"/>
  <c r="W305" i="531" s="1"/>
  <c r="N305" i="531"/>
  <c r="K305" i="531" a="1"/>
  <c r="K305" i="531" s="1"/>
  <c r="M305" i="531" s="1"/>
  <c r="J305" i="531" a="1"/>
  <c r="J305" i="531" s="1"/>
  <c r="H305" i="531"/>
  <c r="V304" i="531"/>
  <c r="W304" i="531" s="1"/>
  <c r="N304" i="531"/>
  <c r="K304" i="531"/>
  <c r="M304" i="531" s="1"/>
  <c r="K304" i="531" a="1"/>
  <c r="J304" i="531"/>
  <c r="J304" i="531" a="1"/>
  <c r="H304" i="531"/>
  <c r="V303" i="531"/>
  <c r="W303" i="531" s="1"/>
  <c r="N303" i="531"/>
  <c r="K303" i="531" a="1"/>
  <c r="K303" i="531" s="1"/>
  <c r="M303" i="531" s="1"/>
  <c r="J303" i="531" a="1"/>
  <c r="J303" i="531" s="1"/>
  <c r="H303" i="531"/>
  <c r="W302" i="531"/>
  <c r="V302" i="531"/>
  <c r="N302" i="531"/>
  <c r="K302" i="531" a="1"/>
  <c r="K302" i="531" s="1"/>
  <c r="M302" i="531" s="1"/>
  <c r="J302" i="531" a="1"/>
  <c r="J302" i="531" s="1"/>
  <c r="H302" i="531"/>
  <c r="V301" i="531"/>
  <c r="W301" i="531" s="1"/>
  <c r="N301" i="531"/>
  <c r="K301" i="531" a="1"/>
  <c r="K301" i="531" s="1"/>
  <c r="M301" i="531" s="1"/>
  <c r="J301" i="531" a="1"/>
  <c r="J301" i="531" s="1"/>
  <c r="H301" i="531"/>
  <c r="V300" i="531"/>
  <c r="W300" i="531" s="1"/>
  <c r="N300" i="531"/>
  <c r="K300" i="531"/>
  <c r="M300" i="531" s="1"/>
  <c r="K300" i="531" a="1"/>
  <c r="J300" i="531"/>
  <c r="J300" i="531" a="1"/>
  <c r="H300" i="531"/>
  <c r="V299" i="531"/>
  <c r="W299" i="531" s="1"/>
  <c r="N299" i="531"/>
  <c r="K299" i="531" a="1"/>
  <c r="K299" i="531" s="1"/>
  <c r="M299" i="531" s="1"/>
  <c r="J299" i="531" a="1"/>
  <c r="J299" i="531" s="1"/>
  <c r="H299" i="531"/>
  <c r="W298" i="531"/>
  <c r="V298" i="531"/>
  <c r="N298" i="531"/>
  <c r="K298" i="531" a="1"/>
  <c r="K298" i="531" s="1"/>
  <c r="M298" i="531" s="1"/>
  <c r="J298" i="531" a="1"/>
  <c r="J298" i="531" s="1"/>
  <c r="H298" i="531"/>
  <c r="V297" i="531"/>
  <c r="W297" i="531" s="1"/>
  <c r="N297" i="531"/>
  <c r="K297" i="531" a="1"/>
  <c r="K297" i="531" s="1"/>
  <c r="M297" i="531" s="1"/>
  <c r="J297" i="531" a="1"/>
  <c r="J297" i="531" s="1"/>
  <c r="H297" i="531"/>
  <c r="V296" i="531"/>
  <c r="W296" i="531" s="1"/>
  <c r="N296" i="531"/>
  <c r="K296" i="531"/>
  <c r="M296" i="531" s="1"/>
  <c r="K296" i="531" a="1"/>
  <c r="J296" i="531"/>
  <c r="J296" i="531" a="1"/>
  <c r="H296" i="531"/>
  <c r="V295" i="531"/>
  <c r="W295" i="531" s="1"/>
  <c r="N295" i="531"/>
  <c r="K295" i="531" a="1"/>
  <c r="K295" i="531" s="1"/>
  <c r="M295" i="531" s="1"/>
  <c r="J295" i="531" a="1"/>
  <c r="J295" i="531" s="1"/>
  <c r="H295" i="531"/>
  <c r="W294" i="531"/>
  <c r="V294" i="531"/>
  <c r="N294" i="531"/>
  <c r="K294" i="531" a="1"/>
  <c r="K294" i="531" s="1"/>
  <c r="M294" i="531" s="1"/>
  <c r="J294" i="531" a="1"/>
  <c r="J294" i="531" s="1"/>
  <c r="H294" i="531"/>
  <c r="V293" i="531"/>
  <c r="W293" i="531" s="1"/>
  <c r="N293" i="531"/>
  <c r="K293" i="531" a="1"/>
  <c r="K293" i="531" s="1"/>
  <c r="M293" i="531" s="1"/>
  <c r="J293" i="531" a="1"/>
  <c r="J293" i="531" s="1"/>
  <c r="H293" i="531"/>
  <c r="V292" i="531"/>
  <c r="V307" i="531" s="1"/>
  <c r="W307" i="531" s="1"/>
  <c r="N292" i="531"/>
  <c r="K292" i="531"/>
  <c r="M292" i="531" s="1"/>
  <c r="K292" i="531" a="1"/>
  <c r="J292" i="531"/>
  <c r="J292" i="531" a="1"/>
  <c r="H292" i="531"/>
  <c r="H307" i="531" s="1"/>
  <c r="AA291" i="531"/>
  <c r="Z291" i="531"/>
  <c r="Y291" i="531"/>
  <c r="X291" i="531"/>
  <c r="U291" i="531"/>
  <c r="T291" i="531"/>
  <c r="S291" i="531"/>
  <c r="R291" i="531"/>
  <c r="Q291" i="531"/>
  <c r="P291" i="531"/>
  <c r="O291" i="531"/>
  <c r="I291" i="531"/>
  <c r="G291" i="531"/>
  <c r="V290" i="531"/>
  <c r="W290" i="531" s="1"/>
  <c r="N290" i="531"/>
  <c r="K290" i="531"/>
  <c r="M290" i="531" s="1"/>
  <c r="K290" i="531" a="1"/>
  <c r="J290" i="531"/>
  <c r="J290" i="531" a="1"/>
  <c r="H290" i="531"/>
  <c r="V289" i="531"/>
  <c r="W289" i="531" s="1"/>
  <c r="N289" i="531"/>
  <c r="K289" i="531" a="1"/>
  <c r="K289" i="531" s="1"/>
  <c r="M289" i="531" s="1"/>
  <c r="J289" i="531" a="1"/>
  <c r="J289" i="531" s="1"/>
  <c r="H289" i="531"/>
  <c r="W288" i="531"/>
  <c r="V288" i="531"/>
  <c r="N288" i="531"/>
  <c r="K288" i="531" a="1"/>
  <c r="K288" i="531" s="1"/>
  <c r="M288" i="531" s="1"/>
  <c r="J288" i="531" a="1"/>
  <c r="J288" i="531" s="1"/>
  <c r="H288" i="531"/>
  <c r="H287" i="531"/>
  <c r="H286" i="531"/>
  <c r="H285" i="531"/>
  <c r="V284" i="531"/>
  <c r="W284" i="531" s="1"/>
  <c r="N284" i="531"/>
  <c r="K284" i="531"/>
  <c r="M284" i="531" s="1"/>
  <c r="K284" i="531" a="1"/>
  <c r="J284" i="531"/>
  <c r="J284" i="531" a="1"/>
  <c r="H284" i="531"/>
  <c r="V283" i="531"/>
  <c r="W283" i="531" s="1"/>
  <c r="N283" i="531"/>
  <c r="K283" i="531" a="1"/>
  <c r="K283" i="531" s="1"/>
  <c r="M283" i="531" s="1"/>
  <c r="J283" i="531" a="1"/>
  <c r="J283" i="531" s="1"/>
  <c r="H283" i="531"/>
  <c r="N282" i="531"/>
  <c r="K282" i="531" a="1"/>
  <c r="K282" i="531" s="1"/>
  <c r="M282" i="531" s="1"/>
  <c r="H282" i="531"/>
  <c r="N281" i="531"/>
  <c r="K281" i="531" a="1"/>
  <c r="K281" i="531" s="1"/>
  <c r="M281" i="531" s="1"/>
  <c r="H281" i="531"/>
  <c r="N280" i="531"/>
  <c r="K280" i="531"/>
  <c r="M280" i="531" s="1"/>
  <c r="K280" i="531" a="1"/>
  <c r="H280" i="531"/>
  <c r="N279" i="531"/>
  <c r="K279" i="531" a="1"/>
  <c r="K279" i="531" s="1"/>
  <c r="M279" i="531" s="1"/>
  <c r="H279" i="531"/>
  <c r="N278" i="531"/>
  <c r="K278" i="531" a="1"/>
  <c r="K278" i="531" s="1"/>
  <c r="M278" i="531" s="1"/>
  <c r="H278" i="531"/>
  <c r="N277" i="531"/>
  <c r="K277" i="531" a="1"/>
  <c r="K277" i="531" s="1"/>
  <c r="M277" i="531" s="1"/>
  <c r="H277" i="531"/>
  <c r="V276" i="531"/>
  <c r="W276" i="531" s="1"/>
  <c r="N276" i="531"/>
  <c r="K276" i="531"/>
  <c r="M276" i="531" s="1"/>
  <c r="K276" i="531" a="1"/>
  <c r="J276" i="531"/>
  <c r="J276" i="531" a="1"/>
  <c r="H276" i="531"/>
  <c r="V275" i="531"/>
  <c r="W275" i="531" s="1"/>
  <c r="N275" i="531"/>
  <c r="K275" i="531" a="1"/>
  <c r="K275" i="531" s="1"/>
  <c r="M275" i="531" s="1"/>
  <c r="J275" i="531" a="1"/>
  <c r="J275" i="531" s="1"/>
  <c r="H275" i="531"/>
  <c r="W274" i="531"/>
  <c r="V274" i="531"/>
  <c r="N274" i="531"/>
  <c r="K274" i="531" a="1"/>
  <c r="K274" i="531" s="1"/>
  <c r="M274" i="531" s="1"/>
  <c r="J274" i="531" a="1"/>
  <c r="J274" i="531" s="1"/>
  <c r="H274" i="531"/>
  <c r="V273" i="531"/>
  <c r="W273" i="531" s="1"/>
  <c r="N273" i="531"/>
  <c r="K273" i="531" a="1"/>
  <c r="K273" i="531" s="1"/>
  <c r="M273" i="531" s="1"/>
  <c r="J273" i="531" a="1"/>
  <c r="J273" i="531" s="1"/>
  <c r="H273" i="531"/>
  <c r="V272" i="531"/>
  <c r="W272" i="531" s="1"/>
  <c r="N272" i="531"/>
  <c r="K272" i="531"/>
  <c r="M272" i="531" s="1"/>
  <c r="K272" i="531" a="1"/>
  <c r="J272" i="531"/>
  <c r="J272" i="531" a="1"/>
  <c r="H272" i="531"/>
  <c r="V271" i="531"/>
  <c r="W271" i="531" s="1"/>
  <c r="N271" i="531"/>
  <c r="K271" i="531" a="1"/>
  <c r="K271" i="531" s="1"/>
  <c r="M271" i="531" s="1"/>
  <c r="J271" i="531" a="1"/>
  <c r="J271" i="531" s="1"/>
  <c r="H271" i="531"/>
  <c r="W270" i="531"/>
  <c r="V270" i="531"/>
  <c r="N270" i="531"/>
  <c r="K270" i="531" a="1"/>
  <c r="K270" i="531" s="1"/>
  <c r="M270" i="531" s="1"/>
  <c r="J270" i="531" a="1"/>
  <c r="J270" i="531" s="1"/>
  <c r="H270" i="531"/>
  <c r="V269" i="531"/>
  <c r="W269" i="531" s="1"/>
  <c r="N269" i="531"/>
  <c r="K269" i="531" a="1"/>
  <c r="K269" i="531" s="1"/>
  <c r="M269" i="531" s="1"/>
  <c r="J269" i="531" a="1"/>
  <c r="J269" i="531" s="1"/>
  <c r="H269" i="531"/>
  <c r="V268" i="531"/>
  <c r="W268" i="531" s="1"/>
  <c r="N268" i="531"/>
  <c r="K268" i="531"/>
  <c r="M268" i="531" s="1"/>
  <c r="K268" i="531" a="1"/>
  <c r="J268" i="531"/>
  <c r="J268" i="531" a="1"/>
  <c r="H268" i="531"/>
  <c r="V267" i="531"/>
  <c r="W267" i="531" s="1"/>
  <c r="N267" i="531"/>
  <c r="K267" i="531" a="1"/>
  <c r="K267" i="531" s="1"/>
  <c r="M267" i="531" s="1"/>
  <c r="J267" i="531" a="1"/>
  <c r="J267" i="531" s="1"/>
  <c r="H267" i="531"/>
  <c r="W266" i="531"/>
  <c r="V266" i="531"/>
  <c r="N266" i="531"/>
  <c r="K266" i="531" a="1"/>
  <c r="K266" i="531" s="1"/>
  <c r="M266" i="531" s="1"/>
  <c r="J266" i="531" a="1"/>
  <c r="J266" i="531" s="1"/>
  <c r="H266" i="531"/>
  <c r="V265" i="531"/>
  <c r="W265" i="531" s="1"/>
  <c r="N265" i="531"/>
  <c r="K265" i="531" a="1"/>
  <c r="K265" i="531" s="1"/>
  <c r="M265" i="531" s="1"/>
  <c r="J265" i="531" a="1"/>
  <c r="J265" i="531" s="1"/>
  <c r="H265" i="531"/>
  <c r="N264" i="531"/>
  <c r="K264" i="531"/>
  <c r="M264" i="531" s="1"/>
  <c r="K264" i="531" a="1"/>
  <c r="H264" i="531"/>
  <c r="V263" i="531"/>
  <c r="W263" i="531" s="1"/>
  <c r="N263" i="531"/>
  <c r="K263" i="531" a="1"/>
  <c r="K263" i="531" s="1"/>
  <c r="M263" i="531" s="1"/>
  <c r="J263" i="531" a="1"/>
  <c r="J263" i="531" s="1"/>
  <c r="H263" i="531"/>
  <c r="W262" i="531"/>
  <c r="V262" i="531"/>
  <c r="N262" i="531"/>
  <c r="K262" i="531" a="1"/>
  <c r="K262" i="531" s="1"/>
  <c r="M262" i="531" s="1"/>
  <c r="J262" i="531" a="1"/>
  <c r="J262" i="531" s="1"/>
  <c r="H262" i="531"/>
  <c r="V261" i="531"/>
  <c r="W261" i="531" s="1"/>
  <c r="N261" i="531"/>
  <c r="K261" i="531" a="1"/>
  <c r="K261" i="531" s="1"/>
  <c r="M261" i="531" s="1"/>
  <c r="J261" i="531" a="1"/>
  <c r="J261" i="531" s="1"/>
  <c r="H261" i="531"/>
  <c r="V260" i="531"/>
  <c r="W260" i="531" s="1"/>
  <c r="N260" i="531"/>
  <c r="K260" i="531"/>
  <c r="M260" i="531" s="1"/>
  <c r="K260" i="531" a="1"/>
  <c r="J260" i="531"/>
  <c r="J260" i="531" a="1"/>
  <c r="H260" i="531"/>
  <c r="V259" i="531"/>
  <c r="W259" i="531" s="1"/>
  <c r="N259" i="531"/>
  <c r="K259" i="531" a="1"/>
  <c r="K259" i="531" s="1"/>
  <c r="M259" i="531" s="1"/>
  <c r="J259" i="531" a="1"/>
  <c r="J259" i="531" s="1"/>
  <c r="H259" i="531"/>
  <c r="W258" i="531"/>
  <c r="V258" i="531"/>
  <c r="N258" i="531"/>
  <c r="K258" i="531" a="1"/>
  <c r="K258" i="531" s="1"/>
  <c r="M258" i="531" s="1"/>
  <c r="J258" i="531" a="1"/>
  <c r="J258" i="531" s="1"/>
  <c r="H258" i="531"/>
  <c r="V257" i="531"/>
  <c r="W257" i="531" s="1"/>
  <c r="N257" i="531"/>
  <c r="K257" i="531" a="1"/>
  <c r="K257" i="531" s="1"/>
  <c r="J257" i="531" a="1"/>
  <c r="J257" i="531" s="1"/>
  <c r="H257" i="531"/>
  <c r="H291" i="531" s="1"/>
  <c r="AA256" i="531"/>
  <c r="Z256" i="531"/>
  <c r="Y256" i="531"/>
  <c r="X256" i="531"/>
  <c r="U256" i="531"/>
  <c r="T256" i="531"/>
  <c r="S256" i="531"/>
  <c r="R256" i="531"/>
  <c r="Q256" i="531"/>
  <c r="P256" i="531"/>
  <c r="O256" i="531"/>
  <c r="R336" i="531" s="1"/>
  <c r="I256" i="531"/>
  <c r="G256" i="531"/>
  <c r="J256" i="531" s="1" a="1"/>
  <c r="J256" i="531" s="1"/>
  <c r="H255" i="531"/>
  <c r="H254" i="531"/>
  <c r="H253" i="531"/>
  <c r="H252" i="531"/>
  <c r="H251" i="531"/>
  <c r="H250" i="531"/>
  <c r="K249" i="531" a="1"/>
  <c r="K249" i="531" s="1"/>
  <c r="M249" i="531" s="1"/>
  <c r="H249" i="531"/>
  <c r="K248" i="531"/>
  <c r="M248" i="531" s="1"/>
  <c r="K248" i="531" a="1"/>
  <c r="H248" i="531"/>
  <c r="K247" i="531" a="1"/>
  <c r="K247" i="531" s="1"/>
  <c r="M247" i="531" s="1"/>
  <c r="H247" i="531"/>
  <c r="K246" i="531"/>
  <c r="M246" i="531" s="1"/>
  <c r="K246" i="531" a="1"/>
  <c r="H246" i="531"/>
  <c r="V245" i="531"/>
  <c r="W245" i="531" s="1"/>
  <c r="N245" i="531"/>
  <c r="K245" i="531" a="1"/>
  <c r="K245" i="531" s="1"/>
  <c r="M245" i="531" s="1"/>
  <c r="J245" i="531" a="1"/>
  <c r="J245" i="531" s="1"/>
  <c r="H245" i="531"/>
  <c r="V244" i="531"/>
  <c r="W244" i="531" s="1"/>
  <c r="N244" i="531"/>
  <c r="K244" i="531"/>
  <c r="M244" i="531" s="1"/>
  <c r="K244" i="531" a="1"/>
  <c r="J244" i="531"/>
  <c r="J244" i="531" a="1"/>
  <c r="H244" i="531"/>
  <c r="V243" i="531"/>
  <c r="W243" i="531" s="1"/>
  <c r="N243" i="531"/>
  <c r="K243" i="531" a="1"/>
  <c r="K243" i="531" s="1"/>
  <c r="M243" i="531" s="1"/>
  <c r="J243" i="531" a="1"/>
  <c r="J243" i="531" s="1"/>
  <c r="H243" i="531"/>
  <c r="V242" i="531"/>
  <c r="W242" i="531" s="1"/>
  <c r="N242" i="531"/>
  <c r="K242" i="531" a="1"/>
  <c r="K242" i="531" s="1"/>
  <c r="M242" i="531" s="1"/>
  <c r="J242" i="531" a="1"/>
  <c r="J242" i="531" s="1"/>
  <c r="H242" i="531"/>
  <c r="M241" i="531"/>
  <c r="H241" i="531"/>
  <c r="V240" i="531"/>
  <c r="W240" i="531" s="1"/>
  <c r="N240" i="531"/>
  <c r="K240" i="531" a="1"/>
  <c r="K240" i="531" s="1"/>
  <c r="M240" i="531" s="1"/>
  <c r="J240" i="531" a="1"/>
  <c r="J240" i="531" s="1"/>
  <c r="H240" i="531"/>
  <c r="V239" i="531"/>
  <c r="W239" i="531" s="1"/>
  <c r="N239" i="531"/>
  <c r="K239" i="531"/>
  <c r="M239" i="531" s="1"/>
  <c r="K239" i="531" a="1"/>
  <c r="J239" i="531"/>
  <c r="J239" i="531" a="1"/>
  <c r="H239" i="531"/>
  <c r="K238" i="531" a="1"/>
  <c r="K238" i="531" s="1"/>
  <c r="M238" i="531" s="1"/>
  <c r="H238" i="531"/>
  <c r="H237" i="531"/>
  <c r="V236" i="531"/>
  <c r="W236" i="531" s="1"/>
  <c r="N236" i="531"/>
  <c r="K236" i="531"/>
  <c r="M236" i="531" s="1"/>
  <c r="K236" i="531" a="1"/>
  <c r="J236" i="531"/>
  <c r="J236" i="531" a="1"/>
  <c r="H236" i="531"/>
  <c r="V235" i="531"/>
  <c r="W235" i="531" s="1"/>
  <c r="N235" i="531"/>
  <c r="K235" i="531" a="1"/>
  <c r="K235" i="531" s="1"/>
  <c r="M235" i="531" s="1"/>
  <c r="J235" i="531" a="1"/>
  <c r="J235" i="531" s="1"/>
  <c r="H235" i="531"/>
  <c r="V234" i="531"/>
  <c r="W234" i="531" s="1"/>
  <c r="N234" i="531"/>
  <c r="K234" i="531" a="1"/>
  <c r="K234" i="531" s="1"/>
  <c r="M234" i="531" s="1"/>
  <c r="J234" i="531" a="1"/>
  <c r="J234" i="531" s="1"/>
  <c r="H234" i="531"/>
  <c r="V233" i="531"/>
  <c r="W233" i="531" s="1"/>
  <c r="N233" i="531"/>
  <c r="M233" i="531"/>
  <c r="K233" i="531" a="1"/>
  <c r="K233" i="531" s="1"/>
  <c r="J233" i="531" a="1"/>
  <c r="J233" i="531" s="1"/>
  <c r="H233" i="531"/>
  <c r="W232" i="531"/>
  <c r="V232" i="531"/>
  <c r="N232" i="531"/>
  <c r="K232" i="531" a="1"/>
  <c r="K232" i="531" s="1"/>
  <c r="M232" i="531" s="1"/>
  <c r="J232" i="531" a="1"/>
  <c r="J232" i="531" s="1"/>
  <c r="H232" i="531"/>
  <c r="W231" i="531"/>
  <c r="V231" i="531"/>
  <c r="N231" i="531"/>
  <c r="K231" i="531" a="1"/>
  <c r="K231" i="531" s="1"/>
  <c r="M231" i="531" s="1"/>
  <c r="J231" i="531" a="1"/>
  <c r="J231" i="531" s="1"/>
  <c r="H231" i="531"/>
  <c r="V230" i="531"/>
  <c r="W230" i="531" s="1"/>
  <c r="N230" i="531"/>
  <c r="K230" i="531" a="1"/>
  <c r="K230" i="531" s="1"/>
  <c r="M230" i="531" s="1"/>
  <c r="J230" i="531" a="1"/>
  <c r="J230" i="531" s="1"/>
  <c r="H230" i="531"/>
  <c r="V229" i="531"/>
  <c r="W229" i="531" s="1"/>
  <c r="N229" i="531"/>
  <c r="K229" i="531"/>
  <c r="M229" i="531" s="1"/>
  <c r="K229" i="531" a="1"/>
  <c r="J229" i="531"/>
  <c r="J229" i="531" a="1"/>
  <c r="H229" i="531"/>
  <c r="V228" i="531"/>
  <c r="W228" i="531" s="1"/>
  <c r="N228" i="531"/>
  <c r="K228" i="531" a="1"/>
  <c r="K228" i="531" s="1"/>
  <c r="M228" i="531" s="1"/>
  <c r="J228" i="531" a="1"/>
  <c r="J228" i="531" s="1"/>
  <c r="H228" i="531"/>
  <c r="W227" i="531"/>
  <c r="V227" i="531"/>
  <c r="N227" i="531"/>
  <c r="K227" i="531" a="1"/>
  <c r="K227" i="531" s="1"/>
  <c r="M227" i="531" s="1"/>
  <c r="J227" i="531" a="1"/>
  <c r="J227" i="531" s="1"/>
  <c r="H227" i="531"/>
  <c r="N226" i="531"/>
  <c r="K226" i="531" a="1"/>
  <c r="K226" i="531" s="1"/>
  <c r="M226" i="531" s="1"/>
  <c r="H226" i="531"/>
  <c r="N225" i="531"/>
  <c r="K225" i="531"/>
  <c r="M225" i="531" s="1"/>
  <c r="K225" i="531" a="1"/>
  <c r="H225" i="531"/>
  <c r="N224" i="531"/>
  <c r="K224" i="531" a="1"/>
  <c r="K224" i="531" s="1"/>
  <c r="M224" i="531" s="1"/>
  <c r="H224" i="531"/>
  <c r="N223" i="531"/>
  <c r="K223" i="531" a="1"/>
  <c r="K223" i="531" s="1"/>
  <c r="M223" i="531" s="1"/>
  <c r="H223" i="531"/>
  <c r="N222" i="531"/>
  <c r="K222" i="531" a="1"/>
  <c r="K222" i="531" s="1"/>
  <c r="M222" i="531" s="1"/>
  <c r="H222" i="531"/>
  <c r="N221" i="531"/>
  <c r="K221" i="531"/>
  <c r="M221" i="531" s="1"/>
  <c r="K221" i="531" a="1"/>
  <c r="H221" i="531"/>
  <c r="N220" i="531"/>
  <c r="K220" i="531" a="1"/>
  <c r="K220" i="531" s="1"/>
  <c r="M220" i="531" s="1"/>
  <c r="H220" i="531"/>
  <c r="N219" i="531"/>
  <c r="K219" i="531" a="1"/>
  <c r="K219" i="531" s="1"/>
  <c r="M219" i="531" s="1"/>
  <c r="H219" i="531"/>
  <c r="V218" i="531"/>
  <c r="W218" i="531" s="1"/>
  <c r="N218" i="531"/>
  <c r="K218" i="531" a="1"/>
  <c r="K218" i="531" s="1"/>
  <c r="M218" i="531" s="1"/>
  <c r="J218" i="531" a="1"/>
  <c r="J218" i="531" s="1"/>
  <c r="H218" i="531"/>
  <c r="V217" i="531"/>
  <c r="W217" i="531" s="1"/>
  <c r="N217" i="531"/>
  <c r="K217" i="531"/>
  <c r="M217" i="531" s="1"/>
  <c r="K217" i="531" a="1"/>
  <c r="J217" i="531"/>
  <c r="J217" i="531" a="1"/>
  <c r="H217" i="531"/>
  <c r="V216" i="531"/>
  <c r="W216" i="531" s="1"/>
  <c r="N216" i="531"/>
  <c r="K216" i="531" a="1"/>
  <c r="K216" i="531" s="1"/>
  <c r="M216" i="531" s="1"/>
  <c r="J216" i="531" a="1"/>
  <c r="J216" i="531" s="1"/>
  <c r="H216" i="531"/>
  <c r="W215" i="531"/>
  <c r="V215" i="531"/>
  <c r="N215" i="531"/>
  <c r="K215" i="531" a="1"/>
  <c r="K215" i="531" s="1"/>
  <c r="M215" i="531" s="1"/>
  <c r="J215" i="531" a="1"/>
  <c r="J215" i="531" s="1"/>
  <c r="H215" i="531"/>
  <c r="V214" i="531"/>
  <c r="W214" i="531" s="1"/>
  <c r="N214" i="531"/>
  <c r="K214" i="531" a="1"/>
  <c r="K214" i="531" s="1"/>
  <c r="M214" i="531" s="1"/>
  <c r="J214" i="531" a="1"/>
  <c r="J214" i="531" s="1"/>
  <c r="H214" i="531"/>
  <c r="V213" i="531"/>
  <c r="W213" i="531" s="1"/>
  <c r="N213" i="531"/>
  <c r="K213" i="531"/>
  <c r="M213" i="531" s="1"/>
  <c r="K213" i="531" a="1"/>
  <c r="J213" i="531"/>
  <c r="J213" i="531" a="1"/>
  <c r="H213" i="531"/>
  <c r="V212" i="531"/>
  <c r="W212" i="531" s="1"/>
  <c r="N212" i="531"/>
  <c r="K212" i="531" a="1"/>
  <c r="K212" i="531" s="1"/>
  <c r="M212" i="531" s="1"/>
  <c r="J212" i="531" a="1"/>
  <c r="J212" i="531" s="1"/>
  <c r="H212" i="531"/>
  <c r="W211" i="531"/>
  <c r="V211" i="531"/>
  <c r="N211" i="531"/>
  <c r="K211" i="531" a="1"/>
  <c r="K211" i="531" s="1"/>
  <c r="M211" i="531" s="1"/>
  <c r="J211" i="531" a="1"/>
  <c r="J211" i="531" s="1"/>
  <c r="H211" i="531"/>
  <c r="V210" i="531"/>
  <c r="W210" i="531" s="1"/>
  <c r="N210" i="531"/>
  <c r="K210" i="531" a="1"/>
  <c r="K210" i="531" s="1"/>
  <c r="M210" i="531" s="1"/>
  <c r="J210" i="531" a="1"/>
  <c r="J210" i="531" s="1"/>
  <c r="H210" i="531"/>
  <c r="V209" i="531"/>
  <c r="W209" i="531" s="1"/>
  <c r="N209" i="531"/>
  <c r="K209" i="531"/>
  <c r="M209" i="531" s="1"/>
  <c r="K209" i="531" a="1"/>
  <c r="J209" i="531"/>
  <c r="J209" i="531" a="1"/>
  <c r="H209" i="531"/>
  <c r="V208" i="531"/>
  <c r="W208" i="531" s="1"/>
  <c r="N208" i="531"/>
  <c r="K208" i="531" a="1"/>
  <c r="K208" i="531" s="1"/>
  <c r="M208" i="531" s="1"/>
  <c r="J208" i="531" a="1"/>
  <c r="J208" i="531" s="1"/>
  <c r="H208" i="531"/>
  <c r="W207" i="531"/>
  <c r="V207" i="531"/>
  <c r="N207" i="531"/>
  <c r="K207" i="531" a="1"/>
  <c r="K207" i="531" s="1"/>
  <c r="M207" i="531" s="1"/>
  <c r="J207" i="531" a="1"/>
  <c r="J207" i="531" s="1"/>
  <c r="H207" i="531"/>
  <c r="H206" i="531"/>
  <c r="H205" i="531"/>
  <c r="H204" i="531"/>
  <c r="V203" i="531"/>
  <c r="W203" i="531" s="1"/>
  <c r="N203" i="531"/>
  <c r="K203" i="531"/>
  <c r="M203" i="531" s="1"/>
  <c r="K203" i="531" a="1"/>
  <c r="J203" i="531"/>
  <c r="J203" i="531" a="1"/>
  <c r="H203" i="531"/>
  <c r="V202" i="531"/>
  <c r="W202" i="531" s="1"/>
  <c r="N202" i="531"/>
  <c r="K202" i="531" a="1"/>
  <c r="K202" i="531" s="1"/>
  <c r="M202" i="531" s="1"/>
  <c r="J202" i="531" a="1"/>
  <c r="J202" i="531" s="1"/>
  <c r="H202" i="531"/>
  <c r="W201" i="531"/>
  <c r="V201" i="531"/>
  <c r="N201" i="531"/>
  <c r="K201" i="531" a="1"/>
  <c r="K201" i="531" s="1"/>
  <c r="M201" i="531" s="1"/>
  <c r="J201" i="531" a="1"/>
  <c r="J201" i="531" s="1"/>
  <c r="H201" i="531"/>
  <c r="H200" i="531"/>
  <c r="V199" i="531"/>
  <c r="V256" i="531" s="1"/>
  <c r="W256" i="531" s="1"/>
  <c r="N199" i="531"/>
  <c r="N256" i="531" s="1"/>
  <c r="K199" i="531"/>
  <c r="K199" i="531" a="1"/>
  <c r="J199" i="531"/>
  <c r="J199" i="531" a="1"/>
  <c r="H199" i="531"/>
  <c r="H256" i="531" s="1"/>
  <c r="AA198" i="531"/>
  <c r="AA333" i="531" s="1"/>
  <c r="Z198" i="531"/>
  <c r="Z333" i="531" s="1"/>
  <c r="Y198" i="531"/>
  <c r="Y333" i="531" s="1"/>
  <c r="X198" i="531"/>
  <c r="X333" i="531" s="1"/>
  <c r="U198" i="531"/>
  <c r="U333" i="531" s="1"/>
  <c r="T198" i="531"/>
  <c r="T333" i="531" s="1"/>
  <c r="S198" i="531"/>
  <c r="S333" i="531" s="1"/>
  <c r="R198" i="531"/>
  <c r="R333" i="531" s="1"/>
  <c r="Q198" i="531"/>
  <c r="Q333" i="531" s="1"/>
  <c r="P198" i="531"/>
  <c r="O198" i="531"/>
  <c r="I198" i="531"/>
  <c r="I333" i="531" s="1"/>
  <c r="B341" i="531" s="1"/>
  <c r="G198" i="531"/>
  <c r="G333" i="531" s="1"/>
  <c r="V197" i="531"/>
  <c r="W197" i="531" s="1"/>
  <c r="N197" i="531"/>
  <c r="K197" i="531" a="1"/>
  <c r="K197" i="531" s="1"/>
  <c r="M197" i="531" s="1"/>
  <c r="J197" i="531" a="1"/>
  <c r="J197" i="531" s="1"/>
  <c r="H197" i="531"/>
  <c r="V196" i="531"/>
  <c r="W196" i="531" s="1"/>
  <c r="N196" i="531"/>
  <c r="K196" i="531" a="1"/>
  <c r="K196" i="531" s="1"/>
  <c r="M196" i="531" s="1"/>
  <c r="J196" i="531" a="1"/>
  <c r="J196" i="531" s="1"/>
  <c r="H196" i="531"/>
  <c r="K195" i="531" a="1"/>
  <c r="K195" i="531" s="1"/>
  <c r="M195" i="531" s="1"/>
  <c r="H195" i="531"/>
  <c r="K194" i="531" a="1"/>
  <c r="K194" i="531" s="1"/>
  <c r="M194" i="531" s="1"/>
  <c r="H194" i="531"/>
  <c r="K193" i="531" a="1"/>
  <c r="K193" i="531" s="1"/>
  <c r="M193" i="531" s="1"/>
  <c r="H193" i="531"/>
  <c r="K192" i="531" a="1"/>
  <c r="K192" i="531" s="1"/>
  <c r="M192" i="531" s="1"/>
  <c r="H192" i="531"/>
  <c r="V191" i="531"/>
  <c r="W191" i="531" s="1"/>
  <c r="N191" i="531"/>
  <c r="K191" i="531" a="1"/>
  <c r="K191" i="531" s="1"/>
  <c r="M191" i="531" s="1"/>
  <c r="J191" i="531" a="1"/>
  <c r="J191" i="531" s="1"/>
  <c r="H191" i="531"/>
  <c r="V190" i="531"/>
  <c r="W190" i="531" s="1"/>
  <c r="N190" i="531"/>
  <c r="K190" i="531"/>
  <c r="M190" i="531" s="1"/>
  <c r="K190" i="531" a="1"/>
  <c r="J190" i="531"/>
  <c r="J190" i="531" a="1"/>
  <c r="H190" i="531"/>
  <c r="V189" i="531"/>
  <c r="W189" i="531" s="1"/>
  <c r="N189" i="531"/>
  <c r="K189" i="531" a="1"/>
  <c r="K189" i="531" s="1"/>
  <c r="M189" i="531" s="1"/>
  <c r="J189" i="531" a="1"/>
  <c r="J189" i="531" s="1"/>
  <c r="H189" i="531"/>
  <c r="N188" i="531"/>
  <c r="K188" i="531" a="1"/>
  <c r="K188" i="531" s="1"/>
  <c r="M188" i="531" s="1"/>
  <c r="J188" i="531" a="1"/>
  <c r="J188" i="531" s="1"/>
  <c r="H188" i="531"/>
  <c r="N187" i="531"/>
  <c r="K187" i="531" a="1"/>
  <c r="K187" i="531" s="1"/>
  <c r="M187" i="531" s="1"/>
  <c r="J187" i="531" a="1"/>
  <c r="J187" i="531" s="1"/>
  <c r="H187" i="531"/>
  <c r="W186" i="531"/>
  <c r="V186" i="531"/>
  <c r="N186" i="531"/>
  <c r="K186" i="531" a="1"/>
  <c r="K186" i="531" s="1"/>
  <c r="M186" i="531" s="1"/>
  <c r="J186" i="531" a="1"/>
  <c r="J186" i="531" s="1"/>
  <c r="H186" i="531"/>
  <c r="V185" i="531"/>
  <c r="W185" i="531" s="1"/>
  <c r="N185" i="531"/>
  <c r="K185" i="531" a="1"/>
  <c r="K185" i="531" s="1"/>
  <c r="M185" i="531" s="1"/>
  <c r="J185" i="531" a="1"/>
  <c r="J185" i="531" s="1"/>
  <c r="H185" i="531"/>
  <c r="N184" i="531"/>
  <c r="K184" i="531"/>
  <c r="M184" i="531" s="1"/>
  <c r="K184" i="531" a="1"/>
  <c r="H184" i="531"/>
  <c r="N183" i="531"/>
  <c r="K183" i="531" a="1"/>
  <c r="K183" i="531" s="1"/>
  <c r="M183" i="531" s="1"/>
  <c r="H183" i="531"/>
  <c r="W182" i="531"/>
  <c r="V182" i="531"/>
  <c r="N182" i="531"/>
  <c r="K182" i="531" a="1"/>
  <c r="K182" i="531" s="1"/>
  <c r="M182" i="531" s="1"/>
  <c r="J182" i="531" a="1"/>
  <c r="J182" i="531" s="1"/>
  <c r="H182" i="531"/>
  <c r="V181" i="531"/>
  <c r="W181" i="531" s="1"/>
  <c r="N181" i="531"/>
  <c r="K181" i="531" a="1"/>
  <c r="K181" i="531" s="1"/>
  <c r="M181" i="531" s="1"/>
  <c r="J181" i="531" a="1"/>
  <c r="J181" i="531" s="1"/>
  <c r="H181" i="531"/>
  <c r="V180" i="531"/>
  <c r="W180" i="531" s="1"/>
  <c r="N180" i="531"/>
  <c r="K180" i="531" a="1"/>
  <c r="K180" i="531" s="1"/>
  <c r="M180" i="531" s="1"/>
  <c r="J180" i="531" a="1"/>
  <c r="J180" i="531" s="1"/>
  <c r="H180" i="531"/>
  <c r="V179" i="531"/>
  <c r="W179" i="531" s="1"/>
  <c r="N179" i="531"/>
  <c r="K179" i="531" a="1"/>
  <c r="K179" i="531" s="1"/>
  <c r="M179" i="531" s="1"/>
  <c r="J179" i="531" a="1"/>
  <c r="J179" i="531" s="1"/>
  <c r="H179" i="531"/>
  <c r="V178" i="531"/>
  <c r="W178" i="531" s="1"/>
  <c r="N178" i="531"/>
  <c r="K178" i="531" a="1"/>
  <c r="K178" i="531" s="1"/>
  <c r="M178" i="531" s="1"/>
  <c r="J178" i="531" a="1"/>
  <c r="J178" i="531" s="1"/>
  <c r="H178" i="531"/>
  <c r="V177" i="531"/>
  <c r="V198" i="531" s="1"/>
  <c r="N177" i="531"/>
  <c r="N198" i="531" s="1"/>
  <c r="K177" i="531" a="1"/>
  <c r="K177" i="531" s="1"/>
  <c r="J177" i="531" a="1"/>
  <c r="J177" i="531" s="1"/>
  <c r="H177" i="531"/>
  <c r="H198" i="531" s="1"/>
  <c r="H333" i="531" s="1"/>
  <c r="E340" i="531" s="1"/>
  <c r="X170" i="531"/>
  <c r="Q526" i="531" s="1"/>
  <c r="X169" i="531"/>
  <c r="Q525" i="531" s="1"/>
  <c r="G169" i="531"/>
  <c r="C169" i="531"/>
  <c r="X168" i="531"/>
  <c r="Q524" i="531" s="1"/>
  <c r="I168" i="531"/>
  <c r="E168" i="531"/>
  <c r="K168" i="531" s="1"/>
  <c r="M168" i="531" s="1"/>
  <c r="I167" i="531"/>
  <c r="E167" i="531"/>
  <c r="K167" i="531" s="1"/>
  <c r="M167" i="531" s="1"/>
  <c r="I166" i="531"/>
  <c r="E166" i="531"/>
  <c r="K166" i="531" s="1"/>
  <c r="M166" i="531" s="1"/>
  <c r="X165" i="531"/>
  <c r="Q521" i="531" s="1"/>
  <c r="I165" i="531"/>
  <c r="I169" i="531" s="1"/>
  <c r="E165" i="531"/>
  <c r="K165" i="531" s="1"/>
  <c r="AA162" i="531"/>
  <c r="Z162" i="531"/>
  <c r="Y162" i="531"/>
  <c r="X162" i="531"/>
  <c r="U162" i="531"/>
  <c r="T162" i="531"/>
  <c r="S162" i="531"/>
  <c r="R162" i="531"/>
  <c r="Q162" i="531"/>
  <c r="P162" i="531"/>
  <c r="O162" i="531"/>
  <c r="R170" i="531" s="1"/>
  <c r="I162" i="531"/>
  <c r="G162" i="531"/>
  <c r="C526" i="531" s="1"/>
  <c r="H161" i="531"/>
  <c r="H160" i="531"/>
  <c r="H159" i="531"/>
  <c r="V158" i="531"/>
  <c r="W158" i="531" s="1"/>
  <c r="N158" i="531"/>
  <c r="K158" i="531"/>
  <c r="K158" i="531" a="1"/>
  <c r="J158" i="531" a="1"/>
  <c r="J158" i="531" s="1"/>
  <c r="H158" i="531"/>
  <c r="D158" i="531"/>
  <c r="V157" i="531"/>
  <c r="W157" i="531" s="1"/>
  <c r="N157" i="531"/>
  <c r="K157" i="531" a="1"/>
  <c r="K157" i="531" s="1"/>
  <c r="M157" i="531" s="1"/>
  <c r="J157" i="531" a="1"/>
  <c r="J157" i="531" s="1"/>
  <c r="H157" i="531"/>
  <c r="H156" i="531"/>
  <c r="H155" i="531"/>
  <c r="V154" i="531"/>
  <c r="W154" i="531" s="1"/>
  <c r="N154" i="531"/>
  <c r="K154" i="531" a="1"/>
  <c r="K154" i="531" s="1"/>
  <c r="M154" i="531" s="1"/>
  <c r="J154" i="531" a="1"/>
  <c r="J154" i="531" s="1"/>
  <c r="H154" i="531"/>
  <c r="V153" i="531"/>
  <c r="W153" i="531" s="1"/>
  <c r="N153" i="531"/>
  <c r="K153" i="531"/>
  <c r="M153" i="531" s="1"/>
  <c r="K153" i="531" a="1"/>
  <c r="J153" i="531"/>
  <c r="J153" i="531" a="1"/>
  <c r="H153" i="531"/>
  <c r="H152" i="531"/>
  <c r="W151" i="531"/>
  <c r="V151" i="531"/>
  <c r="N151" i="531"/>
  <c r="K151" i="531" a="1"/>
  <c r="K151" i="531" s="1"/>
  <c r="M151" i="531" s="1"/>
  <c r="J151" i="531" a="1"/>
  <c r="J151" i="531" s="1"/>
  <c r="H151" i="531"/>
  <c r="V150" i="531"/>
  <c r="W150" i="531" s="1"/>
  <c r="N150" i="531"/>
  <c r="K150" i="531" a="1"/>
  <c r="K150" i="531" s="1"/>
  <c r="M150" i="531" s="1"/>
  <c r="J150" i="531" a="1"/>
  <c r="J150" i="531" s="1"/>
  <c r="H150" i="531"/>
  <c r="V149" i="531"/>
  <c r="W149" i="531" s="1"/>
  <c r="N149" i="531"/>
  <c r="K149" i="531"/>
  <c r="M149" i="531" s="1"/>
  <c r="K149" i="531" a="1"/>
  <c r="J149" i="531"/>
  <c r="J149" i="531" a="1"/>
  <c r="H149" i="531"/>
  <c r="V148" i="531"/>
  <c r="N148" i="531"/>
  <c r="N162" i="531" s="1"/>
  <c r="K148" i="531" a="1"/>
  <c r="K148" i="531" s="1"/>
  <c r="J148" i="531" a="1"/>
  <c r="J148" i="531" s="1"/>
  <c r="H148" i="531"/>
  <c r="H162" i="531" s="1"/>
  <c r="AA147" i="531"/>
  <c r="Z147" i="531"/>
  <c r="Y147" i="531"/>
  <c r="X147" i="531"/>
  <c r="U147" i="531"/>
  <c r="T147" i="531"/>
  <c r="S147" i="531"/>
  <c r="Q147" i="531"/>
  <c r="P147" i="531"/>
  <c r="O147" i="531"/>
  <c r="R169" i="531" s="1"/>
  <c r="I147" i="531"/>
  <c r="G147" i="531"/>
  <c r="C525" i="531" s="1"/>
  <c r="W146" i="531"/>
  <c r="V146" i="531"/>
  <c r="N146" i="531"/>
  <c r="K146" i="531" a="1"/>
  <c r="K146" i="531" s="1"/>
  <c r="M146" i="531" s="1"/>
  <c r="J146" i="531" a="1"/>
  <c r="J146" i="531" s="1"/>
  <c r="H146" i="531"/>
  <c r="K145" i="531" a="1"/>
  <c r="K145" i="531" s="1"/>
  <c r="H145" i="531"/>
  <c r="K144" i="531" a="1"/>
  <c r="K144" i="531" s="1"/>
  <c r="H144" i="531"/>
  <c r="K143" i="531" a="1"/>
  <c r="K143" i="531" s="1"/>
  <c r="H143" i="531"/>
  <c r="W142" i="531"/>
  <c r="V142" i="531"/>
  <c r="N142" i="531"/>
  <c r="K142" i="531" a="1"/>
  <c r="K142" i="531" s="1"/>
  <c r="M142" i="531" s="1"/>
  <c r="J142" i="531" a="1"/>
  <c r="J142" i="531" s="1"/>
  <c r="H142" i="531"/>
  <c r="V141" i="531"/>
  <c r="W141" i="531" s="1"/>
  <c r="N141" i="531"/>
  <c r="K141" i="531" a="1"/>
  <c r="K141" i="531" s="1"/>
  <c r="M141" i="531" s="1"/>
  <c r="J141" i="531" a="1"/>
  <c r="J141" i="531" s="1"/>
  <c r="H141" i="531"/>
  <c r="V140" i="531"/>
  <c r="W140" i="531" s="1"/>
  <c r="N140" i="531"/>
  <c r="K140" i="531"/>
  <c r="M140" i="531" s="1"/>
  <c r="K140" i="531" a="1"/>
  <c r="J140" i="531"/>
  <c r="J140" i="531" a="1"/>
  <c r="H140" i="531"/>
  <c r="V139" i="531"/>
  <c r="W139" i="531" s="1"/>
  <c r="N139" i="531"/>
  <c r="K139" i="531" a="1"/>
  <c r="K139" i="531" s="1"/>
  <c r="M139" i="531" s="1"/>
  <c r="J139" i="531" a="1"/>
  <c r="J139" i="531" s="1"/>
  <c r="H139" i="531"/>
  <c r="W138" i="531"/>
  <c r="V138" i="531"/>
  <c r="V147" i="531" s="1"/>
  <c r="W147" i="531" s="1"/>
  <c r="N138" i="531"/>
  <c r="N147" i="531" s="1"/>
  <c r="K138" i="531" a="1"/>
  <c r="K138" i="531" s="1"/>
  <c r="J138" i="531" a="1"/>
  <c r="J138" i="531" s="1"/>
  <c r="H138" i="531"/>
  <c r="H147" i="531" s="1"/>
  <c r="AA137" i="531"/>
  <c r="Z137" i="531"/>
  <c r="Y137" i="531"/>
  <c r="X137" i="531"/>
  <c r="U137" i="531"/>
  <c r="T137" i="531"/>
  <c r="S137" i="531"/>
  <c r="Q137" i="531"/>
  <c r="P137" i="531"/>
  <c r="O137" i="531"/>
  <c r="I137" i="531"/>
  <c r="G137" i="531"/>
  <c r="C524" i="531" s="1"/>
  <c r="V136" i="531"/>
  <c r="W136" i="531" s="1"/>
  <c r="N136" i="531"/>
  <c r="K136" i="531" a="1"/>
  <c r="K136" i="531" s="1"/>
  <c r="M136" i="531" s="1"/>
  <c r="J136" i="531" a="1"/>
  <c r="J136" i="531" s="1"/>
  <c r="H136" i="531"/>
  <c r="W135" i="531"/>
  <c r="V135" i="531"/>
  <c r="N135" i="531"/>
  <c r="K135" i="531" a="1"/>
  <c r="K135" i="531" s="1"/>
  <c r="M135" i="531" s="1"/>
  <c r="J135" i="531" a="1"/>
  <c r="J135" i="531" s="1"/>
  <c r="H135" i="531"/>
  <c r="V134" i="531"/>
  <c r="W134" i="531" s="1"/>
  <c r="N134" i="531"/>
  <c r="K134" i="531" a="1"/>
  <c r="K134" i="531" s="1"/>
  <c r="M134" i="531" s="1"/>
  <c r="J134" i="531" a="1"/>
  <c r="J134" i="531" s="1"/>
  <c r="H134" i="531"/>
  <c r="V133" i="531"/>
  <c r="W133" i="531" s="1"/>
  <c r="N133" i="531"/>
  <c r="K133" i="531"/>
  <c r="M133" i="531" s="1"/>
  <c r="K133" i="531" a="1"/>
  <c r="J133" i="531"/>
  <c r="J133" i="531" a="1"/>
  <c r="H133" i="531"/>
  <c r="V132" i="531"/>
  <c r="W132" i="531" s="1"/>
  <c r="N132" i="531"/>
  <c r="K132" i="531" a="1"/>
  <c r="K132" i="531" s="1"/>
  <c r="M132" i="531" s="1"/>
  <c r="J132" i="531" a="1"/>
  <c r="J132" i="531" s="1"/>
  <c r="H132" i="531"/>
  <c r="W131" i="531"/>
  <c r="V131" i="531"/>
  <c r="N131" i="531"/>
  <c r="K131" i="531" a="1"/>
  <c r="K131" i="531" s="1"/>
  <c r="M131" i="531" s="1"/>
  <c r="J131" i="531" a="1"/>
  <c r="J131" i="531" s="1"/>
  <c r="H131" i="531"/>
  <c r="V130" i="531"/>
  <c r="W130" i="531" s="1"/>
  <c r="N130" i="531"/>
  <c r="K130" i="531" a="1"/>
  <c r="K130" i="531" s="1"/>
  <c r="M130" i="531" s="1"/>
  <c r="J130" i="531" a="1"/>
  <c r="J130" i="531" s="1"/>
  <c r="H130" i="531"/>
  <c r="V129" i="531"/>
  <c r="W129" i="531" s="1"/>
  <c r="N129" i="531"/>
  <c r="K129" i="531"/>
  <c r="M129" i="531" s="1"/>
  <c r="K129" i="531" a="1"/>
  <c r="J129" i="531"/>
  <c r="J129" i="531" a="1"/>
  <c r="H129" i="531"/>
  <c r="V128" i="531"/>
  <c r="W128" i="531" s="1"/>
  <c r="N128" i="531"/>
  <c r="K128" i="531" a="1"/>
  <c r="K128" i="531" s="1"/>
  <c r="M128" i="531" s="1"/>
  <c r="J128" i="531" a="1"/>
  <c r="J128" i="531" s="1"/>
  <c r="H128" i="531"/>
  <c r="W127" i="531"/>
  <c r="V127" i="531"/>
  <c r="N127" i="531"/>
  <c r="K127" i="531" a="1"/>
  <c r="K127" i="531" s="1"/>
  <c r="M127" i="531" s="1"/>
  <c r="J127" i="531" a="1"/>
  <c r="J127" i="531" s="1"/>
  <c r="H127" i="531"/>
  <c r="V126" i="531"/>
  <c r="W126" i="531" s="1"/>
  <c r="N126" i="531"/>
  <c r="K126" i="531" a="1"/>
  <c r="K126" i="531" s="1"/>
  <c r="M126" i="531" s="1"/>
  <c r="J126" i="531" a="1"/>
  <c r="J126" i="531" s="1"/>
  <c r="H126" i="531"/>
  <c r="V125" i="531"/>
  <c r="W125" i="531" s="1"/>
  <c r="N125" i="531"/>
  <c r="K125" i="531"/>
  <c r="M125" i="531" s="1"/>
  <c r="K125" i="531" a="1"/>
  <c r="J125" i="531"/>
  <c r="J125" i="531" a="1"/>
  <c r="H125" i="531"/>
  <c r="V124" i="531"/>
  <c r="W124" i="531" s="1"/>
  <c r="N124" i="531"/>
  <c r="K124" i="531" a="1"/>
  <c r="K124" i="531" s="1"/>
  <c r="M124" i="531" s="1"/>
  <c r="J124" i="531" a="1"/>
  <c r="J124" i="531" s="1"/>
  <c r="H124" i="531"/>
  <c r="W123" i="531"/>
  <c r="V123" i="531"/>
  <c r="N123" i="531"/>
  <c r="K123" i="531" a="1"/>
  <c r="K123" i="531" s="1"/>
  <c r="M123" i="531" s="1"/>
  <c r="J123" i="531" a="1"/>
  <c r="J123" i="531" s="1"/>
  <c r="H123" i="531"/>
  <c r="V122" i="531"/>
  <c r="V137" i="531" s="1"/>
  <c r="W137" i="531" s="1"/>
  <c r="N122" i="531"/>
  <c r="K122" i="531" a="1"/>
  <c r="K122" i="531" s="1"/>
  <c r="J122" i="531" a="1"/>
  <c r="J122" i="531" s="1"/>
  <c r="H122" i="531"/>
  <c r="H137" i="531" s="1"/>
  <c r="AA121" i="531"/>
  <c r="Z121" i="531"/>
  <c r="Y121" i="531"/>
  <c r="X121" i="531"/>
  <c r="U121" i="531"/>
  <c r="T121" i="531"/>
  <c r="S121" i="531"/>
  <c r="R121" i="531"/>
  <c r="Q121" i="531"/>
  <c r="P121" i="531"/>
  <c r="O121" i="531"/>
  <c r="R167" i="531" s="1"/>
  <c r="I121" i="531"/>
  <c r="G121" i="531"/>
  <c r="C523" i="531" s="1"/>
  <c r="V120" i="531"/>
  <c r="W120" i="531" s="1"/>
  <c r="N120" i="531"/>
  <c r="K120" i="531" a="1"/>
  <c r="K120" i="531" s="1"/>
  <c r="M120" i="531" s="1"/>
  <c r="J120" i="531" a="1"/>
  <c r="J120" i="531" s="1"/>
  <c r="H120" i="531"/>
  <c r="V119" i="531"/>
  <c r="W119" i="531" s="1"/>
  <c r="N119" i="531"/>
  <c r="K119" i="531"/>
  <c r="M119" i="531" s="1"/>
  <c r="K119" i="531" a="1"/>
  <c r="J119" i="531" a="1"/>
  <c r="J119" i="531" s="1"/>
  <c r="H119" i="531"/>
  <c r="V118" i="531"/>
  <c r="W118" i="531" s="1"/>
  <c r="N118" i="531"/>
  <c r="K118" i="531" a="1"/>
  <c r="K118" i="531" s="1"/>
  <c r="M118" i="531" s="1"/>
  <c r="J118" i="531" a="1"/>
  <c r="J118" i="531" s="1"/>
  <c r="H118" i="531"/>
  <c r="K117" i="531" a="1"/>
  <c r="K117" i="531" s="1"/>
  <c r="H117" i="531"/>
  <c r="K116" i="531" a="1"/>
  <c r="K116" i="531" s="1"/>
  <c r="H116" i="531"/>
  <c r="K115" i="531"/>
  <c r="K115" i="531" a="1"/>
  <c r="H115" i="531"/>
  <c r="V114" i="531"/>
  <c r="W114" i="531" s="1"/>
  <c r="N114" i="531"/>
  <c r="K114" i="531" a="1"/>
  <c r="K114" i="531" s="1"/>
  <c r="M114" i="531" s="1"/>
  <c r="J114" i="531" a="1"/>
  <c r="J114" i="531" s="1"/>
  <c r="H114" i="531"/>
  <c r="V113" i="531"/>
  <c r="W113" i="531" s="1"/>
  <c r="N113" i="531"/>
  <c r="K113" i="531" a="1"/>
  <c r="K113" i="531" s="1"/>
  <c r="M113" i="531" s="1"/>
  <c r="J113" i="531" a="1"/>
  <c r="J113" i="531" s="1"/>
  <c r="H113" i="531"/>
  <c r="N112" i="531"/>
  <c r="K112" i="531" a="1"/>
  <c r="K112" i="531" s="1"/>
  <c r="M112" i="531" s="1"/>
  <c r="H112" i="531"/>
  <c r="N111" i="531"/>
  <c r="K111" i="531"/>
  <c r="M111" i="531" s="1"/>
  <c r="K111" i="531" a="1"/>
  <c r="H111" i="531"/>
  <c r="N110" i="531"/>
  <c r="K110" i="531" a="1"/>
  <c r="K110" i="531" s="1"/>
  <c r="M110" i="531" s="1"/>
  <c r="H110" i="531"/>
  <c r="N109" i="531"/>
  <c r="K109" i="531" a="1"/>
  <c r="K109" i="531" s="1"/>
  <c r="M109" i="531" s="1"/>
  <c r="H109" i="531"/>
  <c r="N108" i="531"/>
  <c r="K108" i="531" a="1"/>
  <c r="K108" i="531" s="1"/>
  <c r="M108" i="531" s="1"/>
  <c r="H108" i="531"/>
  <c r="N107" i="531"/>
  <c r="K107" i="531" a="1"/>
  <c r="K107" i="531" s="1"/>
  <c r="M107" i="531" s="1"/>
  <c r="H107" i="531"/>
  <c r="V106" i="531"/>
  <c r="W106" i="531" s="1"/>
  <c r="N106" i="531"/>
  <c r="K106" i="531" a="1"/>
  <c r="K106" i="531" s="1"/>
  <c r="M106" i="531" s="1"/>
  <c r="H106" i="531"/>
  <c r="V105" i="531"/>
  <c r="W105" i="531" s="1"/>
  <c r="N105" i="531"/>
  <c r="K105" i="531" a="1"/>
  <c r="K105" i="531" s="1"/>
  <c r="M105" i="531" s="1"/>
  <c r="H105" i="531"/>
  <c r="V104" i="531"/>
  <c r="W104" i="531" s="1"/>
  <c r="N104" i="531"/>
  <c r="K104" i="531" a="1"/>
  <c r="K104" i="531" s="1"/>
  <c r="M104" i="531" s="1"/>
  <c r="H104" i="531"/>
  <c r="V103" i="531"/>
  <c r="W103" i="531" s="1"/>
  <c r="N103" i="531"/>
  <c r="K103" i="531" a="1"/>
  <c r="K103" i="531" s="1"/>
  <c r="M103" i="531" s="1"/>
  <c r="H103" i="531"/>
  <c r="V102" i="531"/>
  <c r="W102" i="531" s="1"/>
  <c r="N102" i="531"/>
  <c r="K102" i="531" a="1"/>
  <c r="K102" i="531" s="1"/>
  <c r="M102" i="531" s="1"/>
  <c r="H102" i="531"/>
  <c r="V101" i="531"/>
  <c r="W101" i="531" s="1"/>
  <c r="N101" i="531"/>
  <c r="K101" i="531" a="1"/>
  <c r="K101" i="531" s="1"/>
  <c r="M101" i="531" s="1"/>
  <c r="H101" i="531"/>
  <c r="V100" i="531"/>
  <c r="W100" i="531" s="1"/>
  <c r="N100" i="531"/>
  <c r="K100" i="531" a="1"/>
  <c r="K100" i="531" s="1"/>
  <c r="M100" i="531" s="1"/>
  <c r="H100" i="531"/>
  <c r="V99" i="531"/>
  <c r="W99" i="531" s="1"/>
  <c r="N99" i="531"/>
  <c r="K99" i="531" a="1"/>
  <c r="K99" i="531" s="1"/>
  <c r="M99" i="531" s="1"/>
  <c r="H99" i="531"/>
  <c r="V98" i="531"/>
  <c r="W98" i="531" s="1"/>
  <c r="N98" i="531"/>
  <c r="K98" i="531" a="1"/>
  <c r="K98" i="531" s="1"/>
  <c r="M98" i="531" s="1"/>
  <c r="H98" i="531"/>
  <c r="V97" i="531"/>
  <c r="W97" i="531" s="1"/>
  <c r="N97" i="531"/>
  <c r="K97" i="531" a="1"/>
  <c r="K97" i="531" s="1"/>
  <c r="M97" i="531" s="1"/>
  <c r="H97" i="531"/>
  <c r="V96" i="531"/>
  <c r="W96" i="531" s="1"/>
  <c r="N96" i="531"/>
  <c r="K96" i="531" a="1"/>
  <c r="K96" i="531" s="1"/>
  <c r="M96" i="531" s="1"/>
  <c r="H96" i="531"/>
  <c r="V95" i="531"/>
  <c r="W95" i="531" s="1"/>
  <c r="N95" i="531"/>
  <c r="K95" i="531" a="1"/>
  <c r="K95" i="531" s="1"/>
  <c r="M95" i="531" s="1"/>
  <c r="H95" i="531"/>
  <c r="K94" i="531" a="1"/>
  <c r="K94" i="531" s="1"/>
  <c r="M94" i="531" s="1"/>
  <c r="H94" i="531"/>
  <c r="V93" i="531"/>
  <c r="W93" i="531" s="1"/>
  <c r="N93" i="531"/>
  <c r="K93" i="531" a="1"/>
  <c r="K93" i="531" s="1"/>
  <c r="M93" i="531" s="1"/>
  <c r="J93" i="531" a="1"/>
  <c r="J93" i="531" s="1"/>
  <c r="H93" i="531"/>
  <c r="V92" i="531"/>
  <c r="W92" i="531" s="1"/>
  <c r="N92" i="531"/>
  <c r="K92" i="531" a="1"/>
  <c r="K92" i="531" s="1"/>
  <c r="M92" i="531" s="1"/>
  <c r="J92" i="531" a="1"/>
  <c r="J92" i="531" s="1"/>
  <c r="H92" i="531"/>
  <c r="V91" i="531"/>
  <c r="W91" i="531" s="1"/>
  <c r="N91" i="531"/>
  <c r="K91" i="531" a="1"/>
  <c r="K91" i="531" s="1"/>
  <c r="M91" i="531" s="1"/>
  <c r="J91" i="531" a="1"/>
  <c r="J91" i="531" s="1"/>
  <c r="H91" i="531"/>
  <c r="V90" i="531"/>
  <c r="W90" i="531" s="1"/>
  <c r="N90" i="531"/>
  <c r="K90" i="531" a="1"/>
  <c r="K90" i="531" s="1"/>
  <c r="M90" i="531" s="1"/>
  <c r="J90" i="531" a="1"/>
  <c r="J90" i="531" s="1"/>
  <c r="H90" i="531"/>
  <c r="V89" i="531"/>
  <c r="W89" i="531" s="1"/>
  <c r="N89" i="531"/>
  <c r="K89" i="531" a="1"/>
  <c r="K89" i="531" s="1"/>
  <c r="M89" i="531" s="1"/>
  <c r="J89" i="531" a="1"/>
  <c r="J89" i="531" s="1"/>
  <c r="H89" i="531"/>
  <c r="V88" i="531"/>
  <c r="W88" i="531" s="1"/>
  <c r="N88" i="531"/>
  <c r="K88" i="531" a="1"/>
  <c r="K88" i="531" s="1"/>
  <c r="M88" i="531" s="1"/>
  <c r="J88" i="531" a="1"/>
  <c r="J88" i="531" s="1"/>
  <c r="H88" i="531"/>
  <c r="V87" i="531"/>
  <c r="N87" i="531"/>
  <c r="N121" i="531" s="1"/>
  <c r="K87" i="531" a="1"/>
  <c r="K87" i="531" s="1"/>
  <c r="J87" i="531" a="1"/>
  <c r="J87" i="531" s="1"/>
  <c r="H87" i="531"/>
  <c r="AA86" i="531"/>
  <c r="Z86" i="531"/>
  <c r="Y86" i="531"/>
  <c r="X86" i="531"/>
  <c r="U86" i="531"/>
  <c r="T86" i="531"/>
  <c r="S86" i="531"/>
  <c r="R86" i="531"/>
  <c r="Q86" i="531"/>
  <c r="P86" i="531"/>
  <c r="O86" i="531"/>
  <c r="R166" i="531" s="1"/>
  <c r="I86" i="531"/>
  <c r="G86" i="531"/>
  <c r="C522" i="531" s="1"/>
  <c r="K85" i="531" a="1"/>
  <c r="K85" i="531" s="1"/>
  <c r="H85" i="531"/>
  <c r="K84" i="531" a="1"/>
  <c r="K84" i="531" s="1"/>
  <c r="H84" i="531"/>
  <c r="K83" i="531" a="1"/>
  <c r="K83" i="531" s="1"/>
  <c r="H83" i="531"/>
  <c r="K82" i="531" a="1"/>
  <c r="K82" i="531" s="1"/>
  <c r="H82" i="531"/>
  <c r="K81" i="531" a="1"/>
  <c r="K81" i="531" s="1"/>
  <c r="H81" i="531"/>
  <c r="K80" i="531" a="1"/>
  <c r="K80" i="531" s="1"/>
  <c r="H80" i="531"/>
  <c r="K79" i="531"/>
  <c r="M79" i="531" s="1"/>
  <c r="K79" i="531" a="1"/>
  <c r="H79" i="531"/>
  <c r="K78" i="531" a="1"/>
  <c r="K78" i="531" s="1"/>
  <c r="M78" i="531" s="1"/>
  <c r="H78" i="531"/>
  <c r="K77" i="531" a="1"/>
  <c r="K77" i="531" s="1"/>
  <c r="M77" i="531" s="1"/>
  <c r="H77" i="531"/>
  <c r="K76" i="531" a="1"/>
  <c r="K76" i="531" s="1"/>
  <c r="M76" i="531" s="1"/>
  <c r="H76" i="531"/>
  <c r="V75" i="531"/>
  <c r="W75" i="531" s="1"/>
  <c r="N75" i="531"/>
  <c r="K75" i="531" a="1"/>
  <c r="K75" i="531" s="1"/>
  <c r="M75" i="531" s="1"/>
  <c r="J75" i="531" a="1"/>
  <c r="J75" i="531" s="1"/>
  <c r="H75" i="531"/>
  <c r="V74" i="531"/>
  <c r="W74" i="531" s="1"/>
  <c r="N74" i="531"/>
  <c r="K74" i="531" a="1"/>
  <c r="K74" i="531" s="1"/>
  <c r="M74" i="531" s="1"/>
  <c r="J74" i="531" a="1"/>
  <c r="J74" i="531" s="1"/>
  <c r="H74" i="531"/>
  <c r="V73" i="531"/>
  <c r="W73" i="531" s="1"/>
  <c r="N73" i="531"/>
  <c r="K73" i="531"/>
  <c r="M73" i="531" s="1"/>
  <c r="K73" i="531" a="1"/>
  <c r="J73" i="531"/>
  <c r="J73" i="531" a="1"/>
  <c r="H73" i="531"/>
  <c r="V72" i="531"/>
  <c r="W72" i="531" s="1"/>
  <c r="N72" i="531"/>
  <c r="K72" i="531" a="1"/>
  <c r="K72" i="531" s="1"/>
  <c r="M72" i="531" s="1"/>
  <c r="J72" i="531" a="1"/>
  <c r="J72" i="531" s="1"/>
  <c r="H72" i="531"/>
  <c r="H71" i="531"/>
  <c r="V70" i="531"/>
  <c r="W70" i="531" s="1"/>
  <c r="N70" i="531"/>
  <c r="K70" i="531" a="1"/>
  <c r="K70" i="531" s="1"/>
  <c r="M70" i="531" s="1"/>
  <c r="J70" i="531" a="1"/>
  <c r="J70" i="531" s="1"/>
  <c r="H70" i="531"/>
  <c r="V69" i="531"/>
  <c r="W69" i="531" s="1"/>
  <c r="N69" i="531"/>
  <c r="K69" i="531" a="1"/>
  <c r="K69" i="531" s="1"/>
  <c r="M69" i="531" s="1"/>
  <c r="J69" i="531" a="1"/>
  <c r="J69" i="531" s="1"/>
  <c r="H69" i="531"/>
  <c r="K68" i="531" a="1"/>
  <c r="K68" i="531" s="1"/>
  <c r="H68" i="531"/>
  <c r="K67" i="531" a="1"/>
  <c r="K67" i="531" s="1"/>
  <c r="H67" i="531"/>
  <c r="V66" i="531"/>
  <c r="W66" i="531" s="1"/>
  <c r="N66" i="531"/>
  <c r="K66" i="531" a="1"/>
  <c r="K66" i="531" s="1"/>
  <c r="M66" i="531" s="1"/>
  <c r="J66" i="531" a="1"/>
  <c r="J66" i="531" s="1"/>
  <c r="H66" i="531"/>
  <c r="V65" i="531"/>
  <c r="W65" i="531" s="1"/>
  <c r="N65" i="531"/>
  <c r="K65" i="531" a="1"/>
  <c r="K65" i="531" s="1"/>
  <c r="M65" i="531" s="1"/>
  <c r="J65" i="531" a="1"/>
  <c r="J65" i="531" s="1"/>
  <c r="H65" i="531"/>
  <c r="V64" i="531"/>
  <c r="W64" i="531" s="1"/>
  <c r="N64" i="531"/>
  <c r="K64" i="531" a="1"/>
  <c r="K64" i="531" s="1"/>
  <c r="M64" i="531" s="1"/>
  <c r="J64" i="531" a="1"/>
  <c r="J64" i="531" s="1"/>
  <c r="H64" i="531"/>
  <c r="V63" i="531"/>
  <c r="W63" i="531" s="1"/>
  <c r="N63" i="531"/>
  <c r="K63" i="531" a="1"/>
  <c r="K63" i="531" s="1"/>
  <c r="M63" i="531" s="1"/>
  <c r="J63" i="531" a="1"/>
  <c r="J63" i="531" s="1"/>
  <c r="H63" i="531"/>
  <c r="V62" i="531"/>
  <c r="W62" i="531" s="1"/>
  <c r="N62" i="531"/>
  <c r="K62" i="531" a="1"/>
  <c r="K62" i="531" s="1"/>
  <c r="M62" i="531" s="1"/>
  <c r="J62" i="531" a="1"/>
  <c r="J62" i="531" s="1"/>
  <c r="H62" i="531"/>
  <c r="V61" i="531"/>
  <c r="W61" i="531" s="1"/>
  <c r="N61" i="531"/>
  <c r="K61" i="531" a="1"/>
  <c r="K61" i="531" s="1"/>
  <c r="M61" i="531" s="1"/>
  <c r="J61" i="531" a="1"/>
  <c r="J61" i="531" s="1"/>
  <c r="H61" i="531"/>
  <c r="V60" i="531"/>
  <c r="W60" i="531" s="1"/>
  <c r="N60" i="531"/>
  <c r="K60" i="531" a="1"/>
  <c r="K60" i="531" s="1"/>
  <c r="M60" i="531" s="1"/>
  <c r="J60" i="531" a="1"/>
  <c r="J60" i="531" s="1"/>
  <c r="H60" i="531"/>
  <c r="V59" i="531"/>
  <c r="W59" i="531" s="1"/>
  <c r="N59" i="531"/>
  <c r="K59" i="531" a="1"/>
  <c r="K59" i="531" s="1"/>
  <c r="M59" i="531" s="1"/>
  <c r="J59" i="531" a="1"/>
  <c r="J59" i="531" s="1"/>
  <c r="H59" i="531"/>
  <c r="V58" i="531"/>
  <c r="W58" i="531" s="1"/>
  <c r="N58" i="531"/>
  <c r="K58" i="531" a="1"/>
  <c r="K58" i="531" s="1"/>
  <c r="M58" i="531" s="1"/>
  <c r="J58" i="531" a="1"/>
  <c r="J58" i="531" s="1"/>
  <c r="H58" i="531"/>
  <c r="V57" i="531"/>
  <c r="W57" i="531" s="1"/>
  <c r="N57" i="531"/>
  <c r="K57" i="531" a="1"/>
  <c r="K57" i="531" s="1"/>
  <c r="M57" i="531" s="1"/>
  <c r="J57" i="531" a="1"/>
  <c r="J57" i="531" s="1"/>
  <c r="H57" i="531"/>
  <c r="K56" i="531" a="1"/>
  <c r="K56" i="531" s="1"/>
  <c r="M56" i="531" s="1"/>
  <c r="H56" i="531"/>
  <c r="K55" i="531" a="1"/>
  <c r="K55" i="531" s="1"/>
  <c r="M55" i="531" s="1"/>
  <c r="H55" i="531"/>
  <c r="K54" i="531"/>
  <c r="M54" i="531" s="1"/>
  <c r="K54" i="531" a="1"/>
  <c r="H54" i="531"/>
  <c r="K53" i="531" a="1"/>
  <c r="K53" i="531" s="1"/>
  <c r="M53" i="531" s="1"/>
  <c r="H53" i="531"/>
  <c r="N52" i="531"/>
  <c r="K52" i="531" a="1"/>
  <c r="K52" i="531" s="1"/>
  <c r="M52" i="531" s="1"/>
  <c r="H52" i="531"/>
  <c r="N51" i="531"/>
  <c r="K51" i="531" a="1"/>
  <c r="K51" i="531" s="1"/>
  <c r="M51" i="531" s="1"/>
  <c r="H51" i="531"/>
  <c r="N50" i="531"/>
  <c r="K50" i="531" a="1"/>
  <c r="K50" i="531" s="1"/>
  <c r="M50" i="531" s="1"/>
  <c r="H50" i="531"/>
  <c r="N49" i="531"/>
  <c r="K49" i="531" a="1"/>
  <c r="K49" i="531" s="1"/>
  <c r="M49" i="531" s="1"/>
  <c r="H49" i="531"/>
  <c r="V48" i="531"/>
  <c r="W48" i="531" s="1"/>
  <c r="N48" i="531"/>
  <c r="K48" i="531" a="1"/>
  <c r="K48" i="531" s="1"/>
  <c r="M48" i="531" s="1"/>
  <c r="J48" i="531" a="1"/>
  <c r="J48" i="531" s="1"/>
  <c r="H48" i="531"/>
  <c r="V47" i="531"/>
  <c r="W47" i="531" s="1"/>
  <c r="N47" i="531"/>
  <c r="K47" i="531" a="1"/>
  <c r="K47" i="531" s="1"/>
  <c r="M47" i="531" s="1"/>
  <c r="J47" i="531" a="1"/>
  <c r="J47" i="531" s="1"/>
  <c r="H47" i="531"/>
  <c r="V46" i="531"/>
  <c r="W46" i="531" s="1"/>
  <c r="N46" i="531"/>
  <c r="K46" i="531" a="1"/>
  <c r="K46" i="531" s="1"/>
  <c r="M46" i="531" s="1"/>
  <c r="J46" i="531" a="1"/>
  <c r="J46" i="531" s="1"/>
  <c r="H46" i="531"/>
  <c r="V45" i="531"/>
  <c r="W45" i="531" s="1"/>
  <c r="N45" i="531"/>
  <c r="K45" i="531" a="1"/>
  <c r="K45" i="531" s="1"/>
  <c r="M45" i="531" s="1"/>
  <c r="J45" i="531" a="1"/>
  <c r="J45" i="531" s="1"/>
  <c r="H45" i="531"/>
  <c r="V44" i="531"/>
  <c r="W44" i="531" s="1"/>
  <c r="N44" i="531"/>
  <c r="K44" i="531" a="1"/>
  <c r="K44" i="531" s="1"/>
  <c r="M44" i="531" s="1"/>
  <c r="J44" i="531" a="1"/>
  <c r="J44" i="531" s="1"/>
  <c r="H44" i="531"/>
  <c r="V43" i="531"/>
  <c r="W43" i="531" s="1"/>
  <c r="N43" i="531"/>
  <c r="K43" i="531" a="1"/>
  <c r="K43" i="531" s="1"/>
  <c r="M43" i="531" s="1"/>
  <c r="J43" i="531" a="1"/>
  <c r="J43" i="531" s="1"/>
  <c r="H43" i="531"/>
  <c r="V42" i="531"/>
  <c r="W42" i="531" s="1"/>
  <c r="N42" i="531"/>
  <c r="K42" i="531" a="1"/>
  <c r="K42" i="531" s="1"/>
  <c r="M42" i="531" s="1"/>
  <c r="J42" i="531" a="1"/>
  <c r="J42" i="531" s="1"/>
  <c r="H42" i="531"/>
  <c r="V41" i="531"/>
  <c r="W41" i="531" s="1"/>
  <c r="N41" i="531"/>
  <c r="K41" i="531" a="1"/>
  <c r="K41" i="531" s="1"/>
  <c r="M41" i="531" s="1"/>
  <c r="J41" i="531" a="1"/>
  <c r="J41" i="531" s="1"/>
  <c r="H41" i="531"/>
  <c r="V40" i="531"/>
  <c r="W40" i="531" s="1"/>
  <c r="N40" i="531"/>
  <c r="K40" i="531" a="1"/>
  <c r="K40" i="531" s="1"/>
  <c r="M40" i="531" s="1"/>
  <c r="J40" i="531" a="1"/>
  <c r="J40" i="531" s="1"/>
  <c r="H40" i="531"/>
  <c r="V39" i="531"/>
  <c r="W39" i="531" s="1"/>
  <c r="N39" i="531"/>
  <c r="K39" i="531" a="1"/>
  <c r="K39" i="531" s="1"/>
  <c r="M39" i="531" s="1"/>
  <c r="J39" i="531" a="1"/>
  <c r="J39" i="531" s="1"/>
  <c r="H39" i="531"/>
  <c r="V38" i="531"/>
  <c r="W38" i="531" s="1"/>
  <c r="N38" i="531"/>
  <c r="K38" i="531" a="1"/>
  <c r="K38" i="531" s="1"/>
  <c r="M38" i="531" s="1"/>
  <c r="J38" i="531" a="1"/>
  <c r="J38" i="531" s="1"/>
  <c r="H38" i="531"/>
  <c r="V37" i="531"/>
  <c r="W37" i="531" s="1"/>
  <c r="N37" i="531"/>
  <c r="K37" i="531" a="1"/>
  <c r="K37" i="531" s="1"/>
  <c r="M37" i="531" s="1"/>
  <c r="J37" i="531" a="1"/>
  <c r="J37" i="531" s="1"/>
  <c r="H37" i="531"/>
  <c r="H36" i="531"/>
  <c r="H35" i="531"/>
  <c r="H34" i="531"/>
  <c r="V33" i="531"/>
  <c r="W33" i="531" s="1"/>
  <c r="N33" i="531"/>
  <c r="K33" i="531" a="1"/>
  <c r="K33" i="531" s="1"/>
  <c r="M33" i="531" s="1"/>
  <c r="J33" i="531" a="1"/>
  <c r="J33" i="531" s="1"/>
  <c r="H33" i="531"/>
  <c r="V32" i="531"/>
  <c r="W32" i="531" s="1"/>
  <c r="N32" i="531"/>
  <c r="K32" i="531" a="1"/>
  <c r="K32" i="531" s="1"/>
  <c r="M32" i="531" s="1"/>
  <c r="J32" i="531" a="1"/>
  <c r="J32" i="531" s="1"/>
  <c r="H32" i="531"/>
  <c r="V31" i="531"/>
  <c r="W31" i="531" s="1"/>
  <c r="N31" i="531"/>
  <c r="K31" i="531" a="1"/>
  <c r="K31" i="531" s="1"/>
  <c r="M31" i="531" s="1"/>
  <c r="J31" i="531" a="1"/>
  <c r="J31" i="531" s="1"/>
  <c r="H31" i="531"/>
  <c r="K30" i="531" a="1"/>
  <c r="K30" i="531" s="1"/>
  <c r="H30" i="531"/>
  <c r="V29" i="531"/>
  <c r="V86" i="531" s="1"/>
  <c r="W86" i="531" s="1"/>
  <c r="N29" i="531"/>
  <c r="N86" i="531" s="1"/>
  <c r="K29" i="531"/>
  <c r="M29" i="531" s="1"/>
  <c r="K29" i="531" a="1"/>
  <c r="J29" i="531"/>
  <c r="J29" i="531" a="1"/>
  <c r="H29" i="531"/>
  <c r="H86" i="531" s="1"/>
  <c r="AA28" i="531"/>
  <c r="AA163" i="531" s="1"/>
  <c r="Z28" i="531"/>
  <c r="Z163" i="531" s="1"/>
  <c r="Y28" i="531"/>
  <c r="Y163" i="531" s="1"/>
  <c r="X28" i="531"/>
  <c r="X163" i="531" s="1"/>
  <c r="U28" i="531"/>
  <c r="U163" i="531" s="1"/>
  <c r="T28" i="531"/>
  <c r="T163" i="531" s="1"/>
  <c r="S28" i="531"/>
  <c r="S163" i="531" s="1"/>
  <c r="R28" i="531"/>
  <c r="R163" i="531" s="1"/>
  <c r="Q28" i="531"/>
  <c r="Q163" i="531" s="1"/>
  <c r="P28" i="531"/>
  <c r="X166" i="531" s="1"/>
  <c r="O28" i="531"/>
  <c r="R165" i="531" s="1"/>
  <c r="I28" i="531"/>
  <c r="I163" i="531" s="1"/>
  <c r="B171" i="531" s="1"/>
  <c r="G28" i="531"/>
  <c r="C521" i="531" s="1"/>
  <c r="V27" i="531"/>
  <c r="W27" i="531" s="1"/>
  <c r="N27" i="531"/>
  <c r="K27" i="531" a="1"/>
  <c r="K27" i="531" s="1"/>
  <c r="M27" i="531" s="1"/>
  <c r="J27" i="531" a="1"/>
  <c r="J27" i="531" s="1"/>
  <c r="H27" i="531"/>
  <c r="V26" i="531"/>
  <c r="W26" i="531" s="1"/>
  <c r="N26" i="531"/>
  <c r="K26" i="531" a="1"/>
  <c r="K26" i="531" s="1"/>
  <c r="M26" i="531" s="1"/>
  <c r="J26" i="531" a="1"/>
  <c r="J26" i="531" s="1"/>
  <c r="H26" i="531"/>
  <c r="K25" i="531"/>
  <c r="M25" i="531" s="1"/>
  <c r="K25" i="531" a="1"/>
  <c r="J25" i="531" a="1"/>
  <c r="J25" i="531" s="1"/>
  <c r="H25" i="531"/>
  <c r="K24" i="531" a="1"/>
  <c r="K24" i="531" s="1"/>
  <c r="M24" i="531" s="1"/>
  <c r="J24" i="531" a="1"/>
  <c r="J24" i="531" s="1"/>
  <c r="H24" i="531"/>
  <c r="K23" i="531" a="1"/>
  <c r="K23" i="531" s="1"/>
  <c r="M23" i="531" s="1"/>
  <c r="J23" i="531" a="1"/>
  <c r="J23" i="531" s="1"/>
  <c r="H23" i="531"/>
  <c r="K22" i="531" a="1"/>
  <c r="K22" i="531" s="1"/>
  <c r="M22" i="531" s="1"/>
  <c r="J22" i="531" a="1"/>
  <c r="J22" i="531" s="1"/>
  <c r="H22" i="531"/>
  <c r="V21" i="531"/>
  <c r="W21" i="531" s="1"/>
  <c r="N21" i="531"/>
  <c r="K21" i="531" a="1"/>
  <c r="K21" i="531" s="1"/>
  <c r="M21" i="531" s="1"/>
  <c r="J21" i="531" a="1"/>
  <c r="J21" i="531" s="1"/>
  <c r="H21" i="531"/>
  <c r="V20" i="531"/>
  <c r="W20" i="531" s="1"/>
  <c r="N20" i="531"/>
  <c r="K20" i="531" a="1"/>
  <c r="K20" i="531" s="1"/>
  <c r="M20" i="531" s="1"/>
  <c r="J20" i="531" a="1"/>
  <c r="J20" i="531" s="1"/>
  <c r="H20" i="531"/>
  <c r="V19" i="531"/>
  <c r="W19" i="531" s="1"/>
  <c r="N19" i="531"/>
  <c r="K19" i="531" a="1"/>
  <c r="K19" i="531" s="1"/>
  <c r="M19" i="531" s="1"/>
  <c r="J19" i="531" a="1"/>
  <c r="J19" i="531" s="1"/>
  <c r="H19" i="531"/>
  <c r="N18" i="531"/>
  <c r="K18" i="531" a="1"/>
  <c r="K18" i="531" s="1"/>
  <c r="M18" i="531" s="1"/>
  <c r="J18" i="531" a="1"/>
  <c r="J18" i="531" s="1"/>
  <c r="H18" i="531"/>
  <c r="N17" i="531"/>
  <c r="K17" i="531" a="1"/>
  <c r="K17" i="531" s="1"/>
  <c r="M17" i="531" s="1"/>
  <c r="J17" i="531" a="1"/>
  <c r="J17" i="531" s="1"/>
  <c r="H17" i="531"/>
  <c r="V16" i="531"/>
  <c r="W16" i="531" s="1"/>
  <c r="N16" i="531"/>
  <c r="K16" i="531" a="1"/>
  <c r="K16" i="531" s="1"/>
  <c r="M16" i="531" s="1"/>
  <c r="J16" i="531" a="1"/>
  <c r="J16" i="531" s="1"/>
  <c r="H16" i="531"/>
  <c r="V15" i="531"/>
  <c r="W15" i="531" s="1"/>
  <c r="N15" i="531"/>
  <c r="K15" i="531"/>
  <c r="M15" i="531" s="1"/>
  <c r="K15" i="531" a="1"/>
  <c r="J15" i="531"/>
  <c r="J15" i="531" a="1"/>
  <c r="H15" i="531"/>
  <c r="N14" i="531"/>
  <c r="K14" i="531" a="1"/>
  <c r="K14" i="531" s="1"/>
  <c r="M14" i="531" s="1"/>
  <c r="H14" i="531"/>
  <c r="N13" i="531"/>
  <c r="K13" i="531" a="1"/>
  <c r="K13" i="531" s="1"/>
  <c r="M13" i="531" s="1"/>
  <c r="H13" i="531"/>
  <c r="V12" i="531"/>
  <c r="W12" i="531" s="1"/>
  <c r="N12" i="531"/>
  <c r="K12" i="531" a="1"/>
  <c r="K12" i="531" s="1"/>
  <c r="M12" i="531" s="1"/>
  <c r="J12" i="531" a="1"/>
  <c r="J12" i="531" s="1"/>
  <c r="H12" i="531"/>
  <c r="V11" i="531"/>
  <c r="W11" i="531" s="1"/>
  <c r="N11" i="531"/>
  <c r="K11" i="531" a="1"/>
  <c r="K11" i="531" s="1"/>
  <c r="M11" i="531" s="1"/>
  <c r="J11" i="531" a="1"/>
  <c r="J11" i="531" s="1"/>
  <c r="H11" i="531"/>
  <c r="V10" i="531"/>
  <c r="W10" i="531" s="1"/>
  <c r="N10" i="531"/>
  <c r="K10" i="531" a="1"/>
  <c r="K10" i="531" s="1"/>
  <c r="M10" i="531" s="1"/>
  <c r="J10" i="531" a="1"/>
  <c r="J10" i="531" s="1"/>
  <c r="H10" i="531"/>
  <c r="V9" i="531"/>
  <c r="W9" i="531" s="1"/>
  <c r="N9" i="531"/>
  <c r="K9" i="531"/>
  <c r="M9" i="531" s="1"/>
  <c r="K9" i="531" a="1"/>
  <c r="J9" i="531"/>
  <c r="J9" i="531" a="1"/>
  <c r="H9" i="531"/>
  <c r="V8" i="531"/>
  <c r="W8" i="531" s="1"/>
  <c r="N8" i="531"/>
  <c r="K8" i="531" a="1"/>
  <c r="K8" i="531" s="1"/>
  <c r="M8" i="531" s="1"/>
  <c r="J8" i="531" a="1"/>
  <c r="J8" i="531" s="1"/>
  <c r="H8" i="531"/>
  <c r="V7" i="531"/>
  <c r="N7" i="531"/>
  <c r="N28" i="531" s="1"/>
  <c r="K7" i="531" a="1"/>
  <c r="K7" i="531" s="1"/>
  <c r="M7" i="531" s="1"/>
  <c r="J7" i="531" a="1"/>
  <c r="J7" i="531" s="1"/>
  <c r="H7" i="531"/>
  <c r="D531" i="530"/>
  <c r="D532" i="530"/>
  <c r="D530" i="530"/>
  <c r="G236" i="530"/>
  <c r="G325" i="530"/>
  <c r="G199" i="530"/>
  <c r="G262" i="530"/>
  <c r="G15" i="530"/>
  <c r="G155" i="530"/>
  <c r="G453" i="530"/>
  <c r="G123" i="530"/>
  <c r="G92" i="530"/>
  <c r="G93" i="530"/>
  <c r="G66" i="530"/>
  <c r="G112" i="530"/>
  <c r="S533" i="532" l="1" a="1"/>
  <c r="S533" i="532" s="1"/>
  <c r="N504" i="532"/>
  <c r="B513" i="532" s="1"/>
  <c r="W504" i="532"/>
  <c r="G516" i="532"/>
  <c r="X342" i="532"/>
  <c r="Z341" i="532" s="1"/>
  <c r="Z170" i="532"/>
  <c r="M163" i="532"/>
  <c r="E513" i="532"/>
  <c r="C518" i="532"/>
  <c r="G518" i="532" s="1"/>
  <c r="M339" i="532"/>
  <c r="Z337" i="532"/>
  <c r="M513" i="532" a="1"/>
  <c r="M513" i="532" s="1"/>
  <c r="K504" i="532"/>
  <c r="Z171" i="532"/>
  <c r="Z165" i="532" a="1"/>
  <c r="Z165" i="532" s="1"/>
  <c r="M165" i="532"/>
  <c r="K169" i="532"/>
  <c r="M169" i="532" s="1"/>
  <c r="M333" i="532"/>
  <c r="K521" i="532"/>
  <c r="R172" i="532"/>
  <c r="J163" i="532" a="1"/>
  <c r="J163" i="532" s="1"/>
  <c r="M170" i="532" s="1"/>
  <c r="B170" i="532"/>
  <c r="C516" i="532" s="1"/>
  <c r="Q522" i="532"/>
  <c r="Z166" i="532"/>
  <c r="W163" i="532"/>
  <c r="X513" i="532"/>
  <c r="Z507" i="532" s="1"/>
  <c r="R513" i="532"/>
  <c r="T506" i="532" a="1"/>
  <c r="T506" i="532" s="1"/>
  <c r="Z336" i="532"/>
  <c r="M504" i="532"/>
  <c r="R342" i="532"/>
  <c r="T337" i="532" s="1"/>
  <c r="V333" i="532"/>
  <c r="I342" i="532" s="1"/>
  <c r="M342" i="532" s="1" a="1"/>
  <c r="M342" i="532" s="1"/>
  <c r="K333" i="532"/>
  <c r="C527" i="532"/>
  <c r="E521" i="532" s="1"/>
  <c r="Q523" i="532"/>
  <c r="Z167" i="532"/>
  <c r="K163" i="532"/>
  <c r="E171" i="532" s="1"/>
  <c r="V163" i="532"/>
  <c r="I172" i="532" s="1"/>
  <c r="J461" i="531" a="1"/>
  <c r="J461" i="531" s="1"/>
  <c r="J291" i="531" a="1"/>
  <c r="J291" i="531" s="1"/>
  <c r="H121" i="531"/>
  <c r="V121" i="531"/>
  <c r="W121" i="531" s="1"/>
  <c r="N504" i="531"/>
  <c r="B513" i="531" s="1"/>
  <c r="E513" i="531" s="1"/>
  <c r="K477" i="531"/>
  <c r="M487" i="531"/>
  <c r="N477" i="531"/>
  <c r="W478" i="531"/>
  <c r="M368" i="531"/>
  <c r="H461" i="531"/>
  <c r="H504" i="531" s="1"/>
  <c r="E511" i="531" s="1"/>
  <c r="N307" i="531"/>
  <c r="W292" i="531"/>
  <c r="M307" i="531"/>
  <c r="W318" i="531"/>
  <c r="W332" i="531" s="1"/>
  <c r="W199" i="531"/>
  <c r="N291" i="531"/>
  <c r="N333" i="531" s="1"/>
  <c r="B342" i="531" s="1"/>
  <c r="J162" i="531" a="1"/>
  <c r="J162" i="531" s="1"/>
  <c r="V162" i="531"/>
  <c r="W162" i="531" s="1"/>
  <c r="N163" i="531"/>
  <c r="B172" i="531" s="1"/>
  <c r="N137" i="531"/>
  <c r="R168" i="531"/>
  <c r="W29" i="531"/>
  <c r="M86" i="531"/>
  <c r="H28" i="531"/>
  <c r="H163" i="531" s="1"/>
  <c r="E170" i="531" s="1"/>
  <c r="V28" i="531"/>
  <c r="W7" i="531"/>
  <c r="K147" i="531"/>
  <c r="J147" i="531" a="1"/>
  <c r="J147" i="531" s="1"/>
  <c r="E172" i="531"/>
  <c r="M28" i="531"/>
  <c r="V163" i="531"/>
  <c r="I172" i="531" s="1"/>
  <c r="W28" i="531"/>
  <c r="W163" i="531" s="1"/>
  <c r="K521" i="531"/>
  <c r="R172" i="531"/>
  <c r="T165" i="531" s="1" a="1"/>
  <c r="T165" i="531" s="1"/>
  <c r="K522" i="531"/>
  <c r="K523" i="531"/>
  <c r="K169" i="531"/>
  <c r="M165" i="531"/>
  <c r="M177" i="531"/>
  <c r="M198" i="531" s="1"/>
  <c r="K198" i="531"/>
  <c r="C517" i="531"/>
  <c r="Q522" i="531"/>
  <c r="M87" i="531"/>
  <c r="M121" i="531" s="1"/>
  <c r="K121" i="531"/>
  <c r="M122" i="531"/>
  <c r="M137" i="531" s="1"/>
  <c r="K137" i="531"/>
  <c r="K524" i="531"/>
  <c r="T168" i="531"/>
  <c r="K525" i="531"/>
  <c r="T169" i="531"/>
  <c r="K162" i="531"/>
  <c r="M148" i="531"/>
  <c r="M162" i="531" s="1"/>
  <c r="K526" i="531"/>
  <c r="T170" i="531"/>
  <c r="J28" i="531" a="1"/>
  <c r="J28" i="531" s="1"/>
  <c r="K28" i="531"/>
  <c r="J86" i="531" a="1"/>
  <c r="J86" i="531" s="1"/>
  <c r="K86" i="531"/>
  <c r="W87" i="531"/>
  <c r="J121" i="531" a="1"/>
  <c r="J121" i="531" s="1"/>
  <c r="W122" i="531"/>
  <c r="J137" i="531" a="1"/>
  <c r="J137" i="531" s="1"/>
  <c r="M138" i="531"/>
  <c r="M147" i="531" s="1"/>
  <c r="W148" i="531"/>
  <c r="O163" i="531"/>
  <c r="E169" i="531"/>
  <c r="W177" i="531"/>
  <c r="W198" i="531" s="1"/>
  <c r="J198" i="531" a="1"/>
  <c r="J198" i="531" s="1"/>
  <c r="X336" i="531"/>
  <c r="P333" i="531"/>
  <c r="X337" i="531" s="1"/>
  <c r="K256" i="531"/>
  <c r="K291" i="531"/>
  <c r="M257" i="531"/>
  <c r="M291" i="531" s="1"/>
  <c r="K317" i="531"/>
  <c r="M308" i="531"/>
  <c r="M317" i="531" s="1"/>
  <c r="C527" i="531"/>
  <c r="E525" i="531" s="1"/>
  <c r="G163" i="531"/>
  <c r="P163" i="531"/>
  <c r="X167" i="531" s="1"/>
  <c r="X172" i="531" s="1"/>
  <c r="J333" i="531" a="1"/>
  <c r="J333" i="531" s="1"/>
  <c r="M340" i="531" s="1"/>
  <c r="B340" i="531"/>
  <c r="O333" i="531"/>
  <c r="R335" i="531"/>
  <c r="M199" i="531"/>
  <c r="M256" i="531" s="1"/>
  <c r="V291" i="531"/>
  <c r="W291" i="531" s="1"/>
  <c r="K307" i="531"/>
  <c r="V317" i="531"/>
  <c r="W317" i="531" s="1"/>
  <c r="R337" i="531"/>
  <c r="R338" i="531"/>
  <c r="M318" i="531"/>
  <c r="M332" i="531" s="1"/>
  <c r="X342" i="531"/>
  <c r="Z335" i="531" s="1" a="1"/>
  <c r="Z335" i="531" s="1"/>
  <c r="W368" i="531"/>
  <c r="M461" i="531"/>
  <c r="K335" i="531"/>
  <c r="J368" i="531" a="1"/>
  <c r="J368" i="531" s="1"/>
  <c r="K368" i="531"/>
  <c r="R507" i="531"/>
  <c r="V461" i="531"/>
  <c r="W461" i="531" s="1"/>
  <c r="M462" i="531"/>
  <c r="M477" i="531" s="1"/>
  <c r="W462" i="531"/>
  <c r="V477" i="531"/>
  <c r="W477" i="531" s="1"/>
  <c r="B511" i="531"/>
  <c r="J504" i="531" a="1"/>
  <c r="J504" i="531" s="1"/>
  <c r="M511" i="531" s="1"/>
  <c r="R506" i="531"/>
  <c r="X506" i="531"/>
  <c r="O504" i="531"/>
  <c r="X507" i="531" s="1"/>
  <c r="M369" i="531"/>
  <c r="M426" i="531" s="1"/>
  <c r="M504" i="531" s="1"/>
  <c r="K461" i="531"/>
  <c r="K503" i="531"/>
  <c r="M488" i="531"/>
  <c r="M503" i="531" s="1"/>
  <c r="K487" i="531"/>
  <c r="R531" i="531"/>
  <c r="S531" i="531" a="1"/>
  <c r="S531" i="531" s="1"/>
  <c r="R510" i="531"/>
  <c r="W488" i="531"/>
  <c r="W503" i="531" s="1"/>
  <c r="K510" i="531"/>
  <c r="M506" i="531"/>
  <c r="J533" i="531"/>
  <c r="Q530" i="531"/>
  <c r="R532" i="531"/>
  <c r="S532" i="531" a="1"/>
  <c r="S532" i="531" s="1"/>
  <c r="E510" i="531"/>
  <c r="T530" i="531" a="1"/>
  <c r="T530" i="531" s="1"/>
  <c r="T531" i="531" a="1"/>
  <c r="T531" i="531" s="1"/>
  <c r="T532" i="531" a="1"/>
  <c r="T532" i="531" s="1"/>
  <c r="C533" i="531"/>
  <c r="T533" i="531" s="1" a="1"/>
  <c r="T533" i="531" s="1"/>
  <c r="Z335" i="532" l="1" a="1"/>
  <c r="Z335" i="532" s="1"/>
  <c r="Z338" i="532"/>
  <c r="Z339" i="532"/>
  <c r="Z340" i="532"/>
  <c r="K518" i="532"/>
  <c r="O518" i="532" s="1" a="1"/>
  <c r="O518" i="532" s="1"/>
  <c r="M172" i="532" a="1"/>
  <c r="M172" i="532" s="1"/>
  <c r="E523" i="532"/>
  <c r="E526" i="532"/>
  <c r="E522" i="532"/>
  <c r="E524" i="532"/>
  <c r="E525" i="532"/>
  <c r="E341" i="532"/>
  <c r="I341" i="532" s="1"/>
  <c r="M341" i="532" s="1"/>
  <c r="L333" i="532"/>
  <c r="I340" i="532" s="1"/>
  <c r="T335" i="532" a="1"/>
  <c r="T335" i="532" s="1"/>
  <c r="T338" i="532"/>
  <c r="T512" i="532"/>
  <c r="T509" i="532"/>
  <c r="T507" i="532"/>
  <c r="T511" i="532"/>
  <c r="T508" i="532"/>
  <c r="Z506" i="532" a="1"/>
  <c r="Z506" i="532" s="1"/>
  <c r="L163" i="532"/>
  <c r="I170" i="532" s="1"/>
  <c r="K527" i="532"/>
  <c r="T171" i="532"/>
  <c r="T168" i="532"/>
  <c r="T169" i="532"/>
  <c r="T170" i="532"/>
  <c r="T166" i="532"/>
  <c r="T167" i="532"/>
  <c r="I171" i="532"/>
  <c r="M171" i="532" s="1"/>
  <c r="T341" i="532"/>
  <c r="T336" i="532"/>
  <c r="T339" i="532"/>
  <c r="T340" i="532"/>
  <c r="Z512" i="532"/>
  <c r="Z510" i="532"/>
  <c r="Z509" i="532"/>
  <c r="Z511" i="532"/>
  <c r="Z508" i="532"/>
  <c r="Q527" i="532"/>
  <c r="O516" i="532" a="1"/>
  <c r="O516" i="532" s="1"/>
  <c r="T165" i="532" a="1"/>
  <c r="T165" i="532" s="1"/>
  <c r="M521" i="532" a="1"/>
  <c r="M521" i="532" s="1"/>
  <c r="E512" i="532"/>
  <c r="I512" i="532" s="1"/>
  <c r="M512" i="532" s="1"/>
  <c r="L504" i="532"/>
  <c r="I511" i="532" s="1"/>
  <c r="T510" i="532"/>
  <c r="G516" i="531"/>
  <c r="E342" i="531"/>
  <c r="C518" i="531"/>
  <c r="Z341" i="531"/>
  <c r="E524" i="531"/>
  <c r="E522" i="531"/>
  <c r="E523" i="531"/>
  <c r="E521" i="531"/>
  <c r="M510" i="531"/>
  <c r="R513" i="531"/>
  <c r="K504" i="531"/>
  <c r="M335" i="531"/>
  <c r="K339" i="531"/>
  <c r="M339" i="531" s="1"/>
  <c r="Z339" i="531"/>
  <c r="Z338" i="531"/>
  <c r="R342" i="531"/>
  <c r="T337" i="531" s="1"/>
  <c r="Z165" i="531" a="1"/>
  <c r="Z165" i="531" s="1"/>
  <c r="Z171" i="531"/>
  <c r="Q523" i="531"/>
  <c r="Z167" i="531"/>
  <c r="Z337" i="531"/>
  <c r="Z170" i="531"/>
  <c r="K333" i="531"/>
  <c r="T167" i="531"/>
  <c r="T166" i="531"/>
  <c r="R530" i="531"/>
  <c r="R533" i="531" s="1"/>
  <c r="Q533" i="531"/>
  <c r="S533" i="531" s="1" a="1"/>
  <c r="S533" i="531" s="1"/>
  <c r="S530" i="531" a="1"/>
  <c r="S530" i="531" s="1"/>
  <c r="X513" i="531"/>
  <c r="Z506" i="531" s="1" a="1"/>
  <c r="Z506" i="531" s="1"/>
  <c r="T507" i="531"/>
  <c r="T338" i="531"/>
  <c r="V504" i="531"/>
  <c r="Z340" i="531"/>
  <c r="B170" i="531"/>
  <c r="C516" i="531" s="1"/>
  <c r="J163" i="531" a="1"/>
  <c r="J163" i="531" s="1"/>
  <c r="M170" i="531" s="1"/>
  <c r="Z336" i="531"/>
  <c r="W333" i="531"/>
  <c r="Z169" i="531"/>
  <c r="Z168" i="531"/>
  <c r="E526" i="531"/>
  <c r="E527" i="531" s="1"/>
  <c r="K163" i="531"/>
  <c r="E171" i="531" s="1"/>
  <c r="Z166" i="531"/>
  <c r="V333" i="531"/>
  <c r="I342" i="531" s="1"/>
  <c r="M342" i="531" s="1" a="1"/>
  <c r="M342" i="531" s="1"/>
  <c r="M333" i="531"/>
  <c r="M169" i="531"/>
  <c r="K527" i="531"/>
  <c r="M525" i="531" s="1"/>
  <c r="T171" i="531"/>
  <c r="M163" i="531"/>
  <c r="G518" i="531"/>
  <c r="E527" i="532" l="1"/>
  <c r="S524" i="532"/>
  <c r="S526" i="532"/>
  <c r="S525" i="532"/>
  <c r="S521" i="532" a="1"/>
  <c r="S521" i="532" s="1"/>
  <c r="S523" i="532"/>
  <c r="G517" i="532"/>
  <c r="S522" i="532"/>
  <c r="M523" i="532"/>
  <c r="M525" i="532"/>
  <c r="M522" i="532"/>
  <c r="M526" i="532"/>
  <c r="M524" i="532"/>
  <c r="M522" i="531"/>
  <c r="M523" i="531"/>
  <c r="O516" i="531" a="1"/>
  <c r="O516" i="531" s="1"/>
  <c r="I513" i="531"/>
  <c r="M513" i="531" s="1" a="1"/>
  <c r="M513" i="531" s="1"/>
  <c r="W504" i="531"/>
  <c r="M172" i="531" a="1"/>
  <c r="M172" i="531" s="1"/>
  <c r="M521" i="531" a="1"/>
  <c r="M521" i="531" s="1"/>
  <c r="M524" i="531"/>
  <c r="M526" i="531"/>
  <c r="Q527" i="531"/>
  <c r="S523" i="531" s="1"/>
  <c r="T335" i="531" a="1"/>
  <c r="T335" i="531" s="1"/>
  <c r="E512" i="531"/>
  <c r="I512" i="531" s="1"/>
  <c r="M512" i="531" s="1"/>
  <c r="L504" i="531"/>
  <c r="I511" i="531" s="1"/>
  <c r="T512" i="531"/>
  <c r="T508" i="531"/>
  <c r="T509" i="531"/>
  <c r="T511" i="531"/>
  <c r="T510" i="531"/>
  <c r="I171" i="531"/>
  <c r="M171" i="531" s="1"/>
  <c r="L163" i="531"/>
  <c r="I170" i="531" s="1"/>
  <c r="Z512" i="531"/>
  <c r="Z509" i="531"/>
  <c r="Z510" i="531"/>
  <c r="Z511" i="531"/>
  <c r="Z508" i="531"/>
  <c r="K518" i="531"/>
  <c r="O518" i="531" s="1" a="1"/>
  <c r="O518" i="531" s="1"/>
  <c r="E341" i="531"/>
  <c r="I341" i="531" s="1"/>
  <c r="M341" i="531" s="1"/>
  <c r="L333" i="531"/>
  <c r="I340" i="531" s="1"/>
  <c r="T341" i="531"/>
  <c r="T339" i="531"/>
  <c r="T340" i="531"/>
  <c r="T336" i="531"/>
  <c r="T506" i="531" a="1"/>
  <c r="T506" i="531" s="1"/>
  <c r="Z507" i="531"/>
  <c r="K517" i="532" l="1"/>
  <c r="O517" i="532" s="1"/>
  <c r="K516" i="532"/>
  <c r="S527" i="532"/>
  <c r="G517" i="531"/>
  <c r="S521" i="531" a="1"/>
  <c r="S521" i="531" s="1"/>
  <c r="S524" i="531"/>
  <c r="S526" i="531"/>
  <c r="S525" i="531"/>
  <c r="S522" i="531"/>
  <c r="S527" i="531" l="1"/>
  <c r="K517" i="531"/>
  <c r="O517" i="531" s="1"/>
  <c r="K516" i="531"/>
  <c r="P533" i="530" l="1"/>
  <c r="O533" i="530"/>
  <c r="N533" i="530"/>
  <c r="M533" i="530"/>
  <c r="L533" i="530"/>
  <c r="K533" i="530"/>
  <c r="I533" i="530"/>
  <c r="H533" i="530"/>
  <c r="G533" i="530"/>
  <c r="F533" i="530"/>
  <c r="E533" i="530"/>
  <c r="D533" i="530"/>
  <c r="C532" i="530"/>
  <c r="J532" i="530" s="1"/>
  <c r="Q532" i="530" s="1"/>
  <c r="C531" i="530"/>
  <c r="J531" i="530" s="1"/>
  <c r="Q531" i="530" s="1"/>
  <c r="C530" i="530"/>
  <c r="J530" i="530" s="1"/>
  <c r="G514" i="530"/>
  <c r="N514" i="530" s="1"/>
  <c r="X512" i="530"/>
  <c r="X511" i="530"/>
  <c r="X510" i="530"/>
  <c r="G510" i="530"/>
  <c r="C510" i="530"/>
  <c r="X509" i="530"/>
  <c r="I509" i="530"/>
  <c r="E509" i="530"/>
  <c r="K509" i="530" s="1"/>
  <c r="M509" i="530" s="1"/>
  <c r="X508" i="530"/>
  <c r="I508" i="530"/>
  <c r="E508" i="530"/>
  <c r="K508" i="530" s="1"/>
  <c r="M508" i="530" s="1"/>
  <c r="I507" i="530"/>
  <c r="E507" i="530"/>
  <c r="K507" i="530" s="1"/>
  <c r="M507" i="530" s="1"/>
  <c r="I506" i="530"/>
  <c r="I510" i="530" s="1"/>
  <c r="E506" i="530"/>
  <c r="E510" i="530" s="1"/>
  <c r="AA503" i="530"/>
  <c r="Z503" i="530"/>
  <c r="Y503" i="530"/>
  <c r="X503" i="530"/>
  <c r="U503" i="530"/>
  <c r="T503" i="530"/>
  <c r="S503" i="530"/>
  <c r="R503" i="530"/>
  <c r="Q503" i="530"/>
  <c r="P503" i="530"/>
  <c r="O503" i="530"/>
  <c r="R511" i="530" s="1"/>
  <c r="I503" i="530"/>
  <c r="G503" i="530"/>
  <c r="J503" i="530" s="1" a="1"/>
  <c r="J503" i="530" s="1"/>
  <c r="H502" i="530"/>
  <c r="H501" i="530"/>
  <c r="H500" i="530"/>
  <c r="D499" i="530"/>
  <c r="H499" i="530" s="1"/>
  <c r="V498" i="530"/>
  <c r="W498" i="530" s="1"/>
  <c r="N498" i="530"/>
  <c r="K498" i="530" a="1"/>
  <c r="K498" i="530" s="1"/>
  <c r="M498" i="530" s="1"/>
  <c r="J498" i="530" a="1"/>
  <c r="J498" i="530" s="1"/>
  <c r="H498" i="530"/>
  <c r="H497" i="530"/>
  <c r="H496" i="530"/>
  <c r="V495" i="530"/>
  <c r="W495" i="530" s="1"/>
  <c r="N495" i="530"/>
  <c r="K495" i="530"/>
  <c r="M495" i="530" s="1"/>
  <c r="K495" i="530" a="1"/>
  <c r="J495" i="530"/>
  <c r="J495" i="530" a="1"/>
  <c r="H495" i="530"/>
  <c r="V494" i="530"/>
  <c r="W494" i="530" s="1"/>
  <c r="N494" i="530"/>
  <c r="K494" i="530" a="1"/>
  <c r="K494" i="530" s="1"/>
  <c r="M494" i="530" s="1"/>
  <c r="J494" i="530" a="1"/>
  <c r="J494" i="530" s="1"/>
  <c r="H494" i="530"/>
  <c r="H493" i="530"/>
  <c r="H492" i="530"/>
  <c r="V491" i="530"/>
  <c r="W491" i="530" s="1"/>
  <c r="N491" i="530"/>
  <c r="K491" i="530" a="1"/>
  <c r="K491" i="530" s="1"/>
  <c r="M491" i="530" s="1"/>
  <c r="J491" i="530" a="1"/>
  <c r="J491" i="530" s="1"/>
  <c r="H491" i="530"/>
  <c r="V490" i="530"/>
  <c r="W490" i="530" s="1"/>
  <c r="N490" i="530"/>
  <c r="K490" i="530" a="1"/>
  <c r="K490" i="530" s="1"/>
  <c r="M490" i="530" s="1"/>
  <c r="J490" i="530" a="1"/>
  <c r="J490" i="530" s="1"/>
  <c r="H490" i="530"/>
  <c r="V489" i="530"/>
  <c r="W489" i="530" s="1"/>
  <c r="N489" i="530"/>
  <c r="K489" i="530"/>
  <c r="M489" i="530" s="1"/>
  <c r="K489" i="530" a="1"/>
  <c r="J489" i="530"/>
  <c r="J489" i="530" a="1"/>
  <c r="H489" i="530"/>
  <c r="V488" i="530"/>
  <c r="V503" i="530" s="1"/>
  <c r="N488" i="530"/>
  <c r="N503" i="530" s="1"/>
  <c r="K488" i="530" a="1"/>
  <c r="K488" i="530" s="1"/>
  <c r="J488" i="530" a="1"/>
  <c r="J488" i="530" s="1"/>
  <c r="H488" i="530"/>
  <c r="H503" i="530" s="1"/>
  <c r="AA487" i="530"/>
  <c r="Z487" i="530"/>
  <c r="Y487" i="530"/>
  <c r="X487" i="530"/>
  <c r="U487" i="530"/>
  <c r="T487" i="530"/>
  <c r="S487" i="530"/>
  <c r="Q487" i="530"/>
  <c r="P487" i="530"/>
  <c r="O487" i="530"/>
  <c r="I487" i="530"/>
  <c r="G487" i="530"/>
  <c r="J487" i="530" s="1" a="1"/>
  <c r="J487" i="530" s="1"/>
  <c r="V486" i="530"/>
  <c r="W486" i="530" s="1"/>
  <c r="N486" i="530"/>
  <c r="K486" i="530"/>
  <c r="M486" i="530" s="1"/>
  <c r="K486" i="530" a="1"/>
  <c r="J486" i="530"/>
  <c r="J486" i="530" a="1"/>
  <c r="H486" i="530"/>
  <c r="H485" i="530"/>
  <c r="H484" i="530"/>
  <c r="H483" i="530"/>
  <c r="W482" i="530"/>
  <c r="V482" i="530"/>
  <c r="N482" i="530"/>
  <c r="K482" i="530" a="1"/>
  <c r="K482" i="530" s="1"/>
  <c r="M482" i="530" s="1"/>
  <c r="J482" i="530" a="1"/>
  <c r="J482" i="530" s="1"/>
  <c r="H482" i="530"/>
  <c r="V481" i="530"/>
  <c r="W481" i="530" s="1"/>
  <c r="N481" i="530"/>
  <c r="K481" i="530" a="1"/>
  <c r="K481" i="530" s="1"/>
  <c r="M481" i="530" s="1"/>
  <c r="J481" i="530" a="1"/>
  <c r="J481" i="530" s="1"/>
  <c r="H481" i="530"/>
  <c r="V480" i="530"/>
  <c r="W480" i="530" s="1"/>
  <c r="N480" i="530"/>
  <c r="K480" i="530"/>
  <c r="M480" i="530" s="1"/>
  <c r="K480" i="530" a="1"/>
  <c r="J480" i="530"/>
  <c r="J480" i="530" a="1"/>
  <c r="H480" i="530"/>
  <c r="V479" i="530"/>
  <c r="W479" i="530" s="1"/>
  <c r="N479" i="530"/>
  <c r="K479" i="530" a="1"/>
  <c r="K479" i="530" s="1"/>
  <c r="M479" i="530" s="1"/>
  <c r="J479" i="530" a="1"/>
  <c r="J479" i="530" s="1"/>
  <c r="H479" i="530"/>
  <c r="W478" i="530"/>
  <c r="V478" i="530"/>
  <c r="V487" i="530" s="1"/>
  <c r="W487" i="530" s="1"/>
  <c r="N478" i="530"/>
  <c r="N487" i="530" s="1"/>
  <c r="K478" i="530" a="1"/>
  <c r="K478" i="530" s="1"/>
  <c r="M478" i="530" s="1"/>
  <c r="M487" i="530" s="1"/>
  <c r="J478" i="530" a="1"/>
  <c r="J478" i="530" s="1"/>
  <c r="H478" i="530"/>
  <c r="H487" i="530" s="1"/>
  <c r="AA477" i="530"/>
  <c r="Z477" i="530"/>
  <c r="Y477" i="530"/>
  <c r="X477" i="530"/>
  <c r="U477" i="530"/>
  <c r="T477" i="530"/>
  <c r="S477" i="530"/>
  <c r="Q477" i="530"/>
  <c r="P477" i="530"/>
  <c r="O477" i="530"/>
  <c r="R509" i="530" s="1"/>
  <c r="I477" i="530"/>
  <c r="G477" i="530"/>
  <c r="J477" i="530" s="1" a="1"/>
  <c r="J477" i="530" s="1"/>
  <c r="V476" i="530"/>
  <c r="W476" i="530" s="1"/>
  <c r="N476" i="530"/>
  <c r="K476" i="530" a="1"/>
  <c r="K476" i="530" s="1"/>
  <c r="M476" i="530" s="1"/>
  <c r="J476" i="530" a="1"/>
  <c r="J476" i="530" s="1"/>
  <c r="H476" i="530"/>
  <c r="V475" i="530"/>
  <c r="W475" i="530" s="1"/>
  <c r="N475" i="530"/>
  <c r="K475" i="530" a="1"/>
  <c r="K475" i="530" s="1"/>
  <c r="M475" i="530" s="1"/>
  <c r="J475" i="530" a="1"/>
  <c r="J475" i="530" s="1"/>
  <c r="H475" i="530"/>
  <c r="V474" i="530"/>
  <c r="W474" i="530" s="1"/>
  <c r="N474" i="530"/>
  <c r="K474" i="530" a="1"/>
  <c r="K474" i="530" s="1"/>
  <c r="M474" i="530" s="1"/>
  <c r="J474" i="530" a="1"/>
  <c r="J474" i="530" s="1"/>
  <c r="H474" i="530"/>
  <c r="V473" i="530"/>
  <c r="W473" i="530" s="1"/>
  <c r="N473" i="530"/>
  <c r="K473" i="530"/>
  <c r="M473" i="530" s="1"/>
  <c r="K473" i="530" a="1"/>
  <c r="J473" i="530"/>
  <c r="J473" i="530" a="1"/>
  <c r="H473" i="530"/>
  <c r="V472" i="530"/>
  <c r="W472" i="530" s="1"/>
  <c r="N472" i="530"/>
  <c r="K472" i="530" a="1"/>
  <c r="K472" i="530" s="1"/>
  <c r="M472" i="530" s="1"/>
  <c r="J472" i="530" a="1"/>
  <c r="J472" i="530" s="1"/>
  <c r="H472" i="530"/>
  <c r="W471" i="530"/>
  <c r="V471" i="530"/>
  <c r="N471" i="530"/>
  <c r="K471" i="530" a="1"/>
  <c r="K471" i="530" s="1"/>
  <c r="M471" i="530" s="1"/>
  <c r="J471" i="530" a="1"/>
  <c r="J471" i="530" s="1"/>
  <c r="H471" i="530"/>
  <c r="V470" i="530"/>
  <c r="W470" i="530" s="1"/>
  <c r="N470" i="530"/>
  <c r="K470" i="530" a="1"/>
  <c r="K470" i="530" s="1"/>
  <c r="M470" i="530" s="1"/>
  <c r="J470" i="530" a="1"/>
  <c r="J470" i="530" s="1"/>
  <c r="H470" i="530"/>
  <c r="V469" i="530"/>
  <c r="W469" i="530" s="1"/>
  <c r="N469" i="530"/>
  <c r="K469" i="530"/>
  <c r="M469" i="530" s="1"/>
  <c r="K469" i="530" a="1"/>
  <c r="J469" i="530"/>
  <c r="J469" i="530" a="1"/>
  <c r="H469" i="530"/>
  <c r="V468" i="530"/>
  <c r="W468" i="530" s="1"/>
  <c r="N468" i="530"/>
  <c r="K468" i="530" a="1"/>
  <c r="K468" i="530" s="1"/>
  <c r="M468" i="530" s="1"/>
  <c r="J468" i="530" a="1"/>
  <c r="J468" i="530" s="1"/>
  <c r="H468" i="530"/>
  <c r="W467" i="530"/>
  <c r="V467" i="530"/>
  <c r="N467" i="530"/>
  <c r="K467" i="530" a="1"/>
  <c r="K467" i="530" s="1"/>
  <c r="M467" i="530" s="1"/>
  <c r="J467" i="530" a="1"/>
  <c r="J467" i="530" s="1"/>
  <c r="H467" i="530"/>
  <c r="V466" i="530"/>
  <c r="W466" i="530" s="1"/>
  <c r="N466" i="530"/>
  <c r="K466" i="530" a="1"/>
  <c r="K466" i="530" s="1"/>
  <c r="M466" i="530" s="1"/>
  <c r="J466" i="530" a="1"/>
  <c r="J466" i="530" s="1"/>
  <c r="H466" i="530"/>
  <c r="V465" i="530"/>
  <c r="W465" i="530" s="1"/>
  <c r="N465" i="530"/>
  <c r="K465" i="530"/>
  <c r="M465" i="530" s="1"/>
  <c r="K465" i="530" a="1"/>
  <c r="J465" i="530"/>
  <c r="J465" i="530" a="1"/>
  <c r="H465" i="530"/>
  <c r="V464" i="530"/>
  <c r="W464" i="530" s="1"/>
  <c r="N464" i="530"/>
  <c r="K464" i="530" a="1"/>
  <c r="K464" i="530" s="1"/>
  <c r="M464" i="530" s="1"/>
  <c r="J464" i="530" a="1"/>
  <c r="J464" i="530" s="1"/>
  <c r="H464" i="530"/>
  <c r="W463" i="530"/>
  <c r="V463" i="530"/>
  <c r="N463" i="530"/>
  <c r="K463" i="530" a="1"/>
  <c r="K463" i="530" s="1"/>
  <c r="M463" i="530" s="1"/>
  <c r="J463" i="530" a="1"/>
  <c r="J463" i="530" s="1"/>
  <c r="H463" i="530"/>
  <c r="V462" i="530"/>
  <c r="N462" i="530"/>
  <c r="K462" i="530" a="1"/>
  <c r="K462" i="530" s="1"/>
  <c r="J462" i="530" a="1"/>
  <c r="J462" i="530" s="1"/>
  <c r="H462" i="530"/>
  <c r="H477" i="530" s="1"/>
  <c r="AA461" i="530"/>
  <c r="Z461" i="530"/>
  <c r="Y461" i="530"/>
  <c r="X461" i="530"/>
  <c r="U461" i="530"/>
  <c r="T461" i="530"/>
  <c r="S461" i="530"/>
  <c r="R461" i="530"/>
  <c r="Q461" i="530"/>
  <c r="P461" i="530"/>
  <c r="O461" i="530"/>
  <c r="R508" i="530" s="1"/>
  <c r="I461" i="530"/>
  <c r="G461" i="530"/>
  <c r="V460" i="530"/>
  <c r="W460" i="530" s="1"/>
  <c r="N460" i="530"/>
  <c r="K460" i="530" a="1"/>
  <c r="K460" i="530" s="1"/>
  <c r="M460" i="530" s="1"/>
  <c r="J460" i="530" a="1"/>
  <c r="J460" i="530" s="1"/>
  <c r="H460" i="530"/>
  <c r="V459" i="530"/>
  <c r="W459" i="530" s="1"/>
  <c r="N459" i="530"/>
  <c r="K459" i="530" a="1"/>
  <c r="K459" i="530" s="1"/>
  <c r="M459" i="530" s="1"/>
  <c r="J459" i="530" a="1"/>
  <c r="J459" i="530" s="1"/>
  <c r="H459" i="530"/>
  <c r="V458" i="530"/>
  <c r="W458" i="530" s="1"/>
  <c r="N458" i="530"/>
  <c r="K458" i="530" a="1"/>
  <c r="K458" i="530" s="1"/>
  <c r="M458" i="530" s="1"/>
  <c r="J458" i="530" a="1"/>
  <c r="J458" i="530" s="1"/>
  <c r="H458" i="530"/>
  <c r="K457" i="530"/>
  <c r="M457" i="530" s="1"/>
  <c r="K457" i="530" a="1"/>
  <c r="H457" i="530"/>
  <c r="K456" i="530" a="1"/>
  <c r="K456" i="530" s="1"/>
  <c r="M456" i="530" s="1"/>
  <c r="H456" i="530"/>
  <c r="K455" i="530"/>
  <c r="M455" i="530" s="1"/>
  <c r="K455" i="530" a="1"/>
  <c r="H455" i="530"/>
  <c r="V454" i="530"/>
  <c r="W454" i="530" s="1"/>
  <c r="N454" i="530"/>
  <c r="K454" i="530" a="1"/>
  <c r="K454" i="530" s="1"/>
  <c r="M454" i="530" s="1"/>
  <c r="J454" i="530" a="1"/>
  <c r="J454" i="530" s="1"/>
  <c r="H454" i="530"/>
  <c r="W453" i="530"/>
  <c r="V453" i="530"/>
  <c r="N453" i="530"/>
  <c r="K453" i="530"/>
  <c r="M453" i="530" s="1"/>
  <c r="K453" i="530" a="1"/>
  <c r="J453" i="530" a="1"/>
  <c r="J453" i="530" s="1"/>
  <c r="H453" i="530"/>
  <c r="N452" i="530"/>
  <c r="K452" i="530" a="1"/>
  <c r="K452" i="530" s="1"/>
  <c r="M452" i="530" s="1"/>
  <c r="H452" i="530"/>
  <c r="N451" i="530"/>
  <c r="K451" i="530" a="1"/>
  <c r="K451" i="530" s="1"/>
  <c r="M451" i="530" s="1"/>
  <c r="H451" i="530"/>
  <c r="N450" i="530"/>
  <c r="K450" i="530" a="1"/>
  <c r="K450" i="530" s="1"/>
  <c r="M450" i="530" s="1"/>
  <c r="H450" i="530"/>
  <c r="N449" i="530"/>
  <c r="K449" i="530"/>
  <c r="M449" i="530" s="1"/>
  <c r="K449" i="530" a="1"/>
  <c r="H449" i="530"/>
  <c r="N448" i="530"/>
  <c r="K448" i="530" a="1"/>
  <c r="K448" i="530" s="1"/>
  <c r="M448" i="530" s="1"/>
  <c r="H448" i="530"/>
  <c r="N447" i="530"/>
  <c r="K447" i="530" a="1"/>
  <c r="K447" i="530" s="1"/>
  <c r="M447" i="530" s="1"/>
  <c r="H447" i="530"/>
  <c r="V446" i="530"/>
  <c r="W446" i="530" s="1"/>
  <c r="N446" i="530"/>
  <c r="K446" i="530" a="1"/>
  <c r="K446" i="530" s="1"/>
  <c r="M446" i="530" s="1"/>
  <c r="J446" i="530" a="1"/>
  <c r="J446" i="530" s="1"/>
  <c r="H446" i="530"/>
  <c r="V445" i="530"/>
  <c r="W445" i="530" s="1"/>
  <c r="N445" i="530"/>
  <c r="K445" i="530"/>
  <c r="M445" i="530" s="1"/>
  <c r="K445" i="530" a="1"/>
  <c r="J445" i="530"/>
  <c r="J445" i="530" a="1"/>
  <c r="H445" i="530"/>
  <c r="V444" i="530"/>
  <c r="W444" i="530" s="1"/>
  <c r="N444" i="530"/>
  <c r="K444" i="530" a="1"/>
  <c r="K444" i="530" s="1"/>
  <c r="M444" i="530" s="1"/>
  <c r="J444" i="530" a="1"/>
  <c r="J444" i="530" s="1"/>
  <c r="H444" i="530"/>
  <c r="W443" i="530"/>
  <c r="V443" i="530"/>
  <c r="N443" i="530"/>
  <c r="K443" i="530" a="1"/>
  <c r="K443" i="530" s="1"/>
  <c r="M443" i="530" s="1"/>
  <c r="J443" i="530" a="1"/>
  <c r="J443" i="530" s="1"/>
  <c r="H443" i="530"/>
  <c r="V442" i="530"/>
  <c r="W442" i="530" s="1"/>
  <c r="N442" i="530"/>
  <c r="K442" i="530" a="1"/>
  <c r="K442" i="530" s="1"/>
  <c r="M442" i="530" s="1"/>
  <c r="J442" i="530" a="1"/>
  <c r="J442" i="530" s="1"/>
  <c r="H442" i="530"/>
  <c r="V441" i="530"/>
  <c r="W441" i="530" s="1"/>
  <c r="N441" i="530"/>
  <c r="K441" i="530"/>
  <c r="M441" i="530" s="1"/>
  <c r="K441" i="530" a="1"/>
  <c r="J441" i="530"/>
  <c r="J441" i="530" a="1"/>
  <c r="H441" i="530"/>
  <c r="V440" i="530"/>
  <c r="W440" i="530" s="1"/>
  <c r="N440" i="530"/>
  <c r="K440" i="530" a="1"/>
  <c r="K440" i="530" s="1"/>
  <c r="M440" i="530" s="1"/>
  <c r="J440" i="530" a="1"/>
  <c r="J440" i="530" s="1"/>
  <c r="H440" i="530"/>
  <c r="W439" i="530"/>
  <c r="V439" i="530"/>
  <c r="N439" i="530"/>
  <c r="K439" i="530" a="1"/>
  <c r="K439" i="530" s="1"/>
  <c r="M439" i="530" s="1"/>
  <c r="J439" i="530" a="1"/>
  <c r="J439" i="530" s="1"/>
  <c r="H439" i="530"/>
  <c r="V438" i="530"/>
  <c r="W438" i="530" s="1"/>
  <c r="N438" i="530"/>
  <c r="K438" i="530" a="1"/>
  <c r="K438" i="530" s="1"/>
  <c r="M438" i="530" s="1"/>
  <c r="J438" i="530" a="1"/>
  <c r="J438" i="530" s="1"/>
  <c r="H438" i="530"/>
  <c r="V437" i="530"/>
  <c r="W437" i="530" s="1"/>
  <c r="N437" i="530"/>
  <c r="K437" i="530"/>
  <c r="M437" i="530" s="1"/>
  <c r="K437" i="530" a="1"/>
  <c r="J437" i="530"/>
  <c r="J437" i="530" a="1"/>
  <c r="H437" i="530"/>
  <c r="V436" i="530"/>
  <c r="W436" i="530" s="1"/>
  <c r="N436" i="530"/>
  <c r="K436" i="530" a="1"/>
  <c r="K436" i="530" s="1"/>
  <c r="M436" i="530" s="1"/>
  <c r="J436" i="530" a="1"/>
  <c r="J436" i="530" s="1"/>
  <c r="H436" i="530"/>
  <c r="W435" i="530"/>
  <c r="V435" i="530"/>
  <c r="N435" i="530"/>
  <c r="K435" i="530" a="1"/>
  <c r="K435" i="530" s="1"/>
  <c r="M435" i="530" s="1"/>
  <c r="J435" i="530" a="1"/>
  <c r="J435" i="530" s="1"/>
  <c r="H435" i="530"/>
  <c r="N434" i="530"/>
  <c r="K434" i="530" a="1"/>
  <c r="K434" i="530" s="1"/>
  <c r="M434" i="530" s="1"/>
  <c r="H434" i="530"/>
  <c r="V433" i="530"/>
  <c r="W433" i="530" s="1"/>
  <c r="N433" i="530"/>
  <c r="K433" i="530"/>
  <c r="M433" i="530" s="1"/>
  <c r="K433" i="530" a="1"/>
  <c r="J433" i="530"/>
  <c r="J433" i="530" a="1"/>
  <c r="H433" i="530"/>
  <c r="V432" i="530"/>
  <c r="W432" i="530" s="1"/>
  <c r="N432" i="530"/>
  <c r="K432" i="530" a="1"/>
  <c r="K432" i="530" s="1"/>
  <c r="M432" i="530" s="1"/>
  <c r="J432" i="530" a="1"/>
  <c r="J432" i="530" s="1"/>
  <c r="H432" i="530"/>
  <c r="W431" i="530"/>
  <c r="V431" i="530"/>
  <c r="N431" i="530"/>
  <c r="K431" i="530" a="1"/>
  <c r="K431" i="530" s="1"/>
  <c r="M431" i="530" s="1"/>
  <c r="J431" i="530" a="1"/>
  <c r="J431" i="530" s="1"/>
  <c r="H431" i="530"/>
  <c r="V430" i="530"/>
  <c r="W430" i="530" s="1"/>
  <c r="N430" i="530"/>
  <c r="K430" i="530" a="1"/>
  <c r="K430" i="530" s="1"/>
  <c r="M430" i="530" s="1"/>
  <c r="J430" i="530" a="1"/>
  <c r="J430" i="530" s="1"/>
  <c r="H430" i="530"/>
  <c r="V429" i="530"/>
  <c r="W429" i="530" s="1"/>
  <c r="N429" i="530"/>
  <c r="K429" i="530"/>
  <c r="M429" i="530" s="1"/>
  <c r="K429" i="530" a="1"/>
  <c r="J429" i="530"/>
  <c r="J429" i="530" a="1"/>
  <c r="H429" i="530"/>
  <c r="V428" i="530"/>
  <c r="W428" i="530" s="1"/>
  <c r="N428" i="530"/>
  <c r="K428" i="530" a="1"/>
  <c r="K428" i="530" s="1"/>
  <c r="M428" i="530" s="1"/>
  <c r="J428" i="530" a="1"/>
  <c r="J428" i="530" s="1"/>
  <c r="H428" i="530"/>
  <c r="W427" i="530"/>
  <c r="V427" i="530"/>
  <c r="V461" i="530" s="1"/>
  <c r="W461" i="530" s="1"/>
  <c r="N427" i="530"/>
  <c r="N461" i="530" s="1"/>
  <c r="K427" i="530" a="1"/>
  <c r="K427" i="530" s="1"/>
  <c r="M427" i="530" s="1"/>
  <c r="J427" i="530" a="1"/>
  <c r="J427" i="530" s="1"/>
  <c r="H427" i="530"/>
  <c r="H461" i="530" s="1"/>
  <c r="AA426" i="530"/>
  <c r="Z426" i="530"/>
  <c r="Y426" i="530"/>
  <c r="X426" i="530"/>
  <c r="U426" i="530"/>
  <c r="T426" i="530"/>
  <c r="S426" i="530"/>
  <c r="R426" i="530"/>
  <c r="Q426" i="530"/>
  <c r="P426" i="530"/>
  <c r="O426" i="530"/>
  <c r="R507" i="530" s="1"/>
  <c r="I426" i="530"/>
  <c r="G426" i="530"/>
  <c r="J426" i="530" s="1" a="1"/>
  <c r="J426" i="530" s="1"/>
  <c r="K425" i="530" a="1"/>
  <c r="K425" i="530" s="1"/>
  <c r="M425" i="530" s="1"/>
  <c r="H425" i="530"/>
  <c r="K424" i="530"/>
  <c r="M424" i="530" s="1"/>
  <c r="K424" i="530" a="1"/>
  <c r="H424" i="530"/>
  <c r="K423" i="530" a="1"/>
  <c r="K423" i="530" s="1"/>
  <c r="M423" i="530" s="1"/>
  <c r="H423" i="530"/>
  <c r="K422" i="530"/>
  <c r="M422" i="530" s="1"/>
  <c r="K422" i="530" a="1"/>
  <c r="H422" i="530"/>
  <c r="K421" i="530" a="1"/>
  <c r="K421" i="530" s="1"/>
  <c r="M421" i="530" s="1"/>
  <c r="H421" i="530"/>
  <c r="K420" i="530" a="1"/>
  <c r="K420" i="530" s="1"/>
  <c r="M420" i="530" s="1"/>
  <c r="H420" i="530"/>
  <c r="K419" i="530" a="1"/>
  <c r="K419" i="530" s="1"/>
  <c r="M419" i="530" s="1"/>
  <c r="H419" i="530"/>
  <c r="K418" i="530" a="1"/>
  <c r="K418" i="530" s="1"/>
  <c r="M418" i="530" s="1"/>
  <c r="H418" i="530"/>
  <c r="K417" i="530" a="1"/>
  <c r="K417" i="530" s="1"/>
  <c r="M417" i="530" s="1"/>
  <c r="H417" i="530"/>
  <c r="K416" i="530" a="1"/>
  <c r="K416" i="530" s="1"/>
  <c r="M416" i="530" s="1"/>
  <c r="H416" i="530"/>
  <c r="W415" i="530"/>
  <c r="V415" i="530"/>
  <c r="N415" i="530"/>
  <c r="K415" i="530" a="1"/>
  <c r="K415" i="530" s="1"/>
  <c r="M415" i="530" s="1"/>
  <c r="J415" i="530" a="1"/>
  <c r="J415" i="530" s="1"/>
  <c r="H415" i="530"/>
  <c r="V414" i="530"/>
  <c r="W414" i="530" s="1"/>
  <c r="N414" i="530"/>
  <c r="K414" i="530" a="1"/>
  <c r="K414" i="530" s="1"/>
  <c r="M414" i="530" s="1"/>
  <c r="J414" i="530" a="1"/>
  <c r="J414" i="530" s="1"/>
  <c r="H414" i="530"/>
  <c r="V413" i="530"/>
  <c r="W413" i="530" s="1"/>
  <c r="N413" i="530"/>
  <c r="K413" i="530"/>
  <c r="M413" i="530" s="1"/>
  <c r="K413" i="530" a="1"/>
  <c r="J413" i="530"/>
  <c r="J413" i="530" a="1"/>
  <c r="H413" i="530"/>
  <c r="V412" i="530"/>
  <c r="W412" i="530" s="1"/>
  <c r="N412" i="530"/>
  <c r="K412" i="530" a="1"/>
  <c r="K412" i="530" s="1"/>
  <c r="M412" i="530" s="1"/>
  <c r="J412" i="530" a="1"/>
  <c r="J412" i="530" s="1"/>
  <c r="H412" i="530"/>
  <c r="H411" i="530"/>
  <c r="V410" i="530"/>
  <c r="W410" i="530" s="1"/>
  <c r="N410" i="530"/>
  <c r="K410" i="530" a="1"/>
  <c r="K410" i="530" s="1"/>
  <c r="M410" i="530" s="1"/>
  <c r="J410" i="530" a="1"/>
  <c r="J410" i="530" s="1"/>
  <c r="H410" i="530"/>
  <c r="W409" i="530"/>
  <c r="V409" i="530"/>
  <c r="N409" i="530"/>
  <c r="K409" i="530" a="1"/>
  <c r="K409" i="530" s="1"/>
  <c r="M409" i="530" s="1"/>
  <c r="J409" i="530" a="1"/>
  <c r="J409" i="530" s="1"/>
  <c r="H409" i="530"/>
  <c r="H408" i="530"/>
  <c r="K407" i="530" a="1"/>
  <c r="K407" i="530" s="1"/>
  <c r="H407" i="530"/>
  <c r="V406" i="530"/>
  <c r="W406" i="530" s="1"/>
  <c r="N406" i="530"/>
  <c r="K406" i="530" a="1"/>
  <c r="K406" i="530" s="1"/>
  <c r="M406" i="530" s="1"/>
  <c r="J406" i="530" a="1"/>
  <c r="J406" i="530" s="1"/>
  <c r="H406" i="530"/>
  <c r="V405" i="530"/>
  <c r="W405" i="530" s="1"/>
  <c r="N405" i="530"/>
  <c r="K405" i="530"/>
  <c r="M405" i="530" s="1"/>
  <c r="K405" i="530" a="1"/>
  <c r="J405" i="530"/>
  <c r="J405" i="530" a="1"/>
  <c r="H405" i="530"/>
  <c r="V404" i="530"/>
  <c r="W404" i="530" s="1"/>
  <c r="N404" i="530"/>
  <c r="K404" i="530" a="1"/>
  <c r="K404" i="530" s="1"/>
  <c r="M404" i="530" s="1"/>
  <c r="J404" i="530" a="1"/>
  <c r="J404" i="530" s="1"/>
  <c r="H404" i="530"/>
  <c r="W403" i="530"/>
  <c r="V403" i="530"/>
  <c r="N403" i="530"/>
  <c r="K403" i="530" a="1"/>
  <c r="K403" i="530" s="1"/>
  <c r="M403" i="530" s="1"/>
  <c r="J403" i="530" a="1"/>
  <c r="J403" i="530" s="1"/>
  <c r="H403" i="530"/>
  <c r="V402" i="530"/>
  <c r="W402" i="530" s="1"/>
  <c r="N402" i="530"/>
  <c r="K402" i="530" a="1"/>
  <c r="K402" i="530" s="1"/>
  <c r="M402" i="530" s="1"/>
  <c r="J402" i="530" a="1"/>
  <c r="J402" i="530" s="1"/>
  <c r="H402" i="530"/>
  <c r="V401" i="530"/>
  <c r="W401" i="530" s="1"/>
  <c r="N401" i="530"/>
  <c r="K401" i="530"/>
  <c r="M401" i="530" s="1"/>
  <c r="K401" i="530" a="1"/>
  <c r="J401" i="530"/>
  <c r="J401" i="530" a="1"/>
  <c r="H401" i="530"/>
  <c r="V400" i="530"/>
  <c r="W400" i="530" s="1"/>
  <c r="N400" i="530"/>
  <c r="K400" i="530" a="1"/>
  <c r="K400" i="530" s="1"/>
  <c r="M400" i="530" s="1"/>
  <c r="J400" i="530" a="1"/>
  <c r="J400" i="530" s="1"/>
  <c r="H400" i="530"/>
  <c r="W399" i="530"/>
  <c r="V399" i="530"/>
  <c r="N399" i="530"/>
  <c r="K399" i="530" a="1"/>
  <c r="K399" i="530" s="1"/>
  <c r="M399" i="530" s="1"/>
  <c r="J399" i="530" a="1"/>
  <c r="J399" i="530" s="1"/>
  <c r="H399" i="530"/>
  <c r="V398" i="530"/>
  <c r="W398" i="530" s="1"/>
  <c r="N398" i="530"/>
  <c r="K398" i="530" a="1"/>
  <c r="K398" i="530" s="1"/>
  <c r="M398" i="530" s="1"/>
  <c r="J398" i="530" a="1"/>
  <c r="J398" i="530" s="1"/>
  <c r="H398" i="530"/>
  <c r="V397" i="530"/>
  <c r="W397" i="530" s="1"/>
  <c r="N397" i="530"/>
  <c r="K397" i="530"/>
  <c r="M397" i="530" s="1"/>
  <c r="K397" i="530" a="1"/>
  <c r="J397" i="530"/>
  <c r="J397" i="530" a="1"/>
  <c r="H397" i="530"/>
  <c r="K396" i="530" a="1"/>
  <c r="K396" i="530" s="1"/>
  <c r="M396" i="530" s="1"/>
  <c r="H396" i="530"/>
  <c r="K395" i="530" a="1"/>
  <c r="K395" i="530" s="1"/>
  <c r="M395" i="530" s="1"/>
  <c r="H395" i="530"/>
  <c r="K394" i="530" a="1"/>
  <c r="K394" i="530" s="1"/>
  <c r="M394" i="530" s="1"/>
  <c r="H394" i="530"/>
  <c r="K393" i="530" a="1"/>
  <c r="K393" i="530" s="1"/>
  <c r="M393" i="530" s="1"/>
  <c r="H393" i="530"/>
  <c r="N392" i="530"/>
  <c r="K392" i="530" a="1"/>
  <c r="K392" i="530" s="1"/>
  <c r="M392" i="530" s="1"/>
  <c r="H392" i="530"/>
  <c r="N391" i="530"/>
  <c r="K391" i="530" a="1"/>
  <c r="K391" i="530" s="1"/>
  <c r="M391" i="530" s="1"/>
  <c r="H391" i="530"/>
  <c r="N390" i="530"/>
  <c r="K390" i="530"/>
  <c r="M390" i="530" s="1"/>
  <c r="K390" i="530" a="1"/>
  <c r="H390" i="530"/>
  <c r="N389" i="530"/>
  <c r="K389" i="530" a="1"/>
  <c r="K389" i="530" s="1"/>
  <c r="M389" i="530" s="1"/>
  <c r="H389" i="530"/>
  <c r="W388" i="530"/>
  <c r="V388" i="530"/>
  <c r="N388" i="530"/>
  <c r="K388" i="530" a="1"/>
  <c r="K388" i="530" s="1"/>
  <c r="M388" i="530" s="1"/>
  <c r="J388" i="530" a="1"/>
  <c r="J388" i="530" s="1"/>
  <c r="H388" i="530"/>
  <c r="V387" i="530"/>
  <c r="W387" i="530" s="1"/>
  <c r="N387" i="530"/>
  <c r="K387" i="530" a="1"/>
  <c r="K387" i="530" s="1"/>
  <c r="M387" i="530" s="1"/>
  <c r="J387" i="530" a="1"/>
  <c r="J387" i="530" s="1"/>
  <c r="H387" i="530"/>
  <c r="V386" i="530"/>
  <c r="W386" i="530" s="1"/>
  <c r="N386" i="530"/>
  <c r="K386" i="530"/>
  <c r="M386" i="530" s="1"/>
  <c r="K386" i="530" a="1"/>
  <c r="J386" i="530"/>
  <c r="J386" i="530" a="1"/>
  <c r="H386" i="530"/>
  <c r="V385" i="530"/>
  <c r="W385" i="530" s="1"/>
  <c r="N385" i="530"/>
  <c r="K385" i="530" a="1"/>
  <c r="K385" i="530" s="1"/>
  <c r="M385" i="530" s="1"/>
  <c r="J385" i="530" a="1"/>
  <c r="J385" i="530" s="1"/>
  <c r="H385" i="530"/>
  <c r="W384" i="530"/>
  <c r="V384" i="530"/>
  <c r="N384" i="530"/>
  <c r="K384" i="530" a="1"/>
  <c r="K384" i="530" s="1"/>
  <c r="M384" i="530" s="1"/>
  <c r="J384" i="530" a="1"/>
  <c r="J384" i="530" s="1"/>
  <c r="H384" i="530"/>
  <c r="V383" i="530"/>
  <c r="W383" i="530" s="1"/>
  <c r="N383" i="530"/>
  <c r="K383" i="530" a="1"/>
  <c r="K383" i="530" s="1"/>
  <c r="M383" i="530" s="1"/>
  <c r="J383" i="530" a="1"/>
  <c r="J383" i="530" s="1"/>
  <c r="H383" i="530"/>
  <c r="V382" i="530"/>
  <c r="W382" i="530" s="1"/>
  <c r="N382" i="530"/>
  <c r="K382" i="530"/>
  <c r="M382" i="530" s="1"/>
  <c r="K382" i="530" a="1"/>
  <c r="J382" i="530"/>
  <c r="J382" i="530" a="1"/>
  <c r="H382" i="530"/>
  <c r="V381" i="530"/>
  <c r="W381" i="530" s="1"/>
  <c r="N381" i="530"/>
  <c r="K381" i="530" a="1"/>
  <c r="K381" i="530" s="1"/>
  <c r="M381" i="530" s="1"/>
  <c r="J381" i="530" a="1"/>
  <c r="J381" i="530" s="1"/>
  <c r="H381" i="530"/>
  <c r="W380" i="530"/>
  <c r="V380" i="530"/>
  <c r="N380" i="530"/>
  <c r="K380" i="530" a="1"/>
  <c r="K380" i="530" s="1"/>
  <c r="M380" i="530" s="1"/>
  <c r="J380" i="530" a="1"/>
  <c r="J380" i="530" s="1"/>
  <c r="H380" i="530"/>
  <c r="V379" i="530"/>
  <c r="W379" i="530" s="1"/>
  <c r="N379" i="530"/>
  <c r="K379" i="530" a="1"/>
  <c r="K379" i="530" s="1"/>
  <c r="M379" i="530" s="1"/>
  <c r="J379" i="530" a="1"/>
  <c r="J379" i="530" s="1"/>
  <c r="H379" i="530"/>
  <c r="V378" i="530"/>
  <c r="W378" i="530" s="1"/>
  <c r="N378" i="530"/>
  <c r="K378" i="530"/>
  <c r="M378" i="530" s="1"/>
  <c r="K378" i="530" a="1"/>
  <c r="J378" i="530"/>
  <c r="J378" i="530" a="1"/>
  <c r="H378" i="530"/>
  <c r="V377" i="530"/>
  <c r="W377" i="530" s="1"/>
  <c r="N377" i="530"/>
  <c r="K377" i="530" a="1"/>
  <c r="K377" i="530" s="1"/>
  <c r="M377" i="530" s="1"/>
  <c r="J377" i="530" a="1"/>
  <c r="J377" i="530" s="1"/>
  <c r="H377" i="530"/>
  <c r="K376" i="530" a="1"/>
  <c r="K376" i="530" s="1"/>
  <c r="M376" i="530" s="1"/>
  <c r="H376" i="530"/>
  <c r="K375" i="530" a="1"/>
  <c r="K375" i="530" s="1"/>
  <c r="M375" i="530" s="1"/>
  <c r="H375" i="530"/>
  <c r="K374" i="530" a="1"/>
  <c r="K374" i="530" s="1"/>
  <c r="M374" i="530" s="1"/>
  <c r="H374" i="530"/>
  <c r="W373" i="530"/>
  <c r="V373" i="530"/>
  <c r="N373" i="530"/>
  <c r="K373" i="530" a="1"/>
  <c r="K373" i="530" s="1"/>
  <c r="M373" i="530" s="1"/>
  <c r="J373" i="530" a="1"/>
  <c r="J373" i="530" s="1"/>
  <c r="H373" i="530"/>
  <c r="V372" i="530"/>
  <c r="W372" i="530" s="1"/>
  <c r="N372" i="530"/>
  <c r="K372" i="530" a="1"/>
  <c r="K372" i="530" s="1"/>
  <c r="M372" i="530" s="1"/>
  <c r="J372" i="530" a="1"/>
  <c r="J372" i="530" s="1"/>
  <c r="H372" i="530"/>
  <c r="V371" i="530"/>
  <c r="W371" i="530" s="1"/>
  <c r="N371" i="530"/>
  <c r="K371" i="530"/>
  <c r="M371" i="530" s="1"/>
  <c r="K371" i="530" a="1"/>
  <c r="J371" i="530"/>
  <c r="J371" i="530" a="1"/>
  <c r="H371" i="530"/>
  <c r="K370" i="530" a="1"/>
  <c r="K370" i="530" s="1"/>
  <c r="H370" i="530"/>
  <c r="V369" i="530"/>
  <c r="V426" i="530" s="1"/>
  <c r="W426" i="530" s="1"/>
  <c r="N369" i="530"/>
  <c r="K369" i="530"/>
  <c r="K369" i="530" a="1"/>
  <c r="J369" i="530"/>
  <c r="J369" i="530" a="1"/>
  <c r="H369" i="530"/>
  <c r="H426" i="530" s="1"/>
  <c r="AA368" i="530"/>
  <c r="AA504" i="530" s="1"/>
  <c r="Z368" i="530"/>
  <c r="Z504" i="530" s="1"/>
  <c r="Y368" i="530"/>
  <c r="Y504" i="530" s="1"/>
  <c r="X368" i="530"/>
  <c r="X504" i="530" s="1"/>
  <c r="U368" i="530"/>
  <c r="U504" i="530" s="1"/>
  <c r="T368" i="530"/>
  <c r="T504" i="530" s="1"/>
  <c r="S368" i="530"/>
  <c r="S504" i="530" s="1"/>
  <c r="R368" i="530"/>
  <c r="R504" i="530" s="1"/>
  <c r="Q368" i="530"/>
  <c r="Q504" i="530" s="1"/>
  <c r="P368" i="530"/>
  <c r="P504" i="530" s="1"/>
  <c r="O368" i="530"/>
  <c r="I368" i="530"/>
  <c r="I504" i="530" s="1"/>
  <c r="B512" i="530" s="1"/>
  <c r="G368" i="530"/>
  <c r="G504" i="530" s="1"/>
  <c r="V367" i="530"/>
  <c r="W367" i="530" s="1"/>
  <c r="N367" i="530"/>
  <c r="K367" i="530"/>
  <c r="M367" i="530" s="1"/>
  <c r="K367" i="530" a="1"/>
  <c r="J367" i="530"/>
  <c r="J367" i="530" a="1"/>
  <c r="H367" i="530"/>
  <c r="V366" i="530"/>
  <c r="W366" i="530" s="1"/>
  <c r="N366" i="530"/>
  <c r="K366" i="530" a="1"/>
  <c r="K366" i="530" s="1"/>
  <c r="M366" i="530" s="1"/>
  <c r="J366" i="530" a="1"/>
  <c r="J366" i="530" s="1"/>
  <c r="H366" i="530"/>
  <c r="K365" i="530" a="1"/>
  <c r="K365" i="530" s="1"/>
  <c r="M365" i="530" s="1"/>
  <c r="H365" i="530"/>
  <c r="K364" i="530" a="1"/>
  <c r="K364" i="530" s="1"/>
  <c r="M364" i="530" s="1"/>
  <c r="H364" i="530"/>
  <c r="K363" i="530" a="1"/>
  <c r="K363" i="530" s="1"/>
  <c r="M363" i="530" s="1"/>
  <c r="H363" i="530"/>
  <c r="K362" i="530" a="1"/>
  <c r="K362" i="530" s="1"/>
  <c r="M362" i="530" s="1"/>
  <c r="H362" i="530"/>
  <c r="W361" i="530"/>
  <c r="V361" i="530"/>
  <c r="N361" i="530"/>
  <c r="K361" i="530" a="1"/>
  <c r="K361" i="530" s="1"/>
  <c r="M361" i="530" s="1"/>
  <c r="J361" i="530" a="1"/>
  <c r="J361" i="530" s="1"/>
  <c r="H361" i="530"/>
  <c r="V360" i="530"/>
  <c r="W360" i="530" s="1"/>
  <c r="N360" i="530"/>
  <c r="K360" i="530" a="1"/>
  <c r="K360" i="530" s="1"/>
  <c r="M360" i="530" s="1"/>
  <c r="J360" i="530" a="1"/>
  <c r="J360" i="530" s="1"/>
  <c r="H360" i="530"/>
  <c r="V359" i="530"/>
  <c r="W359" i="530" s="1"/>
  <c r="N359" i="530"/>
  <c r="K359" i="530"/>
  <c r="M359" i="530" s="1"/>
  <c r="K359" i="530" a="1"/>
  <c r="J359" i="530"/>
  <c r="J359" i="530" a="1"/>
  <c r="H359" i="530"/>
  <c r="H358" i="530"/>
  <c r="H357" i="530"/>
  <c r="V356" i="530"/>
  <c r="W356" i="530" s="1"/>
  <c r="N356" i="530"/>
  <c r="K356" i="530" a="1"/>
  <c r="K356" i="530" s="1"/>
  <c r="M356" i="530" s="1"/>
  <c r="J356" i="530" a="1"/>
  <c r="J356" i="530" s="1"/>
  <c r="H356" i="530"/>
  <c r="W355" i="530"/>
  <c r="V355" i="530"/>
  <c r="N355" i="530"/>
  <c r="K355" i="530" a="1"/>
  <c r="K355" i="530" s="1"/>
  <c r="M355" i="530" s="1"/>
  <c r="J355" i="530" a="1"/>
  <c r="J355" i="530" s="1"/>
  <c r="H355" i="530"/>
  <c r="K354" i="530"/>
  <c r="M354" i="530" s="1"/>
  <c r="K354" i="530" a="1"/>
  <c r="H354" i="530"/>
  <c r="K353" i="530" a="1"/>
  <c r="K353" i="530" s="1"/>
  <c r="M353" i="530" s="1"/>
  <c r="H353" i="530"/>
  <c r="V352" i="530"/>
  <c r="W352" i="530" s="1"/>
  <c r="N352" i="530"/>
  <c r="K352" i="530" a="1"/>
  <c r="K352" i="530" s="1"/>
  <c r="M352" i="530" s="1"/>
  <c r="J352" i="530" a="1"/>
  <c r="J352" i="530" s="1"/>
  <c r="H352" i="530"/>
  <c r="V351" i="530"/>
  <c r="W351" i="530" s="1"/>
  <c r="N351" i="530"/>
  <c r="K351" i="530"/>
  <c r="M351" i="530" s="1"/>
  <c r="K351" i="530" a="1"/>
  <c r="J351" i="530"/>
  <c r="J351" i="530" a="1"/>
  <c r="H351" i="530"/>
  <c r="V350" i="530"/>
  <c r="W350" i="530" s="1"/>
  <c r="N350" i="530"/>
  <c r="K350" i="530" a="1"/>
  <c r="K350" i="530" s="1"/>
  <c r="M350" i="530" s="1"/>
  <c r="J350" i="530" a="1"/>
  <c r="J350" i="530" s="1"/>
  <c r="H350" i="530"/>
  <c r="W349" i="530"/>
  <c r="V349" i="530"/>
  <c r="N349" i="530"/>
  <c r="K349" i="530" a="1"/>
  <c r="K349" i="530" s="1"/>
  <c r="M349" i="530" s="1"/>
  <c r="J349" i="530" a="1"/>
  <c r="J349" i="530" s="1"/>
  <c r="H349" i="530"/>
  <c r="V348" i="530"/>
  <c r="W348" i="530" s="1"/>
  <c r="N348" i="530"/>
  <c r="K348" i="530" a="1"/>
  <c r="K348" i="530" s="1"/>
  <c r="M348" i="530" s="1"/>
  <c r="J348" i="530" a="1"/>
  <c r="J348" i="530" s="1"/>
  <c r="H348" i="530"/>
  <c r="V347" i="530"/>
  <c r="V368" i="530" s="1"/>
  <c r="N347" i="530"/>
  <c r="K347" i="530"/>
  <c r="M347" i="530" s="1"/>
  <c r="K347" i="530" a="1"/>
  <c r="J347" i="530"/>
  <c r="J347" i="530" a="1"/>
  <c r="H347" i="530"/>
  <c r="H368" i="530" s="1"/>
  <c r="H504" i="530" s="1"/>
  <c r="E511" i="530" s="1"/>
  <c r="X341" i="530"/>
  <c r="X340" i="530"/>
  <c r="X339" i="530"/>
  <c r="G339" i="530"/>
  <c r="C339" i="530"/>
  <c r="X338" i="530"/>
  <c r="I338" i="530"/>
  <c r="E338" i="530"/>
  <c r="K338" i="530" s="1"/>
  <c r="M338" i="530" s="1"/>
  <c r="I337" i="530"/>
  <c r="E337" i="530"/>
  <c r="K337" i="530" s="1"/>
  <c r="M337" i="530" s="1"/>
  <c r="I336" i="530"/>
  <c r="E336" i="530"/>
  <c r="K336" i="530" s="1"/>
  <c r="M336" i="530" s="1"/>
  <c r="X335" i="530"/>
  <c r="I335" i="530"/>
  <c r="I339" i="530" s="1"/>
  <c r="E335" i="530"/>
  <c r="E339" i="530" s="1"/>
  <c r="AA332" i="530"/>
  <c r="Z332" i="530"/>
  <c r="Y332" i="530"/>
  <c r="X332" i="530"/>
  <c r="U332" i="530"/>
  <c r="T332" i="530"/>
  <c r="S332" i="530"/>
  <c r="R332" i="530"/>
  <c r="Q332" i="530"/>
  <c r="P332" i="530"/>
  <c r="O332" i="530"/>
  <c r="I332" i="530"/>
  <c r="G332" i="530"/>
  <c r="K331" i="530"/>
  <c r="K331" i="530" a="1"/>
  <c r="H331" i="530"/>
  <c r="K330" i="530" a="1"/>
  <c r="K330" i="530" s="1"/>
  <c r="H330" i="530"/>
  <c r="K329" i="530" a="1"/>
  <c r="K329" i="530" s="1"/>
  <c r="H329" i="530"/>
  <c r="V328" i="530"/>
  <c r="W328" i="530" s="1"/>
  <c r="N328" i="530"/>
  <c r="K328" i="530"/>
  <c r="K328" i="530" a="1"/>
  <c r="H328" i="530"/>
  <c r="D328" i="530"/>
  <c r="H327" i="530"/>
  <c r="K326" i="530" a="1"/>
  <c r="K326" i="530" s="1"/>
  <c r="H326" i="530"/>
  <c r="H325" i="530"/>
  <c r="V324" i="530"/>
  <c r="W324" i="530" s="1"/>
  <c r="N324" i="530"/>
  <c r="K324" i="530" a="1"/>
  <c r="K324" i="530" s="1"/>
  <c r="M324" i="530" s="1"/>
  <c r="J324" i="530" a="1"/>
  <c r="J324" i="530" s="1"/>
  <c r="H324" i="530"/>
  <c r="V323" i="530"/>
  <c r="W323" i="530" s="1"/>
  <c r="N323" i="530"/>
  <c r="K323" i="530"/>
  <c r="M323" i="530" s="1"/>
  <c r="K323" i="530" a="1"/>
  <c r="J323" i="530"/>
  <c r="J323" i="530" a="1"/>
  <c r="H323" i="530"/>
  <c r="H322" i="530"/>
  <c r="V321" i="530"/>
  <c r="W321" i="530" s="1"/>
  <c r="N321" i="530"/>
  <c r="K321" i="530" a="1"/>
  <c r="K321" i="530" s="1"/>
  <c r="M321" i="530" s="1"/>
  <c r="J321" i="530" a="1"/>
  <c r="J321" i="530" s="1"/>
  <c r="H321" i="530"/>
  <c r="V320" i="530"/>
  <c r="W320" i="530" s="1"/>
  <c r="N320" i="530"/>
  <c r="K320" i="530" a="1"/>
  <c r="K320" i="530" s="1"/>
  <c r="M320" i="530" s="1"/>
  <c r="J320" i="530" a="1"/>
  <c r="J320" i="530" s="1"/>
  <c r="H320" i="530"/>
  <c r="V319" i="530"/>
  <c r="W319" i="530" s="1"/>
  <c r="N319" i="530"/>
  <c r="K319" i="530"/>
  <c r="M319" i="530" s="1"/>
  <c r="K319" i="530" a="1"/>
  <c r="J319" i="530"/>
  <c r="J319" i="530" a="1"/>
  <c r="H319" i="530"/>
  <c r="V318" i="530"/>
  <c r="N318" i="530"/>
  <c r="N332" i="530" s="1"/>
  <c r="K318" i="530" a="1"/>
  <c r="K318" i="530" s="1"/>
  <c r="J318" i="530" a="1"/>
  <c r="J318" i="530" s="1"/>
  <c r="H318" i="530"/>
  <c r="H332" i="530" s="1"/>
  <c r="AA317" i="530"/>
  <c r="Z317" i="530"/>
  <c r="Y317" i="530"/>
  <c r="X317" i="530"/>
  <c r="U317" i="530"/>
  <c r="T317" i="530"/>
  <c r="S317" i="530"/>
  <c r="Q317" i="530"/>
  <c r="P317" i="530"/>
  <c r="O317" i="530"/>
  <c r="I317" i="530"/>
  <c r="G317" i="530"/>
  <c r="J317" i="530" s="1" a="1"/>
  <c r="J317" i="530" s="1"/>
  <c r="V316" i="530"/>
  <c r="W316" i="530" s="1"/>
  <c r="N316" i="530"/>
  <c r="K316" i="530" a="1"/>
  <c r="K316" i="530" s="1"/>
  <c r="M316" i="530" s="1"/>
  <c r="J316" i="530" a="1"/>
  <c r="J316" i="530" s="1"/>
  <c r="H316" i="530"/>
  <c r="H315" i="530"/>
  <c r="H314" i="530"/>
  <c r="H313" i="530"/>
  <c r="V312" i="530"/>
  <c r="W312" i="530" s="1"/>
  <c r="N312" i="530"/>
  <c r="K312" i="530"/>
  <c r="M312" i="530" s="1"/>
  <c r="K312" i="530" a="1"/>
  <c r="J312" i="530" a="1"/>
  <c r="J312" i="530" s="1"/>
  <c r="H312" i="530"/>
  <c r="V311" i="530"/>
  <c r="W311" i="530" s="1"/>
  <c r="N311" i="530"/>
  <c r="K311" i="530" a="1"/>
  <c r="K311" i="530" s="1"/>
  <c r="M311" i="530" s="1"/>
  <c r="J311" i="530" a="1"/>
  <c r="J311" i="530" s="1"/>
  <c r="H311" i="530"/>
  <c r="V310" i="530"/>
  <c r="W310" i="530" s="1"/>
  <c r="N310" i="530"/>
  <c r="K310" i="530"/>
  <c r="M310" i="530" s="1"/>
  <c r="K310" i="530" a="1"/>
  <c r="J310" i="530" a="1"/>
  <c r="J310" i="530" s="1"/>
  <c r="H310" i="530"/>
  <c r="V309" i="530"/>
  <c r="W309" i="530" s="1"/>
  <c r="N309" i="530"/>
  <c r="K309" i="530" a="1"/>
  <c r="K309" i="530" s="1"/>
  <c r="M309" i="530" s="1"/>
  <c r="J309" i="530" a="1"/>
  <c r="J309" i="530" s="1"/>
  <c r="H309" i="530"/>
  <c r="V308" i="530"/>
  <c r="V317" i="530" s="1"/>
  <c r="W317" i="530" s="1"/>
  <c r="N308" i="530"/>
  <c r="N317" i="530" s="1"/>
  <c r="K308" i="530"/>
  <c r="K308" i="530" a="1"/>
  <c r="J308" i="530"/>
  <c r="J308" i="530" a="1"/>
  <c r="H308" i="530"/>
  <c r="H317" i="530" s="1"/>
  <c r="AA307" i="530"/>
  <c r="Z307" i="530"/>
  <c r="Y307" i="530"/>
  <c r="X307" i="530"/>
  <c r="U307" i="530"/>
  <c r="T307" i="530"/>
  <c r="S307" i="530"/>
  <c r="Q307" i="530"/>
  <c r="P307" i="530"/>
  <c r="O307" i="530"/>
  <c r="R338" i="530" s="1"/>
  <c r="I307" i="530"/>
  <c r="G307" i="530"/>
  <c r="V306" i="530"/>
  <c r="W306" i="530" s="1"/>
  <c r="N306" i="530"/>
  <c r="K306" i="530" a="1"/>
  <c r="K306" i="530" s="1"/>
  <c r="M306" i="530" s="1"/>
  <c r="J306" i="530" a="1"/>
  <c r="J306" i="530" s="1"/>
  <c r="H306" i="530"/>
  <c r="W305" i="530"/>
  <c r="V305" i="530"/>
  <c r="N305" i="530"/>
  <c r="K305" i="530" a="1"/>
  <c r="K305" i="530" s="1"/>
  <c r="M305" i="530" s="1"/>
  <c r="J305" i="530" a="1"/>
  <c r="J305" i="530" s="1"/>
  <c r="H305" i="530"/>
  <c r="V304" i="530"/>
  <c r="W304" i="530" s="1"/>
  <c r="N304" i="530"/>
  <c r="K304" i="530" a="1"/>
  <c r="K304" i="530" s="1"/>
  <c r="M304" i="530" s="1"/>
  <c r="J304" i="530" a="1"/>
  <c r="J304" i="530" s="1"/>
  <c r="H304" i="530"/>
  <c r="V303" i="530"/>
  <c r="W303" i="530" s="1"/>
  <c r="N303" i="530"/>
  <c r="K303" i="530"/>
  <c r="M303" i="530" s="1"/>
  <c r="K303" i="530" a="1"/>
  <c r="J303" i="530"/>
  <c r="J303" i="530" a="1"/>
  <c r="H303" i="530"/>
  <c r="V302" i="530"/>
  <c r="W302" i="530" s="1"/>
  <c r="N302" i="530"/>
  <c r="K302" i="530" a="1"/>
  <c r="K302" i="530" s="1"/>
  <c r="M302" i="530" s="1"/>
  <c r="J302" i="530" a="1"/>
  <c r="J302" i="530" s="1"/>
  <c r="H302" i="530"/>
  <c r="W301" i="530"/>
  <c r="V301" i="530"/>
  <c r="N301" i="530"/>
  <c r="K301" i="530" a="1"/>
  <c r="K301" i="530" s="1"/>
  <c r="M301" i="530" s="1"/>
  <c r="J301" i="530" a="1"/>
  <c r="J301" i="530" s="1"/>
  <c r="H301" i="530"/>
  <c r="V300" i="530"/>
  <c r="W300" i="530" s="1"/>
  <c r="N300" i="530"/>
  <c r="K300" i="530" a="1"/>
  <c r="K300" i="530" s="1"/>
  <c r="M300" i="530" s="1"/>
  <c r="J300" i="530" a="1"/>
  <c r="J300" i="530" s="1"/>
  <c r="H300" i="530"/>
  <c r="V299" i="530"/>
  <c r="W299" i="530" s="1"/>
  <c r="N299" i="530"/>
  <c r="K299" i="530"/>
  <c r="M299" i="530" s="1"/>
  <c r="K299" i="530" a="1"/>
  <c r="J299" i="530"/>
  <c r="J299" i="530" a="1"/>
  <c r="H299" i="530"/>
  <c r="V298" i="530"/>
  <c r="W298" i="530" s="1"/>
  <c r="N298" i="530"/>
  <c r="K298" i="530" a="1"/>
  <c r="K298" i="530" s="1"/>
  <c r="M298" i="530" s="1"/>
  <c r="J298" i="530" a="1"/>
  <c r="J298" i="530" s="1"/>
  <c r="H298" i="530"/>
  <c r="W297" i="530"/>
  <c r="V297" i="530"/>
  <c r="N297" i="530"/>
  <c r="K297" i="530" a="1"/>
  <c r="K297" i="530" s="1"/>
  <c r="M297" i="530" s="1"/>
  <c r="J297" i="530" a="1"/>
  <c r="J297" i="530" s="1"/>
  <c r="H297" i="530"/>
  <c r="V296" i="530"/>
  <c r="W296" i="530" s="1"/>
  <c r="N296" i="530"/>
  <c r="K296" i="530" a="1"/>
  <c r="K296" i="530" s="1"/>
  <c r="M296" i="530" s="1"/>
  <c r="J296" i="530" a="1"/>
  <c r="J296" i="530" s="1"/>
  <c r="H296" i="530"/>
  <c r="V295" i="530"/>
  <c r="W295" i="530" s="1"/>
  <c r="N295" i="530"/>
  <c r="K295" i="530"/>
  <c r="M295" i="530" s="1"/>
  <c r="K295" i="530" a="1"/>
  <c r="J295" i="530"/>
  <c r="J295" i="530" a="1"/>
  <c r="H295" i="530"/>
  <c r="V294" i="530"/>
  <c r="W294" i="530" s="1"/>
  <c r="N294" i="530"/>
  <c r="K294" i="530" a="1"/>
  <c r="K294" i="530" s="1"/>
  <c r="M294" i="530" s="1"/>
  <c r="J294" i="530" a="1"/>
  <c r="J294" i="530" s="1"/>
  <c r="H294" i="530"/>
  <c r="W293" i="530"/>
  <c r="V293" i="530"/>
  <c r="N293" i="530"/>
  <c r="K293" i="530" a="1"/>
  <c r="K293" i="530" s="1"/>
  <c r="M293" i="530" s="1"/>
  <c r="J293" i="530" a="1"/>
  <c r="J293" i="530" s="1"/>
  <c r="H293" i="530"/>
  <c r="V292" i="530"/>
  <c r="V307" i="530" s="1"/>
  <c r="W307" i="530" s="1"/>
  <c r="N292" i="530"/>
  <c r="K292" i="530" a="1"/>
  <c r="K292" i="530" s="1"/>
  <c r="J292" i="530" a="1"/>
  <c r="J292" i="530" s="1"/>
  <c r="H292" i="530"/>
  <c r="H307" i="530" s="1"/>
  <c r="AA291" i="530"/>
  <c r="Z291" i="530"/>
  <c r="Y291" i="530"/>
  <c r="X291" i="530"/>
  <c r="U291" i="530"/>
  <c r="T291" i="530"/>
  <c r="S291" i="530"/>
  <c r="R291" i="530"/>
  <c r="Q291" i="530"/>
  <c r="P291" i="530"/>
  <c r="O291" i="530"/>
  <c r="R337" i="530" s="1"/>
  <c r="I291" i="530"/>
  <c r="G291" i="530"/>
  <c r="V290" i="530"/>
  <c r="W290" i="530" s="1"/>
  <c r="N290" i="530"/>
  <c r="K290" i="530" a="1"/>
  <c r="K290" i="530" s="1"/>
  <c r="M290" i="530" s="1"/>
  <c r="J290" i="530" a="1"/>
  <c r="J290" i="530" s="1"/>
  <c r="H290" i="530"/>
  <c r="V289" i="530"/>
  <c r="W289" i="530" s="1"/>
  <c r="N289" i="530"/>
  <c r="K289" i="530" a="1"/>
  <c r="K289" i="530" s="1"/>
  <c r="M289" i="530" s="1"/>
  <c r="J289" i="530" a="1"/>
  <c r="J289" i="530" s="1"/>
  <c r="H289" i="530"/>
  <c r="V288" i="530"/>
  <c r="W288" i="530" s="1"/>
  <c r="N288" i="530"/>
  <c r="K288" i="530" a="1"/>
  <c r="K288" i="530" s="1"/>
  <c r="M288" i="530" s="1"/>
  <c r="J288" i="530" a="1"/>
  <c r="J288" i="530" s="1"/>
  <c r="H288" i="530"/>
  <c r="H287" i="530"/>
  <c r="H286" i="530"/>
  <c r="H285" i="530"/>
  <c r="V284" i="530"/>
  <c r="W284" i="530" s="1"/>
  <c r="N284" i="530"/>
  <c r="K284" i="530" a="1"/>
  <c r="K284" i="530" s="1"/>
  <c r="M284" i="530" s="1"/>
  <c r="J284" i="530" a="1"/>
  <c r="J284" i="530" s="1"/>
  <c r="H284" i="530"/>
  <c r="V283" i="530"/>
  <c r="W283" i="530" s="1"/>
  <c r="N283" i="530"/>
  <c r="K283" i="530"/>
  <c r="M283" i="530" s="1"/>
  <c r="K283" i="530" a="1"/>
  <c r="J283" i="530"/>
  <c r="J283" i="530" a="1"/>
  <c r="H283" i="530"/>
  <c r="N282" i="530"/>
  <c r="K282" i="530" a="1"/>
  <c r="K282" i="530" s="1"/>
  <c r="M282" i="530" s="1"/>
  <c r="H282" i="530"/>
  <c r="N281" i="530"/>
  <c r="K281" i="530" a="1"/>
  <c r="K281" i="530" s="1"/>
  <c r="M281" i="530" s="1"/>
  <c r="H281" i="530"/>
  <c r="N280" i="530"/>
  <c r="K280" i="530" a="1"/>
  <c r="K280" i="530" s="1"/>
  <c r="M280" i="530" s="1"/>
  <c r="H280" i="530"/>
  <c r="N279" i="530"/>
  <c r="K279" i="530" a="1"/>
  <c r="K279" i="530" s="1"/>
  <c r="M279" i="530" s="1"/>
  <c r="H279" i="530"/>
  <c r="N278" i="530"/>
  <c r="K278" i="530" a="1"/>
  <c r="K278" i="530" s="1"/>
  <c r="M278" i="530" s="1"/>
  <c r="H278" i="530"/>
  <c r="N277" i="530"/>
  <c r="K277" i="530"/>
  <c r="M277" i="530" s="1"/>
  <c r="K277" i="530" a="1"/>
  <c r="H277" i="530"/>
  <c r="V276" i="530"/>
  <c r="W276" i="530" s="1"/>
  <c r="N276" i="530"/>
  <c r="K276" i="530" a="1"/>
  <c r="K276" i="530" s="1"/>
  <c r="M276" i="530" s="1"/>
  <c r="J276" i="530" a="1"/>
  <c r="J276" i="530" s="1"/>
  <c r="H276" i="530"/>
  <c r="W275" i="530"/>
  <c r="V275" i="530"/>
  <c r="N275" i="530"/>
  <c r="K275" i="530" a="1"/>
  <c r="K275" i="530" s="1"/>
  <c r="M275" i="530" s="1"/>
  <c r="J275" i="530" a="1"/>
  <c r="J275" i="530" s="1"/>
  <c r="H275" i="530"/>
  <c r="V274" i="530"/>
  <c r="W274" i="530" s="1"/>
  <c r="N274" i="530"/>
  <c r="K274" i="530" a="1"/>
  <c r="K274" i="530" s="1"/>
  <c r="M274" i="530" s="1"/>
  <c r="J274" i="530" a="1"/>
  <c r="J274" i="530" s="1"/>
  <c r="H274" i="530"/>
  <c r="V273" i="530"/>
  <c r="W273" i="530" s="1"/>
  <c r="N273" i="530"/>
  <c r="K273" i="530"/>
  <c r="M273" i="530" s="1"/>
  <c r="K273" i="530" a="1"/>
  <c r="J273" i="530"/>
  <c r="J273" i="530" a="1"/>
  <c r="H273" i="530"/>
  <c r="V272" i="530"/>
  <c r="W272" i="530" s="1"/>
  <c r="N272" i="530"/>
  <c r="K272" i="530" a="1"/>
  <c r="K272" i="530" s="1"/>
  <c r="M272" i="530" s="1"/>
  <c r="J272" i="530" a="1"/>
  <c r="J272" i="530" s="1"/>
  <c r="H272" i="530"/>
  <c r="V271" i="530"/>
  <c r="W271" i="530" s="1"/>
  <c r="N271" i="530"/>
  <c r="K271" i="530"/>
  <c r="M271" i="530" s="1"/>
  <c r="K271" i="530" a="1"/>
  <c r="J271" i="530"/>
  <c r="J271" i="530" a="1"/>
  <c r="H271" i="530"/>
  <c r="V270" i="530"/>
  <c r="W270" i="530" s="1"/>
  <c r="N270" i="530"/>
  <c r="K270" i="530" a="1"/>
  <c r="K270" i="530" s="1"/>
  <c r="M270" i="530" s="1"/>
  <c r="J270" i="530" a="1"/>
  <c r="J270" i="530" s="1"/>
  <c r="H270" i="530"/>
  <c r="W269" i="530"/>
  <c r="V269" i="530"/>
  <c r="N269" i="530"/>
  <c r="K269" i="530" a="1"/>
  <c r="K269" i="530" s="1"/>
  <c r="M269" i="530" s="1"/>
  <c r="J269" i="530" a="1"/>
  <c r="J269" i="530" s="1"/>
  <c r="H269" i="530"/>
  <c r="V268" i="530"/>
  <c r="W268" i="530" s="1"/>
  <c r="N268" i="530"/>
  <c r="K268" i="530" a="1"/>
  <c r="K268" i="530" s="1"/>
  <c r="M268" i="530" s="1"/>
  <c r="J268" i="530" a="1"/>
  <c r="J268" i="530" s="1"/>
  <c r="H268" i="530"/>
  <c r="V267" i="530"/>
  <c r="W267" i="530" s="1"/>
  <c r="N267" i="530"/>
  <c r="K267" i="530"/>
  <c r="M267" i="530" s="1"/>
  <c r="K267" i="530" a="1"/>
  <c r="J267" i="530"/>
  <c r="J267" i="530" a="1"/>
  <c r="H267" i="530"/>
  <c r="V266" i="530"/>
  <c r="W266" i="530" s="1"/>
  <c r="N266" i="530"/>
  <c r="K266" i="530" a="1"/>
  <c r="K266" i="530" s="1"/>
  <c r="M266" i="530" s="1"/>
  <c r="J266" i="530" a="1"/>
  <c r="J266" i="530" s="1"/>
  <c r="H266" i="530"/>
  <c r="W265" i="530"/>
  <c r="V265" i="530"/>
  <c r="N265" i="530"/>
  <c r="K265" i="530" a="1"/>
  <c r="K265" i="530" s="1"/>
  <c r="M265" i="530" s="1"/>
  <c r="J265" i="530" a="1"/>
  <c r="J265" i="530" s="1"/>
  <c r="H265" i="530"/>
  <c r="N264" i="530"/>
  <c r="K264" i="530" a="1"/>
  <c r="K264" i="530" s="1"/>
  <c r="M264" i="530" s="1"/>
  <c r="H264" i="530"/>
  <c r="W263" i="530"/>
  <c r="V263" i="530"/>
  <c r="N263" i="530"/>
  <c r="K263" i="530" a="1"/>
  <c r="K263" i="530" s="1"/>
  <c r="M263" i="530" s="1"/>
  <c r="J263" i="530" a="1"/>
  <c r="J263" i="530" s="1"/>
  <c r="H263" i="530"/>
  <c r="V262" i="530"/>
  <c r="W262" i="530" s="1"/>
  <c r="N262" i="530"/>
  <c r="K262" i="530" a="1"/>
  <c r="K262" i="530" s="1"/>
  <c r="M262" i="530" s="1"/>
  <c r="J262" i="530" a="1"/>
  <c r="J262" i="530" s="1"/>
  <c r="H262" i="530"/>
  <c r="V261" i="530"/>
  <c r="W261" i="530" s="1"/>
  <c r="N261" i="530"/>
  <c r="K261" i="530"/>
  <c r="M261" i="530" s="1"/>
  <c r="K261" i="530" a="1"/>
  <c r="J261" i="530"/>
  <c r="J261" i="530" a="1"/>
  <c r="H261" i="530"/>
  <c r="V260" i="530"/>
  <c r="W260" i="530" s="1"/>
  <c r="N260" i="530"/>
  <c r="K260" i="530" a="1"/>
  <c r="K260" i="530" s="1"/>
  <c r="M260" i="530" s="1"/>
  <c r="J260" i="530" a="1"/>
  <c r="J260" i="530" s="1"/>
  <c r="H260" i="530"/>
  <c r="W259" i="530"/>
  <c r="V259" i="530"/>
  <c r="N259" i="530"/>
  <c r="K259" i="530" a="1"/>
  <c r="K259" i="530" s="1"/>
  <c r="M259" i="530" s="1"/>
  <c r="J259" i="530" a="1"/>
  <c r="J259" i="530" s="1"/>
  <c r="H259" i="530"/>
  <c r="V258" i="530"/>
  <c r="W258" i="530" s="1"/>
  <c r="N258" i="530"/>
  <c r="K258" i="530" a="1"/>
  <c r="K258" i="530" s="1"/>
  <c r="M258" i="530" s="1"/>
  <c r="J258" i="530" a="1"/>
  <c r="J258" i="530" s="1"/>
  <c r="H258" i="530"/>
  <c r="V257" i="530"/>
  <c r="V291" i="530" s="1"/>
  <c r="W291" i="530" s="1"/>
  <c r="N257" i="530"/>
  <c r="N291" i="530" s="1"/>
  <c r="K257" i="530"/>
  <c r="K257" i="530" a="1"/>
  <c r="J257" i="530"/>
  <c r="J257" i="530" a="1"/>
  <c r="H257" i="530"/>
  <c r="H291" i="530" s="1"/>
  <c r="AA256" i="530"/>
  <c r="Z256" i="530"/>
  <c r="Y256" i="530"/>
  <c r="X256" i="530"/>
  <c r="U256" i="530"/>
  <c r="T256" i="530"/>
  <c r="S256" i="530"/>
  <c r="R256" i="530"/>
  <c r="Q256" i="530"/>
  <c r="P256" i="530"/>
  <c r="O256" i="530"/>
  <c r="R336" i="530" s="1"/>
  <c r="I256" i="530"/>
  <c r="G256" i="530"/>
  <c r="H255" i="530"/>
  <c r="H254" i="530"/>
  <c r="H253" i="530"/>
  <c r="H252" i="530"/>
  <c r="H251" i="530"/>
  <c r="H250" i="530"/>
  <c r="K249" i="530" a="1"/>
  <c r="K249" i="530" s="1"/>
  <c r="M249" i="530" s="1"/>
  <c r="H249" i="530"/>
  <c r="K248" i="530"/>
  <c r="M248" i="530" s="1"/>
  <c r="K248" i="530" a="1"/>
  <c r="H248" i="530"/>
  <c r="K247" i="530" a="1"/>
  <c r="K247" i="530" s="1"/>
  <c r="M247" i="530" s="1"/>
  <c r="H247" i="530"/>
  <c r="K246" i="530"/>
  <c r="M246" i="530" s="1"/>
  <c r="K246" i="530" a="1"/>
  <c r="H246" i="530"/>
  <c r="V245" i="530"/>
  <c r="W245" i="530" s="1"/>
  <c r="N245" i="530"/>
  <c r="K245" i="530" a="1"/>
  <c r="K245" i="530" s="1"/>
  <c r="M245" i="530" s="1"/>
  <c r="J245" i="530" a="1"/>
  <c r="J245" i="530" s="1"/>
  <c r="H245" i="530"/>
  <c r="V244" i="530"/>
  <c r="W244" i="530" s="1"/>
  <c r="N244" i="530"/>
  <c r="K244" i="530"/>
  <c r="M244" i="530" s="1"/>
  <c r="K244" i="530" a="1"/>
  <c r="J244" i="530"/>
  <c r="J244" i="530" a="1"/>
  <c r="H244" i="530"/>
  <c r="V243" i="530"/>
  <c r="W243" i="530" s="1"/>
  <c r="N243" i="530"/>
  <c r="K243" i="530" a="1"/>
  <c r="K243" i="530" s="1"/>
  <c r="M243" i="530" s="1"/>
  <c r="J243" i="530" a="1"/>
  <c r="J243" i="530" s="1"/>
  <c r="H243" i="530"/>
  <c r="W242" i="530"/>
  <c r="V242" i="530"/>
  <c r="N242" i="530"/>
  <c r="K242" i="530" a="1"/>
  <c r="K242" i="530" s="1"/>
  <c r="M242" i="530" s="1"/>
  <c r="J242" i="530" a="1"/>
  <c r="J242" i="530" s="1"/>
  <c r="H242" i="530"/>
  <c r="M241" i="530"/>
  <c r="H241" i="530"/>
  <c r="V240" i="530"/>
  <c r="W240" i="530" s="1"/>
  <c r="N240" i="530"/>
  <c r="K240" i="530" a="1"/>
  <c r="K240" i="530" s="1"/>
  <c r="M240" i="530" s="1"/>
  <c r="J240" i="530" a="1"/>
  <c r="J240" i="530" s="1"/>
  <c r="H240" i="530"/>
  <c r="V239" i="530"/>
  <c r="W239" i="530" s="1"/>
  <c r="N239" i="530"/>
  <c r="K239" i="530"/>
  <c r="M239" i="530" s="1"/>
  <c r="K239" i="530" a="1"/>
  <c r="J239" i="530"/>
  <c r="J239" i="530" a="1"/>
  <c r="H239" i="530"/>
  <c r="K238" i="530" a="1"/>
  <c r="K238" i="530" s="1"/>
  <c r="M238" i="530" s="1"/>
  <c r="H238" i="530"/>
  <c r="H237" i="530"/>
  <c r="V236" i="530"/>
  <c r="W236" i="530" s="1"/>
  <c r="N236" i="530"/>
  <c r="K236" i="530" a="1"/>
  <c r="K236" i="530" s="1"/>
  <c r="M236" i="530" s="1"/>
  <c r="J236" i="530" a="1"/>
  <c r="J236" i="530" s="1"/>
  <c r="H236" i="530"/>
  <c r="V235" i="530"/>
  <c r="W235" i="530" s="1"/>
  <c r="N235" i="530"/>
  <c r="K235" i="530"/>
  <c r="M235" i="530" s="1"/>
  <c r="K235" i="530" a="1"/>
  <c r="J235" i="530"/>
  <c r="J235" i="530" a="1"/>
  <c r="H235" i="530"/>
  <c r="V234" i="530"/>
  <c r="W234" i="530" s="1"/>
  <c r="N234" i="530"/>
  <c r="K234" i="530" a="1"/>
  <c r="K234" i="530" s="1"/>
  <c r="M234" i="530" s="1"/>
  <c r="J234" i="530" a="1"/>
  <c r="J234" i="530" s="1"/>
  <c r="H234" i="530"/>
  <c r="W233" i="530"/>
  <c r="V233" i="530"/>
  <c r="N233" i="530"/>
  <c r="K233" i="530" a="1"/>
  <c r="K233" i="530" s="1"/>
  <c r="M233" i="530" s="1"/>
  <c r="J233" i="530" a="1"/>
  <c r="J233" i="530" s="1"/>
  <c r="H233" i="530"/>
  <c r="V232" i="530"/>
  <c r="W232" i="530" s="1"/>
  <c r="N232" i="530"/>
  <c r="K232" i="530" a="1"/>
  <c r="K232" i="530" s="1"/>
  <c r="M232" i="530" s="1"/>
  <c r="J232" i="530" a="1"/>
  <c r="J232" i="530" s="1"/>
  <c r="H232" i="530"/>
  <c r="V231" i="530"/>
  <c r="W231" i="530" s="1"/>
  <c r="N231" i="530"/>
  <c r="K231" i="530"/>
  <c r="M231" i="530" s="1"/>
  <c r="K231" i="530" a="1"/>
  <c r="J231" i="530"/>
  <c r="J231" i="530" a="1"/>
  <c r="H231" i="530"/>
  <c r="V230" i="530"/>
  <c r="W230" i="530" s="1"/>
  <c r="N230" i="530"/>
  <c r="K230" i="530" a="1"/>
  <c r="K230" i="530" s="1"/>
  <c r="M230" i="530" s="1"/>
  <c r="J230" i="530" a="1"/>
  <c r="J230" i="530" s="1"/>
  <c r="H230" i="530"/>
  <c r="W229" i="530"/>
  <c r="V229" i="530"/>
  <c r="N229" i="530"/>
  <c r="K229" i="530" a="1"/>
  <c r="K229" i="530" s="1"/>
  <c r="M229" i="530" s="1"/>
  <c r="J229" i="530" a="1"/>
  <c r="J229" i="530" s="1"/>
  <c r="H229" i="530"/>
  <c r="V228" i="530"/>
  <c r="W228" i="530" s="1"/>
  <c r="N228" i="530"/>
  <c r="K228" i="530" a="1"/>
  <c r="K228" i="530" s="1"/>
  <c r="M228" i="530" s="1"/>
  <c r="J228" i="530" a="1"/>
  <c r="J228" i="530" s="1"/>
  <c r="H228" i="530"/>
  <c r="V227" i="530"/>
  <c r="W227" i="530" s="1"/>
  <c r="N227" i="530"/>
  <c r="K227" i="530"/>
  <c r="M227" i="530" s="1"/>
  <c r="K227" i="530" a="1"/>
  <c r="J227" i="530"/>
  <c r="J227" i="530" a="1"/>
  <c r="H227" i="530"/>
  <c r="N226" i="530"/>
  <c r="K226" i="530" a="1"/>
  <c r="K226" i="530" s="1"/>
  <c r="M226" i="530" s="1"/>
  <c r="H226" i="530"/>
  <c r="N225" i="530"/>
  <c r="K225" i="530" a="1"/>
  <c r="K225" i="530" s="1"/>
  <c r="M225" i="530" s="1"/>
  <c r="H225" i="530"/>
  <c r="N224" i="530"/>
  <c r="K224" i="530" a="1"/>
  <c r="K224" i="530" s="1"/>
  <c r="M224" i="530" s="1"/>
  <c r="H224" i="530"/>
  <c r="N223" i="530"/>
  <c r="K223" i="530"/>
  <c r="M223" i="530" s="1"/>
  <c r="K223" i="530" a="1"/>
  <c r="H223" i="530"/>
  <c r="N222" i="530"/>
  <c r="K222" i="530" a="1"/>
  <c r="K222" i="530" s="1"/>
  <c r="M222" i="530" s="1"/>
  <c r="H222" i="530"/>
  <c r="N221" i="530"/>
  <c r="K221" i="530" a="1"/>
  <c r="K221" i="530" s="1"/>
  <c r="M221" i="530" s="1"/>
  <c r="H221" i="530"/>
  <c r="N220" i="530"/>
  <c r="K220" i="530" a="1"/>
  <c r="K220" i="530" s="1"/>
  <c r="M220" i="530" s="1"/>
  <c r="H220" i="530"/>
  <c r="N219" i="530"/>
  <c r="K219" i="530" a="1"/>
  <c r="K219" i="530" s="1"/>
  <c r="M219" i="530" s="1"/>
  <c r="H219" i="530"/>
  <c r="V218" i="530"/>
  <c r="W218" i="530" s="1"/>
  <c r="N218" i="530"/>
  <c r="K218" i="530" a="1"/>
  <c r="K218" i="530" s="1"/>
  <c r="M218" i="530" s="1"/>
  <c r="J218" i="530" a="1"/>
  <c r="J218" i="530" s="1"/>
  <c r="H218" i="530"/>
  <c r="W217" i="530"/>
  <c r="V217" i="530"/>
  <c r="N217" i="530"/>
  <c r="K217" i="530" a="1"/>
  <c r="K217" i="530" s="1"/>
  <c r="M217" i="530" s="1"/>
  <c r="J217" i="530" a="1"/>
  <c r="J217" i="530" s="1"/>
  <c r="H217" i="530"/>
  <c r="V216" i="530"/>
  <c r="W216" i="530" s="1"/>
  <c r="N216" i="530"/>
  <c r="K216" i="530" a="1"/>
  <c r="K216" i="530" s="1"/>
  <c r="M216" i="530" s="1"/>
  <c r="J216" i="530" a="1"/>
  <c r="J216" i="530" s="1"/>
  <c r="H216" i="530"/>
  <c r="V215" i="530"/>
  <c r="W215" i="530" s="1"/>
  <c r="N215" i="530"/>
  <c r="K215" i="530"/>
  <c r="M215" i="530" s="1"/>
  <c r="K215" i="530" a="1"/>
  <c r="J215" i="530"/>
  <c r="J215" i="530" a="1"/>
  <c r="H215" i="530"/>
  <c r="V214" i="530"/>
  <c r="W214" i="530" s="1"/>
  <c r="N214" i="530"/>
  <c r="K214" i="530" a="1"/>
  <c r="K214" i="530" s="1"/>
  <c r="M214" i="530" s="1"/>
  <c r="J214" i="530" a="1"/>
  <c r="J214" i="530" s="1"/>
  <c r="H214" i="530"/>
  <c r="W213" i="530"/>
  <c r="V213" i="530"/>
  <c r="N213" i="530"/>
  <c r="K213" i="530" a="1"/>
  <c r="K213" i="530" s="1"/>
  <c r="M213" i="530" s="1"/>
  <c r="J213" i="530" a="1"/>
  <c r="J213" i="530" s="1"/>
  <c r="H213" i="530"/>
  <c r="V212" i="530"/>
  <c r="W212" i="530" s="1"/>
  <c r="N212" i="530"/>
  <c r="K212" i="530" a="1"/>
  <c r="K212" i="530" s="1"/>
  <c r="M212" i="530" s="1"/>
  <c r="J212" i="530" a="1"/>
  <c r="J212" i="530" s="1"/>
  <c r="H212" i="530"/>
  <c r="V211" i="530"/>
  <c r="W211" i="530" s="1"/>
  <c r="N211" i="530"/>
  <c r="K211" i="530"/>
  <c r="M211" i="530" s="1"/>
  <c r="K211" i="530" a="1"/>
  <c r="J211" i="530"/>
  <c r="J211" i="530" a="1"/>
  <c r="H211" i="530"/>
  <c r="V210" i="530"/>
  <c r="W210" i="530" s="1"/>
  <c r="N210" i="530"/>
  <c r="K210" i="530" a="1"/>
  <c r="K210" i="530" s="1"/>
  <c r="M210" i="530" s="1"/>
  <c r="J210" i="530" a="1"/>
  <c r="J210" i="530" s="1"/>
  <c r="H210" i="530"/>
  <c r="W209" i="530"/>
  <c r="V209" i="530"/>
  <c r="N209" i="530"/>
  <c r="K209" i="530" a="1"/>
  <c r="K209" i="530" s="1"/>
  <c r="M209" i="530" s="1"/>
  <c r="J209" i="530" a="1"/>
  <c r="J209" i="530" s="1"/>
  <c r="H209" i="530"/>
  <c r="V208" i="530"/>
  <c r="W208" i="530" s="1"/>
  <c r="N208" i="530"/>
  <c r="K208" i="530" a="1"/>
  <c r="K208" i="530" s="1"/>
  <c r="M208" i="530" s="1"/>
  <c r="J208" i="530" a="1"/>
  <c r="J208" i="530" s="1"/>
  <c r="H208" i="530"/>
  <c r="V207" i="530"/>
  <c r="W207" i="530" s="1"/>
  <c r="N207" i="530"/>
  <c r="K207" i="530"/>
  <c r="M207" i="530" s="1"/>
  <c r="K207" i="530" a="1"/>
  <c r="J207" i="530"/>
  <c r="J207" i="530" a="1"/>
  <c r="H207" i="530"/>
  <c r="H206" i="530"/>
  <c r="H205" i="530"/>
  <c r="H204" i="530"/>
  <c r="W203" i="530"/>
  <c r="V203" i="530"/>
  <c r="N203" i="530"/>
  <c r="K203" i="530" a="1"/>
  <c r="K203" i="530" s="1"/>
  <c r="M203" i="530" s="1"/>
  <c r="J203" i="530" a="1"/>
  <c r="J203" i="530" s="1"/>
  <c r="H203" i="530"/>
  <c r="V202" i="530"/>
  <c r="W202" i="530" s="1"/>
  <c r="N202" i="530"/>
  <c r="K202" i="530" a="1"/>
  <c r="K202" i="530" s="1"/>
  <c r="M202" i="530" s="1"/>
  <c r="J202" i="530" a="1"/>
  <c r="J202" i="530" s="1"/>
  <c r="H202" i="530"/>
  <c r="V201" i="530"/>
  <c r="W201" i="530" s="1"/>
  <c r="N201" i="530"/>
  <c r="K201" i="530"/>
  <c r="M201" i="530" s="1"/>
  <c r="K201" i="530" a="1"/>
  <c r="J201" i="530"/>
  <c r="J201" i="530" a="1"/>
  <c r="H201" i="530"/>
  <c r="H200" i="530"/>
  <c r="V199" i="530"/>
  <c r="V256" i="530" s="1"/>
  <c r="W256" i="530" s="1"/>
  <c r="N199" i="530"/>
  <c r="N256" i="530" s="1"/>
  <c r="K199" i="530" a="1"/>
  <c r="K199" i="530" s="1"/>
  <c r="J199" i="530" a="1"/>
  <c r="J199" i="530" s="1"/>
  <c r="H199" i="530"/>
  <c r="H256" i="530" s="1"/>
  <c r="AA198" i="530"/>
  <c r="AA333" i="530" s="1"/>
  <c r="Z198" i="530"/>
  <c r="Z333" i="530" s="1"/>
  <c r="Y198" i="530"/>
  <c r="Y333" i="530" s="1"/>
  <c r="X198" i="530"/>
  <c r="X333" i="530" s="1"/>
  <c r="U198" i="530"/>
  <c r="U333" i="530" s="1"/>
  <c r="T198" i="530"/>
  <c r="T333" i="530" s="1"/>
  <c r="S198" i="530"/>
  <c r="S333" i="530" s="1"/>
  <c r="R198" i="530"/>
  <c r="R333" i="530" s="1"/>
  <c r="Q198" i="530"/>
  <c r="Q333" i="530" s="1"/>
  <c r="P198" i="530"/>
  <c r="O198" i="530"/>
  <c r="I198" i="530"/>
  <c r="I333" i="530" s="1"/>
  <c r="B341" i="530" s="1"/>
  <c r="G198" i="530"/>
  <c r="G333" i="530" s="1"/>
  <c r="V197" i="530"/>
  <c r="W197" i="530" s="1"/>
  <c r="N197" i="530"/>
  <c r="K197" i="530" a="1"/>
  <c r="K197" i="530" s="1"/>
  <c r="M197" i="530" s="1"/>
  <c r="J197" i="530" a="1"/>
  <c r="J197" i="530" s="1"/>
  <c r="H197" i="530"/>
  <c r="V196" i="530"/>
  <c r="W196" i="530" s="1"/>
  <c r="N196" i="530"/>
  <c r="K196" i="530"/>
  <c r="M196" i="530" s="1"/>
  <c r="K196" i="530" a="1"/>
  <c r="J196" i="530" a="1"/>
  <c r="J196" i="530" s="1"/>
  <c r="H196" i="530"/>
  <c r="K195" i="530" a="1"/>
  <c r="K195" i="530" s="1"/>
  <c r="M195" i="530" s="1"/>
  <c r="H195" i="530"/>
  <c r="K194" i="530" a="1"/>
  <c r="K194" i="530" s="1"/>
  <c r="M194" i="530" s="1"/>
  <c r="H194" i="530"/>
  <c r="K193" i="530" a="1"/>
  <c r="K193" i="530" s="1"/>
  <c r="M193" i="530" s="1"/>
  <c r="H193" i="530"/>
  <c r="K192" i="530" a="1"/>
  <c r="K192" i="530" s="1"/>
  <c r="M192" i="530" s="1"/>
  <c r="H192" i="530"/>
  <c r="V191" i="530"/>
  <c r="W191" i="530" s="1"/>
  <c r="N191" i="530"/>
  <c r="K191" i="530" a="1"/>
  <c r="K191" i="530" s="1"/>
  <c r="M191" i="530" s="1"/>
  <c r="J191" i="530" a="1"/>
  <c r="J191" i="530" s="1"/>
  <c r="H191" i="530"/>
  <c r="V190" i="530"/>
  <c r="W190" i="530" s="1"/>
  <c r="N190" i="530"/>
  <c r="K190" i="530" a="1"/>
  <c r="K190" i="530" s="1"/>
  <c r="M190" i="530" s="1"/>
  <c r="J190" i="530" a="1"/>
  <c r="J190" i="530" s="1"/>
  <c r="H190" i="530"/>
  <c r="V189" i="530"/>
  <c r="W189" i="530" s="1"/>
  <c r="N189" i="530"/>
  <c r="K189" i="530" a="1"/>
  <c r="K189" i="530" s="1"/>
  <c r="M189" i="530" s="1"/>
  <c r="J189" i="530" a="1"/>
  <c r="J189" i="530" s="1"/>
  <c r="H189" i="530"/>
  <c r="N188" i="530"/>
  <c r="K188" i="530"/>
  <c r="M188" i="530" s="1"/>
  <c r="K188" i="530" a="1"/>
  <c r="J188" i="530"/>
  <c r="J188" i="530" a="1"/>
  <c r="H188" i="530"/>
  <c r="N187" i="530"/>
  <c r="K187" i="530" a="1"/>
  <c r="K187" i="530" s="1"/>
  <c r="M187" i="530" s="1"/>
  <c r="J187" i="530" a="1"/>
  <c r="J187" i="530" s="1"/>
  <c r="H187" i="530"/>
  <c r="V186" i="530"/>
  <c r="W186" i="530" s="1"/>
  <c r="N186" i="530"/>
  <c r="K186" i="530" a="1"/>
  <c r="K186" i="530" s="1"/>
  <c r="M186" i="530" s="1"/>
  <c r="J186" i="530" a="1"/>
  <c r="J186" i="530" s="1"/>
  <c r="H186" i="530"/>
  <c r="V185" i="530"/>
  <c r="W185" i="530" s="1"/>
  <c r="N185" i="530"/>
  <c r="K185" i="530" a="1"/>
  <c r="K185" i="530" s="1"/>
  <c r="M185" i="530" s="1"/>
  <c r="J185" i="530" a="1"/>
  <c r="J185" i="530" s="1"/>
  <c r="H185" i="530"/>
  <c r="N184" i="530"/>
  <c r="K184" i="530"/>
  <c r="M184" i="530" s="1"/>
  <c r="K184" i="530" a="1"/>
  <c r="H184" i="530"/>
  <c r="N183" i="530"/>
  <c r="K183" i="530" a="1"/>
  <c r="K183" i="530" s="1"/>
  <c r="M183" i="530" s="1"/>
  <c r="H183" i="530"/>
  <c r="W182" i="530"/>
  <c r="V182" i="530"/>
  <c r="N182" i="530"/>
  <c r="K182" i="530" a="1"/>
  <c r="K182" i="530" s="1"/>
  <c r="M182" i="530" s="1"/>
  <c r="J182" i="530" a="1"/>
  <c r="J182" i="530" s="1"/>
  <c r="H182" i="530"/>
  <c r="V181" i="530"/>
  <c r="W181" i="530" s="1"/>
  <c r="N181" i="530"/>
  <c r="K181" i="530" a="1"/>
  <c r="K181" i="530" s="1"/>
  <c r="M181" i="530" s="1"/>
  <c r="J181" i="530" a="1"/>
  <c r="J181" i="530" s="1"/>
  <c r="H181" i="530"/>
  <c r="V180" i="530"/>
  <c r="W180" i="530" s="1"/>
  <c r="N180" i="530"/>
  <c r="K180" i="530"/>
  <c r="M180" i="530" s="1"/>
  <c r="K180" i="530" a="1"/>
  <c r="J180" i="530"/>
  <c r="J180" i="530" a="1"/>
  <c r="H180" i="530"/>
  <c r="V179" i="530"/>
  <c r="W179" i="530" s="1"/>
  <c r="N179" i="530"/>
  <c r="K179" i="530" a="1"/>
  <c r="K179" i="530" s="1"/>
  <c r="M179" i="530" s="1"/>
  <c r="J179" i="530" a="1"/>
  <c r="J179" i="530" s="1"/>
  <c r="H179" i="530"/>
  <c r="W178" i="530"/>
  <c r="V178" i="530"/>
  <c r="N178" i="530"/>
  <c r="K178" i="530" a="1"/>
  <c r="K178" i="530" s="1"/>
  <c r="M178" i="530" s="1"/>
  <c r="J178" i="530" a="1"/>
  <c r="J178" i="530" s="1"/>
  <c r="H178" i="530"/>
  <c r="V177" i="530"/>
  <c r="V198" i="530" s="1"/>
  <c r="N177" i="530"/>
  <c r="K177" i="530" a="1"/>
  <c r="K177" i="530" s="1"/>
  <c r="J177" i="530" a="1"/>
  <c r="J177" i="530" s="1"/>
  <c r="H177" i="530"/>
  <c r="H198" i="530" s="1"/>
  <c r="H333" i="530" s="1"/>
  <c r="E340" i="530" s="1"/>
  <c r="X170" i="530"/>
  <c r="Q526" i="530" s="1"/>
  <c r="X169" i="530"/>
  <c r="Q525" i="530" s="1"/>
  <c r="G169" i="530"/>
  <c r="C169" i="530"/>
  <c r="X168" i="530"/>
  <c r="Q524" i="530" s="1"/>
  <c r="I168" i="530"/>
  <c r="E168" i="530"/>
  <c r="K168" i="530" s="1"/>
  <c r="M168" i="530" s="1"/>
  <c r="I167" i="530"/>
  <c r="E167" i="530"/>
  <c r="K167" i="530" s="1"/>
  <c r="M167" i="530" s="1"/>
  <c r="I166" i="530"/>
  <c r="E166" i="530"/>
  <c r="K166" i="530" s="1"/>
  <c r="M166" i="530" s="1"/>
  <c r="X165" i="530"/>
  <c r="Q521" i="530" s="1"/>
  <c r="I165" i="530"/>
  <c r="I169" i="530" s="1"/>
  <c r="E165" i="530"/>
  <c r="E169" i="530" s="1"/>
  <c r="AA162" i="530"/>
  <c r="Z162" i="530"/>
  <c r="Y162" i="530"/>
  <c r="X162" i="530"/>
  <c r="U162" i="530"/>
  <c r="T162" i="530"/>
  <c r="S162" i="530"/>
  <c r="R162" i="530"/>
  <c r="Q162" i="530"/>
  <c r="P162" i="530"/>
  <c r="O162" i="530"/>
  <c r="I162" i="530"/>
  <c r="G162" i="530"/>
  <c r="C526" i="530" s="1"/>
  <c r="H161" i="530"/>
  <c r="H160" i="530"/>
  <c r="H159" i="530"/>
  <c r="V158" i="530"/>
  <c r="W158" i="530" s="1"/>
  <c r="N158" i="530"/>
  <c r="K158" i="530" a="1"/>
  <c r="K158" i="530" s="1"/>
  <c r="J158" i="530" a="1"/>
  <c r="J158" i="530" s="1"/>
  <c r="D158" i="530"/>
  <c r="H158" i="530" s="1"/>
  <c r="V157" i="530"/>
  <c r="W157" i="530" s="1"/>
  <c r="N157" i="530"/>
  <c r="K157" i="530" a="1"/>
  <c r="K157" i="530" s="1"/>
  <c r="M157" i="530" s="1"/>
  <c r="J157" i="530" a="1"/>
  <c r="J157" i="530" s="1"/>
  <c r="H157" i="530"/>
  <c r="H156" i="530"/>
  <c r="H155" i="530"/>
  <c r="V154" i="530"/>
  <c r="W154" i="530" s="1"/>
  <c r="N154" i="530"/>
  <c r="K154" i="530" a="1"/>
  <c r="K154" i="530" s="1"/>
  <c r="M154" i="530" s="1"/>
  <c r="J154" i="530" a="1"/>
  <c r="J154" i="530" s="1"/>
  <c r="H154" i="530"/>
  <c r="V153" i="530"/>
  <c r="W153" i="530" s="1"/>
  <c r="N153" i="530"/>
  <c r="K153" i="530" a="1"/>
  <c r="K153" i="530" s="1"/>
  <c r="M153" i="530" s="1"/>
  <c r="J153" i="530" a="1"/>
  <c r="J153" i="530" s="1"/>
  <c r="H153" i="530"/>
  <c r="H152" i="530"/>
  <c r="V151" i="530"/>
  <c r="W151" i="530" s="1"/>
  <c r="N151" i="530"/>
  <c r="K151" i="530" a="1"/>
  <c r="K151" i="530" s="1"/>
  <c r="M151" i="530" s="1"/>
  <c r="J151" i="530" a="1"/>
  <c r="J151" i="530" s="1"/>
  <c r="H151" i="530"/>
  <c r="V150" i="530"/>
  <c r="W150" i="530" s="1"/>
  <c r="N150" i="530"/>
  <c r="K150" i="530"/>
  <c r="M150" i="530" s="1"/>
  <c r="K150" i="530" a="1"/>
  <c r="J150" i="530"/>
  <c r="J150" i="530" a="1"/>
  <c r="H150" i="530"/>
  <c r="V149" i="530"/>
  <c r="W149" i="530" s="1"/>
  <c r="N149" i="530"/>
  <c r="K149" i="530" a="1"/>
  <c r="K149" i="530" s="1"/>
  <c r="M149" i="530" s="1"/>
  <c r="J149" i="530" a="1"/>
  <c r="J149" i="530" s="1"/>
  <c r="H149" i="530"/>
  <c r="V148" i="530"/>
  <c r="V162" i="530" s="1"/>
  <c r="W162" i="530" s="1"/>
  <c r="N148" i="530"/>
  <c r="N162" i="530" s="1"/>
  <c r="K148" i="530" a="1"/>
  <c r="K148" i="530" s="1"/>
  <c r="K162" i="530" s="1"/>
  <c r="J148" i="530" a="1"/>
  <c r="J148" i="530" s="1"/>
  <c r="H148" i="530"/>
  <c r="AA147" i="530"/>
  <c r="Z147" i="530"/>
  <c r="Y147" i="530"/>
  <c r="X147" i="530"/>
  <c r="U147" i="530"/>
  <c r="T147" i="530"/>
  <c r="S147" i="530"/>
  <c r="Q147" i="530"/>
  <c r="P147" i="530"/>
  <c r="O147" i="530"/>
  <c r="R169" i="530" s="1"/>
  <c r="I147" i="530"/>
  <c r="G147" i="530"/>
  <c r="C525" i="530" s="1"/>
  <c r="V146" i="530"/>
  <c r="W146" i="530" s="1"/>
  <c r="N146" i="530"/>
  <c r="K146" i="530" a="1"/>
  <c r="K146" i="530" s="1"/>
  <c r="M146" i="530" s="1"/>
  <c r="J146" i="530" a="1"/>
  <c r="J146" i="530" s="1"/>
  <c r="H146" i="530"/>
  <c r="K145" i="530" a="1"/>
  <c r="K145" i="530" s="1"/>
  <c r="H145" i="530"/>
  <c r="K144" i="530" a="1"/>
  <c r="K144" i="530" s="1"/>
  <c r="H144" i="530"/>
  <c r="K143" i="530"/>
  <c r="K143" i="530" a="1"/>
  <c r="H143" i="530"/>
  <c r="V142" i="530"/>
  <c r="W142" i="530" s="1"/>
  <c r="N142" i="530"/>
  <c r="K142" i="530" a="1"/>
  <c r="K142" i="530" s="1"/>
  <c r="M142" i="530" s="1"/>
  <c r="J142" i="530" a="1"/>
  <c r="J142" i="530" s="1"/>
  <c r="H142" i="530"/>
  <c r="V141" i="530"/>
  <c r="W141" i="530" s="1"/>
  <c r="N141" i="530"/>
  <c r="K141" i="530" a="1"/>
  <c r="K141" i="530" s="1"/>
  <c r="M141" i="530" s="1"/>
  <c r="J141" i="530" a="1"/>
  <c r="J141" i="530" s="1"/>
  <c r="H141" i="530"/>
  <c r="V140" i="530"/>
  <c r="W140" i="530" s="1"/>
  <c r="N140" i="530"/>
  <c r="K140" i="530" a="1"/>
  <c r="K140" i="530" s="1"/>
  <c r="M140" i="530" s="1"/>
  <c r="J140" i="530" a="1"/>
  <c r="J140" i="530" s="1"/>
  <c r="H140" i="530"/>
  <c r="W139" i="530"/>
  <c r="V139" i="530"/>
  <c r="N139" i="530"/>
  <c r="K139" i="530" a="1"/>
  <c r="K139" i="530" s="1"/>
  <c r="M139" i="530" s="1"/>
  <c r="J139" i="530" a="1"/>
  <c r="J139" i="530" s="1"/>
  <c r="H139" i="530"/>
  <c r="V138" i="530"/>
  <c r="V147" i="530" s="1"/>
  <c r="W147" i="530" s="1"/>
  <c r="N138" i="530"/>
  <c r="K138" i="530" a="1"/>
  <c r="K138" i="530" s="1"/>
  <c r="J138" i="530" a="1"/>
  <c r="J138" i="530" s="1"/>
  <c r="H138" i="530"/>
  <c r="H147" i="530" s="1"/>
  <c r="AA137" i="530"/>
  <c r="Z137" i="530"/>
  <c r="Y137" i="530"/>
  <c r="X137" i="530"/>
  <c r="U137" i="530"/>
  <c r="T137" i="530"/>
  <c r="S137" i="530"/>
  <c r="Q137" i="530"/>
  <c r="P137" i="530"/>
  <c r="O137" i="530"/>
  <c r="I137" i="530"/>
  <c r="G137" i="530"/>
  <c r="C524" i="530" s="1"/>
  <c r="V136" i="530"/>
  <c r="W136" i="530" s="1"/>
  <c r="N136" i="530"/>
  <c r="K136" i="530" a="1"/>
  <c r="K136" i="530" s="1"/>
  <c r="M136" i="530" s="1"/>
  <c r="J136" i="530" a="1"/>
  <c r="J136" i="530" s="1"/>
  <c r="H136" i="530"/>
  <c r="V135" i="530"/>
  <c r="W135" i="530" s="1"/>
  <c r="N135" i="530"/>
  <c r="K135" i="530" a="1"/>
  <c r="K135" i="530" s="1"/>
  <c r="M135" i="530" s="1"/>
  <c r="J135" i="530" a="1"/>
  <c r="J135" i="530" s="1"/>
  <c r="H135" i="530"/>
  <c r="V134" i="530"/>
  <c r="W134" i="530" s="1"/>
  <c r="N134" i="530"/>
  <c r="K134" i="530"/>
  <c r="M134" i="530" s="1"/>
  <c r="K134" i="530" a="1"/>
  <c r="J134" i="530"/>
  <c r="J134" i="530" a="1"/>
  <c r="H134" i="530"/>
  <c r="V133" i="530"/>
  <c r="W133" i="530" s="1"/>
  <c r="N133" i="530"/>
  <c r="K133" i="530" a="1"/>
  <c r="K133" i="530" s="1"/>
  <c r="M133" i="530" s="1"/>
  <c r="J133" i="530" a="1"/>
  <c r="J133" i="530" s="1"/>
  <c r="H133" i="530"/>
  <c r="W132" i="530"/>
  <c r="V132" i="530"/>
  <c r="N132" i="530"/>
  <c r="K132" i="530" a="1"/>
  <c r="K132" i="530" s="1"/>
  <c r="M132" i="530" s="1"/>
  <c r="J132" i="530" a="1"/>
  <c r="J132" i="530" s="1"/>
  <c r="H132" i="530"/>
  <c r="V131" i="530"/>
  <c r="W131" i="530" s="1"/>
  <c r="N131" i="530"/>
  <c r="K131" i="530" a="1"/>
  <c r="K131" i="530" s="1"/>
  <c r="M131" i="530" s="1"/>
  <c r="J131" i="530" a="1"/>
  <c r="J131" i="530" s="1"/>
  <c r="H131" i="530"/>
  <c r="V130" i="530"/>
  <c r="W130" i="530" s="1"/>
  <c r="N130" i="530"/>
  <c r="K130" i="530"/>
  <c r="M130" i="530" s="1"/>
  <c r="K130" i="530" a="1"/>
  <c r="J130" i="530"/>
  <c r="J130" i="530" a="1"/>
  <c r="H130" i="530"/>
  <c r="V129" i="530"/>
  <c r="W129" i="530" s="1"/>
  <c r="N129" i="530"/>
  <c r="K129" i="530" a="1"/>
  <c r="K129" i="530" s="1"/>
  <c r="M129" i="530" s="1"/>
  <c r="J129" i="530" a="1"/>
  <c r="J129" i="530" s="1"/>
  <c r="H129" i="530"/>
  <c r="W128" i="530"/>
  <c r="V128" i="530"/>
  <c r="N128" i="530"/>
  <c r="K128" i="530" a="1"/>
  <c r="K128" i="530" s="1"/>
  <c r="M128" i="530" s="1"/>
  <c r="J128" i="530" a="1"/>
  <c r="J128" i="530" s="1"/>
  <c r="H128" i="530"/>
  <c r="V127" i="530"/>
  <c r="W127" i="530" s="1"/>
  <c r="N127" i="530"/>
  <c r="K127" i="530" a="1"/>
  <c r="K127" i="530" s="1"/>
  <c r="M127" i="530" s="1"/>
  <c r="J127" i="530" a="1"/>
  <c r="J127" i="530" s="1"/>
  <c r="H127" i="530"/>
  <c r="V126" i="530"/>
  <c r="W126" i="530" s="1"/>
  <c r="N126" i="530"/>
  <c r="K126" i="530"/>
  <c r="M126" i="530" s="1"/>
  <c r="K126" i="530" a="1"/>
  <c r="J126" i="530"/>
  <c r="J126" i="530" a="1"/>
  <c r="H126" i="530"/>
  <c r="V125" i="530"/>
  <c r="W125" i="530" s="1"/>
  <c r="N125" i="530"/>
  <c r="K125" i="530" a="1"/>
  <c r="K125" i="530" s="1"/>
  <c r="M125" i="530" s="1"/>
  <c r="J125" i="530" a="1"/>
  <c r="J125" i="530" s="1"/>
  <c r="H125" i="530"/>
  <c r="W124" i="530"/>
  <c r="V124" i="530"/>
  <c r="N124" i="530"/>
  <c r="K124" i="530" a="1"/>
  <c r="K124" i="530" s="1"/>
  <c r="M124" i="530" s="1"/>
  <c r="J124" i="530" a="1"/>
  <c r="J124" i="530" s="1"/>
  <c r="H124" i="530"/>
  <c r="V123" i="530"/>
  <c r="W123" i="530" s="1"/>
  <c r="N123" i="530"/>
  <c r="K123" i="530" a="1"/>
  <c r="K123" i="530" s="1"/>
  <c r="M123" i="530" s="1"/>
  <c r="J123" i="530" a="1"/>
  <c r="J123" i="530" s="1"/>
  <c r="H123" i="530"/>
  <c r="W122" i="530"/>
  <c r="V122" i="530"/>
  <c r="V137" i="530" s="1"/>
  <c r="N122" i="530"/>
  <c r="K122" i="530" a="1"/>
  <c r="K122" i="530" s="1"/>
  <c r="J122" i="530" a="1"/>
  <c r="J122" i="530" s="1"/>
  <c r="H122" i="530"/>
  <c r="H137" i="530" s="1"/>
  <c r="AA121" i="530"/>
  <c r="Z121" i="530"/>
  <c r="Y121" i="530"/>
  <c r="X121" i="530"/>
  <c r="U121" i="530"/>
  <c r="T121" i="530"/>
  <c r="S121" i="530"/>
  <c r="R121" i="530"/>
  <c r="Q121" i="530"/>
  <c r="P121" i="530"/>
  <c r="O121" i="530"/>
  <c r="R167" i="530" s="1"/>
  <c r="I121" i="530"/>
  <c r="G121" i="530"/>
  <c r="C523" i="530" s="1"/>
  <c r="V120" i="530"/>
  <c r="W120" i="530" s="1"/>
  <c r="N120" i="530"/>
  <c r="K120" i="530" a="1"/>
  <c r="K120" i="530" s="1"/>
  <c r="M120" i="530" s="1"/>
  <c r="J120" i="530" a="1"/>
  <c r="J120" i="530" s="1"/>
  <c r="H120" i="530"/>
  <c r="V119" i="530"/>
  <c r="W119" i="530" s="1"/>
  <c r="N119" i="530"/>
  <c r="K119" i="530"/>
  <c r="M119" i="530" s="1"/>
  <c r="K119" i="530" a="1"/>
  <c r="J119" i="530" a="1"/>
  <c r="J119" i="530" s="1"/>
  <c r="H119" i="530"/>
  <c r="V118" i="530"/>
  <c r="W118" i="530" s="1"/>
  <c r="N118" i="530"/>
  <c r="K118" i="530" a="1"/>
  <c r="K118" i="530" s="1"/>
  <c r="M118" i="530" s="1"/>
  <c r="J118" i="530" a="1"/>
  <c r="J118" i="530" s="1"/>
  <c r="H118" i="530"/>
  <c r="K117" i="530" a="1"/>
  <c r="K117" i="530" s="1"/>
  <c r="H117" i="530"/>
  <c r="K116" i="530" a="1"/>
  <c r="K116" i="530" s="1"/>
  <c r="H116" i="530"/>
  <c r="K115" i="530"/>
  <c r="K115" i="530" a="1"/>
  <c r="H115" i="530"/>
  <c r="V114" i="530"/>
  <c r="W114" i="530" s="1"/>
  <c r="N114" i="530"/>
  <c r="K114" i="530" a="1"/>
  <c r="K114" i="530" s="1"/>
  <c r="M114" i="530" s="1"/>
  <c r="J114" i="530" a="1"/>
  <c r="J114" i="530" s="1"/>
  <c r="H114" i="530"/>
  <c r="W113" i="530"/>
  <c r="V113" i="530"/>
  <c r="N113" i="530"/>
  <c r="K113" i="530" a="1"/>
  <c r="K113" i="530" s="1"/>
  <c r="M113" i="530" s="1"/>
  <c r="J113" i="530" a="1"/>
  <c r="J113" i="530" s="1"/>
  <c r="H113" i="530"/>
  <c r="N112" i="530"/>
  <c r="K112" i="530" a="1"/>
  <c r="K112" i="530" s="1"/>
  <c r="M112" i="530" s="1"/>
  <c r="H112" i="530"/>
  <c r="N111" i="530"/>
  <c r="K111" i="530" a="1"/>
  <c r="K111" i="530" s="1"/>
  <c r="M111" i="530" s="1"/>
  <c r="H111" i="530"/>
  <c r="N110" i="530"/>
  <c r="K110" i="530" a="1"/>
  <c r="K110" i="530" s="1"/>
  <c r="M110" i="530" s="1"/>
  <c r="H110" i="530"/>
  <c r="N109" i="530"/>
  <c r="K109" i="530" a="1"/>
  <c r="K109" i="530" s="1"/>
  <c r="M109" i="530" s="1"/>
  <c r="H109" i="530"/>
  <c r="N108" i="530"/>
  <c r="K108" i="530" a="1"/>
  <c r="K108" i="530" s="1"/>
  <c r="M108" i="530" s="1"/>
  <c r="H108" i="530"/>
  <c r="N107" i="530"/>
  <c r="K107" i="530" a="1"/>
  <c r="K107" i="530" s="1"/>
  <c r="M107" i="530" s="1"/>
  <c r="H107" i="530"/>
  <c r="V106" i="530"/>
  <c r="W106" i="530" s="1"/>
  <c r="N106" i="530"/>
  <c r="K106" i="530" a="1"/>
  <c r="K106" i="530" s="1"/>
  <c r="M106" i="530" s="1"/>
  <c r="J106" i="530" a="1"/>
  <c r="J106" i="530" s="1"/>
  <c r="H106" i="530"/>
  <c r="V105" i="530"/>
  <c r="W105" i="530" s="1"/>
  <c r="N105" i="530"/>
  <c r="K105" i="530" a="1"/>
  <c r="K105" i="530" s="1"/>
  <c r="M105" i="530" s="1"/>
  <c r="J105" i="530" a="1"/>
  <c r="J105" i="530" s="1"/>
  <c r="H105" i="530"/>
  <c r="V104" i="530"/>
  <c r="W104" i="530" s="1"/>
  <c r="N104" i="530"/>
  <c r="K104" i="530" a="1"/>
  <c r="K104" i="530" s="1"/>
  <c r="M104" i="530" s="1"/>
  <c r="J104" i="530" a="1"/>
  <c r="J104" i="530" s="1"/>
  <c r="H104" i="530"/>
  <c r="V103" i="530"/>
  <c r="W103" i="530" s="1"/>
  <c r="N103" i="530"/>
  <c r="K103" i="530"/>
  <c r="M103" i="530" s="1"/>
  <c r="K103" i="530" a="1"/>
  <c r="J103" i="530"/>
  <c r="J103" i="530" a="1"/>
  <c r="H103" i="530"/>
  <c r="V102" i="530"/>
  <c r="W102" i="530" s="1"/>
  <c r="N102" i="530"/>
  <c r="K102" i="530" a="1"/>
  <c r="K102" i="530" s="1"/>
  <c r="M102" i="530" s="1"/>
  <c r="J102" i="530" a="1"/>
  <c r="J102" i="530" s="1"/>
  <c r="H102" i="530"/>
  <c r="V101" i="530"/>
  <c r="W101" i="530" s="1"/>
  <c r="N101" i="530"/>
  <c r="K101" i="530"/>
  <c r="M101" i="530" s="1"/>
  <c r="K101" i="530" a="1"/>
  <c r="J101" i="530"/>
  <c r="J101" i="530" a="1"/>
  <c r="H101" i="530"/>
  <c r="V100" i="530"/>
  <c r="W100" i="530" s="1"/>
  <c r="N100" i="530"/>
  <c r="K100" i="530" a="1"/>
  <c r="K100" i="530" s="1"/>
  <c r="M100" i="530" s="1"/>
  <c r="J100" i="530" a="1"/>
  <c r="J100" i="530" s="1"/>
  <c r="H100" i="530"/>
  <c r="W99" i="530"/>
  <c r="V99" i="530"/>
  <c r="N99" i="530"/>
  <c r="K99" i="530" a="1"/>
  <c r="K99" i="530" s="1"/>
  <c r="M99" i="530" s="1"/>
  <c r="J99" i="530" a="1"/>
  <c r="J99" i="530" s="1"/>
  <c r="H99" i="530"/>
  <c r="V98" i="530"/>
  <c r="W98" i="530" s="1"/>
  <c r="N98" i="530"/>
  <c r="K98" i="530" a="1"/>
  <c r="K98" i="530" s="1"/>
  <c r="M98" i="530" s="1"/>
  <c r="J98" i="530" a="1"/>
  <c r="J98" i="530" s="1"/>
  <c r="H98" i="530"/>
  <c r="V97" i="530"/>
  <c r="W97" i="530" s="1"/>
  <c r="N97" i="530"/>
  <c r="K97" i="530"/>
  <c r="M97" i="530" s="1"/>
  <c r="K97" i="530" a="1"/>
  <c r="J97" i="530"/>
  <c r="J97" i="530" a="1"/>
  <c r="H97" i="530"/>
  <c r="V96" i="530"/>
  <c r="W96" i="530" s="1"/>
  <c r="N96" i="530"/>
  <c r="K96" i="530" a="1"/>
  <c r="K96" i="530" s="1"/>
  <c r="M96" i="530" s="1"/>
  <c r="J96" i="530" a="1"/>
  <c r="J96" i="530" s="1"/>
  <c r="H96" i="530"/>
  <c r="W95" i="530"/>
  <c r="V95" i="530"/>
  <c r="N95" i="530"/>
  <c r="K95" i="530" a="1"/>
  <c r="K95" i="530" s="1"/>
  <c r="M95" i="530" s="1"/>
  <c r="J95" i="530" a="1"/>
  <c r="J95" i="530" s="1"/>
  <c r="H95" i="530"/>
  <c r="K94" i="530"/>
  <c r="M94" i="530" s="1"/>
  <c r="K94" i="530" a="1"/>
  <c r="H94" i="530"/>
  <c r="V93" i="530"/>
  <c r="W93" i="530" s="1"/>
  <c r="N93" i="530"/>
  <c r="K93" i="530" a="1"/>
  <c r="K93" i="530" s="1"/>
  <c r="M93" i="530" s="1"/>
  <c r="J93" i="530" a="1"/>
  <c r="J93" i="530" s="1"/>
  <c r="H93" i="530"/>
  <c r="W92" i="530"/>
  <c r="V92" i="530"/>
  <c r="N92" i="530"/>
  <c r="K92" i="530" a="1"/>
  <c r="K92" i="530" s="1"/>
  <c r="M92" i="530" s="1"/>
  <c r="J92" i="530" a="1"/>
  <c r="J92" i="530" s="1"/>
  <c r="H92" i="530"/>
  <c r="V91" i="530"/>
  <c r="W91" i="530" s="1"/>
  <c r="N91" i="530"/>
  <c r="K91" i="530" a="1"/>
  <c r="K91" i="530" s="1"/>
  <c r="M91" i="530" s="1"/>
  <c r="J91" i="530" a="1"/>
  <c r="J91" i="530" s="1"/>
  <c r="H91" i="530"/>
  <c r="V90" i="530"/>
  <c r="W90" i="530" s="1"/>
  <c r="N90" i="530"/>
  <c r="K90" i="530"/>
  <c r="M90" i="530" s="1"/>
  <c r="K90" i="530" a="1"/>
  <c r="J90" i="530"/>
  <c r="J90" i="530" a="1"/>
  <c r="H90" i="530"/>
  <c r="V89" i="530"/>
  <c r="W89" i="530" s="1"/>
  <c r="N89" i="530"/>
  <c r="K89" i="530" a="1"/>
  <c r="K89" i="530" s="1"/>
  <c r="M89" i="530" s="1"/>
  <c r="J89" i="530" a="1"/>
  <c r="J89" i="530" s="1"/>
  <c r="H89" i="530"/>
  <c r="V88" i="530"/>
  <c r="W88" i="530" s="1"/>
  <c r="N88" i="530"/>
  <c r="K88" i="530" a="1"/>
  <c r="K88" i="530" s="1"/>
  <c r="M88" i="530" s="1"/>
  <c r="J88" i="530" a="1"/>
  <c r="J88" i="530" s="1"/>
  <c r="H88" i="530"/>
  <c r="V87" i="530"/>
  <c r="V121" i="530" s="1"/>
  <c r="W121" i="530" s="1"/>
  <c r="N87" i="530"/>
  <c r="N121" i="530" s="1"/>
  <c r="K87" i="530" a="1"/>
  <c r="K87" i="530" s="1"/>
  <c r="J87" i="530" a="1"/>
  <c r="J87" i="530" s="1"/>
  <c r="H87" i="530"/>
  <c r="H121" i="530" s="1"/>
  <c r="AA86" i="530"/>
  <c r="Z86" i="530"/>
  <c r="Y86" i="530"/>
  <c r="X86" i="530"/>
  <c r="U86" i="530"/>
  <c r="T86" i="530"/>
  <c r="S86" i="530"/>
  <c r="R86" i="530"/>
  <c r="Q86" i="530"/>
  <c r="P86" i="530"/>
  <c r="O86" i="530"/>
  <c r="R166" i="530" s="1"/>
  <c r="I86" i="530"/>
  <c r="G86" i="530"/>
  <c r="C522" i="530" s="1"/>
  <c r="K85" i="530" a="1"/>
  <c r="K85" i="530" s="1"/>
  <c r="H85" i="530"/>
  <c r="K84" i="530" a="1"/>
  <c r="K84" i="530" s="1"/>
  <c r="H84" i="530"/>
  <c r="K83" i="530" a="1"/>
  <c r="K83" i="530" s="1"/>
  <c r="H83" i="530"/>
  <c r="K82" i="530" a="1"/>
  <c r="K82" i="530" s="1"/>
  <c r="H82" i="530"/>
  <c r="K81" i="530" a="1"/>
  <c r="K81" i="530" s="1"/>
  <c r="H81" i="530"/>
  <c r="K80" i="530" a="1"/>
  <c r="K80" i="530" s="1"/>
  <c r="H80" i="530"/>
  <c r="K79" i="530" a="1"/>
  <c r="K79" i="530" s="1"/>
  <c r="M79" i="530" s="1"/>
  <c r="H79" i="530"/>
  <c r="K78" i="530"/>
  <c r="M78" i="530" s="1"/>
  <c r="K78" i="530" a="1"/>
  <c r="H78" i="530"/>
  <c r="K77" i="530" a="1"/>
  <c r="K77" i="530" s="1"/>
  <c r="M77" i="530" s="1"/>
  <c r="H77" i="530"/>
  <c r="K76" i="530" a="1"/>
  <c r="K76" i="530" s="1"/>
  <c r="M76" i="530" s="1"/>
  <c r="H76" i="530"/>
  <c r="W75" i="530"/>
  <c r="V75" i="530"/>
  <c r="N75" i="530"/>
  <c r="K75" i="530" a="1"/>
  <c r="K75" i="530" s="1"/>
  <c r="M75" i="530" s="1"/>
  <c r="J75" i="530" a="1"/>
  <c r="J75" i="530" s="1"/>
  <c r="H75" i="530"/>
  <c r="V74" i="530"/>
  <c r="W74" i="530" s="1"/>
  <c r="N74" i="530"/>
  <c r="K74" i="530"/>
  <c r="M74" i="530" s="1"/>
  <c r="K74" i="530" a="1"/>
  <c r="J74" i="530" a="1"/>
  <c r="J74" i="530" s="1"/>
  <c r="H74" i="530"/>
  <c r="V73" i="530"/>
  <c r="W73" i="530" s="1"/>
  <c r="N73" i="530"/>
  <c r="K73" i="530" a="1"/>
  <c r="K73" i="530" s="1"/>
  <c r="M73" i="530" s="1"/>
  <c r="J73" i="530" a="1"/>
  <c r="J73" i="530" s="1"/>
  <c r="H73" i="530"/>
  <c r="V72" i="530"/>
  <c r="W72" i="530" s="1"/>
  <c r="N72" i="530"/>
  <c r="K72" i="530"/>
  <c r="M72" i="530" s="1"/>
  <c r="K72" i="530" a="1"/>
  <c r="J72" i="530"/>
  <c r="J72" i="530" a="1"/>
  <c r="H72" i="530"/>
  <c r="H71" i="530"/>
  <c r="V70" i="530"/>
  <c r="W70" i="530" s="1"/>
  <c r="N70" i="530"/>
  <c r="K70" i="530" a="1"/>
  <c r="K70" i="530" s="1"/>
  <c r="M70" i="530" s="1"/>
  <c r="J70" i="530" a="1"/>
  <c r="J70" i="530" s="1"/>
  <c r="H70" i="530"/>
  <c r="V69" i="530"/>
  <c r="W69" i="530" s="1"/>
  <c r="N69" i="530"/>
  <c r="K69" i="530"/>
  <c r="M69" i="530" s="1"/>
  <c r="K69" i="530" a="1"/>
  <c r="J69" i="530"/>
  <c r="J69" i="530" a="1"/>
  <c r="H69" i="530"/>
  <c r="K68" i="530" a="1"/>
  <c r="K68" i="530" s="1"/>
  <c r="H68" i="530"/>
  <c r="K67" i="530" a="1"/>
  <c r="K67" i="530" s="1"/>
  <c r="H67" i="530"/>
  <c r="V66" i="530"/>
  <c r="W66" i="530" s="1"/>
  <c r="N66" i="530"/>
  <c r="K66" i="530" a="1"/>
  <c r="K66" i="530" s="1"/>
  <c r="M66" i="530" s="1"/>
  <c r="J66" i="530" a="1"/>
  <c r="J66" i="530" s="1"/>
  <c r="H66" i="530"/>
  <c r="V65" i="530"/>
  <c r="W65" i="530" s="1"/>
  <c r="N65" i="530"/>
  <c r="K65" i="530" a="1"/>
  <c r="K65" i="530" s="1"/>
  <c r="M65" i="530" s="1"/>
  <c r="J65" i="530" a="1"/>
  <c r="J65" i="530" s="1"/>
  <c r="H65" i="530"/>
  <c r="V64" i="530"/>
  <c r="W64" i="530" s="1"/>
  <c r="N64" i="530"/>
  <c r="K64" i="530" a="1"/>
  <c r="K64" i="530" s="1"/>
  <c r="M64" i="530" s="1"/>
  <c r="J64" i="530" a="1"/>
  <c r="J64" i="530" s="1"/>
  <c r="H64" i="530"/>
  <c r="V63" i="530"/>
  <c r="W63" i="530" s="1"/>
  <c r="N63" i="530"/>
  <c r="K63" i="530"/>
  <c r="M63" i="530" s="1"/>
  <c r="K63" i="530" a="1"/>
  <c r="J63" i="530"/>
  <c r="J63" i="530" a="1"/>
  <c r="H63" i="530"/>
  <c r="V62" i="530"/>
  <c r="W62" i="530" s="1"/>
  <c r="N62" i="530"/>
  <c r="K62" i="530" a="1"/>
  <c r="K62" i="530" s="1"/>
  <c r="M62" i="530" s="1"/>
  <c r="J62" i="530" a="1"/>
  <c r="J62" i="530" s="1"/>
  <c r="H62" i="530"/>
  <c r="V61" i="530"/>
  <c r="W61" i="530" s="1"/>
  <c r="N61" i="530"/>
  <c r="K61" i="530" a="1"/>
  <c r="K61" i="530" s="1"/>
  <c r="M61" i="530" s="1"/>
  <c r="J61" i="530" a="1"/>
  <c r="J61" i="530" s="1"/>
  <c r="H61" i="530"/>
  <c r="V60" i="530"/>
  <c r="W60" i="530" s="1"/>
  <c r="N60" i="530"/>
  <c r="K60" i="530" a="1"/>
  <c r="K60" i="530" s="1"/>
  <c r="M60" i="530" s="1"/>
  <c r="J60" i="530" a="1"/>
  <c r="J60" i="530" s="1"/>
  <c r="H60" i="530"/>
  <c r="V59" i="530"/>
  <c r="W59" i="530" s="1"/>
  <c r="N59" i="530"/>
  <c r="K59" i="530"/>
  <c r="M59" i="530" s="1"/>
  <c r="K59" i="530" a="1"/>
  <c r="J59" i="530"/>
  <c r="J59" i="530" a="1"/>
  <c r="H59" i="530"/>
  <c r="V58" i="530"/>
  <c r="W58" i="530" s="1"/>
  <c r="N58" i="530"/>
  <c r="K58" i="530" a="1"/>
  <c r="K58" i="530" s="1"/>
  <c r="M58" i="530" s="1"/>
  <c r="J58" i="530" a="1"/>
  <c r="J58" i="530" s="1"/>
  <c r="H58" i="530"/>
  <c r="V57" i="530"/>
  <c r="W57" i="530" s="1"/>
  <c r="N57" i="530"/>
  <c r="K57" i="530" a="1"/>
  <c r="K57" i="530" s="1"/>
  <c r="M57" i="530" s="1"/>
  <c r="J57" i="530" a="1"/>
  <c r="J57" i="530" s="1"/>
  <c r="H57" i="530"/>
  <c r="K56" i="530"/>
  <c r="M56" i="530" s="1"/>
  <c r="K56" i="530" a="1"/>
  <c r="H56" i="530"/>
  <c r="K55" i="530" a="1"/>
  <c r="K55" i="530" s="1"/>
  <c r="M55" i="530" s="1"/>
  <c r="H55" i="530"/>
  <c r="K54" i="530"/>
  <c r="M54" i="530" s="1"/>
  <c r="K54" i="530" a="1"/>
  <c r="H54" i="530"/>
  <c r="K53" i="530" a="1"/>
  <c r="K53" i="530" s="1"/>
  <c r="M53" i="530" s="1"/>
  <c r="H53" i="530"/>
  <c r="N52" i="530"/>
  <c r="K52" i="530" a="1"/>
  <c r="K52" i="530" s="1"/>
  <c r="M52" i="530" s="1"/>
  <c r="H52" i="530"/>
  <c r="N51" i="530"/>
  <c r="K51" i="530" a="1"/>
  <c r="K51" i="530" s="1"/>
  <c r="M51" i="530" s="1"/>
  <c r="H51" i="530"/>
  <c r="N50" i="530"/>
  <c r="K50" i="530" a="1"/>
  <c r="K50" i="530" s="1"/>
  <c r="M50" i="530" s="1"/>
  <c r="H50" i="530"/>
  <c r="N49" i="530"/>
  <c r="K49" i="530" a="1"/>
  <c r="K49" i="530" s="1"/>
  <c r="M49" i="530" s="1"/>
  <c r="H49" i="530"/>
  <c r="V48" i="530"/>
  <c r="W48" i="530" s="1"/>
  <c r="N48" i="530"/>
  <c r="K48" i="530" a="1"/>
  <c r="K48" i="530" s="1"/>
  <c r="M48" i="530" s="1"/>
  <c r="J48" i="530" a="1"/>
  <c r="J48" i="530" s="1"/>
  <c r="H48" i="530"/>
  <c r="V47" i="530"/>
  <c r="W47" i="530" s="1"/>
  <c r="N47" i="530"/>
  <c r="K47" i="530"/>
  <c r="M47" i="530" s="1"/>
  <c r="K47" i="530" a="1"/>
  <c r="J47" i="530"/>
  <c r="J47" i="530" a="1"/>
  <c r="H47" i="530"/>
  <c r="V46" i="530"/>
  <c r="W46" i="530" s="1"/>
  <c r="N46" i="530"/>
  <c r="K46" i="530" a="1"/>
  <c r="K46" i="530" s="1"/>
  <c r="M46" i="530" s="1"/>
  <c r="J46" i="530" a="1"/>
  <c r="J46" i="530" s="1"/>
  <c r="H46" i="530"/>
  <c r="W45" i="530"/>
  <c r="V45" i="530"/>
  <c r="N45" i="530"/>
  <c r="K45" i="530" a="1"/>
  <c r="K45" i="530" s="1"/>
  <c r="M45" i="530" s="1"/>
  <c r="J45" i="530" a="1"/>
  <c r="J45" i="530" s="1"/>
  <c r="H45" i="530"/>
  <c r="V44" i="530"/>
  <c r="W44" i="530" s="1"/>
  <c r="N44" i="530"/>
  <c r="K44" i="530" a="1"/>
  <c r="K44" i="530" s="1"/>
  <c r="M44" i="530" s="1"/>
  <c r="J44" i="530" a="1"/>
  <c r="J44" i="530" s="1"/>
  <c r="H44" i="530"/>
  <c r="V43" i="530"/>
  <c r="W43" i="530" s="1"/>
  <c r="N43" i="530"/>
  <c r="K43" i="530"/>
  <c r="M43" i="530" s="1"/>
  <c r="K43" i="530" a="1"/>
  <c r="J43" i="530"/>
  <c r="J43" i="530" a="1"/>
  <c r="H43" i="530"/>
  <c r="V42" i="530"/>
  <c r="W42" i="530" s="1"/>
  <c r="N42" i="530"/>
  <c r="K42" i="530" a="1"/>
  <c r="K42" i="530" s="1"/>
  <c r="M42" i="530" s="1"/>
  <c r="J42" i="530" a="1"/>
  <c r="J42" i="530" s="1"/>
  <c r="H42" i="530"/>
  <c r="W41" i="530"/>
  <c r="V41" i="530"/>
  <c r="N41" i="530"/>
  <c r="K41" i="530" a="1"/>
  <c r="K41" i="530" s="1"/>
  <c r="M41" i="530" s="1"/>
  <c r="J41" i="530" a="1"/>
  <c r="J41" i="530" s="1"/>
  <c r="H41" i="530"/>
  <c r="V40" i="530"/>
  <c r="W40" i="530" s="1"/>
  <c r="N40" i="530"/>
  <c r="K40" i="530" a="1"/>
  <c r="K40" i="530" s="1"/>
  <c r="M40" i="530" s="1"/>
  <c r="J40" i="530" a="1"/>
  <c r="J40" i="530" s="1"/>
  <c r="H40" i="530"/>
  <c r="V39" i="530"/>
  <c r="W39" i="530" s="1"/>
  <c r="N39" i="530"/>
  <c r="K39" i="530"/>
  <c r="M39" i="530" s="1"/>
  <c r="K39" i="530" a="1"/>
  <c r="J39" i="530"/>
  <c r="J39" i="530" a="1"/>
  <c r="H39" i="530"/>
  <c r="V38" i="530"/>
  <c r="W38" i="530" s="1"/>
  <c r="N38" i="530"/>
  <c r="K38" i="530" a="1"/>
  <c r="K38" i="530" s="1"/>
  <c r="M38" i="530" s="1"/>
  <c r="J38" i="530" a="1"/>
  <c r="J38" i="530" s="1"/>
  <c r="H38" i="530"/>
  <c r="W37" i="530"/>
  <c r="V37" i="530"/>
  <c r="N37" i="530"/>
  <c r="K37" i="530" a="1"/>
  <c r="K37" i="530" s="1"/>
  <c r="M37" i="530" s="1"/>
  <c r="J37" i="530" a="1"/>
  <c r="J37" i="530" s="1"/>
  <c r="H37" i="530"/>
  <c r="H36" i="530"/>
  <c r="H35" i="530"/>
  <c r="H34" i="530"/>
  <c r="V33" i="530"/>
  <c r="W33" i="530" s="1"/>
  <c r="N33" i="530"/>
  <c r="K33" i="530"/>
  <c r="M33" i="530" s="1"/>
  <c r="K33" i="530" a="1"/>
  <c r="J33" i="530"/>
  <c r="J33" i="530" a="1"/>
  <c r="H33" i="530"/>
  <c r="V32" i="530"/>
  <c r="W32" i="530" s="1"/>
  <c r="N32" i="530"/>
  <c r="K32" i="530" a="1"/>
  <c r="K32" i="530" s="1"/>
  <c r="M32" i="530" s="1"/>
  <c r="J32" i="530" a="1"/>
  <c r="J32" i="530" s="1"/>
  <c r="H32" i="530"/>
  <c r="W31" i="530"/>
  <c r="V31" i="530"/>
  <c r="N31" i="530"/>
  <c r="K31" i="530" a="1"/>
  <c r="K31" i="530" s="1"/>
  <c r="M31" i="530" s="1"/>
  <c r="J31" i="530" a="1"/>
  <c r="J31" i="530" s="1"/>
  <c r="H31" i="530"/>
  <c r="K30" i="530" a="1"/>
  <c r="K30" i="530" s="1"/>
  <c r="H30" i="530"/>
  <c r="V29" i="530"/>
  <c r="V86" i="530" s="1"/>
  <c r="W86" i="530" s="1"/>
  <c r="N29" i="530"/>
  <c r="N86" i="530" s="1"/>
  <c r="K29" i="530" a="1"/>
  <c r="K29" i="530" s="1"/>
  <c r="J29" i="530" a="1"/>
  <c r="J29" i="530" s="1"/>
  <c r="H29" i="530"/>
  <c r="H86" i="530" s="1"/>
  <c r="AA28" i="530"/>
  <c r="AA163" i="530" s="1"/>
  <c r="Z28" i="530"/>
  <c r="Z163" i="530" s="1"/>
  <c r="Y28" i="530"/>
  <c r="Y163" i="530" s="1"/>
  <c r="X28" i="530"/>
  <c r="X163" i="530" s="1"/>
  <c r="U28" i="530"/>
  <c r="U163" i="530" s="1"/>
  <c r="T28" i="530"/>
  <c r="T163" i="530" s="1"/>
  <c r="S28" i="530"/>
  <c r="S163" i="530" s="1"/>
  <c r="R28" i="530"/>
  <c r="R163" i="530" s="1"/>
  <c r="Q28" i="530"/>
  <c r="Q163" i="530" s="1"/>
  <c r="P28" i="530"/>
  <c r="P163" i="530" s="1"/>
  <c r="X167" i="530" s="1"/>
  <c r="O28" i="530"/>
  <c r="O163" i="530" s="1"/>
  <c r="I28" i="530"/>
  <c r="I163" i="530" s="1"/>
  <c r="B171" i="530" s="1"/>
  <c r="G28" i="530"/>
  <c r="C521" i="530" s="1"/>
  <c r="V27" i="530"/>
  <c r="W27" i="530" s="1"/>
  <c r="N27" i="530"/>
  <c r="K27" i="530" a="1"/>
  <c r="K27" i="530" s="1"/>
  <c r="M27" i="530" s="1"/>
  <c r="J27" i="530" a="1"/>
  <c r="J27" i="530" s="1"/>
  <c r="H27" i="530"/>
  <c r="V26" i="530"/>
  <c r="W26" i="530" s="1"/>
  <c r="N26" i="530"/>
  <c r="K26" i="530" a="1"/>
  <c r="K26" i="530" s="1"/>
  <c r="M26" i="530" s="1"/>
  <c r="J26" i="530" a="1"/>
  <c r="J26" i="530" s="1"/>
  <c r="H26" i="530"/>
  <c r="K25" i="530" a="1"/>
  <c r="K25" i="530" s="1"/>
  <c r="M25" i="530" s="1"/>
  <c r="J25" i="530" a="1"/>
  <c r="J25" i="530" s="1"/>
  <c r="H25" i="530"/>
  <c r="K24" i="530" a="1"/>
  <c r="K24" i="530" s="1"/>
  <c r="M24" i="530" s="1"/>
  <c r="J24" i="530" a="1"/>
  <c r="J24" i="530" s="1"/>
  <c r="H24" i="530"/>
  <c r="K23" i="530"/>
  <c r="M23" i="530" s="1"/>
  <c r="K23" i="530" a="1"/>
  <c r="J23" i="530"/>
  <c r="J23" i="530" a="1"/>
  <c r="H23" i="530"/>
  <c r="K22" i="530" a="1"/>
  <c r="K22" i="530" s="1"/>
  <c r="M22" i="530" s="1"/>
  <c r="J22" i="530" a="1"/>
  <c r="J22" i="530" s="1"/>
  <c r="H22" i="530"/>
  <c r="V21" i="530"/>
  <c r="W21" i="530" s="1"/>
  <c r="N21" i="530"/>
  <c r="K21" i="530" a="1"/>
  <c r="K21" i="530" s="1"/>
  <c r="M21" i="530" s="1"/>
  <c r="J21" i="530" a="1"/>
  <c r="J21" i="530" s="1"/>
  <c r="H21" i="530"/>
  <c r="V20" i="530"/>
  <c r="W20" i="530" s="1"/>
  <c r="N20" i="530"/>
  <c r="K20" i="530" a="1"/>
  <c r="K20" i="530" s="1"/>
  <c r="M20" i="530" s="1"/>
  <c r="J20" i="530" a="1"/>
  <c r="J20" i="530" s="1"/>
  <c r="H20" i="530"/>
  <c r="V19" i="530"/>
  <c r="W19" i="530" s="1"/>
  <c r="N19" i="530"/>
  <c r="K19" i="530"/>
  <c r="M19" i="530" s="1"/>
  <c r="K19" i="530" a="1"/>
  <c r="J19" i="530"/>
  <c r="J19" i="530" a="1"/>
  <c r="H19" i="530"/>
  <c r="N18" i="530"/>
  <c r="K18" i="530" a="1"/>
  <c r="K18" i="530" s="1"/>
  <c r="M18" i="530" s="1"/>
  <c r="J18" i="530" a="1"/>
  <c r="J18" i="530" s="1"/>
  <c r="H18" i="530"/>
  <c r="N17" i="530"/>
  <c r="K17" i="530"/>
  <c r="M17" i="530" s="1"/>
  <c r="K17" i="530" a="1"/>
  <c r="J17" i="530"/>
  <c r="J17" i="530" a="1"/>
  <c r="H17" i="530"/>
  <c r="V16" i="530"/>
  <c r="W16" i="530" s="1"/>
  <c r="N16" i="530"/>
  <c r="K16" i="530" a="1"/>
  <c r="K16" i="530" s="1"/>
  <c r="M16" i="530" s="1"/>
  <c r="J16" i="530" a="1"/>
  <c r="J16" i="530" s="1"/>
  <c r="H16" i="530"/>
  <c r="W15" i="530"/>
  <c r="V15" i="530"/>
  <c r="N15" i="530"/>
  <c r="K15" i="530" a="1"/>
  <c r="K15" i="530" s="1"/>
  <c r="M15" i="530" s="1"/>
  <c r="J15" i="530" a="1"/>
  <c r="J15" i="530" s="1"/>
  <c r="H15" i="530"/>
  <c r="N14" i="530"/>
  <c r="K14" i="530" a="1"/>
  <c r="K14" i="530" s="1"/>
  <c r="M14" i="530" s="1"/>
  <c r="H14" i="530"/>
  <c r="N13" i="530"/>
  <c r="K13" i="530" a="1"/>
  <c r="K13" i="530" s="1"/>
  <c r="M13" i="530" s="1"/>
  <c r="H13" i="530"/>
  <c r="V12" i="530"/>
  <c r="W12" i="530" s="1"/>
  <c r="N12" i="530"/>
  <c r="K12" i="530" a="1"/>
  <c r="K12" i="530" s="1"/>
  <c r="M12" i="530" s="1"/>
  <c r="J12" i="530" a="1"/>
  <c r="J12" i="530" s="1"/>
  <c r="H12" i="530"/>
  <c r="V11" i="530"/>
  <c r="W11" i="530" s="1"/>
  <c r="N11" i="530"/>
  <c r="K11" i="530"/>
  <c r="M11" i="530" s="1"/>
  <c r="K11" i="530" a="1"/>
  <c r="J11" i="530"/>
  <c r="J11" i="530" a="1"/>
  <c r="H11" i="530"/>
  <c r="V10" i="530"/>
  <c r="W10" i="530" s="1"/>
  <c r="N10" i="530"/>
  <c r="K10" i="530" a="1"/>
  <c r="K10" i="530" s="1"/>
  <c r="M10" i="530" s="1"/>
  <c r="J10" i="530" a="1"/>
  <c r="J10" i="530" s="1"/>
  <c r="H10" i="530"/>
  <c r="V9" i="530"/>
  <c r="W9" i="530" s="1"/>
  <c r="N9" i="530"/>
  <c r="K9" i="530" a="1"/>
  <c r="K9" i="530" s="1"/>
  <c r="M9" i="530" s="1"/>
  <c r="J9" i="530" a="1"/>
  <c r="J9" i="530" s="1"/>
  <c r="H9" i="530"/>
  <c r="V8" i="530"/>
  <c r="W8" i="530" s="1"/>
  <c r="N8" i="530"/>
  <c r="K8" i="530" a="1"/>
  <c r="K8" i="530" s="1"/>
  <c r="M8" i="530" s="1"/>
  <c r="J8" i="530" a="1"/>
  <c r="J8" i="530" s="1"/>
  <c r="H8" i="530"/>
  <c r="V7" i="530"/>
  <c r="V28" i="530" s="1"/>
  <c r="N7" i="530"/>
  <c r="N28" i="530" s="1"/>
  <c r="K7" i="530"/>
  <c r="K7" i="530" a="1"/>
  <c r="J7" i="530"/>
  <c r="J7" i="530" a="1"/>
  <c r="H7" i="530"/>
  <c r="H28" i="530" s="1"/>
  <c r="J461" i="530" l="1" a="1"/>
  <c r="J461" i="530" s="1"/>
  <c r="J307" i="530" a="1"/>
  <c r="J307" i="530" s="1"/>
  <c r="J256" i="530" a="1"/>
  <c r="J256" i="530" s="1"/>
  <c r="J291" i="530" a="1"/>
  <c r="J291" i="530" s="1"/>
  <c r="N477" i="530"/>
  <c r="K477" i="530"/>
  <c r="N368" i="530"/>
  <c r="W347" i="530"/>
  <c r="N426" i="530"/>
  <c r="W369" i="530"/>
  <c r="M368" i="530"/>
  <c r="J368" i="530" a="1"/>
  <c r="J368" i="530" s="1"/>
  <c r="K426" i="530"/>
  <c r="R340" i="530"/>
  <c r="W308" i="530"/>
  <c r="K317" i="530"/>
  <c r="V332" i="530"/>
  <c r="V333" i="530" s="1"/>
  <c r="I342" i="530" s="1"/>
  <c r="N307" i="530"/>
  <c r="W257" i="530"/>
  <c r="N198" i="530"/>
  <c r="N333" i="530" s="1"/>
  <c r="B342" i="530" s="1"/>
  <c r="E342" i="530" s="1"/>
  <c r="K291" i="530"/>
  <c r="W7" i="530"/>
  <c r="H162" i="530"/>
  <c r="R170" i="530"/>
  <c r="W148" i="530"/>
  <c r="N147" i="530"/>
  <c r="K137" i="530"/>
  <c r="N137" i="530"/>
  <c r="N163" i="530" s="1"/>
  <c r="B172" i="530" s="1"/>
  <c r="H163" i="530"/>
  <c r="E170" i="530" s="1"/>
  <c r="G516" i="530" s="1"/>
  <c r="W29" i="530"/>
  <c r="K28" i="530"/>
  <c r="J137" i="530" a="1"/>
  <c r="J137" i="530" s="1"/>
  <c r="W137" i="530"/>
  <c r="K86" i="530"/>
  <c r="V163" i="530"/>
  <c r="I172" i="530" s="1"/>
  <c r="W28" i="530"/>
  <c r="W163" i="530" s="1"/>
  <c r="C517" i="530"/>
  <c r="Q523" i="530"/>
  <c r="K522" i="530"/>
  <c r="K523" i="530"/>
  <c r="K121" i="530"/>
  <c r="M87" i="530"/>
  <c r="M121" i="530" s="1"/>
  <c r="M138" i="530"/>
  <c r="M147" i="530" s="1"/>
  <c r="K147" i="530"/>
  <c r="M7" i="530"/>
  <c r="M28" i="530" s="1"/>
  <c r="C527" i="530"/>
  <c r="E521" i="530" s="1"/>
  <c r="M29" i="530"/>
  <c r="M86" i="530" s="1"/>
  <c r="E522" i="530"/>
  <c r="M122" i="530"/>
  <c r="M137" i="530" s="1"/>
  <c r="E524" i="530"/>
  <c r="R168" i="530"/>
  <c r="W138" i="530"/>
  <c r="J147" i="530" a="1"/>
  <c r="J147" i="530" s="1"/>
  <c r="M148" i="530"/>
  <c r="M162" i="530" s="1"/>
  <c r="J162" i="530" a="1"/>
  <c r="J162" i="530" s="1"/>
  <c r="G163" i="530"/>
  <c r="R165" i="530"/>
  <c r="X166" i="530"/>
  <c r="K198" i="530"/>
  <c r="M177" i="530"/>
  <c r="M198" i="530" s="1"/>
  <c r="J28" i="530" a="1"/>
  <c r="J28" i="530" s="1"/>
  <c r="J86" i="530" a="1"/>
  <c r="J86" i="530" s="1"/>
  <c r="W87" i="530"/>
  <c r="J121" i="530" a="1"/>
  <c r="J121" i="530" s="1"/>
  <c r="K525" i="530"/>
  <c r="K526" i="530"/>
  <c r="K165" i="530"/>
  <c r="K256" i="530"/>
  <c r="M199" i="530"/>
  <c r="M256" i="530" s="1"/>
  <c r="M292" i="530"/>
  <c r="M307" i="530" s="1"/>
  <c r="K307" i="530"/>
  <c r="K332" i="530"/>
  <c r="M318" i="530"/>
  <c r="M332" i="530" s="1"/>
  <c r="X172" i="530"/>
  <c r="Z167" i="530" s="1"/>
  <c r="J333" i="530" a="1"/>
  <c r="J333" i="530" s="1"/>
  <c r="M340" i="530" s="1"/>
  <c r="B340" i="530"/>
  <c r="O333" i="530"/>
  <c r="R335" i="530"/>
  <c r="M257" i="530"/>
  <c r="M291" i="530" s="1"/>
  <c r="W292" i="530"/>
  <c r="M308" i="530"/>
  <c r="M317" i="530" s="1"/>
  <c r="R339" i="530"/>
  <c r="W318" i="530"/>
  <c r="W332" i="530" s="1"/>
  <c r="W368" i="530"/>
  <c r="W177" i="530"/>
  <c r="W198" i="530" s="1"/>
  <c r="W333" i="530" s="1"/>
  <c r="J198" i="530" a="1"/>
  <c r="J198" i="530" s="1"/>
  <c r="X336" i="530"/>
  <c r="P333" i="530"/>
  <c r="X337" i="530" s="1"/>
  <c r="W199" i="530"/>
  <c r="M461" i="530"/>
  <c r="K335" i="530"/>
  <c r="K368" i="530"/>
  <c r="M462" i="530"/>
  <c r="M477" i="530" s="1"/>
  <c r="W462" i="530"/>
  <c r="V477" i="530"/>
  <c r="W477" i="530" s="1"/>
  <c r="B511" i="530"/>
  <c r="J504" i="530" a="1"/>
  <c r="J504" i="530" s="1"/>
  <c r="M511" i="530" s="1"/>
  <c r="X506" i="530"/>
  <c r="O504" i="530"/>
  <c r="X507" i="530" s="1"/>
  <c r="R506" i="530"/>
  <c r="M369" i="530"/>
  <c r="M426" i="530" s="1"/>
  <c r="M504" i="530" s="1"/>
  <c r="K461" i="530"/>
  <c r="K503" i="530"/>
  <c r="M488" i="530"/>
  <c r="M503" i="530" s="1"/>
  <c r="K487" i="530"/>
  <c r="R531" i="530"/>
  <c r="S531" i="530" a="1"/>
  <c r="S531" i="530" s="1"/>
  <c r="R510" i="530"/>
  <c r="W488" i="530"/>
  <c r="W503" i="530" s="1"/>
  <c r="K506" i="530"/>
  <c r="J533" i="530"/>
  <c r="Q530" i="530"/>
  <c r="R532" i="530"/>
  <c r="S532" i="530" a="1"/>
  <c r="S532" i="530" s="1"/>
  <c r="T530" i="530" a="1"/>
  <c r="T530" i="530" s="1"/>
  <c r="T531" i="530" a="1"/>
  <c r="T531" i="530" s="1"/>
  <c r="T532" i="530" a="1"/>
  <c r="T532" i="530" s="1"/>
  <c r="C533" i="530"/>
  <c r="T533" i="530" s="1" a="1"/>
  <c r="T533" i="530" s="1"/>
  <c r="G454" i="529"/>
  <c r="G114" i="529"/>
  <c r="N504" i="530" l="1"/>
  <c r="B513" i="530" s="1"/>
  <c r="E513" i="530" s="1"/>
  <c r="M342" i="530" a="1"/>
  <c r="M342" i="530" s="1"/>
  <c r="E172" i="530"/>
  <c r="Z169" i="530"/>
  <c r="Z170" i="530"/>
  <c r="Z168" i="530"/>
  <c r="E526" i="530"/>
  <c r="E525" i="530"/>
  <c r="E527" i="530" s="1"/>
  <c r="E523" i="530"/>
  <c r="K163" i="530"/>
  <c r="E171" i="530" s="1"/>
  <c r="I171" i="530" s="1"/>
  <c r="M171" i="530" s="1"/>
  <c r="K504" i="530"/>
  <c r="X342" i="530"/>
  <c r="K333" i="530"/>
  <c r="K521" i="530"/>
  <c r="R172" i="530"/>
  <c r="T165" i="530" s="1" a="1"/>
  <c r="T165" i="530" s="1"/>
  <c r="K524" i="530"/>
  <c r="M163" i="530"/>
  <c r="R530" i="530"/>
  <c r="R533" i="530" s="1"/>
  <c r="Q533" i="530"/>
  <c r="S533" i="530" s="1" a="1"/>
  <c r="S533" i="530" s="1"/>
  <c r="S530" i="530" a="1"/>
  <c r="S530" i="530" s="1"/>
  <c r="K510" i="530"/>
  <c r="M510" i="530" s="1"/>
  <c r="M506" i="530"/>
  <c r="R513" i="530"/>
  <c r="T510" i="530" s="1"/>
  <c r="X513" i="530"/>
  <c r="Z506" i="530" s="1" a="1"/>
  <c r="Z506" i="530" s="1"/>
  <c r="M335" i="530"/>
  <c r="K339" i="530"/>
  <c r="M339" i="530" s="1"/>
  <c r="V504" i="530"/>
  <c r="Z337" i="530"/>
  <c r="R342" i="530"/>
  <c r="Z171" i="530"/>
  <c r="Z165" i="530" a="1"/>
  <c r="Z165" i="530" s="1"/>
  <c r="M165" i="530"/>
  <c r="K169" i="530"/>
  <c r="M169" i="530" s="1"/>
  <c r="M333" i="530"/>
  <c r="Q522" i="530"/>
  <c r="Z166" i="530"/>
  <c r="B170" i="530"/>
  <c r="C516" i="530" s="1"/>
  <c r="J163" i="530" a="1"/>
  <c r="J163" i="530" s="1"/>
  <c r="M170" i="530" s="1"/>
  <c r="G145" i="529"/>
  <c r="L163" i="530" l="1"/>
  <c r="I170" i="530" s="1"/>
  <c r="C518" i="530"/>
  <c r="G518" i="530" s="1"/>
  <c r="T506" i="530" a="1"/>
  <c r="T506" i="530" s="1"/>
  <c r="T168" i="530"/>
  <c r="M172" i="530" a="1"/>
  <c r="M172" i="530" s="1"/>
  <c r="T341" i="530"/>
  <c r="T337" i="530"/>
  <c r="T340" i="530"/>
  <c r="T336" i="530"/>
  <c r="T338" i="530"/>
  <c r="Z341" i="530"/>
  <c r="Z335" i="530" a="1"/>
  <c r="Z335" i="530" s="1"/>
  <c r="Z339" i="530"/>
  <c r="Z340" i="530"/>
  <c r="Z338" i="530"/>
  <c r="E512" i="530"/>
  <c r="I512" i="530" s="1"/>
  <c r="M512" i="530" s="1"/>
  <c r="L504" i="530"/>
  <c r="I511" i="530" s="1"/>
  <c r="O516" i="530" a="1"/>
  <c r="O516" i="530" s="1"/>
  <c r="Q527" i="530"/>
  <c r="S522" i="530" s="1"/>
  <c r="T335" i="530" a="1"/>
  <c r="T335" i="530" s="1"/>
  <c r="I513" i="530"/>
  <c r="W504" i="530"/>
  <c r="Z512" i="530"/>
  <c r="Z511" i="530"/>
  <c r="Z510" i="530"/>
  <c r="Z509" i="530"/>
  <c r="Z508" i="530"/>
  <c r="T512" i="530"/>
  <c r="T507" i="530"/>
  <c r="T509" i="530"/>
  <c r="T511" i="530"/>
  <c r="T508" i="530"/>
  <c r="K527" i="530"/>
  <c r="T171" i="530"/>
  <c r="T169" i="530"/>
  <c r="T166" i="530"/>
  <c r="T167" i="530"/>
  <c r="T170" i="530"/>
  <c r="E341" i="530"/>
  <c r="L333" i="530"/>
  <c r="I340" i="530" s="1"/>
  <c r="T339" i="530"/>
  <c r="Z336" i="530"/>
  <c r="Z507" i="530"/>
  <c r="I453" i="529"/>
  <c r="I454" i="529"/>
  <c r="K200" i="529" a="1"/>
  <c r="K200" i="529" s="1"/>
  <c r="M200" i="529" s="1"/>
  <c r="K201" i="529" a="1"/>
  <c r="K201" i="529" s="1"/>
  <c r="M201" i="529" s="1"/>
  <c r="K202" i="529" a="1"/>
  <c r="K202" i="529" s="1"/>
  <c r="M202" i="529" s="1"/>
  <c r="K203" i="529" a="1"/>
  <c r="K203" i="529" s="1"/>
  <c r="K204" i="529" a="1"/>
  <c r="K204" i="529" s="1"/>
  <c r="M204" i="529" s="1"/>
  <c r="K205" i="529" a="1"/>
  <c r="K205" i="529" s="1"/>
  <c r="M205" i="529" s="1"/>
  <c r="K206" i="529" a="1"/>
  <c r="K206" i="529" s="1"/>
  <c r="M206" i="529" s="1"/>
  <c r="K207" i="529" a="1"/>
  <c r="K207" i="529" s="1"/>
  <c r="M207" i="529" s="1"/>
  <c r="K208" i="529" a="1"/>
  <c r="K208" i="529" s="1"/>
  <c r="M208" i="529" s="1"/>
  <c r="K209" i="529" a="1"/>
  <c r="K209" i="529" s="1"/>
  <c r="M209" i="529" s="1"/>
  <c r="K210" i="529" a="1"/>
  <c r="K210" i="529" s="1"/>
  <c r="M210" i="529" s="1"/>
  <c r="K211" i="529" a="1"/>
  <c r="K211" i="529" s="1"/>
  <c r="M211" i="529" s="1"/>
  <c r="K212" i="529" a="1"/>
  <c r="K212" i="529" s="1"/>
  <c r="M212" i="529" s="1"/>
  <c r="K213" i="529" a="1"/>
  <c r="K213" i="529" s="1"/>
  <c r="M213" i="529" s="1"/>
  <c r="K214" i="529" a="1"/>
  <c r="K214" i="529" s="1"/>
  <c r="M214" i="529" s="1"/>
  <c r="K215" i="529" a="1"/>
  <c r="K215" i="529" s="1"/>
  <c r="M215" i="529" s="1"/>
  <c r="K216" i="529" a="1"/>
  <c r="K216" i="529" s="1"/>
  <c r="M216" i="529" s="1"/>
  <c r="K217" i="529" a="1"/>
  <c r="K217" i="529" s="1"/>
  <c r="M217" i="529" s="1"/>
  <c r="K218" i="529" a="1"/>
  <c r="K218" i="529" s="1"/>
  <c r="M218" i="529" s="1"/>
  <c r="K219" i="529" a="1"/>
  <c r="K219" i="529" s="1"/>
  <c r="M219" i="529" s="1"/>
  <c r="K220" i="529" a="1"/>
  <c r="K220" i="529" s="1"/>
  <c r="M220" i="529" s="1"/>
  <c r="K221" i="529" a="1"/>
  <c r="K221" i="529" s="1"/>
  <c r="M221" i="529" s="1"/>
  <c r="K222" i="529" a="1"/>
  <c r="K222" i="529" s="1"/>
  <c r="M222" i="529" s="1"/>
  <c r="K223" i="529" a="1"/>
  <c r="K223" i="529" s="1"/>
  <c r="M223" i="529" s="1"/>
  <c r="K224" i="529" a="1"/>
  <c r="K224" i="529" s="1"/>
  <c r="M224" i="529" s="1"/>
  <c r="K225" i="529" a="1"/>
  <c r="K225" i="529" s="1"/>
  <c r="M225" i="529" s="1"/>
  <c r="K226" i="529" a="1"/>
  <c r="K226" i="529" s="1"/>
  <c r="M226" i="529" s="1"/>
  <c r="K227" i="529" a="1"/>
  <c r="K227" i="529" s="1"/>
  <c r="M227" i="529" s="1"/>
  <c r="K228" i="529" a="1"/>
  <c r="K228" i="529" s="1"/>
  <c r="M228" i="529" s="1"/>
  <c r="K229" i="529" a="1"/>
  <c r="K229" i="529" s="1"/>
  <c r="M229" i="529" s="1"/>
  <c r="K230" i="529" a="1"/>
  <c r="K230" i="529" s="1"/>
  <c r="M230" i="529" s="1"/>
  <c r="K231" i="529" a="1"/>
  <c r="K231" i="529" s="1"/>
  <c r="M231" i="529" s="1"/>
  <c r="K232" i="529" a="1"/>
  <c r="K232" i="529" s="1"/>
  <c r="M232" i="529" s="1"/>
  <c r="K233" i="529" a="1"/>
  <c r="K233" i="529" s="1"/>
  <c r="M233" i="529" s="1"/>
  <c r="K234" i="529" a="1"/>
  <c r="K234" i="529" s="1"/>
  <c r="M234" i="529" s="1"/>
  <c r="K235" i="529" a="1"/>
  <c r="K235" i="529" s="1"/>
  <c r="M235" i="529" s="1"/>
  <c r="J200" i="529" a="1"/>
  <c r="J200" i="529" s="1"/>
  <c r="M236" i="529"/>
  <c r="M237" i="529"/>
  <c r="K237" i="529" a="1"/>
  <c r="K237" i="529" s="1"/>
  <c r="J237" i="529" a="1"/>
  <c r="J237" i="529" s="1"/>
  <c r="J282" i="529" a="1"/>
  <c r="J282" i="529" s="1"/>
  <c r="J281" i="529" a="1"/>
  <c r="J281" i="529" s="1"/>
  <c r="J280" i="529" a="1"/>
  <c r="J280" i="529" s="1"/>
  <c r="J279" i="529" a="1"/>
  <c r="J279" i="529" s="1"/>
  <c r="J278" i="529" a="1"/>
  <c r="J278" i="529" s="1"/>
  <c r="I325" i="529"/>
  <c r="K325" i="529" a="1"/>
  <c r="K325" i="529" s="1"/>
  <c r="J325" i="529" a="1"/>
  <c r="J325" i="529" s="1"/>
  <c r="I293" i="529"/>
  <c r="I283" i="529"/>
  <c r="I263" i="529"/>
  <c r="I278" i="529"/>
  <c r="I282" i="529"/>
  <c r="I182" i="529"/>
  <c r="I190" i="529"/>
  <c r="N146" i="529"/>
  <c r="N145" i="529"/>
  <c r="N144" i="529"/>
  <c r="M144" i="529"/>
  <c r="J145" i="529" a="1"/>
  <c r="J145" i="529" s="1"/>
  <c r="J144" i="529" a="1"/>
  <c r="J144" i="529" s="1"/>
  <c r="J112" i="529" a="1"/>
  <c r="J112" i="529" s="1"/>
  <c r="M67" i="529"/>
  <c r="J67" i="529" a="1"/>
  <c r="J67" i="529" s="1"/>
  <c r="I20" i="529"/>
  <c r="I93" i="529"/>
  <c r="I114" i="529"/>
  <c r="I113" i="529"/>
  <c r="I112" i="529"/>
  <c r="I145" i="529"/>
  <c r="I144" i="529"/>
  <c r="I138" i="529"/>
  <c r="I136" i="529"/>
  <c r="I341" i="530" l="1"/>
  <c r="M341" i="530" s="1"/>
  <c r="G517" i="530"/>
  <c r="M526" i="530"/>
  <c r="M522" i="530"/>
  <c r="M523" i="530"/>
  <c r="M525" i="530"/>
  <c r="M521" i="530" a="1"/>
  <c r="M521" i="530" s="1"/>
  <c r="M524" i="530"/>
  <c r="M513" i="530" a="1"/>
  <c r="M513" i="530" s="1"/>
  <c r="K518" i="530"/>
  <c r="O518" i="530" s="1" a="1"/>
  <c r="O518" i="530" s="1"/>
  <c r="S525" i="530"/>
  <c r="S521" i="530" a="1"/>
  <c r="S521" i="530" s="1"/>
  <c r="S524" i="530"/>
  <c r="S526" i="530"/>
  <c r="S523" i="530"/>
  <c r="G182" i="529"/>
  <c r="G200" i="529"/>
  <c r="G283" i="529"/>
  <c r="G263" i="529"/>
  <c r="G203" i="529"/>
  <c r="G293" i="529"/>
  <c r="G236" i="529"/>
  <c r="G237" i="529"/>
  <c r="G190" i="529"/>
  <c r="D531" i="529"/>
  <c r="D532" i="529"/>
  <c r="D530" i="529"/>
  <c r="C530" i="529" s="1"/>
  <c r="G453" i="529"/>
  <c r="G113" i="529"/>
  <c r="G65" i="529"/>
  <c r="G67" i="529"/>
  <c r="G144" i="529"/>
  <c r="G112" i="529"/>
  <c r="G136" i="529"/>
  <c r="G20" i="529"/>
  <c r="G33" i="529"/>
  <c r="P533" i="529"/>
  <c r="O533" i="529"/>
  <c r="N533" i="529"/>
  <c r="M533" i="529"/>
  <c r="L533" i="529"/>
  <c r="K533" i="529"/>
  <c r="I533" i="529"/>
  <c r="H533" i="529"/>
  <c r="G533" i="529"/>
  <c r="F533" i="529"/>
  <c r="E533" i="529"/>
  <c r="D533" i="529"/>
  <c r="C532" i="529"/>
  <c r="T532" i="529" s="1" a="1"/>
  <c r="T532" i="529" s="1"/>
  <c r="C531" i="529"/>
  <c r="T531" i="529" s="1" a="1"/>
  <c r="T531" i="529" s="1"/>
  <c r="G514" i="529"/>
  <c r="N514" i="529" s="1"/>
  <c r="X512" i="529"/>
  <c r="X511" i="529"/>
  <c r="X510" i="529"/>
  <c r="G510" i="529"/>
  <c r="C510" i="529"/>
  <c r="X509" i="529"/>
  <c r="I509" i="529"/>
  <c r="E509" i="529"/>
  <c r="K509" i="529" s="1"/>
  <c r="M509" i="529" s="1"/>
  <c r="X508" i="529"/>
  <c r="I508" i="529"/>
  <c r="E508" i="529"/>
  <c r="K508" i="529" s="1"/>
  <c r="M508" i="529" s="1"/>
  <c r="I507" i="529"/>
  <c r="E507" i="529"/>
  <c r="K507" i="529" s="1"/>
  <c r="M507" i="529" s="1"/>
  <c r="I506" i="529"/>
  <c r="I510" i="529" s="1"/>
  <c r="E506" i="529"/>
  <c r="E510" i="529" s="1"/>
  <c r="AA503" i="529"/>
  <c r="Z503" i="529"/>
  <c r="Y503" i="529"/>
  <c r="X503" i="529"/>
  <c r="U503" i="529"/>
  <c r="T503" i="529"/>
  <c r="S503" i="529"/>
  <c r="R503" i="529"/>
  <c r="Q503" i="529"/>
  <c r="P503" i="529"/>
  <c r="R511" i="529" s="1"/>
  <c r="O503" i="529"/>
  <c r="I503" i="529"/>
  <c r="G503" i="529"/>
  <c r="J503" i="529" s="1" a="1"/>
  <c r="J503" i="529" s="1"/>
  <c r="H502" i="529"/>
  <c r="H501" i="529"/>
  <c r="H500" i="529"/>
  <c r="D499" i="529"/>
  <c r="H499" i="529" s="1"/>
  <c r="V498" i="529"/>
  <c r="W498" i="529" s="1"/>
  <c r="N498" i="529"/>
  <c r="K498" i="529" a="1"/>
  <c r="K498" i="529" s="1"/>
  <c r="M498" i="529" s="1"/>
  <c r="J498" i="529" a="1"/>
  <c r="J498" i="529" s="1"/>
  <c r="H498" i="529"/>
  <c r="H497" i="529"/>
  <c r="H496" i="529"/>
  <c r="V495" i="529"/>
  <c r="W495" i="529" s="1"/>
  <c r="N495" i="529"/>
  <c r="K495" i="529" a="1"/>
  <c r="K495" i="529" s="1"/>
  <c r="M495" i="529" s="1"/>
  <c r="J495" i="529" a="1"/>
  <c r="J495" i="529" s="1"/>
  <c r="H495" i="529"/>
  <c r="V494" i="529"/>
  <c r="W494" i="529" s="1"/>
  <c r="N494" i="529"/>
  <c r="K494" i="529"/>
  <c r="M494" i="529" s="1"/>
  <c r="K494" i="529" a="1"/>
  <c r="J494" i="529"/>
  <c r="J494" i="529" a="1"/>
  <c r="H494" i="529"/>
  <c r="H493" i="529"/>
  <c r="H492" i="529"/>
  <c r="V491" i="529"/>
  <c r="W491" i="529" s="1"/>
  <c r="N491" i="529"/>
  <c r="K491" i="529" a="1"/>
  <c r="K491" i="529" s="1"/>
  <c r="M491" i="529" s="1"/>
  <c r="J491" i="529" a="1"/>
  <c r="J491" i="529" s="1"/>
  <c r="H491" i="529"/>
  <c r="V490" i="529"/>
  <c r="W490" i="529" s="1"/>
  <c r="N490" i="529"/>
  <c r="K490" i="529" a="1"/>
  <c r="K490" i="529" s="1"/>
  <c r="M490" i="529" s="1"/>
  <c r="J490" i="529" a="1"/>
  <c r="J490" i="529" s="1"/>
  <c r="H490" i="529"/>
  <c r="V489" i="529"/>
  <c r="W489" i="529" s="1"/>
  <c r="N489" i="529"/>
  <c r="K489" i="529" a="1"/>
  <c r="K489" i="529" s="1"/>
  <c r="M489" i="529" s="1"/>
  <c r="J489" i="529" a="1"/>
  <c r="J489" i="529" s="1"/>
  <c r="H489" i="529"/>
  <c r="V488" i="529"/>
  <c r="W488" i="529" s="1"/>
  <c r="N488" i="529"/>
  <c r="N503" i="529" s="1"/>
  <c r="K488" i="529" a="1"/>
  <c r="K488" i="529" s="1"/>
  <c r="K503" i="529" s="1"/>
  <c r="J488" i="529" a="1"/>
  <c r="J488" i="529" s="1"/>
  <c r="H488" i="529"/>
  <c r="H503" i="529" s="1"/>
  <c r="AA487" i="529"/>
  <c r="Z487" i="529"/>
  <c r="Y487" i="529"/>
  <c r="X487" i="529"/>
  <c r="U487" i="529"/>
  <c r="T487" i="529"/>
  <c r="S487" i="529"/>
  <c r="Q487" i="529"/>
  <c r="P487" i="529"/>
  <c r="O487" i="529"/>
  <c r="R510" i="529" s="1"/>
  <c r="I487" i="529"/>
  <c r="G487" i="529"/>
  <c r="J487" i="529" s="1" a="1"/>
  <c r="J487" i="529" s="1"/>
  <c r="V486" i="529"/>
  <c r="W486" i="529" s="1"/>
  <c r="N486" i="529"/>
  <c r="K486" i="529" a="1"/>
  <c r="K486" i="529" s="1"/>
  <c r="M486" i="529" s="1"/>
  <c r="J486" i="529" a="1"/>
  <c r="J486" i="529" s="1"/>
  <c r="H486" i="529"/>
  <c r="H485" i="529"/>
  <c r="H484" i="529"/>
  <c r="H483" i="529"/>
  <c r="V482" i="529"/>
  <c r="W482" i="529" s="1"/>
  <c r="N482" i="529"/>
  <c r="K482" i="529" a="1"/>
  <c r="K482" i="529" s="1"/>
  <c r="M482" i="529" s="1"/>
  <c r="J482" i="529" a="1"/>
  <c r="J482" i="529" s="1"/>
  <c r="H482" i="529"/>
  <c r="V481" i="529"/>
  <c r="W481" i="529" s="1"/>
  <c r="N481" i="529"/>
  <c r="K481" i="529"/>
  <c r="M481" i="529" s="1"/>
  <c r="K481" i="529" a="1"/>
  <c r="J481" i="529"/>
  <c r="J481" i="529" a="1"/>
  <c r="H481" i="529"/>
  <c r="V480" i="529"/>
  <c r="W480" i="529" s="1"/>
  <c r="N480" i="529"/>
  <c r="K480" i="529" a="1"/>
  <c r="K480" i="529" s="1"/>
  <c r="M480" i="529" s="1"/>
  <c r="J480" i="529" a="1"/>
  <c r="J480" i="529" s="1"/>
  <c r="H480" i="529"/>
  <c r="V479" i="529"/>
  <c r="W479" i="529" s="1"/>
  <c r="N479" i="529"/>
  <c r="K479" i="529" a="1"/>
  <c r="K479" i="529" s="1"/>
  <c r="M479" i="529" s="1"/>
  <c r="J479" i="529" a="1"/>
  <c r="J479" i="529" s="1"/>
  <c r="H479" i="529"/>
  <c r="V478" i="529"/>
  <c r="N478" i="529"/>
  <c r="N487" i="529" s="1"/>
  <c r="K478" i="529" a="1"/>
  <c r="K478" i="529" s="1"/>
  <c r="J478" i="529" a="1"/>
  <c r="J478" i="529" s="1"/>
  <c r="H478" i="529"/>
  <c r="H487" i="529" s="1"/>
  <c r="AA477" i="529"/>
  <c r="Z477" i="529"/>
  <c r="Y477" i="529"/>
  <c r="X477" i="529"/>
  <c r="U477" i="529"/>
  <c r="T477" i="529"/>
  <c r="S477" i="529"/>
  <c r="Q477" i="529"/>
  <c r="P477" i="529"/>
  <c r="O477" i="529"/>
  <c r="I477" i="529"/>
  <c r="G477" i="529"/>
  <c r="J477" i="529" s="1" a="1"/>
  <c r="J477" i="529" s="1"/>
  <c r="V476" i="529"/>
  <c r="W476" i="529" s="1"/>
  <c r="N476" i="529"/>
  <c r="K476" i="529" a="1"/>
  <c r="K476" i="529" s="1"/>
  <c r="M476" i="529" s="1"/>
  <c r="J476" i="529" a="1"/>
  <c r="J476" i="529" s="1"/>
  <c r="H476" i="529"/>
  <c r="V475" i="529"/>
  <c r="W475" i="529" s="1"/>
  <c r="N475" i="529"/>
  <c r="M475" i="529"/>
  <c r="K475" i="529" a="1"/>
  <c r="K475" i="529" s="1"/>
  <c r="J475" i="529" a="1"/>
  <c r="J475" i="529" s="1"/>
  <c r="H475" i="529"/>
  <c r="W474" i="529"/>
  <c r="V474" i="529"/>
  <c r="N474" i="529"/>
  <c r="K474" i="529" a="1"/>
  <c r="K474" i="529" s="1"/>
  <c r="M474" i="529" s="1"/>
  <c r="J474" i="529" a="1"/>
  <c r="J474" i="529" s="1"/>
  <c r="H474" i="529"/>
  <c r="V473" i="529"/>
  <c r="W473" i="529" s="1"/>
  <c r="N473" i="529"/>
  <c r="K473" i="529" a="1"/>
  <c r="K473" i="529" s="1"/>
  <c r="M473" i="529" s="1"/>
  <c r="J473" i="529" a="1"/>
  <c r="J473" i="529" s="1"/>
  <c r="H473" i="529"/>
  <c r="V472" i="529"/>
  <c r="W472" i="529" s="1"/>
  <c r="N472" i="529"/>
  <c r="K472" i="529"/>
  <c r="M472" i="529" s="1"/>
  <c r="K472" i="529" a="1"/>
  <c r="J472" i="529"/>
  <c r="J472" i="529" a="1"/>
  <c r="H472" i="529"/>
  <c r="V471" i="529"/>
  <c r="W471" i="529" s="1"/>
  <c r="N471" i="529"/>
  <c r="K471" i="529" a="1"/>
  <c r="K471" i="529" s="1"/>
  <c r="M471" i="529" s="1"/>
  <c r="J471" i="529" a="1"/>
  <c r="J471" i="529" s="1"/>
  <c r="H471" i="529"/>
  <c r="V470" i="529"/>
  <c r="W470" i="529" s="1"/>
  <c r="N470" i="529"/>
  <c r="K470" i="529"/>
  <c r="M470" i="529" s="1"/>
  <c r="K470" i="529" a="1"/>
  <c r="J470" i="529" a="1"/>
  <c r="J470" i="529" s="1"/>
  <c r="H470" i="529"/>
  <c r="W469" i="529"/>
  <c r="V469" i="529"/>
  <c r="N469" i="529"/>
  <c r="K469" i="529" a="1"/>
  <c r="K469" i="529" s="1"/>
  <c r="M469" i="529" s="1"/>
  <c r="J469" i="529" a="1"/>
  <c r="J469" i="529" s="1"/>
  <c r="H469" i="529"/>
  <c r="V468" i="529"/>
  <c r="W468" i="529" s="1"/>
  <c r="N468" i="529"/>
  <c r="K468" i="529" a="1"/>
  <c r="K468" i="529" s="1"/>
  <c r="M468" i="529" s="1"/>
  <c r="J468" i="529" a="1"/>
  <c r="J468" i="529" s="1"/>
  <c r="H468" i="529"/>
  <c r="V467" i="529"/>
  <c r="W467" i="529" s="1"/>
  <c r="N467" i="529"/>
  <c r="K467" i="529"/>
  <c r="M467" i="529" s="1"/>
  <c r="K467" i="529" a="1"/>
  <c r="J467" i="529"/>
  <c r="J467" i="529" a="1"/>
  <c r="H467" i="529"/>
  <c r="V466" i="529"/>
  <c r="W466" i="529" s="1"/>
  <c r="N466" i="529"/>
  <c r="K466" i="529" a="1"/>
  <c r="K466" i="529" s="1"/>
  <c r="M466" i="529" s="1"/>
  <c r="J466" i="529" a="1"/>
  <c r="J466" i="529" s="1"/>
  <c r="H466" i="529"/>
  <c r="W465" i="529"/>
  <c r="V465" i="529"/>
  <c r="N465" i="529"/>
  <c r="K465" i="529" a="1"/>
  <c r="K465" i="529" s="1"/>
  <c r="M465" i="529" s="1"/>
  <c r="J465" i="529" a="1"/>
  <c r="J465" i="529" s="1"/>
  <c r="H465" i="529"/>
  <c r="V464" i="529"/>
  <c r="W464" i="529" s="1"/>
  <c r="N464" i="529"/>
  <c r="K464" i="529" a="1"/>
  <c r="K464" i="529" s="1"/>
  <c r="M464" i="529" s="1"/>
  <c r="J464" i="529" a="1"/>
  <c r="J464" i="529" s="1"/>
  <c r="H464" i="529"/>
  <c r="V463" i="529"/>
  <c r="W463" i="529" s="1"/>
  <c r="N463" i="529"/>
  <c r="K463" i="529"/>
  <c r="M463" i="529" s="1"/>
  <c r="K463" i="529" a="1"/>
  <c r="J463" i="529"/>
  <c r="J463" i="529" a="1"/>
  <c r="H463" i="529"/>
  <c r="V462" i="529"/>
  <c r="N462" i="529"/>
  <c r="N477" i="529" s="1"/>
  <c r="K462" i="529" a="1"/>
  <c r="K462" i="529" s="1"/>
  <c r="J462" i="529" a="1"/>
  <c r="J462" i="529" s="1"/>
  <c r="H462" i="529"/>
  <c r="AA461" i="529"/>
  <c r="Z461" i="529"/>
  <c r="Y461" i="529"/>
  <c r="X461" i="529"/>
  <c r="U461" i="529"/>
  <c r="T461" i="529"/>
  <c r="S461" i="529"/>
  <c r="R461" i="529"/>
  <c r="Q461" i="529"/>
  <c r="P461" i="529"/>
  <c r="O461" i="529"/>
  <c r="R508" i="529" s="1"/>
  <c r="I461" i="529"/>
  <c r="G461" i="529"/>
  <c r="V460" i="529"/>
  <c r="W460" i="529" s="1"/>
  <c r="N460" i="529"/>
  <c r="K460" i="529" a="1"/>
  <c r="K460" i="529" s="1"/>
  <c r="M460" i="529" s="1"/>
  <c r="J460" i="529" a="1"/>
  <c r="J460" i="529" s="1"/>
  <c r="H460" i="529"/>
  <c r="V459" i="529"/>
  <c r="W459" i="529" s="1"/>
  <c r="N459" i="529"/>
  <c r="K459" i="529" a="1"/>
  <c r="K459" i="529" s="1"/>
  <c r="M459" i="529" s="1"/>
  <c r="J459" i="529" a="1"/>
  <c r="J459" i="529" s="1"/>
  <c r="H459" i="529"/>
  <c r="V458" i="529"/>
  <c r="W458" i="529" s="1"/>
  <c r="N458" i="529"/>
  <c r="K458" i="529" a="1"/>
  <c r="K458" i="529" s="1"/>
  <c r="M458" i="529" s="1"/>
  <c r="J458" i="529" a="1"/>
  <c r="J458" i="529" s="1"/>
  <c r="H458" i="529"/>
  <c r="K457" i="529" a="1"/>
  <c r="K457" i="529" s="1"/>
  <c r="M457" i="529" s="1"/>
  <c r="H457" i="529"/>
  <c r="K456" i="529" a="1"/>
  <c r="K456" i="529" s="1"/>
  <c r="M456" i="529" s="1"/>
  <c r="H456" i="529"/>
  <c r="K455" i="529" a="1"/>
  <c r="K455" i="529" s="1"/>
  <c r="M455" i="529" s="1"/>
  <c r="H455" i="529"/>
  <c r="W454" i="529"/>
  <c r="V454" i="529"/>
  <c r="N454" i="529"/>
  <c r="K454" i="529" a="1"/>
  <c r="K454" i="529" s="1"/>
  <c r="M454" i="529" s="1"/>
  <c r="J454" i="529" a="1"/>
  <c r="J454" i="529" s="1"/>
  <c r="H454" i="529"/>
  <c r="V453" i="529"/>
  <c r="W453" i="529" s="1"/>
  <c r="N453" i="529"/>
  <c r="K453" i="529" a="1"/>
  <c r="K453" i="529" s="1"/>
  <c r="M453" i="529" s="1"/>
  <c r="J453" i="529" a="1"/>
  <c r="J453" i="529" s="1"/>
  <c r="H453" i="529"/>
  <c r="N452" i="529"/>
  <c r="K452" i="529" a="1"/>
  <c r="K452" i="529" s="1"/>
  <c r="M452" i="529" s="1"/>
  <c r="H452" i="529"/>
  <c r="N451" i="529"/>
  <c r="K451" i="529" a="1"/>
  <c r="K451" i="529" s="1"/>
  <c r="M451" i="529" s="1"/>
  <c r="H451" i="529"/>
  <c r="N450" i="529"/>
  <c r="K450" i="529"/>
  <c r="M450" i="529" s="1"/>
  <c r="K450" i="529" a="1"/>
  <c r="H450" i="529"/>
  <c r="N449" i="529"/>
  <c r="K449" i="529" a="1"/>
  <c r="K449" i="529" s="1"/>
  <c r="M449" i="529" s="1"/>
  <c r="H449" i="529"/>
  <c r="N448" i="529"/>
  <c r="K448" i="529" a="1"/>
  <c r="K448" i="529" s="1"/>
  <c r="M448" i="529" s="1"/>
  <c r="H448" i="529"/>
  <c r="N447" i="529"/>
  <c r="K447" i="529" a="1"/>
  <c r="K447" i="529" s="1"/>
  <c r="M447" i="529" s="1"/>
  <c r="H447" i="529"/>
  <c r="V446" i="529"/>
  <c r="W446" i="529" s="1"/>
  <c r="N446" i="529"/>
  <c r="K446" i="529" a="1"/>
  <c r="K446" i="529" s="1"/>
  <c r="M446" i="529" s="1"/>
  <c r="J446" i="529" a="1"/>
  <c r="J446" i="529" s="1"/>
  <c r="H446" i="529"/>
  <c r="V445" i="529"/>
  <c r="W445" i="529" s="1"/>
  <c r="N445" i="529"/>
  <c r="K445" i="529" a="1"/>
  <c r="K445" i="529" s="1"/>
  <c r="M445" i="529" s="1"/>
  <c r="J445" i="529" a="1"/>
  <c r="J445" i="529" s="1"/>
  <c r="H445" i="529"/>
  <c r="V444" i="529"/>
  <c r="W444" i="529" s="1"/>
  <c r="N444" i="529"/>
  <c r="K444" i="529"/>
  <c r="M444" i="529" s="1"/>
  <c r="K444" i="529" a="1"/>
  <c r="J444" i="529"/>
  <c r="J444" i="529" a="1"/>
  <c r="H444" i="529"/>
  <c r="V443" i="529"/>
  <c r="W443" i="529" s="1"/>
  <c r="N443" i="529"/>
  <c r="K443" i="529" a="1"/>
  <c r="K443" i="529" s="1"/>
  <c r="M443" i="529" s="1"/>
  <c r="J443" i="529" a="1"/>
  <c r="J443" i="529" s="1"/>
  <c r="H443" i="529"/>
  <c r="V442" i="529"/>
  <c r="W442" i="529" s="1"/>
  <c r="N442" i="529"/>
  <c r="K442" i="529" a="1"/>
  <c r="K442" i="529" s="1"/>
  <c r="M442" i="529" s="1"/>
  <c r="J442" i="529" a="1"/>
  <c r="J442" i="529" s="1"/>
  <c r="H442" i="529"/>
  <c r="V441" i="529"/>
  <c r="W441" i="529" s="1"/>
  <c r="N441" i="529"/>
  <c r="K441" i="529" a="1"/>
  <c r="K441" i="529" s="1"/>
  <c r="M441" i="529" s="1"/>
  <c r="J441" i="529" a="1"/>
  <c r="J441" i="529" s="1"/>
  <c r="H441" i="529"/>
  <c r="V440" i="529"/>
  <c r="W440" i="529" s="1"/>
  <c r="N440" i="529"/>
  <c r="K440" i="529"/>
  <c r="M440" i="529" s="1"/>
  <c r="K440" i="529" a="1"/>
  <c r="J440" i="529"/>
  <c r="J440" i="529" a="1"/>
  <c r="H440" i="529"/>
  <c r="V439" i="529"/>
  <c r="W439" i="529" s="1"/>
  <c r="N439" i="529"/>
  <c r="K439" i="529" a="1"/>
  <c r="K439" i="529" s="1"/>
  <c r="M439" i="529" s="1"/>
  <c r="J439" i="529" a="1"/>
  <c r="J439" i="529" s="1"/>
  <c r="H439" i="529"/>
  <c r="W438" i="529"/>
  <c r="V438" i="529"/>
  <c r="N438" i="529"/>
  <c r="K438" i="529" a="1"/>
  <c r="K438" i="529" s="1"/>
  <c r="M438" i="529" s="1"/>
  <c r="J438" i="529" a="1"/>
  <c r="J438" i="529" s="1"/>
  <c r="H438" i="529"/>
  <c r="V437" i="529"/>
  <c r="W437" i="529" s="1"/>
  <c r="N437" i="529"/>
  <c r="K437" i="529" a="1"/>
  <c r="K437" i="529" s="1"/>
  <c r="M437" i="529" s="1"/>
  <c r="J437" i="529" a="1"/>
  <c r="J437" i="529" s="1"/>
  <c r="H437" i="529"/>
  <c r="V436" i="529"/>
  <c r="W436" i="529" s="1"/>
  <c r="N436" i="529"/>
  <c r="K436" i="529"/>
  <c r="M436" i="529" s="1"/>
  <c r="K436" i="529" a="1"/>
  <c r="J436" i="529"/>
  <c r="J436" i="529" a="1"/>
  <c r="H436" i="529"/>
  <c r="V435" i="529"/>
  <c r="W435" i="529" s="1"/>
  <c r="N435" i="529"/>
  <c r="K435" i="529" a="1"/>
  <c r="K435" i="529" s="1"/>
  <c r="M435" i="529" s="1"/>
  <c r="J435" i="529" a="1"/>
  <c r="J435" i="529" s="1"/>
  <c r="H435" i="529"/>
  <c r="N434" i="529"/>
  <c r="K434" i="529" a="1"/>
  <c r="K434" i="529" s="1"/>
  <c r="M434" i="529" s="1"/>
  <c r="H434" i="529"/>
  <c r="V433" i="529"/>
  <c r="W433" i="529" s="1"/>
  <c r="N433" i="529"/>
  <c r="K433" i="529" a="1"/>
  <c r="K433" i="529" s="1"/>
  <c r="M433" i="529" s="1"/>
  <c r="J433" i="529" a="1"/>
  <c r="J433" i="529" s="1"/>
  <c r="H433" i="529"/>
  <c r="V432" i="529"/>
  <c r="W432" i="529" s="1"/>
  <c r="N432" i="529"/>
  <c r="K432" i="529"/>
  <c r="M432" i="529" s="1"/>
  <c r="K432" i="529" a="1"/>
  <c r="J432" i="529"/>
  <c r="J432" i="529" a="1"/>
  <c r="H432" i="529"/>
  <c r="V431" i="529"/>
  <c r="W431" i="529" s="1"/>
  <c r="N431" i="529"/>
  <c r="K431" i="529" a="1"/>
  <c r="K431" i="529" s="1"/>
  <c r="M431" i="529" s="1"/>
  <c r="J431" i="529" a="1"/>
  <c r="J431" i="529" s="1"/>
  <c r="H431" i="529"/>
  <c r="W430" i="529"/>
  <c r="V430" i="529"/>
  <c r="N430" i="529"/>
  <c r="K430" i="529" a="1"/>
  <c r="K430" i="529" s="1"/>
  <c r="M430" i="529" s="1"/>
  <c r="J430" i="529" a="1"/>
  <c r="J430" i="529" s="1"/>
  <c r="H430" i="529"/>
  <c r="V429" i="529"/>
  <c r="W429" i="529" s="1"/>
  <c r="N429" i="529"/>
  <c r="K429" i="529" a="1"/>
  <c r="K429" i="529" s="1"/>
  <c r="M429" i="529" s="1"/>
  <c r="J429" i="529" a="1"/>
  <c r="J429" i="529" s="1"/>
  <c r="H429" i="529"/>
  <c r="V428" i="529"/>
  <c r="W428" i="529" s="1"/>
  <c r="N428" i="529"/>
  <c r="K428" i="529"/>
  <c r="M428" i="529" s="1"/>
  <c r="K428" i="529" a="1"/>
  <c r="J428" i="529"/>
  <c r="J428" i="529" a="1"/>
  <c r="H428" i="529"/>
  <c r="V427" i="529"/>
  <c r="N427" i="529"/>
  <c r="N461" i="529" s="1"/>
  <c r="K427" i="529" a="1"/>
  <c r="K427" i="529" s="1"/>
  <c r="J427" i="529" a="1"/>
  <c r="J427" i="529" s="1"/>
  <c r="H427" i="529"/>
  <c r="AA426" i="529"/>
  <c r="Z426" i="529"/>
  <c r="Y426" i="529"/>
  <c r="X426" i="529"/>
  <c r="U426" i="529"/>
  <c r="T426" i="529"/>
  <c r="S426" i="529"/>
  <c r="R426" i="529"/>
  <c r="Q426" i="529"/>
  <c r="P426" i="529"/>
  <c r="O426" i="529"/>
  <c r="R507" i="529" s="1"/>
  <c r="I426" i="529"/>
  <c r="G426" i="529"/>
  <c r="J426" i="529" s="1" a="1"/>
  <c r="J426" i="529" s="1"/>
  <c r="K425" i="529" a="1"/>
  <c r="K425" i="529" s="1"/>
  <c r="M425" i="529" s="1"/>
  <c r="H425" i="529"/>
  <c r="K424" i="529"/>
  <c r="M424" i="529" s="1"/>
  <c r="K424" i="529" a="1"/>
  <c r="H424" i="529"/>
  <c r="K423" i="529" a="1"/>
  <c r="K423" i="529" s="1"/>
  <c r="M423" i="529" s="1"/>
  <c r="H423" i="529"/>
  <c r="K422" i="529"/>
  <c r="M422" i="529" s="1"/>
  <c r="K422" i="529" a="1"/>
  <c r="H422" i="529"/>
  <c r="K421" i="529" a="1"/>
  <c r="K421" i="529" s="1"/>
  <c r="M421" i="529" s="1"/>
  <c r="H421" i="529"/>
  <c r="K420" i="529" a="1"/>
  <c r="K420" i="529" s="1"/>
  <c r="M420" i="529" s="1"/>
  <c r="H420" i="529"/>
  <c r="K419" i="529" a="1"/>
  <c r="K419" i="529" s="1"/>
  <c r="M419" i="529" s="1"/>
  <c r="H419" i="529"/>
  <c r="K418" i="529" a="1"/>
  <c r="K418" i="529" s="1"/>
  <c r="M418" i="529" s="1"/>
  <c r="H418" i="529"/>
  <c r="K417" i="529" a="1"/>
  <c r="K417" i="529" s="1"/>
  <c r="M417" i="529" s="1"/>
  <c r="H417" i="529"/>
  <c r="K416" i="529" a="1"/>
  <c r="K416" i="529" s="1"/>
  <c r="M416" i="529" s="1"/>
  <c r="H416" i="529"/>
  <c r="W415" i="529"/>
  <c r="V415" i="529"/>
  <c r="N415" i="529"/>
  <c r="K415" i="529" a="1"/>
  <c r="K415" i="529" s="1"/>
  <c r="M415" i="529" s="1"/>
  <c r="J415" i="529" a="1"/>
  <c r="J415" i="529" s="1"/>
  <c r="H415" i="529"/>
  <c r="V414" i="529"/>
  <c r="W414" i="529" s="1"/>
  <c r="N414" i="529"/>
  <c r="K414" i="529" a="1"/>
  <c r="K414" i="529" s="1"/>
  <c r="M414" i="529" s="1"/>
  <c r="J414" i="529" a="1"/>
  <c r="J414" i="529" s="1"/>
  <c r="H414" i="529"/>
  <c r="V413" i="529"/>
  <c r="W413" i="529" s="1"/>
  <c r="N413" i="529"/>
  <c r="K413" i="529"/>
  <c r="M413" i="529" s="1"/>
  <c r="K413" i="529" a="1"/>
  <c r="J413" i="529"/>
  <c r="J413" i="529" a="1"/>
  <c r="H413" i="529"/>
  <c r="V412" i="529"/>
  <c r="W412" i="529" s="1"/>
  <c r="N412" i="529"/>
  <c r="K412" i="529" a="1"/>
  <c r="K412" i="529" s="1"/>
  <c r="M412" i="529" s="1"/>
  <c r="J412" i="529" a="1"/>
  <c r="J412" i="529" s="1"/>
  <c r="H412" i="529"/>
  <c r="H411" i="529"/>
  <c r="V410" i="529"/>
  <c r="W410" i="529" s="1"/>
  <c r="N410" i="529"/>
  <c r="K410" i="529" a="1"/>
  <c r="K410" i="529" s="1"/>
  <c r="M410" i="529" s="1"/>
  <c r="J410" i="529" a="1"/>
  <c r="J410" i="529" s="1"/>
  <c r="H410" i="529"/>
  <c r="W409" i="529"/>
  <c r="V409" i="529"/>
  <c r="N409" i="529"/>
  <c r="K409" i="529" a="1"/>
  <c r="K409" i="529" s="1"/>
  <c r="M409" i="529" s="1"/>
  <c r="J409" i="529" a="1"/>
  <c r="J409" i="529" s="1"/>
  <c r="H409" i="529"/>
  <c r="H408" i="529"/>
  <c r="K407" i="529" a="1"/>
  <c r="K407" i="529" s="1"/>
  <c r="H407" i="529"/>
  <c r="V406" i="529"/>
  <c r="W406" i="529" s="1"/>
  <c r="N406" i="529"/>
  <c r="K406" i="529" a="1"/>
  <c r="K406" i="529" s="1"/>
  <c r="M406" i="529" s="1"/>
  <c r="J406" i="529" a="1"/>
  <c r="J406" i="529" s="1"/>
  <c r="H406" i="529"/>
  <c r="V405" i="529"/>
  <c r="W405" i="529" s="1"/>
  <c r="N405" i="529"/>
  <c r="K405" i="529"/>
  <c r="M405" i="529" s="1"/>
  <c r="K405" i="529" a="1"/>
  <c r="J405" i="529"/>
  <c r="J405" i="529" a="1"/>
  <c r="H405" i="529"/>
  <c r="V404" i="529"/>
  <c r="W404" i="529" s="1"/>
  <c r="N404" i="529"/>
  <c r="K404" i="529" a="1"/>
  <c r="K404" i="529" s="1"/>
  <c r="M404" i="529" s="1"/>
  <c r="J404" i="529" a="1"/>
  <c r="J404" i="529" s="1"/>
  <c r="H404" i="529"/>
  <c r="W403" i="529"/>
  <c r="V403" i="529"/>
  <c r="N403" i="529"/>
  <c r="K403" i="529" a="1"/>
  <c r="K403" i="529" s="1"/>
  <c r="M403" i="529" s="1"/>
  <c r="J403" i="529" a="1"/>
  <c r="J403" i="529" s="1"/>
  <c r="H403" i="529"/>
  <c r="V402" i="529"/>
  <c r="W402" i="529" s="1"/>
  <c r="N402" i="529"/>
  <c r="K402" i="529" a="1"/>
  <c r="K402" i="529" s="1"/>
  <c r="M402" i="529" s="1"/>
  <c r="J402" i="529" a="1"/>
  <c r="J402" i="529" s="1"/>
  <c r="H402" i="529"/>
  <c r="V401" i="529"/>
  <c r="W401" i="529" s="1"/>
  <c r="N401" i="529"/>
  <c r="K401" i="529"/>
  <c r="M401" i="529" s="1"/>
  <c r="K401" i="529" a="1"/>
  <c r="J401" i="529"/>
  <c r="J401" i="529" a="1"/>
  <c r="H401" i="529"/>
  <c r="V400" i="529"/>
  <c r="W400" i="529" s="1"/>
  <c r="N400" i="529"/>
  <c r="K400" i="529" a="1"/>
  <c r="K400" i="529" s="1"/>
  <c r="M400" i="529" s="1"/>
  <c r="J400" i="529" a="1"/>
  <c r="J400" i="529" s="1"/>
  <c r="H400" i="529"/>
  <c r="W399" i="529"/>
  <c r="V399" i="529"/>
  <c r="N399" i="529"/>
  <c r="K399" i="529" a="1"/>
  <c r="K399" i="529" s="1"/>
  <c r="M399" i="529" s="1"/>
  <c r="J399" i="529" a="1"/>
  <c r="J399" i="529" s="1"/>
  <c r="H399" i="529"/>
  <c r="V398" i="529"/>
  <c r="W398" i="529" s="1"/>
  <c r="N398" i="529"/>
  <c r="K398" i="529" a="1"/>
  <c r="K398" i="529" s="1"/>
  <c r="M398" i="529" s="1"/>
  <c r="J398" i="529" a="1"/>
  <c r="J398" i="529" s="1"/>
  <c r="H398" i="529"/>
  <c r="V397" i="529"/>
  <c r="W397" i="529" s="1"/>
  <c r="N397" i="529"/>
  <c r="K397" i="529"/>
  <c r="M397" i="529" s="1"/>
  <c r="K397" i="529" a="1"/>
  <c r="J397" i="529"/>
  <c r="J397" i="529" a="1"/>
  <c r="H397" i="529"/>
  <c r="K396" i="529" a="1"/>
  <c r="K396" i="529" s="1"/>
  <c r="M396" i="529" s="1"/>
  <c r="H396" i="529"/>
  <c r="K395" i="529"/>
  <c r="M395" i="529" s="1"/>
  <c r="K395" i="529" a="1"/>
  <c r="H395" i="529"/>
  <c r="K394" i="529" a="1"/>
  <c r="K394" i="529" s="1"/>
  <c r="M394" i="529" s="1"/>
  <c r="H394" i="529"/>
  <c r="K393" i="529" a="1"/>
  <c r="K393" i="529" s="1"/>
  <c r="M393" i="529" s="1"/>
  <c r="H393" i="529"/>
  <c r="N392" i="529"/>
  <c r="K392" i="529" a="1"/>
  <c r="K392" i="529" s="1"/>
  <c r="M392" i="529" s="1"/>
  <c r="H392" i="529"/>
  <c r="N391" i="529"/>
  <c r="K391" i="529" a="1"/>
  <c r="K391" i="529" s="1"/>
  <c r="M391" i="529" s="1"/>
  <c r="H391" i="529"/>
  <c r="N390" i="529"/>
  <c r="K390" i="529"/>
  <c r="M390" i="529" s="1"/>
  <c r="K390" i="529" a="1"/>
  <c r="H390" i="529"/>
  <c r="N389" i="529"/>
  <c r="K389" i="529" a="1"/>
  <c r="K389" i="529" s="1"/>
  <c r="M389" i="529" s="1"/>
  <c r="H389" i="529"/>
  <c r="W388" i="529"/>
  <c r="V388" i="529"/>
  <c r="N388" i="529"/>
  <c r="K388" i="529" a="1"/>
  <c r="K388" i="529" s="1"/>
  <c r="M388" i="529" s="1"/>
  <c r="J388" i="529" a="1"/>
  <c r="J388" i="529" s="1"/>
  <c r="H388" i="529"/>
  <c r="V387" i="529"/>
  <c r="W387" i="529" s="1"/>
  <c r="N387" i="529"/>
  <c r="K387" i="529" a="1"/>
  <c r="K387" i="529" s="1"/>
  <c r="M387" i="529" s="1"/>
  <c r="J387" i="529" a="1"/>
  <c r="J387" i="529" s="1"/>
  <c r="H387" i="529"/>
  <c r="V386" i="529"/>
  <c r="W386" i="529" s="1"/>
  <c r="N386" i="529"/>
  <c r="K386" i="529"/>
  <c r="M386" i="529" s="1"/>
  <c r="K386" i="529" a="1"/>
  <c r="J386" i="529"/>
  <c r="J386" i="529" a="1"/>
  <c r="H386" i="529"/>
  <c r="V385" i="529"/>
  <c r="W385" i="529" s="1"/>
  <c r="N385" i="529"/>
  <c r="K385" i="529" a="1"/>
  <c r="K385" i="529" s="1"/>
  <c r="M385" i="529" s="1"/>
  <c r="J385" i="529" a="1"/>
  <c r="J385" i="529" s="1"/>
  <c r="H385" i="529"/>
  <c r="W384" i="529"/>
  <c r="V384" i="529"/>
  <c r="N384" i="529"/>
  <c r="K384" i="529" a="1"/>
  <c r="K384" i="529" s="1"/>
  <c r="M384" i="529" s="1"/>
  <c r="J384" i="529" a="1"/>
  <c r="J384" i="529" s="1"/>
  <c r="H384" i="529"/>
  <c r="V383" i="529"/>
  <c r="W383" i="529" s="1"/>
  <c r="N383" i="529"/>
  <c r="K383" i="529" a="1"/>
  <c r="K383" i="529" s="1"/>
  <c r="M383" i="529" s="1"/>
  <c r="J383" i="529" a="1"/>
  <c r="J383" i="529" s="1"/>
  <c r="H383" i="529"/>
  <c r="V382" i="529"/>
  <c r="W382" i="529" s="1"/>
  <c r="N382" i="529"/>
  <c r="K382" i="529"/>
  <c r="M382" i="529" s="1"/>
  <c r="K382" i="529" a="1"/>
  <c r="J382" i="529"/>
  <c r="J382" i="529" a="1"/>
  <c r="H382" i="529"/>
  <c r="V381" i="529"/>
  <c r="W381" i="529" s="1"/>
  <c r="N381" i="529"/>
  <c r="K381" i="529" a="1"/>
  <c r="K381" i="529" s="1"/>
  <c r="M381" i="529" s="1"/>
  <c r="J381" i="529" a="1"/>
  <c r="J381" i="529" s="1"/>
  <c r="H381" i="529"/>
  <c r="W380" i="529"/>
  <c r="V380" i="529"/>
  <c r="N380" i="529"/>
  <c r="K380" i="529" a="1"/>
  <c r="K380" i="529" s="1"/>
  <c r="M380" i="529" s="1"/>
  <c r="J380" i="529" a="1"/>
  <c r="J380" i="529" s="1"/>
  <c r="H380" i="529"/>
  <c r="V379" i="529"/>
  <c r="W379" i="529" s="1"/>
  <c r="N379" i="529"/>
  <c r="K379" i="529" a="1"/>
  <c r="K379" i="529" s="1"/>
  <c r="M379" i="529" s="1"/>
  <c r="J379" i="529" a="1"/>
  <c r="J379" i="529" s="1"/>
  <c r="H379" i="529"/>
  <c r="V378" i="529"/>
  <c r="W378" i="529" s="1"/>
  <c r="N378" i="529"/>
  <c r="K378" i="529"/>
  <c r="M378" i="529" s="1"/>
  <c r="K378" i="529" a="1"/>
  <c r="J378" i="529"/>
  <c r="J378" i="529" a="1"/>
  <c r="H378" i="529"/>
  <c r="V377" i="529"/>
  <c r="W377" i="529" s="1"/>
  <c r="N377" i="529"/>
  <c r="K377" i="529" a="1"/>
  <c r="K377" i="529" s="1"/>
  <c r="M377" i="529" s="1"/>
  <c r="J377" i="529" a="1"/>
  <c r="J377" i="529" s="1"/>
  <c r="H377" i="529"/>
  <c r="K376" i="529" a="1"/>
  <c r="K376" i="529" s="1"/>
  <c r="M376" i="529" s="1"/>
  <c r="H376" i="529"/>
  <c r="K375" i="529" a="1"/>
  <c r="K375" i="529" s="1"/>
  <c r="M375" i="529" s="1"/>
  <c r="H375" i="529"/>
  <c r="K374" i="529" a="1"/>
  <c r="K374" i="529" s="1"/>
  <c r="M374" i="529" s="1"/>
  <c r="H374" i="529"/>
  <c r="W373" i="529"/>
  <c r="V373" i="529"/>
  <c r="N373" i="529"/>
  <c r="K373" i="529" a="1"/>
  <c r="K373" i="529" s="1"/>
  <c r="M373" i="529" s="1"/>
  <c r="J373" i="529" a="1"/>
  <c r="J373" i="529" s="1"/>
  <c r="H373" i="529"/>
  <c r="V372" i="529"/>
  <c r="W372" i="529" s="1"/>
  <c r="N372" i="529"/>
  <c r="K372" i="529" a="1"/>
  <c r="K372" i="529" s="1"/>
  <c r="M372" i="529" s="1"/>
  <c r="J372" i="529" a="1"/>
  <c r="J372" i="529" s="1"/>
  <c r="H372" i="529"/>
  <c r="V371" i="529"/>
  <c r="W371" i="529" s="1"/>
  <c r="N371" i="529"/>
  <c r="K371" i="529"/>
  <c r="M371" i="529" s="1"/>
  <c r="K371" i="529" a="1"/>
  <c r="J371" i="529"/>
  <c r="J371" i="529" a="1"/>
  <c r="H371" i="529"/>
  <c r="K370" i="529" a="1"/>
  <c r="K370" i="529" s="1"/>
  <c r="H370" i="529"/>
  <c r="V369" i="529"/>
  <c r="V426" i="529" s="1"/>
  <c r="W426" i="529" s="1"/>
  <c r="N369" i="529"/>
  <c r="K369" i="529"/>
  <c r="K369" i="529" a="1"/>
  <c r="J369" i="529"/>
  <c r="J369" i="529" a="1"/>
  <c r="H369" i="529"/>
  <c r="H426" i="529" s="1"/>
  <c r="AA368" i="529"/>
  <c r="AA504" i="529" s="1"/>
  <c r="Z368" i="529"/>
  <c r="Z504" i="529" s="1"/>
  <c r="Y368" i="529"/>
  <c r="Y504" i="529" s="1"/>
  <c r="X368" i="529"/>
  <c r="X504" i="529" s="1"/>
  <c r="U368" i="529"/>
  <c r="U504" i="529" s="1"/>
  <c r="T368" i="529"/>
  <c r="T504" i="529" s="1"/>
  <c r="S368" i="529"/>
  <c r="S504" i="529" s="1"/>
  <c r="R368" i="529"/>
  <c r="R504" i="529" s="1"/>
  <c r="Q368" i="529"/>
  <c r="Q504" i="529" s="1"/>
  <c r="P368" i="529"/>
  <c r="P504" i="529" s="1"/>
  <c r="O368" i="529"/>
  <c r="I368" i="529"/>
  <c r="I504" i="529" s="1"/>
  <c r="B512" i="529" s="1"/>
  <c r="G368" i="529"/>
  <c r="G504" i="529" s="1"/>
  <c r="V367" i="529"/>
  <c r="W367" i="529" s="1"/>
  <c r="N367" i="529"/>
  <c r="K367" i="529" a="1"/>
  <c r="K367" i="529" s="1"/>
  <c r="M367" i="529" s="1"/>
  <c r="J367" i="529" a="1"/>
  <c r="J367" i="529" s="1"/>
  <c r="H367" i="529"/>
  <c r="V366" i="529"/>
  <c r="W366" i="529" s="1"/>
  <c r="N366" i="529"/>
  <c r="K366" i="529"/>
  <c r="M366" i="529" s="1"/>
  <c r="K366" i="529" a="1"/>
  <c r="J366" i="529"/>
  <c r="J366" i="529" a="1"/>
  <c r="H366" i="529"/>
  <c r="K365" i="529" a="1"/>
  <c r="K365" i="529" s="1"/>
  <c r="M365" i="529" s="1"/>
  <c r="H365" i="529"/>
  <c r="K364" i="529"/>
  <c r="M364" i="529" s="1"/>
  <c r="K364" i="529" a="1"/>
  <c r="H364" i="529"/>
  <c r="K363" i="529" a="1"/>
  <c r="K363" i="529" s="1"/>
  <c r="M363" i="529" s="1"/>
  <c r="H363" i="529"/>
  <c r="K362" i="529" a="1"/>
  <c r="K362" i="529" s="1"/>
  <c r="M362" i="529" s="1"/>
  <c r="H362" i="529"/>
  <c r="V361" i="529"/>
  <c r="W361" i="529" s="1"/>
  <c r="N361" i="529"/>
  <c r="K361" i="529"/>
  <c r="M361" i="529" s="1"/>
  <c r="K361" i="529" a="1"/>
  <c r="J361" i="529"/>
  <c r="J361" i="529" a="1"/>
  <c r="H361" i="529"/>
  <c r="V360" i="529"/>
  <c r="W360" i="529" s="1"/>
  <c r="N360" i="529"/>
  <c r="K360" i="529" a="1"/>
  <c r="K360" i="529" s="1"/>
  <c r="M360" i="529" s="1"/>
  <c r="J360" i="529" a="1"/>
  <c r="J360" i="529" s="1"/>
  <c r="H360" i="529"/>
  <c r="W359" i="529"/>
  <c r="V359" i="529"/>
  <c r="N359" i="529"/>
  <c r="K359" i="529" a="1"/>
  <c r="K359" i="529" s="1"/>
  <c r="M359" i="529" s="1"/>
  <c r="J359" i="529" a="1"/>
  <c r="J359" i="529" s="1"/>
  <c r="H359" i="529"/>
  <c r="H358" i="529"/>
  <c r="H357" i="529"/>
  <c r="V356" i="529"/>
  <c r="W356" i="529" s="1"/>
  <c r="N356" i="529"/>
  <c r="K356" i="529" a="1"/>
  <c r="K356" i="529" s="1"/>
  <c r="M356" i="529" s="1"/>
  <c r="J356" i="529" a="1"/>
  <c r="J356" i="529" s="1"/>
  <c r="H356" i="529"/>
  <c r="V355" i="529"/>
  <c r="W355" i="529" s="1"/>
  <c r="N355" i="529"/>
  <c r="K355" i="529"/>
  <c r="M355" i="529" s="1"/>
  <c r="K355" i="529" a="1"/>
  <c r="J355" i="529"/>
  <c r="J355" i="529" a="1"/>
  <c r="H355" i="529"/>
  <c r="K354" i="529" a="1"/>
  <c r="K354" i="529" s="1"/>
  <c r="M354" i="529" s="1"/>
  <c r="H354" i="529"/>
  <c r="K353" i="529" a="1"/>
  <c r="K353" i="529" s="1"/>
  <c r="M353" i="529" s="1"/>
  <c r="H353" i="529"/>
  <c r="V352" i="529"/>
  <c r="W352" i="529" s="1"/>
  <c r="N352" i="529"/>
  <c r="K352" i="529"/>
  <c r="M352" i="529" s="1"/>
  <c r="K352" i="529" a="1"/>
  <c r="J352" i="529"/>
  <c r="J352" i="529" a="1"/>
  <c r="H352" i="529"/>
  <c r="V351" i="529"/>
  <c r="W351" i="529" s="1"/>
  <c r="N351" i="529"/>
  <c r="K351" i="529"/>
  <c r="M351" i="529" s="1"/>
  <c r="K351" i="529" a="1"/>
  <c r="J351" i="529" a="1"/>
  <c r="J351" i="529" s="1"/>
  <c r="H351" i="529"/>
  <c r="W350" i="529"/>
  <c r="V350" i="529"/>
  <c r="N350" i="529"/>
  <c r="K350" i="529" a="1"/>
  <c r="K350" i="529" s="1"/>
  <c r="M350" i="529" s="1"/>
  <c r="J350" i="529" a="1"/>
  <c r="J350" i="529" s="1"/>
  <c r="H350" i="529"/>
  <c r="V349" i="529"/>
  <c r="W349" i="529" s="1"/>
  <c r="N349" i="529"/>
  <c r="K349" i="529" a="1"/>
  <c r="K349" i="529" s="1"/>
  <c r="M349" i="529" s="1"/>
  <c r="J349" i="529" a="1"/>
  <c r="J349" i="529" s="1"/>
  <c r="H349" i="529"/>
  <c r="W348" i="529"/>
  <c r="V348" i="529"/>
  <c r="N348" i="529"/>
  <c r="K348" i="529" a="1"/>
  <c r="K348" i="529" s="1"/>
  <c r="M348" i="529" s="1"/>
  <c r="J348" i="529" a="1"/>
  <c r="J348" i="529" s="1"/>
  <c r="H348" i="529"/>
  <c r="V347" i="529"/>
  <c r="V368" i="529" s="1"/>
  <c r="N347" i="529"/>
  <c r="K347" i="529" a="1"/>
  <c r="K347" i="529" s="1"/>
  <c r="J347" i="529" a="1"/>
  <c r="J347" i="529" s="1"/>
  <c r="H347" i="529"/>
  <c r="X341" i="529"/>
  <c r="X340" i="529"/>
  <c r="X339" i="529"/>
  <c r="G339" i="529"/>
  <c r="C339" i="529"/>
  <c r="X338" i="529"/>
  <c r="I338" i="529"/>
  <c r="E338" i="529"/>
  <c r="K338" i="529" s="1"/>
  <c r="M338" i="529" s="1"/>
  <c r="I337" i="529"/>
  <c r="E337" i="529"/>
  <c r="K337" i="529" s="1"/>
  <c r="M337" i="529" s="1"/>
  <c r="I336" i="529"/>
  <c r="E336" i="529"/>
  <c r="K336" i="529" s="1"/>
  <c r="M336" i="529" s="1"/>
  <c r="X335" i="529"/>
  <c r="I335" i="529"/>
  <c r="I339" i="529" s="1"/>
  <c r="E335" i="529"/>
  <c r="K335" i="529" s="1"/>
  <c r="AA332" i="529"/>
  <c r="Z332" i="529"/>
  <c r="Y332" i="529"/>
  <c r="X332" i="529"/>
  <c r="U332" i="529"/>
  <c r="T332" i="529"/>
  <c r="S332" i="529"/>
  <c r="R332" i="529"/>
  <c r="Q332" i="529"/>
  <c r="P332" i="529"/>
  <c r="O332" i="529"/>
  <c r="I332" i="529"/>
  <c r="G332" i="529"/>
  <c r="K331" i="529" a="1"/>
  <c r="K331" i="529" s="1"/>
  <c r="H331" i="529"/>
  <c r="K330" i="529"/>
  <c r="K330" i="529" a="1"/>
  <c r="H330" i="529"/>
  <c r="K329" i="529" a="1"/>
  <c r="K329" i="529" s="1"/>
  <c r="H329" i="529"/>
  <c r="W328" i="529"/>
  <c r="V328" i="529"/>
  <c r="N328" i="529"/>
  <c r="K328" i="529" a="1"/>
  <c r="K328" i="529" s="1"/>
  <c r="D328" i="529"/>
  <c r="H328" i="529" s="1"/>
  <c r="H327" i="529"/>
  <c r="K326" i="529" a="1"/>
  <c r="K326" i="529" s="1"/>
  <c r="H326" i="529"/>
  <c r="H325" i="529"/>
  <c r="W324" i="529"/>
  <c r="V324" i="529"/>
  <c r="N324" i="529"/>
  <c r="K324" i="529" a="1"/>
  <c r="K324" i="529" s="1"/>
  <c r="M324" i="529" s="1"/>
  <c r="J324" i="529" a="1"/>
  <c r="J324" i="529" s="1"/>
  <c r="H324" i="529"/>
  <c r="V323" i="529"/>
  <c r="W323" i="529" s="1"/>
  <c r="N323" i="529"/>
  <c r="K323" i="529" a="1"/>
  <c r="K323" i="529" s="1"/>
  <c r="M323" i="529" s="1"/>
  <c r="J323" i="529" a="1"/>
  <c r="J323" i="529" s="1"/>
  <c r="H323" i="529"/>
  <c r="H322" i="529"/>
  <c r="V321" i="529"/>
  <c r="W321" i="529" s="1"/>
  <c r="N321" i="529"/>
  <c r="K321" i="529" a="1"/>
  <c r="K321" i="529" s="1"/>
  <c r="M321" i="529" s="1"/>
  <c r="J321" i="529" a="1"/>
  <c r="J321" i="529" s="1"/>
  <c r="H321" i="529"/>
  <c r="V320" i="529"/>
  <c r="W320" i="529" s="1"/>
  <c r="N320" i="529"/>
  <c r="K320" i="529"/>
  <c r="M320" i="529" s="1"/>
  <c r="K320" i="529" a="1"/>
  <c r="J320" i="529"/>
  <c r="J320" i="529" a="1"/>
  <c r="H320" i="529"/>
  <c r="V319" i="529"/>
  <c r="W319" i="529" s="1"/>
  <c r="N319" i="529"/>
  <c r="K319" i="529" a="1"/>
  <c r="K319" i="529" s="1"/>
  <c r="M319" i="529" s="1"/>
  <c r="J319" i="529" a="1"/>
  <c r="J319" i="529" s="1"/>
  <c r="H319" i="529"/>
  <c r="W318" i="529"/>
  <c r="V318" i="529"/>
  <c r="V332" i="529" s="1"/>
  <c r="N318" i="529"/>
  <c r="N332" i="529" s="1"/>
  <c r="K318" i="529" a="1"/>
  <c r="K318" i="529" s="1"/>
  <c r="J318" i="529" a="1"/>
  <c r="J318" i="529" s="1"/>
  <c r="H318" i="529"/>
  <c r="H332" i="529" s="1"/>
  <c r="AA317" i="529"/>
  <c r="Z317" i="529"/>
  <c r="Y317" i="529"/>
  <c r="X317" i="529"/>
  <c r="U317" i="529"/>
  <c r="T317" i="529"/>
  <c r="S317" i="529"/>
  <c r="Q317" i="529"/>
  <c r="P317" i="529"/>
  <c r="O317" i="529"/>
  <c r="R339" i="529" s="1"/>
  <c r="I317" i="529"/>
  <c r="G317" i="529"/>
  <c r="V316" i="529"/>
  <c r="W316" i="529" s="1"/>
  <c r="N316" i="529"/>
  <c r="K316" i="529" a="1"/>
  <c r="K316" i="529" s="1"/>
  <c r="M316" i="529" s="1"/>
  <c r="J316" i="529" a="1"/>
  <c r="J316" i="529" s="1"/>
  <c r="H316" i="529"/>
  <c r="H315" i="529"/>
  <c r="H314" i="529"/>
  <c r="H313" i="529"/>
  <c r="V312" i="529"/>
  <c r="W312" i="529" s="1"/>
  <c r="N312" i="529"/>
  <c r="K312" i="529" a="1"/>
  <c r="K312" i="529" s="1"/>
  <c r="M312" i="529" s="1"/>
  <c r="J312" i="529" a="1"/>
  <c r="J312" i="529" s="1"/>
  <c r="H312" i="529"/>
  <c r="W311" i="529"/>
  <c r="V311" i="529"/>
  <c r="N311" i="529"/>
  <c r="K311" i="529" a="1"/>
  <c r="K311" i="529" s="1"/>
  <c r="M311" i="529" s="1"/>
  <c r="J311" i="529" a="1"/>
  <c r="J311" i="529" s="1"/>
  <c r="H311" i="529"/>
  <c r="V310" i="529"/>
  <c r="W310" i="529" s="1"/>
  <c r="N310" i="529"/>
  <c r="K310" i="529" a="1"/>
  <c r="K310" i="529" s="1"/>
  <c r="M310" i="529" s="1"/>
  <c r="J310" i="529" a="1"/>
  <c r="J310" i="529" s="1"/>
  <c r="H310" i="529"/>
  <c r="V309" i="529"/>
  <c r="W309" i="529" s="1"/>
  <c r="N309" i="529"/>
  <c r="K309" i="529"/>
  <c r="M309" i="529" s="1"/>
  <c r="K309" i="529" a="1"/>
  <c r="J309" i="529"/>
  <c r="J309" i="529" a="1"/>
  <c r="H309" i="529"/>
  <c r="V308" i="529"/>
  <c r="W308" i="529" s="1"/>
  <c r="N308" i="529"/>
  <c r="N317" i="529" s="1"/>
  <c r="K308" i="529" a="1"/>
  <c r="K308" i="529" s="1"/>
  <c r="J308" i="529" a="1"/>
  <c r="J308" i="529" s="1"/>
  <c r="H308" i="529"/>
  <c r="H317" i="529" s="1"/>
  <c r="AA307" i="529"/>
  <c r="Z307" i="529"/>
  <c r="Y307" i="529"/>
  <c r="X307" i="529"/>
  <c r="U307" i="529"/>
  <c r="T307" i="529"/>
  <c r="S307" i="529"/>
  <c r="Q307" i="529"/>
  <c r="P307" i="529"/>
  <c r="O307" i="529"/>
  <c r="R338" i="529" s="1"/>
  <c r="I307" i="529"/>
  <c r="G307" i="529"/>
  <c r="V306" i="529"/>
  <c r="W306" i="529" s="1"/>
  <c r="N306" i="529"/>
  <c r="K306" i="529"/>
  <c r="M306" i="529" s="1"/>
  <c r="K306" i="529" a="1"/>
  <c r="J306" i="529"/>
  <c r="J306" i="529" a="1"/>
  <c r="H306" i="529"/>
  <c r="V305" i="529"/>
  <c r="W305" i="529" s="1"/>
  <c r="N305" i="529"/>
  <c r="K305" i="529" a="1"/>
  <c r="K305" i="529" s="1"/>
  <c r="M305" i="529" s="1"/>
  <c r="J305" i="529" a="1"/>
  <c r="J305" i="529" s="1"/>
  <c r="H305" i="529"/>
  <c r="V304" i="529"/>
  <c r="W304" i="529" s="1"/>
  <c r="N304" i="529"/>
  <c r="K304" i="529" a="1"/>
  <c r="K304" i="529" s="1"/>
  <c r="M304" i="529" s="1"/>
  <c r="J304" i="529" a="1"/>
  <c r="J304" i="529" s="1"/>
  <c r="H304" i="529"/>
  <c r="V303" i="529"/>
  <c r="W303" i="529" s="1"/>
  <c r="N303" i="529"/>
  <c r="K303" i="529" a="1"/>
  <c r="K303" i="529" s="1"/>
  <c r="M303" i="529" s="1"/>
  <c r="J303" i="529" a="1"/>
  <c r="J303" i="529" s="1"/>
  <c r="H303" i="529"/>
  <c r="V302" i="529"/>
  <c r="W302" i="529" s="1"/>
  <c r="N302" i="529"/>
  <c r="K302" i="529"/>
  <c r="M302" i="529" s="1"/>
  <c r="K302" i="529" a="1"/>
  <c r="J302" i="529"/>
  <c r="J302" i="529" a="1"/>
  <c r="H302" i="529"/>
  <c r="V301" i="529"/>
  <c r="W301" i="529" s="1"/>
  <c r="N301" i="529"/>
  <c r="K301" i="529" a="1"/>
  <c r="K301" i="529" s="1"/>
  <c r="M301" i="529" s="1"/>
  <c r="J301" i="529" a="1"/>
  <c r="J301" i="529" s="1"/>
  <c r="H301" i="529"/>
  <c r="W300" i="529"/>
  <c r="V300" i="529"/>
  <c r="N300" i="529"/>
  <c r="K300" i="529" a="1"/>
  <c r="K300" i="529" s="1"/>
  <c r="M300" i="529" s="1"/>
  <c r="J300" i="529" a="1"/>
  <c r="J300" i="529" s="1"/>
  <c r="H300" i="529"/>
  <c r="V299" i="529"/>
  <c r="W299" i="529" s="1"/>
  <c r="N299" i="529"/>
  <c r="K299" i="529" a="1"/>
  <c r="K299" i="529" s="1"/>
  <c r="M299" i="529" s="1"/>
  <c r="J299" i="529" a="1"/>
  <c r="J299" i="529" s="1"/>
  <c r="H299" i="529"/>
  <c r="V298" i="529"/>
  <c r="W298" i="529" s="1"/>
  <c r="N298" i="529"/>
  <c r="K298" i="529"/>
  <c r="M298" i="529" s="1"/>
  <c r="K298" i="529" a="1"/>
  <c r="J298" i="529"/>
  <c r="J298" i="529" a="1"/>
  <c r="H298" i="529"/>
  <c r="V297" i="529"/>
  <c r="W297" i="529" s="1"/>
  <c r="N297" i="529"/>
  <c r="K297" i="529" a="1"/>
  <c r="K297" i="529" s="1"/>
  <c r="M297" i="529" s="1"/>
  <c r="J297" i="529" a="1"/>
  <c r="J297" i="529" s="1"/>
  <c r="H297" i="529"/>
  <c r="W296" i="529"/>
  <c r="V296" i="529"/>
  <c r="N296" i="529"/>
  <c r="K296" i="529" a="1"/>
  <c r="K296" i="529" s="1"/>
  <c r="M296" i="529" s="1"/>
  <c r="J296" i="529" a="1"/>
  <c r="J296" i="529" s="1"/>
  <c r="H296" i="529"/>
  <c r="V295" i="529"/>
  <c r="W295" i="529" s="1"/>
  <c r="N295" i="529"/>
  <c r="K295" i="529" a="1"/>
  <c r="K295" i="529" s="1"/>
  <c r="M295" i="529" s="1"/>
  <c r="J295" i="529" a="1"/>
  <c r="J295" i="529" s="1"/>
  <c r="H295" i="529"/>
  <c r="V294" i="529"/>
  <c r="W294" i="529" s="1"/>
  <c r="N294" i="529"/>
  <c r="K294" i="529"/>
  <c r="M294" i="529" s="1"/>
  <c r="K294" i="529" a="1"/>
  <c r="J294" i="529"/>
  <c r="J294" i="529" a="1"/>
  <c r="H294" i="529"/>
  <c r="V293" i="529"/>
  <c r="W293" i="529" s="1"/>
  <c r="N293" i="529"/>
  <c r="K293" i="529" a="1"/>
  <c r="K293" i="529" s="1"/>
  <c r="M293" i="529" s="1"/>
  <c r="J293" i="529" a="1"/>
  <c r="J293" i="529" s="1"/>
  <c r="H293" i="529"/>
  <c r="W292" i="529"/>
  <c r="V292" i="529"/>
  <c r="N292" i="529"/>
  <c r="N307" i="529" s="1"/>
  <c r="K292" i="529" a="1"/>
  <c r="K292" i="529" s="1"/>
  <c r="M292" i="529" s="1"/>
  <c r="J292" i="529" a="1"/>
  <c r="J292" i="529" s="1"/>
  <c r="H292" i="529"/>
  <c r="AA291" i="529"/>
  <c r="Z291" i="529"/>
  <c r="Y291" i="529"/>
  <c r="X291" i="529"/>
  <c r="U291" i="529"/>
  <c r="T291" i="529"/>
  <c r="S291" i="529"/>
  <c r="R291" i="529"/>
  <c r="Q291" i="529"/>
  <c r="P291" i="529"/>
  <c r="O291" i="529"/>
  <c r="R337" i="529" s="1"/>
  <c r="I291" i="529"/>
  <c r="G291" i="529"/>
  <c r="V290" i="529"/>
  <c r="W290" i="529" s="1"/>
  <c r="N290" i="529"/>
  <c r="K290" i="529"/>
  <c r="M290" i="529" s="1"/>
  <c r="K290" i="529" a="1"/>
  <c r="J290" i="529"/>
  <c r="J290" i="529" a="1"/>
  <c r="H290" i="529"/>
  <c r="V289" i="529"/>
  <c r="W289" i="529" s="1"/>
  <c r="N289" i="529"/>
  <c r="K289" i="529" a="1"/>
  <c r="K289" i="529" s="1"/>
  <c r="M289" i="529" s="1"/>
  <c r="J289" i="529" a="1"/>
  <c r="J289" i="529" s="1"/>
  <c r="H289" i="529"/>
  <c r="W288" i="529"/>
  <c r="V288" i="529"/>
  <c r="N288" i="529"/>
  <c r="K288" i="529" a="1"/>
  <c r="K288" i="529" s="1"/>
  <c r="M288" i="529" s="1"/>
  <c r="J288" i="529" a="1"/>
  <c r="J288" i="529" s="1"/>
  <c r="H288" i="529"/>
  <c r="H287" i="529"/>
  <c r="H286" i="529"/>
  <c r="H285" i="529"/>
  <c r="V284" i="529"/>
  <c r="W284" i="529" s="1"/>
  <c r="N284" i="529"/>
  <c r="K284" i="529"/>
  <c r="M284" i="529" s="1"/>
  <c r="K284" i="529" a="1"/>
  <c r="J284" i="529" a="1"/>
  <c r="J284" i="529" s="1"/>
  <c r="H284" i="529"/>
  <c r="W283" i="529"/>
  <c r="V283" i="529"/>
  <c r="N283" i="529"/>
  <c r="K283" i="529" a="1"/>
  <c r="K283" i="529" s="1"/>
  <c r="M283" i="529" s="1"/>
  <c r="J283" i="529" a="1"/>
  <c r="J283" i="529" s="1"/>
  <c r="H283" i="529"/>
  <c r="N282" i="529"/>
  <c r="K282" i="529"/>
  <c r="M282" i="529" s="1"/>
  <c r="K282" i="529" a="1"/>
  <c r="H282" i="529"/>
  <c r="N281" i="529"/>
  <c r="K281" i="529" a="1"/>
  <c r="K281" i="529" s="1"/>
  <c r="M281" i="529" s="1"/>
  <c r="H281" i="529"/>
  <c r="N280" i="529"/>
  <c r="K280" i="529" a="1"/>
  <c r="K280" i="529" s="1"/>
  <c r="M280" i="529" s="1"/>
  <c r="H280" i="529"/>
  <c r="N279" i="529"/>
  <c r="K279" i="529" a="1"/>
  <c r="K279" i="529" s="1"/>
  <c r="M279" i="529" s="1"/>
  <c r="H279" i="529"/>
  <c r="N278" i="529"/>
  <c r="K278" i="529" a="1"/>
  <c r="K278" i="529" s="1"/>
  <c r="M278" i="529" s="1"/>
  <c r="H278" i="529"/>
  <c r="N277" i="529"/>
  <c r="K277" i="529" a="1"/>
  <c r="K277" i="529" s="1"/>
  <c r="M277" i="529" s="1"/>
  <c r="H277" i="529"/>
  <c r="V276" i="529"/>
  <c r="W276" i="529" s="1"/>
  <c r="N276" i="529"/>
  <c r="K276" i="529"/>
  <c r="M276" i="529" s="1"/>
  <c r="K276" i="529" a="1"/>
  <c r="J276" i="529"/>
  <c r="J276" i="529" a="1"/>
  <c r="H276" i="529"/>
  <c r="V275" i="529"/>
  <c r="W275" i="529" s="1"/>
  <c r="N275" i="529"/>
  <c r="K275" i="529" a="1"/>
  <c r="K275" i="529" s="1"/>
  <c r="M275" i="529" s="1"/>
  <c r="J275" i="529" a="1"/>
  <c r="J275" i="529" s="1"/>
  <c r="H275" i="529"/>
  <c r="W274" i="529"/>
  <c r="V274" i="529"/>
  <c r="N274" i="529"/>
  <c r="K274" i="529" a="1"/>
  <c r="K274" i="529" s="1"/>
  <c r="M274" i="529" s="1"/>
  <c r="J274" i="529" a="1"/>
  <c r="J274" i="529" s="1"/>
  <c r="H274" i="529"/>
  <c r="V273" i="529"/>
  <c r="W273" i="529" s="1"/>
  <c r="N273" i="529"/>
  <c r="K273" i="529" a="1"/>
  <c r="K273" i="529" s="1"/>
  <c r="M273" i="529" s="1"/>
  <c r="J273" i="529" a="1"/>
  <c r="J273" i="529" s="1"/>
  <c r="H273" i="529"/>
  <c r="V272" i="529"/>
  <c r="W272" i="529" s="1"/>
  <c r="N272" i="529"/>
  <c r="K272" i="529"/>
  <c r="M272" i="529" s="1"/>
  <c r="K272" i="529" a="1"/>
  <c r="J272" i="529"/>
  <c r="J272" i="529" a="1"/>
  <c r="H272" i="529"/>
  <c r="V271" i="529"/>
  <c r="W271" i="529" s="1"/>
  <c r="N271" i="529"/>
  <c r="K271" i="529" a="1"/>
  <c r="K271" i="529" s="1"/>
  <c r="M271" i="529" s="1"/>
  <c r="J271" i="529" a="1"/>
  <c r="J271" i="529" s="1"/>
  <c r="H271" i="529"/>
  <c r="W270" i="529"/>
  <c r="V270" i="529"/>
  <c r="N270" i="529"/>
  <c r="K270" i="529" a="1"/>
  <c r="K270" i="529" s="1"/>
  <c r="M270" i="529" s="1"/>
  <c r="J270" i="529" a="1"/>
  <c r="J270" i="529" s="1"/>
  <c r="H270" i="529"/>
  <c r="V269" i="529"/>
  <c r="W269" i="529" s="1"/>
  <c r="N269" i="529"/>
  <c r="K269" i="529" a="1"/>
  <c r="K269" i="529" s="1"/>
  <c r="M269" i="529" s="1"/>
  <c r="J269" i="529" a="1"/>
  <c r="J269" i="529" s="1"/>
  <c r="H269" i="529"/>
  <c r="V268" i="529"/>
  <c r="W268" i="529" s="1"/>
  <c r="N268" i="529"/>
  <c r="K268" i="529"/>
  <c r="M268" i="529" s="1"/>
  <c r="K268" i="529" a="1"/>
  <c r="J268" i="529"/>
  <c r="J268" i="529" a="1"/>
  <c r="H268" i="529"/>
  <c r="V267" i="529"/>
  <c r="W267" i="529" s="1"/>
  <c r="N267" i="529"/>
  <c r="K267" i="529" a="1"/>
  <c r="K267" i="529" s="1"/>
  <c r="M267" i="529" s="1"/>
  <c r="J267" i="529" a="1"/>
  <c r="J267" i="529" s="1"/>
  <c r="H267" i="529"/>
  <c r="W266" i="529"/>
  <c r="V266" i="529"/>
  <c r="N266" i="529"/>
  <c r="K266" i="529" a="1"/>
  <c r="K266" i="529" s="1"/>
  <c r="M266" i="529" s="1"/>
  <c r="J266" i="529" a="1"/>
  <c r="J266" i="529" s="1"/>
  <c r="H266" i="529"/>
  <c r="V265" i="529"/>
  <c r="W265" i="529" s="1"/>
  <c r="N265" i="529"/>
  <c r="K265" i="529" a="1"/>
  <c r="K265" i="529" s="1"/>
  <c r="M265" i="529" s="1"/>
  <c r="J265" i="529" a="1"/>
  <c r="J265" i="529" s="1"/>
  <c r="H265" i="529"/>
  <c r="N264" i="529"/>
  <c r="K264" i="529"/>
  <c r="M264" i="529" s="1"/>
  <c r="K264" i="529" a="1"/>
  <c r="H264" i="529"/>
  <c r="V263" i="529"/>
  <c r="W263" i="529" s="1"/>
  <c r="N263" i="529"/>
  <c r="K263" i="529" a="1"/>
  <c r="K263" i="529" s="1"/>
  <c r="M263" i="529" s="1"/>
  <c r="J263" i="529" a="1"/>
  <c r="J263" i="529" s="1"/>
  <c r="H263" i="529"/>
  <c r="W262" i="529"/>
  <c r="V262" i="529"/>
  <c r="N262" i="529"/>
  <c r="K262" i="529" a="1"/>
  <c r="K262" i="529" s="1"/>
  <c r="M262" i="529" s="1"/>
  <c r="J262" i="529" a="1"/>
  <c r="J262" i="529" s="1"/>
  <c r="H262" i="529"/>
  <c r="V261" i="529"/>
  <c r="W261" i="529" s="1"/>
  <c r="N261" i="529"/>
  <c r="K261" i="529" a="1"/>
  <c r="K261" i="529" s="1"/>
  <c r="M261" i="529" s="1"/>
  <c r="J261" i="529" a="1"/>
  <c r="J261" i="529" s="1"/>
  <c r="H261" i="529"/>
  <c r="V260" i="529"/>
  <c r="W260" i="529" s="1"/>
  <c r="N260" i="529"/>
  <c r="K260" i="529"/>
  <c r="M260" i="529" s="1"/>
  <c r="K260" i="529" a="1"/>
  <c r="J260" i="529"/>
  <c r="J260" i="529" a="1"/>
  <c r="H260" i="529"/>
  <c r="V259" i="529"/>
  <c r="W259" i="529" s="1"/>
  <c r="N259" i="529"/>
  <c r="K259" i="529" a="1"/>
  <c r="K259" i="529" s="1"/>
  <c r="M259" i="529" s="1"/>
  <c r="J259" i="529" a="1"/>
  <c r="J259" i="529" s="1"/>
  <c r="H259" i="529"/>
  <c r="W258" i="529"/>
  <c r="V258" i="529"/>
  <c r="N258" i="529"/>
  <c r="K258" i="529" a="1"/>
  <c r="K258" i="529" s="1"/>
  <c r="M258" i="529" s="1"/>
  <c r="J258" i="529" a="1"/>
  <c r="J258" i="529" s="1"/>
  <c r="H258" i="529"/>
  <c r="V257" i="529"/>
  <c r="W257" i="529" s="1"/>
  <c r="N257" i="529"/>
  <c r="K257" i="529" a="1"/>
  <c r="K257" i="529" s="1"/>
  <c r="J257" i="529" a="1"/>
  <c r="J257" i="529" s="1"/>
  <c r="H257" i="529"/>
  <c r="AA256" i="529"/>
  <c r="Z256" i="529"/>
  <c r="Y256" i="529"/>
  <c r="X256" i="529"/>
  <c r="U256" i="529"/>
  <c r="T256" i="529"/>
  <c r="S256" i="529"/>
  <c r="R256" i="529"/>
  <c r="Q256" i="529"/>
  <c r="P256" i="529"/>
  <c r="O256" i="529"/>
  <c r="R336" i="529" s="1"/>
  <c r="I256" i="529"/>
  <c r="G256" i="529"/>
  <c r="H255" i="529"/>
  <c r="H254" i="529"/>
  <c r="H253" i="529"/>
  <c r="H252" i="529"/>
  <c r="H251" i="529"/>
  <c r="H250" i="529"/>
  <c r="K249" i="529" a="1"/>
  <c r="K249" i="529" s="1"/>
  <c r="M249" i="529" s="1"/>
  <c r="H249" i="529"/>
  <c r="K248" i="529" a="1"/>
  <c r="K248" i="529" s="1"/>
  <c r="M248" i="529" s="1"/>
  <c r="H248" i="529"/>
  <c r="K247" i="529" a="1"/>
  <c r="K247" i="529" s="1"/>
  <c r="M247" i="529" s="1"/>
  <c r="H247" i="529"/>
  <c r="K246" i="529" a="1"/>
  <c r="K246" i="529" s="1"/>
  <c r="M246" i="529" s="1"/>
  <c r="H246" i="529"/>
  <c r="W245" i="529"/>
  <c r="V245" i="529"/>
  <c r="N245" i="529"/>
  <c r="K245" i="529" a="1"/>
  <c r="K245" i="529" s="1"/>
  <c r="M245" i="529" s="1"/>
  <c r="J245" i="529" a="1"/>
  <c r="J245" i="529" s="1"/>
  <c r="H245" i="529"/>
  <c r="V244" i="529"/>
  <c r="W244" i="529" s="1"/>
  <c r="N244" i="529"/>
  <c r="K244" i="529" a="1"/>
  <c r="K244" i="529" s="1"/>
  <c r="M244" i="529" s="1"/>
  <c r="J244" i="529" a="1"/>
  <c r="J244" i="529" s="1"/>
  <c r="H244" i="529"/>
  <c r="V243" i="529"/>
  <c r="W243" i="529" s="1"/>
  <c r="N243" i="529"/>
  <c r="K243" i="529"/>
  <c r="M243" i="529" s="1"/>
  <c r="K243" i="529" a="1"/>
  <c r="J243" i="529"/>
  <c r="J243" i="529" a="1"/>
  <c r="H243" i="529"/>
  <c r="V242" i="529"/>
  <c r="W242" i="529" s="1"/>
  <c r="N242" i="529"/>
  <c r="K242" i="529" a="1"/>
  <c r="K242" i="529" s="1"/>
  <c r="M242" i="529" s="1"/>
  <c r="J242" i="529" a="1"/>
  <c r="J242" i="529" s="1"/>
  <c r="H242" i="529"/>
  <c r="M241" i="529"/>
  <c r="H241" i="529"/>
  <c r="W240" i="529"/>
  <c r="V240" i="529"/>
  <c r="N240" i="529"/>
  <c r="K240" i="529" a="1"/>
  <c r="K240" i="529" s="1"/>
  <c r="M240" i="529" s="1"/>
  <c r="J240" i="529" a="1"/>
  <c r="J240" i="529" s="1"/>
  <c r="H240" i="529"/>
  <c r="V239" i="529"/>
  <c r="W239" i="529" s="1"/>
  <c r="N239" i="529"/>
  <c r="K239" i="529" a="1"/>
  <c r="K239" i="529" s="1"/>
  <c r="M239" i="529" s="1"/>
  <c r="J239" i="529" a="1"/>
  <c r="J239" i="529" s="1"/>
  <c r="H239" i="529"/>
  <c r="K238" i="529" a="1"/>
  <c r="K238" i="529" s="1"/>
  <c r="M238" i="529" s="1"/>
  <c r="H238" i="529"/>
  <c r="H237" i="529"/>
  <c r="V236" i="529"/>
  <c r="W236" i="529" s="1"/>
  <c r="N236" i="529"/>
  <c r="K236" i="529" a="1"/>
  <c r="K236" i="529" s="1"/>
  <c r="J236" i="529" a="1"/>
  <c r="J236" i="529" s="1"/>
  <c r="H236" i="529"/>
  <c r="V235" i="529"/>
  <c r="W235" i="529" s="1"/>
  <c r="N235" i="529"/>
  <c r="J235" i="529"/>
  <c r="J235" i="529" a="1"/>
  <c r="H235" i="529"/>
  <c r="V234" i="529"/>
  <c r="W234" i="529" s="1"/>
  <c r="N234" i="529"/>
  <c r="J234" i="529" a="1"/>
  <c r="J234" i="529" s="1"/>
  <c r="H234" i="529"/>
  <c r="W233" i="529"/>
  <c r="V233" i="529"/>
  <c r="N233" i="529"/>
  <c r="J233" i="529" a="1"/>
  <c r="J233" i="529" s="1"/>
  <c r="H233" i="529"/>
  <c r="V232" i="529"/>
  <c r="W232" i="529" s="1"/>
  <c r="N232" i="529"/>
  <c r="J232" i="529" a="1"/>
  <c r="J232" i="529" s="1"/>
  <c r="H232" i="529"/>
  <c r="V231" i="529"/>
  <c r="W231" i="529" s="1"/>
  <c r="N231" i="529"/>
  <c r="J231" i="529"/>
  <c r="J231" i="529" a="1"/>
  <c r="H231" i="529"/>
  <c r="V230" i="529"/>
  <c r="W230" i="529" s="1"/>
  <c r="N230" i="529"/>
  <c r="J230" i="529" a="1"/>
  <c r="J230" i="529" s="1"/>
  <c r="H230" i="529"/>
  <c r="W229" i="529"/>
  <c r="V229" i="529"/>
  <c r="N229" i="529"/>
  <c r="J229" i="529" a="1"/>
  <c r="J229" i="529" s="1"/>
  <c r="H229" i="529"/>
  <c r="V228" i="529"/>
  <c r="W228" i="529" s="1"/>
  <c r="N228" i="529"/>
  <c r="J228" i="529" a="1"/>
  <c r="J228" i="529" s="1"/>
  <c r="H228" i="529"/>
  <c r="V227" i="529"/>
  <c r="W227" i="529" s="1"/>
  <c r="N227" i="529"/>
  <c r="J227" i="529"/>
  <c r="J227" i="529" a="1"/>
  <c r="H227" i="529"/>
  <c r="N226" i="529"/>
  <c r="H226" i="529"/>
  <c r="N225" i="529"/>
  <c r="H225" i="529"/>
  <c r="N224" i="529"/>
  <c r="H224" i="529"/>
  <c r="N223" i="529"/>
  <c r="H223" i="529"/>
  <c r="N222" i="529"/>
  <c r="H222" i="529"/>
  <c r="N221" i="529"/>
  <c r="H221" i="529"/>
  <c r="N220" i="529"/>
  <c r="H220" i="529"/>
  <c r="N219" i="529"/>
  <c r="H219" i="529"/>
  <c r="V218" i="529"/>
  <c r="W218" i="529" s="1"/>
  <c r="N218" i="529"/>
  <c r="J218" i="529" a="1"/>
  <c r="J218" i="529" s="1"/>
  <c r="H218" i="529"/>
  <c r="W217" i="529"/>
  <c r="V217" i="529"/>
  <c r="N217" i="529"/>
  <c r="J217" i="529" a="1"/>
  <c r="J217" i="529" s="1"/>
  <c r="H217" i="529"/>
  <c r="V216" i="529"/>
  <c r="W216" i="529" s="1"/>
  <c r="N216" i="529"/>
  <c r="J216" i="529" a="1"/>
  <c r="J216" i="529" s="1"/>
  <c r="H216" i="529"/>
  <c r="V215" i="529"/>
  <c r="W215" i="529" s="1"/>
  <c r="N215" i="529"/>
  <c r="J215" i="529"/>
  <c r="J215" i="529" a="1"/>
  <c r="H215" i="529"/>
  <c r="V214" i="529"/>
  <c r="W214" i="529" s="1"/>
  <c r="N214" i="529"/>
  <c r="J214" i="529" a="1"/>
  <c r="J214" i="529" s="1"/>
  <c r="H214" i="529"/>
  <c r="W213" i="529"/>
  <c r="V213" i="529"/>
  <c r="N213" i="529"/>
  <c r="J213" i="529" a="1"/>
  <c r="J213" i="529" s="1"/>
  <c r="H213" i="529"/>
  <c r="V212" i="529"/>
  <c r="W212" i="529" s="1"/>
  <c r="N212" i="529"/>
  <c r="J212" i="529" a="1"/>
  <c r="J212" i="529" s="1"/>
  <c r="H212" i="529"/>
  <c r="V211" i="529"/>
  <c r="W211" i="529" s="1"/>
  <c r="N211" i="529"/>
  <c r="J211" i="529"/>
  <c r="J211" i="529" a="1"/>
  <c r="H211" i="529"/>
  <c r="V210" i="529"/>
  <c r="W210" i="529" s="1"/>
  <c r="N210" i="529"/>
  <c r="J210" i="529" a="1"/>
  <c r="J210" i="529" s="1"/>
  <c r="H210" i="529"/>
  <c r="W209" i="529"/>
  <c r="V209" i="529"/>
  <c r="N209" i="529"/>
  <c r="J209" i="529" a="1"/>
  <c r="J209" i="529" s="1"/>
  <c r="H209" i="529"/>
  <c r="V208" i="529"/>
  <c r="W208" i="529" s="1"/>
  <c r="N208" i="529"/>
  <c r="J208" i="529" a="1"/>
  <c r="J208" i="529" s="1"/>
  <c r="H208" i="529"/>
  <c r="V207" i="529"/>
  <c r="W207" i="529" s="1"/>
  <c r="N207" i="529"/>
  <c r="J207" i="529"/>
  <c r="J207" i="529" a="1"/>
  <c r="H207" i="529"/>
  <c r="H206" i="529"/>
  <c r="H205" i="529"/>
  <c r="H204" i="529"/>
  <c r="W203" i="529"/>
  <c r="V203" i="529"/>
  <c r="N203" i="529"/>
  <c r="M203" i="529"/>
  <c r="J203" i="529" a="1"/>
  <c r="J203" i="529" s="1"/>
  <c r="H203" i="529"/>
  <c r="V202" i="529"/>
  <c r="W202" i="529" s="1"/>
  <c r="N202" i="529"/>
  <c r="J202" i="529" a="1"/>
  <c r="J202" i="529" s="1"/>
  <c r="H202" i="529"/>
  <c r="V201" i="529"/>
  <c r="W201" i="529" s="1"/>
  <c r="N201" i="529"/>
  <c r="J201" i="529" a="1"/>
  <c r="J201" i="529" s="1"/>
  <c r="H201" i="529"/>
  <c r="H200" i="529"/>
  <c r="W199" i="529"/>
  <c r="V199" i="529"/>
  <c r="V256" i="529" s="1"/>
  <c r="W256" i="529" s="1"/>
  <c r="N199" i="529"/>
  <c r="N256" i="529" s="1"/>
  <c r="K199" i="529" a="1"/>
  <c r="K199" i="529" s="1"/>
  <c r="J199" i="529" a="1"/>
  <c r="J199" i="529" s="1"/>
  <c r="H199" i="529"/>
  <c r="H256" i="529" s="1"/>
  <c r="AA198" i="529"/>
  <c r="AA333" i="529" s="1"/>
  <c r="Z198" i="529"/>
  <c r="Z333" i="529" s="1"/>
  <c r="Y198" i="529"/>
  <c r="Y333" i="529" s="1"/>
  <c r="X198" i="529"/>
  <c r="X333" i="529" s="1"/>
  <c r="U198" i="529"/>
  <c r="U333" i="529" s="1"/>
  <c r="T198" i="529"/>
  <c r="T333" i="529" s="1"/>
  <c r="S198" i="529"/>
  <c r="S333" i="529" s="1"/>
  <c r="R198" i="529"/>
  <c r="R333" i="529" s="1"/>
  <c r="Q198" i="529"/>
  <c r="Q333" i="529" s="1"/>
  <c r="P198" i="529"/>
  <c r="X336" i="529" s="1"/>
  <c r="O198" i="529"/>
  <c r="R335" i="529" s="1"/>
  <c r="I198" i="529"/>
  <c r="I333" i="529" s="1"/>
  <c r="B341" i="529" s="1"/>
  <c r="G198" i="529"/>
  <c r="G333" i="529" s="1"/>
  <c r="V197" i="529"/>
  <c r="W197" i="529" s="1"/>
  <c r="N197" i="529"/>
  <c r="K197" i="529" a="1"/>
  <c r="K197" i="529" s="1"/>
  <c r="M197" i="529" s="1"/>
  <c r="J197" i="529" a="1"/>
  <c r="J197" i="529" s="1"/>
  <c r="H197" i="529"/>
  <c r="V196" i="529"/>
  <c r="W196" i="529" s="1"/>
  <c r="N196" i="529"/>
  <c r="K196" i="529"/>
  <c r="M196" i="529" s="1"/>
  <c r="K196" i="529" a="1"/>
  <c r="J196" i="529"/>
  <c r="J196" i="529" a="1"/>
  <c r="H196" i="529"/>
  <c r="K195" i="529" a="1"/>
  <c r="K195" i="529" s="1"/>
  <c r="M195" i="529" s="1"/>
  <c r="H195" i="529"/>
  <c r="K194" i="529" a="1"/>
  <c r="K194" i="529" s="1"/>
  <c r="M194" i="529" s="1"/>
  <c r="H194" i="529"/>
  <c r="M193" i="529"/>
  <c r="K193" i="529" a="1"/>
  <c r="K193" i="529" s="1"/>
  <c r="H193" i="529"/>
  <c r="K192" i="529" a="1"/>
  <c r="K192" i="529" s="1"/>
  <c r="M192" i="529" s="1"/>
  <c r="H192" i="529"/>
  <c r="V191" i="529"/>
  <c r="W191" i="529" s="1"/>
  <c r="N191" i="529"/>
  <c r="K191" i="529" a="1"/>
  <c r="K191" i="529" s="1"/>
  <c r="M191" i="529" s="1"/>
  <c r="J191" i="529" a="1"/>
  <c r="J191" i="529" s="1"/>
  <c r="H191" i="529"/>
  <c r="W190" i="529"/>
  <c r="V190" i="529"/>
  <c r="N190" i="529"/>
  <c r="K190" i="529" a="1"/>
  <c r="K190" i="529" s="1"/>
  <c r="M190" i="529" s="1"/>
  <c r="J190" i="529" a="1"/>
  <c r="J190" i="529" s="1"/>
  <c r="H190" i="529"/>
  <c r="V189" i="529"/>
  <c r="W189" i="529" s="1"/>
  <c r="N189" i="529"/>
  <c r="K189" i="529" a="1"/>
  <c r="K189" i="529" s="1"/>
  <c r="M189" i="529" s="1"/>
  <c r="J189" i="529" a="1"/>
  <c r="J189" i="529" s="1"/>
  <c r="H189" i="529"/>
  <c r="N188" i="529"/>
  <c r="K188" i="529"/>
  <c r="M188" i="529" s="1"/>
  <c r="K188" i="529" a="1"/>
  <c r="J188" i="529"/>
  <c r="J188" i="529" a="1"/>
  <c r="H188" i="529"/>
  <c r="N187" i="529"/>
  <c r="K187" i="529" a="1"/>
  <c r="K187" i="529" s="1"/>
  <c r="M187" i="529" s="1"/>
  <c r="J187" i="529" a="1"/>
  <c r="J187" i="529" s="1"/>
  <c r="H187" i="529"/>
  <c r="V186" i="529"/>
  <c r="W186" i="529" s="1"/>
  <c r="N186" i="529"/>
  <c r="K186" i="529" a="1"/>
  <c r="K186" i="529" s="1"/>
  <c r="M186" i="529" s="1"/>
  <c r="J186" i="529" a="1"/>
  <c r="J186" i="529" s="1"/>
  <c r="H186" i="529"/>
  <c r="V185" i="529"/>
  <c r="W185" i="529" s="1"/>
  <c r="N185" i="529"/>
  <c r="K185" i="529" a="1"/>
  <c r="K185" i="529" s="1"/>
  <c r="M185" i="529" s="1"/>
  <c r="J185" i="529" a="1"/>
  <c r="J185" i="529" s="1"/>
  <c r="H185" i="529"/>
  <c r="N184" i="529"/>
  <c r="K184" i="529"/>
  <c r="M184" i="529" s="1"/>
  <c r="K184" i="529" a="1"/>
  <c r="H184" i="529"/>
  <c r="N183" i="529"/>
  <c r="K183" i="529" a="1"/>
  <c r="K183" i="529" s="1"/>
  <c r="M183" i="529" s="1"/>
  <c r="H183" i="529"/>
  <c r="W182" i="529"/>
  <c r="V182" i="529"/>
  <c r="N182" i="529"/>
  <c r="K182" i="529" a="1"/>
  <c r="K182" i="529" s="1"/>
  <c r="M182" i="529" s="1"/>
  <c r="J182" i="529" a="1"/>
  <c r="J182" i="529" s="1"/>
  <c r="H182" i="529"/>
  <c r="V181" i="529"/>
  <c r="W181" i="529" s="1"/>
  <c r="N181" i="529"/>
  <c r="K181" i="529" a="1"/>
  <c r="K181" i="529" s="1"/>
  <c r="M181" i="529" s="1"/>
  <c r="J181" i="529" a="1"/>
  <c r="J181" i="529" s="1"/>
  <c r="H181" i="529"/>
  <c r="V180" i="529"/>
  <c r="W180" i="529" s="1"/>
  <c r="N180" i="529"/>
  <c r="K180" i="529" a="1"/>
  <c r="K180" i="529" s="1"/>
  <c r="M180" i="529" s="1"/>
  <c r="J180" i="529" a="1"/>
  <c r="J180" i="529" s="1"/>
  <c r="H180" i="529"/>
  <c r="V179" i="529"/>
  <c r="W179" i="529" s="1"/>
  <c r="N179" i="529"/>
  <c r="K179" i="529" a="1"/>
  <c r="K179" i="529" s="1"/>
  <c r="M179" i="529" s="1"/>
  <c r="J179" i="529" a="1"/>
  <c r="J179" i="529" s="1"/>
  <c r="H179" i="529"/>
  <c r="V178" i="529"/>
  <c r="W178" i="529" s="1"/>
  <c r="N178" i="529"/>
  <c r="K178" i="529" a="1"/>
  <c r="K178" i="529" s="1"/>
  <c r="M178" i="529" s="1"/>
  <c r="J178" i="529" a="1"/>
  <c r="J178" i="529" s="1"/>
  <c r="H178" i="529"/>
  <c r="V177" i="529"/>
  <c r="V198" i="529" s="1"/>
  <c r="N177" i="529"/>
  <c r="K177" i="529" a="1"/>
  <c r="K177" i="529" s="1"/>
  <c r="J177" i="529" a="1"/>
  <c r="J177" i="529" s="1"/>
  <c r="H177" i="529"/>
  <c r="X170" i="529"/>
  <c r="Q526" i="529" s="1"/>
  <c r="X169" i="529"/>
  <c r="Q525" i="529" s="1"/>
  <c r="G169" i="529"/>
  <c r="C169" i="529"/>
  <c r="X168" i="529"/>
  <c r="Q524" i="529" s="1"/>
  <c r="I168" i="529"/>
  <c r="E168" i="529"/>
  <c r="K168" i="529" s="1"/>
  <c r="M168" i="529" s="1"/>
  <c r="I167" i="529"/>
  <c r="E167" i="529"/>
  <c r="K167" i="529" s="1"/>
  <c r="M167" i="529" s="1"/>
  <c r="I166" i="529"/>
  <c r="E166" i="529"/>
  <c r="K166" i="529" s="1"/>
  <c r="M166" i="529" s="1"/>
  <c r="X165" i="529"/>
  <c r="Q521" i="529" s="1"/>
  <c r="I165" i="529"/>
  <c r="I169" i="529" s="1"/>
  <c r="E165" i="529"/>
  <c r="E169" i="529" s="1"/>
  <c r="AA162" i="529"/>
  <c r="Z162" i="529"/>
  <c r="Y162" i="529"/>
  <c r="X162" i="529"/>
  <c r="U162" i="529"/>
  <c r="T162" i="529"/>
  <c r="S162" i="529"/>
  <c r="R162" i="529"/>
  <c r="Q162" i="529"/>
  <c r="P162" i="529"/>
  <c r="O162" i="529"/>
  <c r="R170" i="529" s="1"/>
  <c r="I162" i="529"/>
  <c r="G162" i="529"/>
  <c r="C526" i="529" s="1"/>
  <c r="H161" i="529"/>
  <c r="H160" i="529"/>
  <c r="H159" i="529"/>
  <c r="V158" i="529"/>
  <c r="W158" i="529" s="1"/>
  <c r="N158" i="529"/>
  <c r="K158" i="529"/>
  <c r="K158" i="529" a="1"/>
  <c r="J158" i="529" a="1"/>
  <c r="J158" i="529" s="1"/>
  <c r="H158" i="529"/>
  <c r="D158" i="529"/>
  <c r="V157" i="529"/>
  <c r="W157" i="529" s="1"/>
  <c r="N157" i="529"/>
  <c r="K157" i="529" a="1"/>
  <c r="K157" i="529" s="1"/>
  <c r="M157" i="529" s="1"/>
  <c r="J157" i="529" a="1"/>
  <c r="J157" i="529" s="1"/>
  <c r="H157" i="529"/>
  <c r="H156" i="529"/>
  <c r="H155" i="529"/>
  <c r="V154" i="529"/>
  <c r="W154" i="529" s="1"/>
  <c r="N154" i="529"/>
  <c r="K154" i="529" a="1"/>
  <c r="K154" i="529" s="1"/>
  <c r="M154" i="529" s="1"/>
  <c r="J154" i="529" a="1"/>
  <c r="J154" i="529" s="1"/>
  <c r="H154" i="529"/>
  <c r="V153" i="529"/>
  <c r="W153" i="529" s="1"/>
  <c r="N153" i="529"/>
  <c r="K153" i="529"/>
  <c r="M153" i="529" s="1"/>
  <c r="K153" i="529" a="1"/>
  <c r="J153" i="529"/>
  <c r="J153" i="529" a="1"/>
  <c r="H153" i="529"/>
  <c r="H152" i="529"/>
  <c r="W151" i="529"/>
  <c r="V151" i="529"/>
  <c r="N151" i="529"/>
  <c r="K151" i="529" a="1"/>
  <c r="K151" i="529" s="1"/>
  <c r="M151" i="529" s="1"/>
  <c r="J151" i="529" a="1"/>
  <c r="J151" i="529" s="1"/>
  <c r="H151" i="529"/>
  <c r="V150" i="529"/>
  <c r="W150" i="529" s="1"/>
  <c r="N150" i="529"/>
  <c r="K150" i="529" a="1"/>
  <c r="K150" i="529" s="1"/>
  <c r="M150" i="529" s="1"/>
  <c r="J150" i="529" a="1"/>
  <c r="J150" i="529" s="1"/>
  <c r="H150" i="529"/>
  <c r="V149" i="529"/>
  <c r="W149" i="529" s="1"/>
  <c r="N149" i="529"/>
  <c r="K149" i="529"/>
  <c r="M149" i="529" s="1"/>
  <c r="K149" i="529" a="1"/>
  <c r="J149" i="529"/>
  <c r="J149" i="529" a="1"/>
  <c r="H149" i="529"/>
  <c r="V148" i="529"/>
  <c r="W148" i="529" s="1"/>
  <c r="N148" i="529"/>
  <c r="N162" i="529" s="1"/>
  <c r="K148" i="529" a="1"/>
  <c r="K148" i="529" s="1"/>
  <c r="J148" i="529" a="1"/>
  <c r="J148" i="529" s="1"/>
  <c r="H148" i="529"/>
  <c r="H162" i="529" s="1"/>
  <c r="AA147" i="529"/>
  <c r="Z147" i="529"/>
  <c r="Y147" i="529"/>
  <c r="X147" i="529"/>
  <c r="U147" i="529"/>
  <c r="T147" i="529"/>
  <c r="S147" i="529"/>
  <c r="Q147" i="529"/>
  <c r="P147" i="529"/>
  <c r="O147" i="529"/>
  <c r="R169" i="529" s="1"/>
  <c r="I147" i="529"/>
  <c r="G147" i="529"/>
  <c r="C525" i="529" s="1"/>
  <c r="W146" i="529"/>
  <c r="V146" i="529"/>
  <c r="K146" i="529" a="1"/>
  <c r="K146" i="529" s="1"/>
  <c r="M146" i="529" s="1"/>
  <c r="J146" i="529" a="1"/>
  <c r="J146" i="529" s="1"/>
  <c r="H146" i="529"/>
  <c r="K145" i="529" a="1"/>
  <c r="K145" i="529" s="1"/>
  <c r="M145" i="529" s="1"/>
  <c r="H145" i="529"/>
  <c r="K144" i="529" a="1"/>
  <c r="K144" i="529" s="1"/>
  <c r="H144" i="529"/>
  <c r="K143" i="529" a="1"/>
  <c r="K143" i="529" s="1"/>
  <c r="H143" i="529"/>
  <c r="W142" i="529"/>
  <c r="V142" i="529"/>
  <c r="N142" i="529"/>
  <c r="K142" i="529" a="1"/>
  <c r="K142" i="529" s="1"/>
  <c r="M142" i="529" s="1"/>
  <c r="J142" i="529" a="1"/>
  <c r="J142" i="529" s="1"/>
  <c r="H142" i="529"/>
  <c r="V141" i="529"/>
  <c r="W141" i="529" s="1"/>
  <c r="N141" i="529"/>
  <c r="K141" i="529" a="1"/>
  <c r="K141" i="529" s="1"/>
  <c r="M141" i="529" s="1"/>
  <c r="J141" i="529" a="1"/>
  <c r="J141" i="529" s="1"/>
  <c r="H141" i="529"/>
  <c r="V140" i="529"/>
  <c r="W140" i="529" s="1"/>
  <c r="N140" i="529"/>
  <c r="K140" i="529"/>
  <c r="M140" i="529" s="1"/>
  <c r="K140" i="529" a="1"/>
  <c r="J140" i="529"/>
  <c r="J140" i="529" a="1"/>
  <c r="H140" i="529"/>
  <c r="V139" i="529"/>
  <c r="W139" i="529" s="1"/>
  <c r="N139" i="529"/>
  <c r="K139" i="529" a="1"/>
  <c r="K139" i="529" s="1"/>
  <c r="M139" i="529" s="1"/>
  <c r="J139" i="529" a="1"/>
  <c r="J139" i="529" s="1"/>
  <c r="H139" i="529"/>
  <c r="W138" i="529"/>
  <c r="V138" i="529"/>
  <c r="V147" i="529" s="1"/>
  <c r="W147" i="529" s="1"/>
  <c r="N138" i="529"/>
  <c r="N147" i="529" s="1"/>
  <c r="K138" i="529"/>
  <c r="M138" i="529" s="1"/>
  <c r="K138" i="529" a="1"/>
  <c r="J138" i="529" a="1"/>
  <c r="J138" i="529" s="1"/>
  <c r="H138" i="529"/>
  <c r="H147" i="529" s="1"/>
  <c r="AA137" i="529"/>
  <c r="Z137" i="529"/>
  <c r="Y137" i="529"/>
  <c r="X137" i="529"/>
  <c r="U137" i="529"/>
  <c r="T137" i="529"/>
  <c r="S137" i="529"/>
  <c r="Q137" i="529"/>
  <c r="P137" i="529"/>
  <c r="O137" i="529"/>
  <c r="R168" i="529" s="1"/>
  <c r="I137" i="529"/>
  <c r="G137" i="529"/>
  <c r="C524" i="529" s="1"/>
  <c r="V136" i="529"/>
  <c r="W136" i="529" s="1"/>
  <c r="N136" i="529"/>
  <c r="K136" i="529" a="1"/>
  <c r="K136" i="529" s="1"/>
  <c r="M136" i="529" s="1"/>
  <c r="J136" i="529" a="1"/>
  <c r="J136" i="529" s="1"/>
  <c r="H136" i="529"/>
  <c r="V135" i="529"/>
  <c r="W135" i="529" s="1"/>
  <c r="N135" i="529"/>
  <c r="K135" i="529" a="1"/>
  <c r="K135" i="529" s="1"/>
  <c r="M135" i="529" s="1"/>
  <c r="J135" i="529" a="1"/>
  <c r="J135" i="529" s="1"/>
  <c r="H135" i="529"/>
  <c r="V134" i="529"/>
  <c r="W134" i="529" s="1"/>
  <c r="N134" i="529"/>
  <c r="K134" i="529" a="1"/>
  <c r="K134" i="529" s="1"/>
  <c r="M134" i="529" s="1"/>
  <c r="J134" i="529" a="1"/>
  <c r="J134" i="529" s="1"/>
  <c r="H134" i="529"/>
  <c r="V133" i="529"/>
  <c r="W133" i="529" s="1"/>
  <c r="N133" i="529"/>
  <c r="K133" i="529"/>
  <c r="M133" i="529" s="1"/>
  <c r="K133" i="529" a="1"/>
  <c r="J133" i="529"/>
  <c r="J133" i="529" a="1"/>
  <c r="H133" i="529"/>
  <c r="V132" i="529"/>
  <c r="W132" i="529" s="1"/>
  <c r="N132" i="529"/>
  <c r="K132" i="529" a="1"/>
  <c r="K132" i="529" s="1"/>
  <c r="M132" i="529" s="1"/>
  <c r="J132" i="529" a="1"/>
  <c r="J132" i="529" s="1"/>
  <c r="H132" i="529"/>
  <c r="W131" i="529"/>
  <c r="V131" i="529"/>
  <c r="N131" i="529"/>
  <c r="K131" i="529" a="1"/>
  <c r="K131" i="529" s="1"/>
  <c r="M131" i="529" s="1"/>
  <c r="J131" i="529" a="1"/>
  <c r="J131" i="529" s="1"/>
  <c r="H131" i="529"/>
  <c r="V130" i="529"/>
  <c r="W130" i="529" s="1"/>
  <c r="N130" i="529"/>
  <c r="K130" i="529" a="1"/>
  <c r="K130" i="529" s="1"/>
  <c r="M130" i="529" s="1"/>
  <c r="J130" i="529" a="1"/>
  <c r="J130" i="529" s="1"/>
  <c r="H130" i="529"/>
  <c r="V129" i="529"/>
  <c r="W129" i="529" s="1"/>
  <c r="N129" i="529"/>
  <c r="K129" i="529"/>
  <c r="M129" i="529" s="1"/>
  <c r="K129" i="529" a="1"/>
  <c r="J129" i="529"/>
  <c r="J129" i="529" a="1"/>
  <c r="H129" i="529"/>
  <c r="V128" i="529"/>
  <c r="W128" i="529" s="1"/>
  <c r="N128" i="529"/>
  <c r="K128" i="529" a="1"/>
  <c r="K128" i="529" s="1"/>
  <c r="M128" i="529" s="1"/>
  <c r="J128" i="529" a="1"/>
  <c r="J128" i="529" s="1"/>
  <c r="H128" i="529"/>
  <c r="W127" i="529"/>
  <c r="V127" i="529"/>
  <c r="N127" i="529"/>
  <c r="K127" i="529" a="1"/>
  <c r="K127" i="529" s="1"/>
  <c r="M127" i="529" s="1"/>
  <c r="J127" i="529" a="1"/>
  <c r="J127" i="529" s="1"/>
  <c r="H127" i="529"/>
  <c r="V126" i="529"/>
  <c r="W126" i="529" s="1"/>
  <c r="N126" i="529"/>
  <c r="K126" i="529" a="1"/>
  <c r="K126" i="529" s="1"/>
  <c r="M126" i="529" s="1"/>
  <c r="J126" i="529" a="1"/>
  <c r="J126" i="529" s="1"/>
  <c r="H126" i="529"/>
  <c r="V125" i="529"/>
  <c r="W125" i="529" s="1"/>
  <c r="N125" i="529"/>
  <c r="K125" i="529"/>
  <c r="M125" i="529" s="1"/>
  <c r="K125" i="529" a="1"/>
  <c r="J125" i="529"/>
  <c r="J125" i="529" a="1"/>
  <c r="H125" i="529"/>
  <c r="V124" i="529"/>
  <c r="W124" i="529" s="1"/>
  <c r="N124" i="529"/>
  <c r="K124" i="529" a="1"/>
  <c r="K124" i="529" s="1"/>
  <c r="M124" i="529" s="1"/>
  <c r="J124" i="529" a="1"/>
  <c r="J124" i="529" s="1"/>
  <c r="H124" i="529"/>
  <c r="W123" i="529"/>
  <c r="V123" i="529"/>
  <c r="N123" i="529"/>
  <c r="K123" i="529" a="1"/>
  <c r="K123" i="529" s="1"/>
  <c r="M123" i="529" s="1"/>
  <c r="J123" i="529" a="1"/>
  <c r="J123" i="529" s="1"/>
  <c r="H123" i="529"/>
  <c r="V122" i="529"/>
  <c r="W122" i="529" s="1"/>
  <c r="N122" i="529"/>
  <c r="K122" i="529" a="1"/>
  <c r="K122" i="529" s="1"/>
  <c r="J122" i="529" a="1"/>
  <c r="J122" i="529" s="1"/>
  <c r="H122" i="529"/>
  <c r="H137" i="529" s="1"/>
  <c r="AA121" i="529"/>
  <c r="Z121" i="529"/>
  <c r="Y121" i="529"/>
  <c r="X121" i="529"/>
  <c r="U121" i="529"/>
  <c r="T121" i="529"/>
  <c r="S121" i="529"/>
  <c r="R121" i="529"/>
  <c r="Q121" i="529"/>
  <c r="P121" i="529"/>
  <c r="O121" i="529"/>
  <c r="I121" i="529"/>
  <c r="G121" i="529"/>
  <c r="C523" i="529" s="1"/>
  <c r="V120" i="529"/>
  <c r="W120" i="529" s="1"/>
  <c r="N120" i="529"/>
  <c r="K120" i="529" a="1"/>
  <c r="K120" i="529" s="1"/>
  <c r="M120" i="529" s="1"/>
  <c r="J120" i="529" a="1"/>
  <c r="J120" i="529" s="1"/>
  <c r="H120" i="529"/>
  <c r="V119" i="529"/>
  <c r="W119" i="529" s="1"/>
  <c r="N119" i="529"/>
  <c r="K119" i="529"/>
  <c r="M119" i="529" s="1"/>
  <c r="K119" i="529" a="1"/>
  <c r="J119" i="529"/>
  <c r="J119" i="529" a="1"/>
  <c r="H119" i="529"/>
  <c r="V118" i="529"/>
  <c r="W118" i="529" s="1"/>
  <c r="N118" i="529"/>
  <c r="K118" i="529" a="1"/>
  <c r="K118" i="529" s="1"/>
  <c r="M118" i="529" s="1"/>
  <c r="J118" i="529" a="1"/>
  <c r="J118" i="529" s="1"/>
  <c r="H118" i="529"/>
  <c r="K117" i="529" a="1"/>
  <c r="K117" i="529" s="1"/>
  <c r="H117" i="529"/>
  <c r="K116" i="529" a="1"/>
  <c r="K116" i="529" s="1"/>
  <c r="H116" i="529"/>
  <c r="K115" i="529" a="1"/>
  <c r="K115" i="529" s="1"/>
  <c r="H115" i="529"/>
  <c r="V114" i="529"/>
  <c r="W114" i="529" s="1"/>
  <c r="N114" i="529"/>
  <c r="K114" i="529" a="1"/>
  <c r="K114" i="529" s="1"/>
  <c r="M114" i="529" s="1"/>
  <c r="J114" i="529" a="1"/>
  <c r="J114" i="529" s="1"/>
  <c r="H114" i="529"/>
  <c r="W113" i="529"/>
  <c r="V113" i="529"/>
  <c r="N113" i="529"/>
  <c r="K113" i="529" a="1"/>
  <c r="K113" i="529" s="1"/>
  <c r="M113" i="529" s="1"/>
  <c r="J113" i="529" a="1"/>
  <c r="J113" i="529" s="1"/>
  <c r="H113" i="529"/>
  <c r="N112" i="529"/>
  <c r="K112" i="529" a="1"/>
  <c r="K112" i="529" s="1"/>
  <c r="M112" i="529" s="1"/>
  <c r="H112" i="529"/>
  <c r="N111" i="529"/>
  <c r="K111" i="529" a="1"/>
  <c r="K111" i="529" s="1"/>
  <c r="M111" i="529" s="1"/>
  <c r="H111" i="529"/>
  <c r="N110" i="529"/>
  <c r="K110" i="529" a="1"/>
  <c r="K110" i="529" s="1"/>
  <c r="M110" i="529" s="1"/>
  <c r="H110" i="529"/>
  <c r="N109" i="529"/>
  <c r="K109" i="529"/>
  <c r="M109" i="529" s="1"/>
  <c r="K109" i="529" a="1"/>
  <c r="H109" i="529"/>
  <c r="N108" i="529"/>
  <c r="K108" i="529" a="1"/>
  <c r="K108" i="529" s="1"/>
  <c r="M108" i="529" s="1"/>
  <c r="H108" i="529"/>
  <c r="N107" i="529"/>
  <c r="K107" i="529" a="1"/>
  <c r="K107" i="529" s="1"/>
  <c r="M107" i="529" s="1"/>
  <c r="H107" i="529"/>
  <c r="V106" i="529"/>
  <c r="W106" i="529" s="1"/>
  <c r="N106" i="529"/>
  <c r="K106" i="529" a="1"/>
  <c r="K106" i="529" s="1"/>
  <c r="M106" i="529" s="1"/>
  <c r="J106" i="529" a="1"/>
  <c r="J106" i="529" s="1"/>
  <c r="H106" i="529"/>
  <c r="V105" i="529"/>
  <c r="W105" i="529" s="1"/>
  <c r="N105" i="529"/>
  <c r="K105" i="529"/>
  <c r="M105" i="529" s="1"/>
  <c r="K105" i="529" a="1"/>
  <c r="J105" i="529"/>
  <c r="J105" i="529" a="1"/>
  <c r="H105" i="529"/>
  <c r="V104" i="529"/>
  <c r="W104" i="529" s="1"/>
  <c r="N104" i="529"/>
  <c r="K104" i="529" a="1"/>
  <c r="K104" i="529" s="1"/>
  <c r="M104" i="529" s="1"/>
  <c r="J104" i="529" a="1"/>
  <c r="J104" i="529" s="1"/>
  <c r="H104" i="529"/>
  <c r="W103" i="529"/>
  <c r="V103" i="529"/>
  <c r="N103" i="529"/>
  <c r="K103" i="529" a="1"/>
  <c r="K103" i="529" s="1"/>
  <c r="M103" i="529" s="1"/>
  <c r="J103" i="529" a="1"/>
  <c r="J103" i="529" s="1"/>
  <c r="H103" i="529"/>
  <c r="V102" i="529"/>
  <c r="W102" i="529" s="1"/>
  <c r="N102" i="529"/>
  <c r="K102" i="529" a="1"/>
  <c r="K102" i="529" s="1"/>
  <c r="M102" i="529" s="1"/>
  <c r="J102" i="529" a="1"/>
  <c r="J102" i="529" s="1"/>
  <c r="H102" i="529"/>
  <c r="V101" i="529"/>
  <c r="W101" i="529" s="1"/>
  <c r="N101" i="529"/>
  <c r="K101" i="529"/>
  <c r="M101" i="529" s="1"/>
  <c r="K101" i="529" a="1"/>
  <c r="J101" i="529"/>
  <c r="J101" i="529" a="1"/>
  <c r="H101" i="529"/>
  <c r="V100" i="529"/>
  <c r="W100" i="529" s="1"/>
  <c r="N100" i="529"/>
  <c r="K100" i="529" a="1"/>
  <c r="K100" i="529" s="1"/>
  <c r="M100" i="529" s="1"/>
  <c r="J100" i="529" a="1"/>
  <c r="J100" i="529" s="1"/>
  <c r="H100" i="529"/>
  <c r="W99" i="529"/>
  <c r="V99" i="529"/>
  <c r="N99" i="529"/>
  <c r="K99" i="529" a="1"/>
  <c r="K99" i="529" s="1"/>
  <c r="M99" i="529" s="1"/>
  <c r="J99" i="529" a="1"/>
  <c r="J99" i="529" s="1"/>
  <c r="H99" i="529"/>
  <c r="V98" i="529"/>
  <c r="W98" i="529" s="1"/>
  <c r="N98" i="529"/>
  <c r="K98" i="529" a="1"/>
  <c r="K98" i="529" s="1"/>
  <c r="M98" i="529" s="1"/>
  <c r="J98" i="529" a="1"/>
  <c r="J98" i="529" s="1"/>
  <c r="H98" i="529"/>
  <c r="V97" i="529"/>
  <c r="W97" i="529" s="1"/>
  <c r="N97" i="529"/>
  <c r="K97" i="529"/>
  <c r="M97" i="529" s="1"/>
  <c r="K97" i="529" a="1"/>
  <c r="J97" i="529"/>
  <c r="J97" i="529" a="1"/>
  <c r="H97" i="529"/>
  <c r="V96" i="529"/>
  <c r="W96" i="529" s="1"/>
  <c r="N96" i="529"/>
  <c r="K96" i="529" a="1"/>
  <c r="K96" i="529" s="1"/>
  <c r="M96" i="529" s="1"/>
  <c r="J96" i="529" a="1"/>
  <c r="J96" i="529" s="1"/>
  <c r="H96" i="529"/>
  <c r="W95" i="529"/>
  <c r="V95" i="529"/>
  <c r="N95" i="529"/>
  <c r="K95" i="529" a="1"/>
  <c r="K95" i="529" s="1"/>
  <c r="M95" i="529" s="1"/>
  <c r="J95" i="529" a="1"/>
  <c r="J95" i="529" s="1"/>
  <c r="H95" i="529"/>
  <c r="K94" i="529"/>
  <c r="M94" i="529" s="1"/>
  <c r="K94" i="529" a="1"/>
  <c r="H94" i="529"/>
  <c r="V93" i="529"/>
  <c r="W93" i="529" s="1"/>
  <c r="N93" i="529"/>
  <c r="K93" i="529" a="1"/>
  <c r="K93" i="529" s="1"/>
  <c r="M93" i="529" s="1"/>
  <c r="J93" i="529" a="1"/>
  <c r="J93" i="529" s="1"/>
  <c r="H93" i="529"/>
  <c r="V92" i="529"/>
  <c r="W92" i="529" s="1"/>
  <c r="N92" i="529"/>
  <c r="K92" i="529" a="1"/>
  <c r="K92" i="529" s="1"/>
  <c r="M92" i="529" s="1"/>
  <c r="J92" i="529" a="1"/>
  <c r="J92" i="529" s="1"/>
  <c r="H92" i="529"/>
  <c r="V91" i="529"/>
  <c r="W91" i="529" s="1"/>
  <c r="N91" i="529"/>
  <c r="K91" i="529" a="1"/>
  <c r="K91" i="529" s="1"/>
  <c r="M91" i="529" s="1"/>
  <c r="J91" i="529" a="1"/>
  <c r="J91" i="529" s="1"/>
  <c r="H91" i="529"/>
  <c r="V90" i="529"/>
  <c r="W90" i="529" s="1"/>
  <c r="N90" i="529"/>
  <c r="K90" i="529"/>
  <c r="M90" i="529" s="1"/>
  <c r="K90" i="529" a="1"/>
  <c r="J90" i="529"/>
  <c r="J90" i="529" a="1"/>
  <c r="H90" i="529"/>
  <c r="V89" i="529"/>
  <c r="W89" i="529" s="1"/>
  <c r="N89" i="529"/>
  <c r="K89" i="529" a="1"/>
  <c r="K89" i="529" s="1"/>
  <c r="M89" i="529" s="1"/>
  <c r="J89" i="529" a="1"/>
  <c r="J89" i="529" s="1"/>
  <c r="H89" i="529"/>
  <c r="V88" i="529"/>
  <c r="W88" i="529" s="1"/>
  <c r="N88" i="529"/>
  <c r="K88" i="529" a="1"/>
  <c r="K88" i="529" s="1"/>
  <c r="M88" i="529" s="1"/>
  <c r="J88" i="529" a="1"/>
  <c r="J88" i="529" s="1"/>
  <c r="H88" i="529"/>
  <c r="V87" i="529"/>
  <c r="N87" i="529"/>
  <c r="N121" i="529" s="1"/>
  <c r="K87" i="529" a="1"/>
  <c r="K87" i="529" s="1"/>
  <c r="J87" i="529" a="1"/>
  <c r="J87" i="529" s="1"/>
  <c r="H87" i="529"/>
  <c r="AA86" i="529"/>
  <c r="Z86" i="529"/>
  <c r="Y86" i="529"/>
  <c r="X86" i="529"/>
  <c r="U86" i="529"/>
  <c r="T86" i="529"/>
  <c r="S86" i="529"/>
  <c r="R86" i="529"/>
  <c r="Q86" i="529"/>
  <c r="P86" i="529"/>
  <c r="O86" i="529"/>
  <c r="R166" i="529" s="1"/>
  <c r="I86" i="529"/>
  <c r="G86" i="529"/>
  <c r="C522" i="529" s="1"/>
  <c r="K85" i="529" a="1"/>
  <c r="K85" i="529" s="1"/>
  <c r="H85" i="529"/>
  <c r="K84" i="529"/>
  <c r="K84" i="529" a="1"/>
  <c r="H84" i="529"/>
  <c r="K83" i="529" a="1"/>
  <c r="K83" i="529" s="1"/>
  <c r="H83" i="529"/>
  <c r="K82" i="529" a="1"/>
  <c r="K82" i="529" s="1"/>
  <c r="H82" i="529"/>
  <c r="K81" i="529" a="1"/>
  <c r="K81" i="529" s="1"/>
  <c r="H81" i="529"/>
  <c r="K80" i="529"/>
  <c r="K80" i="529" a="1"/>
  <c r="H80" i="529"/>
  <c r="K79" i="529" a="1"/>
  <c r="K79" i="529" s="1"/>
  <c r="M79" i="529" s="1"/>
  <c r="H79" i="529"/>
  <c r="K78" i="529" a="1"/>
  <c r="K78" i="529" s="1"/>
  <c r="M78" i="529" s="1"/>
  <c r="H78" i="529"/>
  <c r="K77" i="529" a="1"/>
  <c r="K77" i="529" s="1"/>
  <c r="M77" i="529" s="1"/>
  <c r="H77" i="529"/>
  <c r="K76" i="529" a="1"/>
  <c r="K76" i="529" s="1"/>
  <c r="M76" i="529" s="1"/>
  <c r="H76" i="529"/>
  <c r="V75" i="529"/>
  <c r="W75" i="529" s="1"/>
  <c r="N75" i="529"/>
  <c r="K75" i="529" a="1"/>
  <c r="K75" i="529" s="1"/>
  <c r="M75" i="529" s="1"/>
  <c r="J75" i="529" a="1"/>
  <c r="J75" i="529" s="1"/>
  <c r="H75" i="529"/>
  <c r="V74" i="529"/>
  <c r="W74" i="529" s="1"/>
  <c r="N74" i="529"/>
  <c r="K74" i="529"/>
  <c r="M74" i="529" s="1"/>
  <c r="K74" i="529" a="1"/>
  <c r="J74" i="529"/>
  <c r="J74" i="529" a="1"/>
  <c r="H74" i="529"/>
  <c r="V73" i="529"/>
  <c r="W73" i="529" s="1"/>
  <c r="N73" i="529"/>
  <c r="K73" i="529" a="1"/>
  <c r="K73" i="529" s="1"/>
  <c r="M73" i="529" s="1"/>
  <c r="J73" i="529" a="1"/>
  <c r="J73" i="529" s="1"/>
  <c r="H73" i="529"/>
  <c r="W72" i="529"/>
  <c r="V72" i="529"/>
  <c r="N72" i="529"/>
  <c r="K72" i="529" a="1"/>
  <c r="K72" i="529" s="1"/>
  <c r="M72" i="529" s="1"/>
  <c r="J72" i="529" a="1"/>
  <c r="J72" i="529" s="1"/>
  <c r="H72" i="529"/>
  <c r="H71" i="529"/>
  <c r="V70" i="529"/>
  <c r="W70" i="529" s="1"/>
  <c r="N70" i="529"/>
  <c r="K70" i="529"/>
  <c r="M70" i="529" s="1"/>
  <c r="K70" i="529" a="1"/>
  <c r="J70" i="529"/>
  <c r="J70" i="529" a="1"/>
  <c r="H70" i="529"/>
  <c r="V69" i="529"/>
  <c r="W69" i="529" s="1"/>
  <c r="N69" i="529"/>
  <c r="K69" i="529" a="1"/>
  <c r="K69" i="529" s="1"/>
  <c r="M69" i="529" s="1"/>
  <c r="J69" i="529" a="1"/>
  <c r="J69" i="529" s="1"/>
  <c r="H69" i="529"/>
  <c r="K68" i="529"/>
  <c r="K68" i="529" a="1"/>
  <c r="H68" i="529"/>
  <c r="K67" i="529" a="1"/>
  <c r="K67" i="529" s="1"/>
  <c r="H67" i="529"/>
  <c r="V66" i="529"/>
  <c r="W66" i="529" s="1"/>
  <c r="N66" i="529"/>
  <c r="K66" i="529" a="1"/>
  <c r="K66" i="529" s="1"/>
  <c r="M66" i="529" s="1"/>
  <c r="J66" i="529" a="1"/>
  <c r="J66" i="529" s="1"/>
  <c r="H66" i="529"/>
  <c r="V65" i="529"/>
  <c r="W65" i="529" s="1"/>
  <c r="N65" i="529"/>
  <c r="K65" i="529" a="1"/>
  <c r="K65" i="529" s="1"/>
  <c r="M65" i="529" s="1"/>
  <c r="J65" i="529" a="1"/>
  <c r="J65" i="529" s="1"/>
  <c r="H65" i="529"/>
  <c r="V64" i="529"/>
  <c r="W64" i="529" s="1"/>
  <c r="N64" i="529"/>
  <c r="K64" i="529" a="1"/>
  <c r="K64" i="529" s="1"/>
  <c r="M64" i="529" s="1"/>
  <c r="J64" i="529" a="1"/>
  <c r="J64" i="529" s="1"/>
  <c r="H64" i="529"/>
  <c r="V63" i="529"/>
  <c r="W63" i="529" s="1"/>
  <c r="N63" i="529"/>
  <c r="K63" i="529" a="1"/>
  <c r="K63" i="529" s="1"/>
  <c r="M63" i="529" s="1"/>
  <c r="J63" i="529" a="1"/>
  <c r="J63" i="529" s="1"/>
  <c r="H63" i="529"/>
  <c r="V62" i="529"/>
  <c r="W62" i="529" s="1"/>
  <c r="N62" i="529"/>
  <c r="K62" i="529"/>
  <c r="M62" i="529" s="1"/>
  <c r="K62" i="529" a="1"/>
  <c r="J62" i="529" a="1"/>
  <c r="J62" i="529" s="1"/>
  <c r="H62" i="529"/>
  <c r="V61" i="529"/>
  <c r="W61" i="529" s="1"/>
  <c r="N61" i="529"/>
  <c r="K61" i="529" a="1"/>
  <c r="K61" i="529" s="1"/>
  <c r="M61" i="529" s="1"/>
  <c r="J61" i="529" a="1"/>
  <c r="J61" i="529" s="1"/>
  <c r="H61" i="529"/>
  <c r="V60" i="529"/>
  <c r="W60" i="529" s="1"/>
  <c r="N60" i="529"/>
  <c r="K60" i="529"/>
  <c r="M60" i="529" s="1"/>
  <c r="K60" i="529" a="1"/>
  <c r="J60" i="529"/>
  <c r="J60" i="529" a="1"/>
  <c r="H60" i="529"/>
  <c r="V59" i="529"/>
  <c r="W59" i="529" s="1"/>
  <c r="N59" i="529"/>
  <c r="K59" i="529" a="1"/>
  <c r="K59" i="529" s="1"/>
  <c r="M59" i="529" s="1"/>
  <c r="J59" i="529" a="1"/>
  <c r="J59" i="529" s="1"/>
  <c r="H59" i="529"/>
  <c r="V58" i="529"/>
  <c r="W58" i="529" s="1"/>
  <c r="N58" i="529"/>
  <c r="K58" i="529" a="1"/>
  <c r="K58" i="529" s="1"/>
  <c r="M58" i="529" s="1"/>
  <c r="J58" i="529" a="1"/>
  <c r="J58" i="529" s="1"/>
  <c r="H58" i="529"/>
  <c r="V57" i="529"/>
  <c r="W57" i="529" s="1"/>
  <c r="N57" i="529"/>
  <c r="K57" i="529" a="1"/>
  <c r="K57" i="529" s="1"/>
  <c r="M57" i="529" s="1"/>
  <c r="J57" i="529" a="1"/>
  <c r="J57" i="529" s="1"/>
  <c r="H57" i="529"/>
  <c r="K56" i="529" a="1"/>
  <c r="K56" i="529" s="1"/>
  <c r="M56" i="529" s="1"/>
  <c r="H56" i="529"/>
  <c r="K55" i="529" a="1"/>
  <c r="K55" i="529" s="1"/>
  <c r="M55" i="529" s="1"/>
  <c r="H55" i="529"/>
  <c r="K54" i="529" a="1"/>
  <c r="K54" i="529" s="1"/>
  <c r="M54" i="529" s="1"/>
  <c r="H54" i="529"/>
  <c r="K53" i="529" a="1"/>
  <c r="K53" i="529" s="1"/>
  <c r="M53" i="529" s="1"/>
  <c r="H53" i="529"/>
  <c r="N52" i="529"/>
  <c r="K52" i="529" a="1"/>
  <c r="K52" i="529" s="1"/>
  <c r="M52" i="529" s="1"/>
  <c r="H52" i="529"/>
  <c r="N51" i="529"/>
  <c r="K51" i="529" a="1"/>
  <c r="K51" i="529" s="1"/>
  <c r="M51" i="529" s="1"/>
  <c r="H51" i="529"/>
  <c r="N50" i="529"/>
  <c r="K50" i="529"/>
  <c r="M50" i="529" s="1"/>
  <c r="K50" i="529" a="1"/>
  <c r="H50" i="529"/>
  <c r="N49" i="529"/>
  <c r="K49" i="529" a="1"/>
  <c r="K49" i="529" s="1"/>
  <c r="M49" i="529" s="1"/>
  <c r="H49" i="529"/>
  <c r="W48" i="529"/>
  <c r="V48" i="529"/>
  <c r="N48" i="529"/>
  <c r="K48" i="529" a="1"/>
  <c r="K48" i="529" s="1"/>
  <c r="M48" i="529" s="1"/>
  <c r="J48" i="529" a="1"/>
  <c r="J48" i="529" s="1"/>
  <c r="H48" i="529"/>
  <c r="V47" i="529"/>
  <c r="W47" i="529" s="1"/>
  <c r="N47" i="529"/>
  <c r="K47" i="529" a="1"/>
  <c r="K47" i="529" s="1"/>
  <c r="M47" i="529" s="1"/>
  <c r="J47" i="529" a="1"/>
  <c r="J47" i="529" s="1"/>
  <c r="H47" i="529"/>
  <c r="V46" i="529"/>
  <c r="W46" i="529" s="1"/>
  <c r="N46" i="529"/>
  <c r="K46" i="529"/>
  <c r="M46" i="529" s="1"/>
  <c r="K46" i="529" a="1"/>
  <c r="J46" i="529"/>
  <c r="J46" i="529" a="1"/>
  <c r="H46" i="529"/>
  <c r="V45" i="529"/>
  <c r="W45" i="529" s="1"/>
  <c r="N45" i="529"/>
  <c r="K45" i="529" a="1"/>
  <c r="K45" i="529" s="1"/>
  <c r="M45" i="529" s="1"/>
  <c r="J45" i="529" a="1"/>
  <c r="J45" i="529" s="1"/>
  <c r="H45" i="529"/>
  <c r="W44" i="529"/>
  <c r="V44" i="529"/>
  <c r="N44" i="529"/>
  <c r="K44" i="529" a="1"/>
  <c r="K44" i="529" s="1"/>
  <c r="M44" i="529" s="1"/>
  <c r="J44" i="529" a="1"/>
  <c r="J44" i="529" s="1"/>
  <c r="H44" i="529"/>
  <c r="V43" i="529"/>
  <c r="W43" i="529" s="1"/>
  <c r="N43" i="529"/>
  <c r="K43" i="529" a="1"/>
  <c r="K43" i="529" s="1"/>
  <c r="M43" i="529" s="1"/>
  <c r="J43" i="529" a="1"/>
  <c r="J43" i="529" s="1"/>
  <c r="H43" i="529"/>
  <c r="V42" i="529"/>
  <c r="W42" i="529" s="1"/>
  <c r="N42" i="529"/>
  <c r="K42" i="529"/>
  <c r="M42" i="529" s="1"/>
  <c r="K42" i="529" a="1"/>
  <c r="J42" i="529"/>
  <c r="J42" i="529" a="1"/>
  <c r="H42" i="529"/>
  <c r="V41" i="529"/>
  <c r="W41" i="529" s="1"/>
  <c r="N41" i="529"/>
  <c r="K41" i="529" a="1"/>
  <c r="K41" i="529" s="1"/>
  <c r="M41" i="529" s="1"/>
  <c r="J41" i="529" a="1"/>
  <c r="J41" i="529" s="1"/>
  <c r="H41" i="529"/>
  <c r="W40" i="529"/>
  <c r="V40" i="529"/>
  <c r="N40" i="529"/>
  <c r="K40" i="529" a="1"/>
  <c r="K40" i="529" s="1"/>
  <c r="M40" i="529" s="1"/>
  <c r="J40" i="529" a="1"/>
  <c r="J40" i="529" s="1"/>
  <c r="H40" i="529"/>
  <c r="V39" i="529"/>
  <c r="W39" i="529" s="1"/>
  <c r="N39" i="529"/>
  <c r="K39" i="529" a="1"/>
  <c r="K39" i="529" s="1"/>
  <c r="M39" i="529" s="1"/>
  <c r="J39" i="529" a="1"/>
  <c r="J39" i="529" s="1"/>
  <c r="H39" i="529"/>
  <c r="V38" i="529"/>
  <c r="W38" i="529" s="1"/>
  <c r="N38" i="529"/>
  <c r="K38" i="529"/>
  <c r="M38" i="529" s="1"/>
  <c r="K38" i="529" a="1"/>
  <c r="J38" i="529"/>
  <c r="J38" i="529" a="1"/>
  <c r="H38" i="529"/>
  <c r="V37" i="529"/>
  <c r="W37" i="529" s="1"/>
  <c r="N37" i="529"/>
  <c r="K37" i="529" a="1"/>
  <c r="K37" i="529" s="1"/>
  <c r="M37" i="529" s="1"/>
  <c r="J37" i="529" a="1"/>
  <c r="J37" i="529" s="1"/>
  <c r="H37" i="529"/>
  <c r="H36" i="529"/>
  <c r="H35" i="529"/>
  <c r="H34" i="529"/>
  <c r="V33" i="529"/>
  <c r="W33" i="529" s="1"/>
  <c r="N33" i="529"/>
  <c r="K33" i="529" a="1"/>
  <c r="K33" i="529" s="1"/>
  <c r="M33" i="529" s="1"/>
  <c r="J33" i="529" a="1"/>
  <c r="J33" i="529" s="1"/>
  <c r="H33" i="529"/>
  <c r="V32" i="529"/>
  <c r="W32" i="529" s="1"/>
  <c r="N32" i="529"/>
  <c r="K32" i="529" a="1"/>
  <c r="K32" i="529" s="1"/>
  <c r="M32" i="529" s="1"/>
  <c r="J32" i="529" a="1"/>
  <c r="J32" i="529" s="1"/>
  <c r="H32" i="529"/>
  <c r="V31" i="529"/>
  <c r="W31" i="529" s="1"/>
  <c r="N31" i="529"/>
  <c r="K31" i="529" a="1"/>
  <c r="K31" i="529" s="1"/>
  <c r="M31" i="529" s="1"/>
  <c r="J31" i="529" a="1"/>
  <c r="J31" i="529" s="1"/>
  <c r="H31" i="529"/>
  <c r="K30" i="529" a="1"/>
  <c r="K30" i="529" s="1"/>
  <c r="H30" i="529"/>
  <c r="V29" i="529"/>
  <c r="V86" i="529" s="1"/>
  <c r="W86" i="529" s="1"/>
  <c r="N29" i="529"/>
  <c r="N86" i="529" s="1"/>
  <c r="K29" i="529" a="1"/>
  <c r="K29" i="529" s="1"/>
  <c r="J29" i="529" a="1"/>
  <c r="J29" i="529" s="1"/>
  <c r="H29" i="529"/>
  <c r="H86" i="529" s="1"/>
  <c r="AA28" i="529"/>
  <c r="AA163" i="529" s="1"/>
  <c r="Z28" i="529"/>
  <c r="Y28" i="529"/>
  <c r="Y163" i="529" s="1"/>
  <c r="X28" i="529"/>
  <c r="U28" i="529"/>
  <c r="U163" i="529" s="1"/>
  <c r="T28" i="529"/>
  <c r="S28" i="529"/>
  <c r="S163" i="529" s="1"/>
  <c r="R28" i="529"/>
  <c r="Q28" i="529"/>
  <c r="Q163" i="529" s="1"/>
  <c r="P28" i="529"/>
  <c r="O28" i="529"/>
  <c r="O163" i="529" s="1"/>
  <c r="I28" i="529"/>
  <c r="G28" i="529"/>
  <c r="C521" i="529" s="1"/>
  <c r="V27" i="529"/>
  <c r="W27" i="529" s="1"/>
  <c r="N27" i="529"/>
  <c r="K27" i="529" a="1"/>
  <c r="K27" i="529" s="1"/>
  <c r="M27" i="529" s="1"/>
  <c r="J27" i="529" a="1"/>
  <c r="J27" i="529" s="1"/>
  <c r="H27" i="529"/>
  <c r="V26" i="529"/>
  <c r="W26" i="529" s="1"/>
  <c r="N26" i="529"/>
  <c r="K26" i="529"/>
  <c r="M26" i="529" s="1"/>
  <c r="K26" i="529" a="1"/>
  <c r="J26" i="529" a="1"/>
  <c r="J26" i="529" s="1"/>
  <c r="H26" i="529"/>
  <c r="K25" i="529" a="1"/>
  <c r="K25" i="529" s="1"/>
  <c r="M25" i="529" s="1"/>
  <c r="J25" i="529" a="1"/>
  <c r="J25" i="529" s="1"/>
  <c r="H25" i="529"/>
  <c r="K24" i="529"/>
  <c r="M24" i="529" s="1"/>
  <c r="K24" i="529" a="1"/>
  <c r="J24" i="529"/>
  <c r="J24" i="529" a="1"/>
  <c r="H24" i="529"/>
  <c r="K23" i="529" a="1"/>
  <c r="K23" i="529" s="1"/>
  <c r="M23" i="529" s="1"/>
  <c r="J23" i="529" a="1"/>
  <c r="J23" i="529" s="1"/>
  <c r="H23" i="529"/>
  <c r="K22" i="529"/>
  <c r="M22" i="529" s="1"/>
  <c r="K22" i="529" a="1"/>
  <c r="J22" i="529"/>
  <c r="J22" i="529" a="1"/>
  <c r="H22" i="529"/>
  <c r="V21" i="529"/>
  <c r="W21" i="529" s="1"/>
  <c r="N21" i="529"/>
  <c r="K21" i="529" a="1"/>
  <c r="K21" i="529" s="1"/>
  <c r="M21" i="529" s="1"/>
  <c r="J21" i="529" a="1"/>
  <c r="J21" i="529" s="1"/>
  <c r="H21" i="529"/>
  <c r="W20" i="529"/>
  <c r="V20" i="529"/>
  <c r="N20" i="529"/>
  <c r="K20" i="529" a="1"/>
  <c r="K20" i="529" s="1"/>
  <c r="M20" i="529" s="1"/>
  <c r="J20" i="529" a="1"/>
  <c r="J20" i="529" s="1"/>
  <c r="H20" i="529"/>
  <c r="V19" i="529"/>
  <c r="W19" i="529" s="1"/>
  <c r="N19" i="529"/>
  <c r="K19" i="529" a="1"/>
  <c r="K19" i="529" s="1"/>
  <c r="M19" i="529" s="1"/>
  <c r="J19" i="529" a="1"/>
  <c r="J19" i="529" s="1"/>
  <c r="H19" i="529"/>
  <c r="N18" i="529"/>
  <c r="K18" i="529"/>
  <c r="M18" i="529" s="1"/>
  <c r="K18" i="529" a="1"/>
  <c r="J18" i="529"/>
  <c r="J18" i="529" a="1"/>
  <c r="H18" i="529"/>
  <c r="N17" i="529"/>
  <c r="K17" i="529" a="1"/>
  <c r="K17" i="529" s="1"/>
  <c r="M17" i="529" s="1"/>
  <c r="J17" i="529" a="1"/>
  <c r="J17" i="529" s="1"/>
  <c r="H17" i="529"/>
  <c r="V16" i="529"/>
  <c r="W16" i="529" s="1"/>
  <c r="N16" i="529"/>
  <c r="K16" i="529" a="1"/>
  <c r="K16" i="529" s="1"/>
  <c r="M16" i="529" s="1"/>
  <c r="J16" i="529" a="1"/>
  <c r="J16" i="529" s="1"/>
  <c r="H16" i="529"/>
  <c r="V15" i="529"/>
  <c r="W15" i="529" s="1"/>
  <c r="N15" i="529"/>
  <c r="K15" i="529" a="1"/>
  <c r="K15" i="529" s="1"/>
  <c r="M15" i="529" s="1"/>
  <c r="J15" i="529" a="1"/>
  <c r="J15" i="529" s="1"/>
  <c r="H15" i="529"/>
  <c r="N14" i="529"/>
  <c r="K14" i="529"/>
  <c r="M14" i="529" s="1"/>
  <c r="K14" i="529" a="1"/>
  <c r="H14" i="529"/>
  <c r="N13" i="529"/>
  <c r="K13" i="529" a="1"/>
  <c r="K13" i="529" s="1"/>
  <c r="M13" i="529" s="1"/>
  <c r="H13" i="529"/>
  <c r="W12" i="529"/>
  <c r="V12" i="529"/>
  <c r="N12" i="529"/>
  <c r="K12" i="529" a="1"/>
  <c r="K12" i="529" s="1"/>
  <c r="M12" i="529" s="1"/>
  <c r="J12" i="529" a="1"/>
  <c r="J12" i="529" s="1"/>
  <c r="H12" i="529"/>
  <c r="V11" i="529"/>
  <c r="W11" i="529" s="1"/>
  <c r="N11" i="529"/>
  <c r="K11" i="529" a="1"/>
  <c r="K11" i="529" s="1"/>
  <c r="M11" i="529" s="1"/>
  <c r="J11" i="529" a="1"/>
  <c r="J11" i="529" s="1"/>
  <c r="H11" i="529"/>
  <c r="V10" i="529"/>
  <c r="W10" i="529" s="1"/>
  <c r="N10" i="529"/>
  <c r="K10" i="529"/>
  <c r="M10" i="529" s="1"/>
  <c r="K10" i="529" a="1"/>
  <c r="J10" i="529" a="1"/>
  <c r="J10" i="529" s="1"/>
  <c r="H10" i="529"/>
  <c r="V9" i="529"/>
  <c r="W9" i="529" s="1"/>
  <c r="N9" i="529"/>
  <c r="K9" i="529" a="1"/>
  <c r="K9" i="529" s="1"/>
  <c r="M9" i="529" s="1"/>
  <c r="J9" i="529" a="1"/>
  <c r="J9" i="529" s="1"/>
  <c r="H9" i="529"/>
  <c r="V8" i="529"/>
  <c r="W8" i="529" s="1"/>
  <c r="N8" i="529"/>
  <c r="K8" i="529" a="1"/>
  <c r="K8" i="529" s="1"/>
  <c r="M8" i="529" s="1"/>
  <c r="J8" i="529" a="1"/>
  <c r="J8" i="529" s="1"/>
  <c r="H8" i="529"/>
  <c r="V7" i="529"/>
  <c r="N7" i="529"/>
  <c r="M7" i="529"/>
  <c r="K7" i="529" a="1"/>
  <c r="K7" i="529" s="1"/>
  <c r="J7" i="529" a="1"/>
  <c r="J7" i="529" s="1"/>
  <c r="H7" i="529"/>
  <c r="H28" i="529" s="1"/>
  <c r="S527" i="530" l="1"/>
  <c r="K517" i="530"/>
  <c r="O517" i="530" s="1"/>
  <c r="K516" i="530"/>
  <c r="J461" i="529" a="1"/>
  <c r="J461" i="529" s="1"/>
  <c r="J317" i="529" a="1"/>
  <c r="J317" i="529" s="1"/>
  <c r="J307" i="529" a="1"/>
  <c r="J307" i="529" s="1"/>
  <c r="J256" i="529" a="1"/>
  <c r="J256" i="529" s="1"/>
  <c r="J291" i="529" a="1"/>
  <c r="J291" i="529" s="1"/>
  <c r="R340" i="529"/>
  <c r="W332" i="529"/>
  <c r="H307" i="529"/>
  <c r="M307" i="529"/>
  <c r="V307" i="529"/>
  <c r="W307" i="529" s="1"/>
  <c r="N291" i="529"/>
  <c r="H291" i="529"/>
  <c r="J531" i="529"/>
  <c r="Q531" i="529" s="1"/>
  <c r="S531" i="529" s="1" a="1"/>
  <c r="S531" i="529" s="1"/>
  <c r="J532" i="529"/>
  <c r="Q532" i="529" s="1"/>
  <c r="S532" i="529" s="1" a="1"/>
  <c r="S532" i="529" s="1"/>
  <c r="C533" i="529"/>
  <c r="J530" i="529"/>
  <c r="Q530" i="529" s="1"/>
  <c r="R530" i="529" s="1"/>
  <c r="H477" i="529"/>
  <c r="V477" i="529"/>
  <c r="W477" i="529" s="1"/>
  <c r="K487" i="529"/>
  <c r="K426" i="529"/>
  <c r="N426" i="529"/>
  <c r="W369" i="529"/>
  <c r="H461" i="529"/>
  <c r="V461" i="529"/>
  <c r="W461" i="529" s="1"/>
  <c r="J162" i="529" a="1"/>
  <c r="J162" i="529" s="1"/>
  <c r="N137" i="529"/>
  <c r="I163" i="529"/>
  <c r="B171" i="529" s="1"/>
  <c r="C517" i="529" s="1"/>
  <c r="X166" i="529"/>
  <c r="R163" i="529"/>
  <c r="T163" i="529"/>
  <c r="X163" i="529"/>
  <c r="Z163" i="529"/>
  <c r="H121" i="529"/>
  <c r="H163" i="529" s="1"/>
  <c r="E170" i="529" s="1"/>
  <c r="V121" i="529"/>
  <c r="W121" i="529" s="1"/>
  <c r="R167" i="529"/>
  <c r="M147" i="529"/>
  <c r="J147" i="529" a="1"/>
  <c r="J147" i="529" s="1"/>
  <c r="K28" i="529"/>
  <c r="M28" i="529"/>
  <c r="N28" i="529"/>
  <c r="N163" i="529" s="1"/>
  <c r="B172" i="529" s="1"/>
  <c r="Q522" i="529"/>
  <c r="K86" i="529"/>
  <c r="M29" i="529"/>
  <c r="M86" i="529" s="1"/>
  <c r="K522" i="529"/>
  <c r="K523" i="529"/>
  <c r="K198" i="529"/>
  <c r="M177" i="529"/>
  <c r="M198" i="529" s="1"/>
  <c r="V28" i="529"/>
  <c r="W7" i="529"/>
  <c r="K121" i="529"/>
  <c r="M87" i="529"/>
  <c r="M121" i="529" s="1"/>
  <c r="K137" i="529"/>
  <c r="M122" i="529"/>
  <c r="M137" i="529" s="1"/>
  <c r="K524" i="529"/>
  <c r="K525" i="529"/>
  <c r="K162" i="529"/>
  <c r="M148" i="529"/>
  <c r="M162" i="529" s="1"/>
  <c r="K526" i="529"/>
  <c r="C527" i="529"/>
  <c r="E521" i="529" s="1"/>
  <c r="V137" i="529"/>
  <c r="W137" i="529" s="1"/>
  <c r="K147" i="529"/>
  <c r="V162" i="529"/>
  <c r="W162" i="529" s="1"/>
  <c r="G163" i="529"/>
  <c r="P163" i="529"/>
  <c r="X167" i="529" s="1"/>
  <c r="K165" i="529"/>
  <c r="R165" i="529"/>
  <c r="B340" i="529"/>
  <c r="J333" i="529" a="1"/>
  <c r="J333" i="529" s="1"/>
  <c r="M340" i="529" s="1"/>
  <c r="R342" i="529"/>
  <c r="T341" i="529" s="1"/>
  <c r="T335" i="529" a="1"/>
  <c r="T335" i="529" s="1"/>
  <c r="T336" i="529"/>
  <c r="T338" i="529"/>
  <c r="K317" i="529"/>
  <c r="M308" i="529"/>
  <c r="M317" i="529" s="1"/>
  <c r="T340" i="529"/>
  <c r="K368" i="529"/>
  <c r="M347" i="529"/>
  <c r="M368" i="529" s="1"/>
  <c r="J28" i="529" a="1"/>
  <c r="J28" i="529" s="1"/>
  <c r="W29" i="529"/>
  <c r="J86" i="529" a="1"/>
  <c r="J86" i="529" s="1"/>
  <c r="W87" i="529"/>
  <c r="J121" i="529" a="1"/>
  <c r="J121" i="529" s="1"/>
  <c r="J137" i="529" a="1"/>
  <c r="J137" i="529" s="1"/>
  <c r="H198" i="529"/>
  <c r="H333" i="529" s="1"/>
  <c r="E340" i="529" s="1"/>
  <c r="N198" i="529"/>
  <c r="N333" i="529" s="1"/>
  <c r="B342" i="529" s="1"/>
  <c r="E342" i="529" s="1"/>
  <c r="W177" i="529"/>
  <c r="W198" i="529" s="1"/>
  <c r="K256" i="529"/>
  <c r="K291" i="529"/>
  <c r="M257" i="529"/>
  <c r="M291" i="529" s="1"/>
  <c r="T337" i="529"/>
  <c r="T339" i="529"/>
  <c r="K332" i="529"/>
  <c r="K339" i="529"/>
  <c r="M335" i="529"/>
  <c r="M199" i="529"/>
  <c r="M256" i="529" s="1"/>
  <c r="V291" i="529"/>
  <c r="W291" i="529" s="1"/>
  <c r="K307" i="529"/>
  <c r="V317" i="529"/>
  <c r="W317" i="529" s="1"/>
  <c r="O333" i="529"/>
  <c r="E339" i="529"/>
  <c r="K477" i="529"/>
  <c r="M462" i="529"/>
  <c r="M477" i="529" s="1"/>
  <c r="J198" i="529" a="1"/>
  <c r="J198" i="529" s="1"/>
  <c r="M318" i="529"/>
  <c r="M332" i="529" s="1"/>
  <c r="P333" i="529"/>
  <c r="X337" i="529" s="1"/>
  <c r="H368" i="529"/>
  <c r="H504" i="529" s="1"/>
  <c r="E511" i="529" s="1"/>
  <c r="N368" i="529"/>
  <c r="N504" i="529" s="1"/>
  <c r="B513" i="529" s="1"/>
  <c r="E513" i="529" s="1"/>
  <c r="W347" i="529"/>
  <c r="W368" i="529" s="1"/>
  <c r="K461" i="529"/>
  <c r="M427" i="529"/>
  <c r="M461" i="529" s="1"/>
  <c r="J368" i="529" a="1"/>
  <c r="J368" i="529" s="1"/>
  <c r="R509" i="529"/>
  <c r="M478" i="529"/>
  <c r="M487" i="529" s="1"/>
  <c r="W478" i="529"/>
  <c r="V487" i="529"/>
  <c r="W487" i="529" s="1"/>
  <c r="J504" i="529" a="1"/>
  <c r="J504" i="529" s="1"/>
  <c r="M511" i="529" s="1"/>
  <c r="B511" i="529"/>
  <c r="X506" i="529"/>
  <c r="O504" i="529"/>
  <c r="X507" i="529" s="1"/>
  <c r="R506" i="529"/>
  <c r="M369" i="529"/>
  <c r="M426" i="529" s="1"/>
  <c r="W427" i="529"/>
  <c r="W462" i="529"/>
  <c r="W503" i="529"/>
  <c r="V503" i="529"/>
  <c r="K506" i="529"/>
  <c r="T533" i="529" a="1"/>
  <c r="T533" i="529" s="1"/>
  <c r="M488" i="529"/>
  <c r="M503" i="529" s="1"/>
  <c r="Q533" i="529"/>
  <c r="S530" i="529" a="1"/>
  <c r="S530" i="529" s="1"/>
  <c r="R531" i="529"/>
  <c r="J533" i="529"/>
  <c r="T530" i="529" a="1"/>
  <c r="T530" i="529" s="1"/>
  <c r="I429" i="528"/>
  <c r="M315" i="528"/>
  <c r="M314" i="528"/>
  <c r="M313" i="528"/>
  <c r="J315" i="528" a="1"/>
  <c r="J315" i="528" s="1"/>
  <c r="J314" i="528" a="1"/>
  <c r="J314" i="528" s="1"/>
  <c r="J313" i="528" a="1"/>
  <c r="J313" i="528" s="1"/>
  <c r="J282" i="528" a="1"/>
  <c r="J282" i="528" s="1"/>
  <c r="J281" i="528" a="1"/>
  <c r="J281" i="528" s="1"/>
  <c r="M206" i="528"/>
  <c r="J206" i="528" a="1"/>
  <c r="J206" i="528" s="1"/>
  <c r="K206" i="528" a="1"/>
  <c r="K206" i="528" s="1"/>
  <c r="I191" i="528"/>
  <c r="I182" i="528"/>
  <c r="I282" i="528"/>
  <c r="I281" i="528"/>
  <c r="I190" i="528"/>
  <c r="R533" i="529" l="1"/>
  <c r="R532" i="529"/>
  <c r="E526" i="529"/>
  <c r="E525" i="529"/>
  <c r="G516" i="529"/>
  <c r="E524" i="529"/>
  <c r="M163" i="529"/>
  <c r="E523" i="529"/>
  <c r="K163" i="529"/>
  <c r="E171" i="529" s="1"/>
  <c r="E522" i="529"/>
  <c r="I171" i="529"/>
  <c r="M171" i="529" s="1"/>
  <c r="S533" i="529" a="1"/>
  <c r="S533" i="529" s="1"/>
  <c r="R513" i="529"/>
  <c r="T506" i="529" s="1" a="1"/>
  <c r="T506" i="529" s="1"/>
  <c r="X513" i="529"/>
  <c r="Z506" i="529" a="1"/>
  <c r="Z506" i="529" s="1"/>
  <c r="X342" i="529"/>
  <c r="Z337" i="529" s="1"/>
  <c r="M339" i="529"/>
  <c r="K504" i="529"/>
  <c r="M165" i="529"/>
  <c r="K169" i="529"/>
  <c r="M169" i="529" s="1"/>
  <c r="J163" i="529" a="1"/>
  <c r="J163" i="529" s="1"/>
  <c r="M170" i="529" s="1"/>
  <c r="B170" i="529"/>
  <c r="C516" i="529" s="1"/>
  <c r="L163" i="529"/>
  <c r="I170" i="529" s="1"/>
  <c r="E527" i="529"/>
  <c r="V163" i="529"/>
  <c r="I172" i="529" s="1"/>
  <c r="W28" i="529"/>
  <c r="W163" i="529" s="1"/>
  <c r="K333" i="529"/>
  <c r="C518" i="529"/>
  <c r="G518" i="529" s="1"/>
  <c r="E172" i="529"/>
  <c r="M506" i="529"/>
  <c r="K510" i="529"/>
  <c r="M510" i="529" s="1"/>
  <c r="Z507" i="529"/>
  <c r="T509" i="529"/>
  <c r="V504" i="529"/>
  <c r="W333" i="529"/>
  <c r="M504" i="529"/>
  <c r="V333" i="529"/>
  <c r="I342" i="529" s="1"/>
  <c r="M342" i="529" s="1" a="1"/>
  <c r="M342" i="529" s="1"/>
  <c r="K521" i="529"/>
  <c r="R172" i="529"/>
  <c r="T165" i="529" s="1" a="1"/>
  <c r="T165" i="529" s="1"/>
  <c r="Q523" i="529"/>
  <c r="M333" i="529"/>
  <c r="X172" i="529"/>
  <c r="G182" i="528"/>
  <c r="G21" i="528"/>
  <c r="I284" i="528"/>
  <c r="I315" i="528"/>
  <c r="K315" i="528" a="1"/>
  <c r="K315" i="528" s="1"/>
  <c r="K314" i="528" a="1"/>
  <c r="K314" i="528" s="1"/>
  <c r="K313" i="528" a="1"/>
  <c r="K313" i="528" s="1"/>
  <c r="I235" i="528"/>
  <c r="I234" i="528"/>
  <c r="I306" i="528"/>
  <c r="J52" i="528" a="1"/>
  <c r="J52" i="528" s="1"/>
  <c r="M145" i="528"/>
  <c r="M144" i="528"/>
  <c r="M143" i="528"/>
  <c r="J145" i="528" a="1"/>
  <c r="J145" i="528" s="1"/>
  <c r="J144" i="528" a="1"/>
  <c r="J144" i="528" s="1"/>
  <c r="J143" i="528" a="1"/>
  <c r="J143" i="528" s="1"/>
  <c r="I138" i="528"/>
  <c r="I145" i="528"/>
  <c r="I143" i="528"/>
  <c r="I136" i="528"/>
  <c r="I135" i="528"/>
  <c r="I114" i="528"/>
  <c r="I12" i="528"/>
  <c r="I20" i="528"/>
  <c r="I21" i="528"/>
  <c r="D531" i="528"/>
  <c r="D532" i="528"/>
  <c r="D530" i="528"/>
  <c r="G202" i="528"/>
  <c r="G234" i="528"/>
  <c r="G235" i="528"/>
  <c r="G315" i="528"/>
  <c r="G306" i="528"/>
  <c r="G313" i="528"/>
  <c r="G284" i="528"/>
  <c r="G203" i="528"/>
  <c r="G206" i="528"/>
  <c r="G190" i="528"/>
  <c r="G191" i="528"/>
  <c r="G429" i="528"/>
  <c r="G143" i="528"/>
  <c r="G52" i="528"/>
  <c r="G32" i="528"/>
  <c r="G145" i="528"/>
  <c r="H484" i="516"/>
  <c r="H485" i="516"/>
  <c r="H484" i="517"/>
  <c r="H485" i="517"/>
  <c r="H484" i="518"/>
  <c r="H485" i="518"/>
  <c r="H484" i="519"/>
  <c r="H485" i="519"/>
  <c r="H484" i="520"/>
  <c r="H485" i="520"/>
  <c r="H484" i="521"/>
  <c r="H485" i="521"/>
  <c r="H484" i="522"/>
  <c r="H485" i="522"/>
  <c r="H484" i="523"/>
  <c r="H485" i="523"/>
  <c r="H484" i="524"/>
  <c r="H485" i="524"/>
  <c r="H484" i="525"/>
  <c r="H485" i="525"/>
  <c r="H484" i="526"/>
  <c r="H485" i="526"/>
  <c r="H484" i="527"/>
  <c r="H485" i="527"/>
  <c r="H484" i="434"/>
  <c r="H485" i="434"/>
  <c r="H484" i="508"/>
  <c r="H485" i="508"/>
  <c r="H484" i="505"/>
  <c r="H485" i="505"/>
  <c r="H484" i="489"/>
  <c r="H485" i="489"/>
  <c r="H484" i="528"/>
  <c r="H485" i="528"/>
  <c r="H315" i="516"/>
  <c r="H315" i="517"/>
  <c r="H315" i="518"/>
  <c r="H315" i="519"/>
  <c r="H315" i="520"/>
  <c r="H315" i="521"/>
  <c r="H315" i="522"/>
  <c r="H315" i="523"/>
  <c r="H315" i="524"/>
  <c r="H315" i="525"/>
  <c r="H315" i="526"/>
  <c r="H315" i="527"/>
  <c r="H315" i="434"/>
  <c r="H315" i="508"/>
  <c r="H315" i="505"/>
  <c r="H315" i="489"/>
  <c r="H315" i="528"/>
  <c r="K143" i="516" a="1"/>
  <c r="K143" i="516" s="1"/>
  <c r="K144" i="516" a="1"/>
  <c r="K144" i="516" s="1"/>
  <c r="K145" i="516" a="1"/>
  <c r="K145" i="516" s="1"/>
  <c r="K143" i="517" a="1"/>
  <c r="K143" i="517" s="1"/>
  <c r="K144" i="517" a="1"/>
  <c r="K144" i="517" s="1"/>
  <c r="K145" i="517" a="1"/>
  <c r="K145" i="517" s="1"/>
  <c r="K143" i="518" a="1"/>
  <c r="K143" i="518" s="1"/>
  <c r="K144" i="518" a="1"/>
  <c r="K144" i="518" s="1"/>
  <c r="K145" i="518" a="1"/>
  <c r="K145" i="518" s="1"/>
  <c r="K143" i="519" a="1"/>
  <c r="K143" i="519" s="1"/>
  <c r="K144" i="519" a="1"/>
  <c r="K144" i="519" s="1"/>
  <c r="K145" i="519" a="1"/>
  <c r="K145" i="519" s="1"/>
  <c r="K143" i="520" a="1"/>
  <c r="K143" i="520" s="1"/>
  <c r="K144" i="520" a="1"/>
  <c r="K144" i="520" s="1"/>
  <c r="K145" i="520" a="1"/>
  <c r="K145" i="520" s="1"/>
  <c r="K143" i="521" a="1"/>
  <c r="K143" i="521" s="1"/>
  <c r="K144" i="521" a="1"/>
  <c r="K144" i="521" s="1"/>
  <c r="K145" i="521" a="1"/>
  <c r="K145" i="521" s="1"/>
  <c r="K143" i="522" a="1"/>
  <c r="K143" i="522" s="1"/>
  <c r="K144" i="522" a="1"/>
  <c r="K144" i="522" s="1"/>
  <c r="K145" i="522" a="1"/>
  <c r="K145" i="522" s="1"/>
  <c r="K143" i="523" a="1"/>
  <c r="K143" i="523" s="1"/>
  <c r="K144" i="523" a="1"/>
  <c r="K144" i="523" s="1"/>
  <c r="K145" i="523" a="1"/>
  <c r="K145" i="523" s="1"/>
  <c r="K143" i="524" a="1"/>
  <c r="K143" i="524" s="1"/>
  <c r="K144" i="524" a="1"/>
  <c r="K144" i="524" s="1"/>
  <c r="K145" i="524" a="1"/>
  <c r="K145" i="524" s="1"/>
  <c r="K143" i="525" a="1"/>
  <c r="K143" i="525" s="1"/>
  <c r="K144" i="525" a="1"/>
  <c r="K144" i="525" s="1"/>
  <c r="K145" i="525" a="1"/>
  <c r="K145" i="525" s="1"/>
  <c r="K143" i="526" a="1"/>
  <c r="K143" i="526" s="1"/>
  <c r="K144" i="526" a="1"/>
  <c r="K144" i="526" s="1"/>
  <c r="K145" i="526" a="1"/>
  <c r="K145" i="526" s="1"/>
  <c r="K143" i="527" a="1"/>
  <c r="K143" i="527" s="1"/>
  <c r="K144" i="527" a="1"/>
  <c r="K144" i="527" s="1"/>
  <c r="K145" i="527" a="1"/>
  <c r="K145" i="527" s="1"/>
  <c r="K143" i="434" a="1"/>
  <c r="K143" i="434" s="1"/>
  <c r="K144" i="434" a="1"/>
  <c r="K144" i="434" s="1"/>
  <c r="K145" i="434" a="1"/>
  <c r="K145" i="434" s="1"/>
  <c r="K144" i="508" a="1"/>
  <c r="K144" i="508" s="1"/>
  <c r="K145" i="508" a="1"/>
  <c r="K145" i="508" s="1"/>
  <c r="K145" i="505" a="1"/>
  <c r="K145" i="505" s="1"/>
  <c r="K144" i="489" a="1"/>
  <c r="K144" i="489" s="1"/>
  <c r="K145" i="489" a="1"/>
  <c r="K145" i="489" s="1"/>
  <c r="K143" i="528" a="1"/>
  <c r="K143" i="528" s="1"/>
  <c r="K144" i="528" a="1"/>
  <c r="K144" i="528" s="1"/>
  <c r="K145" i="528" a="1"/>
  <c r="K145" i="528" s="1"/>
  <c r="H145" i="516"/>
  <c r="H145" i="508" s="1"/>
  <c r="H145" i="517"/>
  <c r="H145" i="518"/>
  <c r="H145" i="519"/>
  <c r="H145" i="520"/>
  <c r="H145" i="521"/>
  <c r="H145" i="522"/>
  <c r="H145" i="523"/>
  <c r="H145" i="524"/>
  <c r="H145" i="525"/>
  <c r="H145" i="526"/>
  <c r="H145" i="527"/>
  <c r="H145" i="434"/>
  <c r="H145" i="489"/>
  <c r="H145" i="528"/>
  <c r="G136" i="528"/>
  <c r="G31" i="528"/>
  <c r="G135" i="528"/>
  <c r="G64" i="528"/>
  <c r="G114" i="528"/>
  <c r="G12" i="528"/>
  <c r="Z171" i="529" l="1"/>
  <c r="Z165" i="529" a="1"/>
  <c r="Z165" i="529" s="1"/>
  <c r="Z169" i="529"/>
  <c r="Z166" i="529"/>
  <c r="Z168" i="529"/>
  <c r="Z170" i="529"/>
  <c r="Z167" i="529"/>
  <c r="I513" i="529"/>
  <c r="M513" i="529" s="1" a="1"/>
  <c r="M513" i="529" s="1"/>
  <c r="W504" i="529"/>
  <c r="Z512" i="529"/>
  <c r="Z508" i="529"/>
  <c r="Z511" i="529"/>
  <c r="Z509" i="529"/>
  <c r="Z510" i="529"/>
  <c r="Q527" i="529"/>
  <c r="S523" i="529" s="1"/>
  <c r="K527" i="529"/>
  <c r="T171" i="529"/>
  <c r="T166" i="529"/>
  <c r="T167" i="529"/>
  <c r="T168" i="529"/>
  <c r="T169" i="529"/>
  <c r="T170" i="529"/>
  <c r="E341" i="529"/>
  <c r="L333" i="529"/>
  <c r="I340" i="529" s="1"/>
  <c r="K518" i="529"/>
  <c r="O518" i="529" s="1" a="1"/>
  <c r="O518" i="529" s="1"/>
  <c r="M172" i="529" a="1"/>
  <c r="M172" i="529" s="1"/>
  <c r="O516" i="529" a="1"/>
  <c r="O516" i="529" s="1"/>
  <c r="E512" i="529"/>
  <c r="I512" i="529" s="1"/>
  <c r="M512" i="529" s="1"/>
  <c r="L504" i="529"/>
  <c r="I511" i="529" s="1"/>
  <c r="Z340" i="529"/>
  <c r="Z339" i="529"/>
  <c r="Z338" i="529"/>
  <c r="Z336" i="529"/>
  <c r="Z341" i="529"/>
  <c r="Z335" i="529" a="1"/>
  <c r="Z335" i="529" s="1"/>
  <c r="T512" i="529"/>
  <c r="T507" i="529"/>
  <c r="T510" i="529"/>
  <c r="T508" i="529"/>
  <c r="T511" i="529"/>
  <c r="P533" i="528"/>
  <c r="O533" i="528"/>
  <c r="N533" i="528"/>
  <c r="M533" i="528"/>
  <c r="L533" i="528"/>
  <c r="K533" i="528"/>
  <c r="I533" i="528"/>
  <c r="H533" i="528"/>
  <c r="G533" i="528"/>
  <c r="F533" i="528"/>
  <c r="E533" i="528"/>
  <c r="D533" i="528"/>
  <c r="C532" i="528"/>
  <c r="J532" i="528" s="1"/>
  <c r="Q532" i="528" s="1"/>
  <c r="C531" i="528"/>
  <c r="J531" i="528" s="1"/>
  <c r="Q531" i="528" s="1"/>
  <c r="C530" i="528"/>
  <c r="J530" i="528" s="1"/>
  <c r="G514" i="528"/>
  <c r="N514" i="528" s="1"/>
  <c r="X512" i="528"/>
  <c r="X511" i="528"/>
  <c r="X510" i="528"/>
  <c r="G510" i="528"/>
  <c r="C510" i="528"/>
  <c r="X509" i="528"/>
  <c r="I509" i="528"/>
  <c r="E509" i="528"/>
  <c r="K509" i="528" s="1"/>
  <c r="M509" i="528" s="1"/>
  <c r="X508" i="528"/>
  <c r="I508" i="528"/>
  <c r="E508" i="528"/>
  <c r="K508" i="528" s="1"/>
  <c r="M508" i="528" s="1"/>
  <c r="I507" i="528"/>
  <c r="E507" i="528"/>
  <c r="K507" i="528" s="1"/>
  <c r="M507" i="528" s="1"/>
  <c r="I506" i="528"/>
  <c r="I510" i="528" s="1"/>
  <c r="E506" i="528"/>
  <c r="E510" i="528" s="1"/>
  <c r="AA503" i="528"/>
  <c r="Z503" i="528"/>
  <c r="Y503" i="528"/>
  <c r="X503" i="528"/>
  <c r="U503" i="528"/>
  <c r="T503" i="528"/>
  <c r="S503" i="528"/>
  <c r="R503" i="528"/>
  <c r="Q503" i="528"/>
  <c r="P503" i="528"/>
  <c r="O503" i="528"/>
  <c r="R511" i="528" s="1"/>
  <c r="I503" i="528"/>
  <c r="G503" i="528"/>
  <c r="J503" i="528" s="1" a="1"/>
  <c r="J503" i="528" s="1"/>
  <c r="H502" i="528"/>
  <c r="H501" i="528"/>
  <c r="H500" i="528"/>
  <c r="D499" i="528"/>
  <c r="H499" i="528" s="1"/>
  <c r="V498" i="528"/>
  <c r="W498" i="528" s="1"/>
  <c r="N498" i="528"/>
  <c r="K498" i="528" a="1"/>
  <c r="K498" i="528" s="1"/>
  <c r="M498" i="528" s="1"/>
  <c r="J498" i="528" a="1"/>
  <c r="J498" i="528" s="1"/>
  <c r="H498" i="528"/>
  <c r="H497" i="528"/>
  <c r="H496" i="528"/>
  <c r="V495" i="528"/>
  <c r="W495" i="528" s="1"/>
  <c r="N495" i="528"/>
  <c r="K495" i="528"/>
  <c r="M495" i="528" s="1"/>
  <c r="K495" i="528" a="1"/>
  <c r="J495" i="528"/>
  <c r="J495" i="528" a="1"/>
  <c r="H495" i="528"/>
  <c r="V494" i="528"/>
  <c r="W494" i="528" s="1"/>
  <c r="N494" i="528"/>
  <c r="K494" i="528" a="1"/>
  <c r="K494" i="528" s="1"/>
  <c r="M494" i="528" s="1"/>
  <c r="J494" i="528" a="1"/>
  <c r="J494" i="528" s="1"/>
  <c r="H494" i="528"/>
  <c r="H493" i="528"/>
  <c r="H492" i="528"/>
  <c r="V491" i="528"/>
  <c r="W491" i="528" s="1"/>
  <c r="N491" i="528"/>
  <c r="K491" i="528" a="1"/>
  <c r="K491" i="528" s="1"/>
  <c r="M491" i="528" s="1"/>
  <c r="J491" i="528" a="1"/>
  <c r="J491" i="528" s="1"/>
  <c r="H491" i="528"/>
  <c r="V490" i="528"/>
  <c r="W490" i="528" s="1"/>
  <c r="N490" i="528"/>
  <c r="K490" i="528" a="1"/>
  <c r="K490" i="528" s="1"/>
  <c r="M490" i="528" s="1"/>
  <c r="J490" i="528" a="1"/>
  <c r="J490" i="528" s="1"/>
  <c r="H490" i="528"/>
  <c r="V489" i="528"/>
  <c r="W489" i="528" s="1"/>
  <c r="N489" i="528"/>
  <c r="K489" i="528"/>
  <c r="M489" i="528" s="1"/>
  <c r="K489" i="528" a="1"/>
  <c r="J489" i="528"/>
  <c r="J489" i="528" a="1"/>
  <c r="H489" i="528"/>
  <c r="V488" i="528"/>
  <c r="V503" i="528" s="1"/>
  <c r="N488" i="528"/>
  <c r="N503" i="528" s="1"/>
  <c r="K488" i="528" a="1"/>
  <c r="K488" i="528" s="1"/>
  <c r="J488" i="528" a="1"/>
  <c r="J488" i="528" s="1"/>
  <c r="H488" i="528"/>
  <c r="H503" i="528" s="1"/>
  <c r="AA487" i="528"/>
  <c r="Z487" i="528"/>
  <c r="Y487" i="528"/>
  <c r="X487" i="528"/>
  <c r="U487" i="528"/>
  <c r="T487" i="528"/>
  <c r="S487" i="528"/>
  <c r="Q487" i="528"/>
  <c r="P487" i="528"/>
  <c r="O487" i="528"/>
  <c r="I487" i="528"/>
  <c r="G487" i="528"/>
  <c r="J487" i="528" s="1" a="1"/>
  <c r="J487" i="528" s="1"/>
  <c r="V486" i="528"/>
  <c r="W486" i="528" s="1"/>
  <c r="N486" i="528"/>
  <c r="K486" i="528" a="1"/>
  <c r="K486" i="528" s="1"/>
  <c r="M486" i="528" s="1"/>
  <c r="J486" i="528" a="1"/>
  <c r="J486" i="528" s="1"/>
  <c r="H486" i="528"/>
  <c r="H483" i="528"/>
  <c r="V482" i="528"/>
  <c r="W482" i="528" s="1"/>
  <c r="N482" i="528"/>
  <c r="K482" i="528" a="1"/>
  <c r="K482" i="528" s="1"/>
  <c r="M482" i="528" s="1"/>
  <c r="J482" i="528" a="1"/>
  <c r="J482" i="528" s="1"/>
  <c r="H482" i="528"/>
  <c r="V481" i="528"/>
  <c r="W481" i="528" s="1"/>
  <c r="N481" i="528"/>
  <c r="K481" i="528" a="1"/>
  <c r="K481" i="528" s="1"/>
  <c r="M481" i="528" s="1"/>
  <c r="J481" i="528" a="1"/>
  <c r="J481" i="528" s="1"/>
  <c r="H481" i="528"/>
  <c r="V480" i="528"/>
  <c r="W480" i="528" s="1"/>
  <c r="N480" i="528"/>
  <c r="K480" i="528" a="1"/>
  <c r="K480" i="528" s="1"/>
  <c r="M480" i="528" s="1"/>
  <c r="J480" i="528" a="1"/>
  <c r="J480" i="528" s="1"/>
  <c r="H480" i="528"/>
  <c r="V479" i="528"/>
  <c r="W479" i="528" s="1"/>
  <c r="N479" i="528"/>
  <c r="K479" i="528" a="1"/>
  <c r="K479" i="528" s="1"/>
  <c r="M479" i="528" s="1"/>
  <c r="J479" i="528" a="1"/>
  <c r="J479" i="528" s="1"/>
  <c r="H479" i="528"/>
  <c r="V478" i="528"/>
  <c r="V487" i="528" s="1"/>
  <c r="W487" i="528" s="1"/>
  <c r="N478" i="528"/>
  <c r="N487" i="528" s="1"/>
  <c r="K478" i="528"/>
  <c r="M478" i="528" s="1"/>
  <c r="K478" i="528" a="1"/>
  <c r="J478" i="528"/>
  <c r="J478" i="528" a="1"/>
  <c r="H478" i="528"/>
  <c r="H487" i="528" s="1"/>
  <c r="AA477" i="528"/>
  <c r="Z477" i="528"/>
  <c r="Y477" i="528"/>
  <c r="X477" i="528"/>
  <c r="U477" i="528"/>
  <c r="T477" i="528"/>
  <c r="S477" i="528"/>
  <c r="Q477" i="528"/>
  <c r="P477" i="528"/>
  <c r="O477" i="528"/>
  <c r="R509" i="528" s="1"/>
  <c r="I477" i="528"/>
  <c r="G477" i="528"/>
  <c r="J477" i="528" s="1" a="1"/>
  <c r="J477" i="528" s="1"/>
  <c r="V476" i="528"/>
  <c r="W476" i="528" s="1"/>
  <c r="N476" i="528"/>
  <c r="K476" i="528" a="1"/>
  <c r="K476" i="528" s="1"/>
  <c r="M476" i="528" s="1"/>
  <c r="J476" i="528" a="1"/>
  <c r="J476" i="528" s="1"/>
  <c r="H476" i="528"/>
  <c r="V475" i="528"/>
  <c r="W475" i="528" s="1"/>
  <c r="N475" i="528"/>
  <c r="K475" i="528"/>
  <c r="M475" i="528" s="1"/>
  <c r="K475" i="528" a="1"/>
  <c r="J475" i="528"/>
  <c r="J475" i="528" a="1"/>
  <c r="H475" i="528"/>
  <c r="V474" i="528"/>
  <c r="W474" i="528" s="1"/>
  <c r="N474" i="528"/>
  <c r="K474" i="528" a="1"/>
  <c r="K474" i="528" s="1"/>
  <c r="M474" i="528" s="1"/>
  <c r="J474" i="528" a="1"/>
  <c r="J474" i="528" s="1"/>
  <c r="H474" i="528"/>
  <c r="V473" i="528"/>
  <c r="W473" i="528" s="1"/>
  <c r="N473" i="528"/>
  <c r="K473" i="528" a="1"/>
  <c r="K473" i="528" s="1"/>
  <c r="M473" i="528" s="1"/>
  <c r="J473" i="528" a="1"/>
  <c r="J473" i="528" s="1"/>
  <c r="H473" i="528"/>
  <c r="V472" i="528"/>
  <c r="W472" i="528" s="1"/>
  <c r="N472" i="528"/>
  <c r="K472" i="528" a="1"/>
  <c r="K472" i="528" s="1"/>
  <c r="M472" i="528" s="1"/>
  <c r="J472" i="528" a="1"/>
  <c r="J472" i="528" s="1"/>
  <c r="H472" i="528"/>
  <c r="V471" i="528"/>
  <c r="W471" i="528" s="1"/>
  <c r="N471" i="528"/>
  <c r="K471" i="528"/>
  <c r="M471" i="528" s="1"/>
  <c r="K471" i="528" a="1"/>
  <c r="J471" i="528"/>
  <c r="J471" i="528" a="1"/>
  <c r="H471" i="528"/>
  <c r="V470" i="528"/>
  <c r="W470" i="528" s="1"/>
  <c r="N470" i="528"/>
  <c r="K470" i="528" a="1"/>
  <c r="K470" i="528" s="1"/>
  <c r="M470" i="528" s="1"/>
  <c r="J470" i="528" a="1"/>
  <c r="J470" i="528" s="1"/>
  <c r="H470" i="528"/>
  <c r="V469" i="528"/>
  <c r="W469" i="528" s="1"/>
  <c r="N469" i="528"/>
  <c r="K469" i="528"/>
  <c r="M469" i="528" s="1"/>
  <c r="K469" i="528" a="1"/>
  <c r="J469" i="528"/>
  <c r="J469" i="528" a="1"/>
  <c r="H469" i="528"/>
  <c r="V468" i="528"/>
  <c r="W468" i="528" s="1"/>
  <c r="N468" i="528"/>
  <c r="K468" i="528" a="1"/>
  <c r="K468" i="528" s="1"/>
  <c r="M468" i="528" s="1"/>
  <c r="J468" i="528" a="1"/>
  <c r="J468" i="528" s="1"/>
  <c r="H468" i="528"/>
  <c r="W467" i="528"/>
  <c r="V467" i="528"/>
  <c r="N467" i="528"/>
  <c r="K467" i="528" a="1"/>
  <c r="K467" i="528" s="1"/>
  <c r="M467" i="528" s="1"/>
  <c r="J467" i="528" a="1"/>
  <c r="J467" i="528" s="1"/>
  <c r="H467" i="528"/>
  <c r="V466" i="528"/>
  <c r="W466" i="528" s="1"/>
  <c r="N466" i="528"/>
  <c r="K466" i="528" a="1"/>
  <c r="K466" i="528" s="1"/>
  <c r="M466" i="528" s="1"/>
  <c r="J466" i="528" a="1"/>
  <c r="J466" i="528" s="1"/>
  <c r="H466" i="528"/>
  <c r="V465" i="528"/>
  <c r="W465" i="528" s="1"/>
  <c r="N465" i="528"/>
  <c r="K465" i="528" a="1"/>
  <c r="K465" i="528" s="1"/>
  <c r="M465" i="528" s="1"/>
  <c r="J465" i="528" a="1"/>
  <c r="J465" i="528" s="1"/>
  <c r="H465" i="528"/>
  <c r="V464" i="528"/>
  <c r="W464" i="528" s="1"/>
  <c r="N464" i="528"/>
  <c r="K464" i="528" a="1"/>
  <c r="K464" i="528" s="1"/>
  <c r="M464" i="528" s="1"/>
  <c r="J464" i="528" a="1"/>
  <c r="J464" i="528" s="1"/>
  <c r="H464" i="528"/>
  <c r="V463" i="528"/>
  <c r="W463" i="528" s="1"/>
  <c r="N463" i="528"/>
  <c r="K463" i="528"/>
  <c r="M463" i="528" s="1"/>
  <c r="K463" i="528" a="1"/>
  <c r="J463" i="528"/>
  <c r="J463" i="528" a="1"/>
  <c r="H463" i="528"/>
  <c r="V462" i="528"/>
  <c r="N462" i="528"/>
  <c r="K462" i="528" a="1"/>
  <c r="K462" i="528" s="1"/>
  <c r="J462" i="528" a="1"/>
  <c r="J462" i="528" s="1"/>
  <c r="H462" i="528"/>
  <c r="AA461" i="528"/>
  <c r="Z461" i="528"/>
  <c r="Y461" i="528"/>
  <c r="X461" i="528"/>
  <c r="U461" i="528"/>
  <c r="T461" i="528"/>
  <c r="S461" i="528"/>
  <c r="R461" i="528"/>
  <c r="Q461" i="528"/>
  <c r="P461" i="528"/>
  <c r="O461" i="528"/>
  <c r="R508" i="528" s="1"/>
  <c r="I461" i="528"/>
  <c r="G461" i="528"/>
  <c r="V460" i="528"/>
  <c r="W460" i="528" s="1"/>
  <c r="N460" i="528"/>
  <c r="K460" i="528" a="1"/>
  <c r="K460" i="528" s="1"/>
  <c r="M460" i="528" s="1"/>
  <c r="J460" i="528" a="1"/>
  <c r="J460" i="528" s="1"/>
  <c r="H460" i="528"/>
  <c r="V459" i="528"/>
  <c r="W459" i="528" s="1"/>
  <c r="N459" i="528"/>
  <c r="K459" i="528" a="1"/>
  <c r="K459" i="528" s="1"/>
  <c r="M459" i="528" s="1"/>
  <c r="J459" i="528" a="1"/>
  <c r="J459" i="528" s="1"/>
  <c r="H459" i="528"/>
  <c r="V458" i="528"/>
  <c r="W458" i="528" s="1"/>
  <c r="N458" i="528"/>
  <c r="K458" i="528" a="1"/>
  <c r="K458" i="528" s="1"/>
  <c r="M458" i="528" s="1"/>
  <c r="J458" i="528" a="1"/>
  <c r="J458" i="528" s="1"/>
  <c r="H458" i="528"/>
  <c r="K457" i="528" a="1"/>
  <c r="K457" i="528" s="1"/>
  <c r="M457" i="528" s="1"/>
  <c r="H457" i="528"/>
  <c r="K456" i="528" a="1"/>
  <c r="K456" i="528" s="1"/>
  <c r="M456" i="528" s="1"/>
  <c r="H456" i="528"/>
  <c r="K455" i="528" a="1"/>
  <c r="K455" i="528" s="1"/>
  <c r="M455" i="528" s="1"/>
  <c r="H455" i="528"/>
  <c r="W454" i="528"/>
  <c r="V454" i="528"/>
  <c r="N454" i="528"/>
  <c r="K454" i="528" a="1"/>
  <c r="K454" i="528" s="1"/>
  <c r="M454" i="528" s="1"/>
  <c r="J454" i="528" a="1"/>
  <c r="J454" i="528" s="1"/>
  <c r="H454" i="528"/>
  <c r="V453" i="528"/>
  <c r="W453" i="528" s="1"/>
  <c r="N453" i="528"/>
  <c r="K453" i="528" a="1"/>
  <c r="K453" i="528" s="1"/>
  <c r="M453" i="528" s="1"/>
  <c r="J453" i="528" a="1"/>
  <c r="J453" i="528" s="1"/>
  <c r="H453" i="528"/>
  <c r="N452" i="528"/>
  <c r="K452" i="528"/>
  <c r="M452" i="528" s="1"/>
  <c r="K452" i="528" a="1"/>
  <c r="H452" i="528"/>
  <c r="N451" i="528"/>
  <c r="K451" i="528" a="1"/>
  <c r="K451" i="528" s="1"/>
  <c r="M451" i="528" s="1"/>
  <c r="H451" i="528"/>
  <c r="N450" i="528"/>
  <c r="K450" i="528" a="1"/>
  <c r="K450" i="528" s="1"/>
  <c r="M450" i="528" s="1"/>
  <c r="H450" i="528"/>
  <c r="N449" i="528"/>
  <c r="K449" i="528" a="1"/>
  <c r="K449" i="528" s="1"/>
  <c r="M449" i="528" s="1"/>
  <c r="H449" i="528"/>
  <c r="N448" i="528"/>
  <c r="K448" i="528"/>
  <c r="M448" i="528" s="1"/>
  <c r="K448" i="528" a="1"/>
  <c r="H448" i="528"/>
  <c r="N447" i="528"/>
  <c r="K447" i="528" a="1"/>
  <c r="K447" i="528" s="1"/>
  <c r="M447" i="528" s="1"/>
  <c r="H447" i="528"/>
  <c r="V446" i="528"/>
  <c r="W446" i="528" s="1"/>
  <c r="N446" i="528"/>
  <c r="K446" i="528"/>
  <c r="M446" i="528" s="1"/>
  <c r="K446" i="528" a="1"/>
  <c r="J446" i="528"/>
  <c r="J446" i="528" a="1"/>
  <c r="H446" i="528"/>
  <c r="V445" i="528"/>
  <c r="W445" i="528" s="1"/>
  <c r="N445" i="528"/>
  <c r="K445" i="528" a="1"/>
  <c r="K445" i="528" s="1"/>
  <c r="M445" i="528" s="1"/>
  <c r="J445" i="528" a="1"/>
  <c r="J445" i="528" s="1"/>
  <c r="H445" i="528"/>
  <c r="V444" i="528"/>
  <c r="W444" i="528" s="1"/>
  <c r="N444" i="528"/>
  <c r="K444" i="528"/>
  <c r="M444" i="528" s="1"/>
  <c r="K444" i="528" a="1"/>
  <c r="J444" i="528"/>
  <c r="J444" i="528" a="1"/>
  <c r="H444" i="528"/>
  <c r="V443" i="528"/>
  <c r="W443" i="528" s="1"/>
  <c r="N443" i="528"/>
  <c r="K443" i="528" a="1"/>
  <c r="K443" i="528" s="1"/>
  <c r="M443" i="528" s="1"/>
  <c r="J443" i="528" a="1"/>
  <c r="J443" i="528" s="1"/>
  <c r="H443" i="528"/>
  <c r="V442" i="528"/>
  <c r="W442" i="528" s="1"/>
  <c r="N442" i="528"/>
  <c r="K442" i="528" a="1"/>
  <c r="K442" i="528" s="1"/>
  <c r="M442" i="528" s="1"/>
  <c r="J442" i="528" a="1"/>
  <c r="J442" i="528" s="1"/>
  <c r="H442" i="528"/>
  <c r="V441" i="528"/>
  <c r="W441" i="528" s="1"/>
  <c r="N441" i="528"/>
  <c r="K441" i="528" a="1"/>
  <c r="K441" i="528" s="1"/>
  <c r="M441" i="528" s="1"/>
  <c r="J441" i="528" a="1"/>
  <c r="J441" i="528" s="1"/>
  <c r="H441" i="528"/>
  <c r="V440" i="528"/>
  <c r="W440" i="528" s="1"/>
  <c r="N440" i="528"/>
  <c r="K440" i="528" a="1"/>
  <c r="K440" i="528" s="1"/>
  <c r="M440" i="528" s="1"/>
  <c r="J440" i="528" a="1"/>
  <c r="J440" i="528" s="1"/>
  <c r="H440" i="528"/>
  <c r="V439" i="528"/>
  <c r="W439" i="528" s="1"/>
  <c r="N439" i="528"/>
  <c r="K439" i="528" a="1"/>
  <c r="K439" i="528" s="1"/>
  <c r="M439" i="528" s="1"/>
  <c r="J439" i="528" a="1"/>
  <c r="J439" i="528" s="1"/>
  <c r="H439" i="528"/>
  <c r="V438" i="528"/>
  <c r="W438" i="528" s="1"/>
  <c r="N438" i="528"/>
  <c r="K438" i="528"/>
  <c r="M438" i="528" s="1"/>
  <c r="K438" i="528" a="1"/>
  <c r="J438" i="528"/>
  <c r="J438" i="528" a="1"/>
  <c r="H438" i="528"/>
  <c r="V437" i="528"/>
  <c r="W437" i="528" s="1"/>
  <c r="N437" i="528"/>
  <c r="K437" i="528" a="1"/>
  <c r="K437" i="528" s="1"/>
  <c r="M437" i="528" s="1"/>
  <c r="J437" i="528" a="1"/>
  <c r="J437" i="528" s="1"/>
  <c r="H437" i="528"/>
  <c r="W436" i="528"/>
  <c r="V436" i="528"/>
  <c r="N436" i="528"/>
  <c r="K436" i="528" a="1"/>
  <c r="K436" i="528" s="1"/>
  <c r="M436" i="528" s="1"/>
  <c r="J436" i="528" a="1"/>
  <c r="J436" i="528" s="1"/>
  <c r="H436" i="528"/>
  <c r="V435" i="528"/>
  <c r="W435" i="528" s="1"/>
  <c r="N435" i="528"/>
  <c r="K435" i="528" a="1"/>
  <c r="K435" i="528" s="1"/>
  <c r="M435" i="528" s="1"/>
  <c r="J435" i="528" a="1"/>
  <c r="J435" i="528" s="1"/>
  <c r="H435" i="528"/>
  <c r="N434" i="528"/>
  <c r="K434" i="528"/>
  <c r="M434" i="528" s="1"/>
  <c r="K434" i="528" a="1"/>
  <c r="H434" i="528"/>
  <c r="V433" i="528"/>
  <c r="W433" i="528" s="1"/>
  <c r="N433" i="528"/>
  <c r="K433" i="528" a="1"/>
  <c r="K433" i="528" s="1"/>
  <c r="M433" i="528" s="1"/>
  <c r="J433" i="528" a="1"/>
  <c r="J433" i="528" s="1"/>
  <c r="H433" i="528"/>
  <c r="V432" i="528"/>
  <c r="W432" i="528" s="1"/>
  <c r="N432" i="528"/>
  <c r="K432" i="528"/>
  <c r="M432" i="528" s="1"/>
  <c r="K432" i="528" a="1"/>
  <c r="J432" i="528"/>
  <c r="J432" i="528" a="1"/>
  <c r="H432" i="528"/>
  <c r="V431" i="528"/>
  <c r="W431" i="528" s="1"/>
  <c r="N431" i="528"/>
  <c r="K431" i="528" a="1"/>
  <c r="K431" i="528" s="1"/>
  <c r="M431" i="528" s="1"/>
  <c r="J431" i="528" a="1"/>
  <c r="J431" i="528" s="1"/>
  <c r="H431" i="528"/>
  <c r="V430" i="528"/>
  <c r="W430" i="528" s="1"/>
  <c r="N430" i="528"/>
  <c r="K430" i="528"/>
  <c r="M430" i="528" s="1"/>
  <c r="K430" i="528" a="1"/>
  <c r="J430" i="528"/>
  <c r="J430" i="528" a="1"/>
  <c r="H430" i="528"/>
  <c r="V429" i="528"/>
  <c r="W429" i="528" s="1"/>
  <c r="N429" i="528"/>
  <c r="K429" i="528" a="1"/>
  <c r="K429" i="528" s="1"/>
  <c r="M429" i="528" s="1"/>
  <c r="J429" i="528" a="1"/>
  <c r="J429" i="528" s="1"/>
  <c r="H429" i="528"/>
  <c r="V428" i="528"/>
  <c r="W428" i="528" s="1"/>
  <c r="N428" i="528"/>
  <c r="K428" i="528" a="1"/>
  <c r="K428" i="528" s="1"/>
  <c r="M428" i="528" s="1"/>
  <c r="J428" i="528" a="1"/>
  <c r="J428" i="528" s="1"/>
  <c r="H428" i="528"/>
  <c r="V427" i="528"/>
  <c r="N427" i="528"/>
  <c r="K427" i="528" a="1"/>
  <c r="K427" i="528" s="1"/>
  <c r="J427" i="528" a="1"/>
  <c r="J427" i="528" s="1"/>
  <c r="H427" i="528"/>
  <c r="AA426" i="528"/>
  <c r="Z426" i="528"/>
  <c r="Y426" i="528"/>
  <c r="X426" i="528"/>
  <c r="U426" i="528"/>
  <c r="T426" i="528"/>
  <c r="S426" i="528"/>
  <c r="R426" i="528"/>
  <c r="Q426" i="528"/>
  <c r="P426" i="528"/>
  <c r="O426" i="528"/>
  <c r="R507" i="528" s="1"/>
  <c r="I426" i="528"/>
  <c r="G426" i="528"/>
  <c r="J426" i="528" s="1" a="1"/>
  <c r="J426" i="528" s="1"/>
  <c r="K425" i="528" a="1"/>
  <c r="K425" i="528" s="1"/>
  <c r="M425" i="528" s="1"/>
  <c r="H425" i="528"/>
  <c r="K424" i="528"/>
  <c r="M424" i="528" s="1"/>
  <c r="K424" i="528" a="1"/>
  <c r="H424" i="528"/>
  <c r="K423" i="528" a="1"/>
  <c r="K423" i="528" s="1"/>
  <c r="M423" i="528" s="1"/>
  <c r="H423" i="528"/>
  <c r="K422" i="528"/>
  <c r="M422" i="528" s="1"/>
  <c r="K422" i="528" a="1"/>
  <c r="H422" i="528"/>
  <c r="K421" i="528" a="1"/>
  <c r="K421" i="528" s="1"/>
  <c r="M421" i="528" s="1"/>
  <c r="H421" i="528"/>
  <c r="K420" i="528"/>
  <c r="M420" i="528" s="1"/>
  <c r="K420" i="528" a="1"/>
  <c r="H420" i="528"/>
  <c r="K419" i="528" a="1"/>
  <c r="K419" i="528" s="1"/>
  <c r="M419" i="528" s="1"/>
  <c r="H419" i="528"/>
  <c r="K418" i="528"/>
  <c r="M418" i="528" s="1"/>
  <c r="K418" i="528" a="1"/>
  <c r="H418" i="528"/>
  <c r="K417" i="528" a="1"/>
  <c r="K417" i="528" s="1"/>
  <c r="M417" i="528" s="1"/>
  <c r="H417" i="528"/>
  <c r="K416" i="528"/>
  <c r="M416" i="528" s="1"/>
  <c r="K416" i="528" a="1"/>
  <c r="H416" i="528"/>
  <c r="V415" i="528"/>
  <c r="W415" i="528" s="1"/>
  <c r="N415" i="528"/>
  <c r="K415" i="528" a="1"/>
  <c r="K415" i="528" s="1"/>
  <c r="M415" i="528" s="1"/>
  <c r="J415" i="528" a="1"/>
  <c r="J415" i="528" s="1"/>
  <c r="H415" i="528"/>
  <c r="V414" i="528"/>
  <c r="W414" i="528" s="1"/>
  <c r="N414" i="528"/>
  <c r="K414" i="528" a="1"/>
  <c r="K414" i="528" s="1"/>
  <c r="M414" i="528" s="1"/>
  <c r="J414" i="528" a="1"/>
  <c r="J414" i="528" s="1"/>
  <c r="H414" i="528"/>
  <c r="V413" i="528"/>
  <c r="W413" i="528" s="1"/>
  <c r="N413" i="528"/>
  <c r="K413" i="528" a="1"/>
  <c r="K413" i="528" s="1"/>
  <c r="M413" i="528" s="1"/>
  <c r="J413" i="528" a="1"/>
  <c r="J413" i="528" s="1"/>
  <c r="H413" i="528"/>
  <c r="V412" i="528"/>
  <c r="W412" i="528" s="1"/>
  <c r="N412" i="528"/>
  <c r="K412" i="528"/>
  <c r="M412" i="528" s="1"/>
  <c r="K412" i="528" a="1"/>
  <c r="J412" i="528"/>
  <c r="J412" i="528" a="1"/>
  <c r="H412" i="528"/>
  <c r="H411" i="528"/>
  <c r="V410" i="528"/>
  <c r="W410" i="528" s="1"/>
  <c r="N410" i="528"/>
  <c r="K410" i="528"/>
  <c r="M410" i="528" s="1"/>
  <c r="K410" i="528" a="1"/>
  <c r="J410" i="528"/>
  <c r="J410" i="528" a="1"/>
  <c r="H410" i="528"/>
  <c r="V409" i="528"/>
  <c r="W409" i="528" s="1"/>
  <c r="N409" i="528"/>
  <c r="K409" i="528" a="1"/>
  <c r="K409" i="528" s="1"/>
  <c r="M409" i="528" s="1"/>
  <c r="J409" i="528" a="1"/>
  <c r="J409" i="528" s="1"/>
  <c r="H409" i="528"/>
  <c r="H408" i="528"/>
  <c r="K407" i="528" a="1"/>
  <c r="K407" i="528" s="1"/>
  <c r="H407" i="528"/>
  <c r="V406" i="528"/>
  <c r="W406" i="528" s="1"/>
  <c r="N406" i="528"/>
  <c r="K406" i="528" a="1"/>
  <c r="K406" i="528" s="1"/>
  <c r="M406" i="528" s="1"/>
  <c r="J406" i="528" a="1"/>
  <c r="J406" i="528" s="1"/>
  <c r="H406" i="528"/>
  <c r="V405" i="528"/>
  <c r="W405" i="528" s="1"/>
  <c r="N405" i="528"/>
  <c r="K405" i="528" a="1"/>
  <c r="K405" i="528" s="1"/>
  <c r="M405" i="528" s="1"/>
  <c r="J405" i="528" a="1"/>
  <c r="J405" i="528" s="1"/>
  <c r="H405" i="528"/>
  <c r="V404" i="528"/>
  <c r="W404" i="528" s="1"/>
  <c r="N404" i="528"/>
  <c r="K404" i="528" a="1"/>
  <c r="K404" i="528" s="1"/>
  <c r="M404" i="528" s="1"/>
  <c r="J404" i="528" a="1"/>
  <c r="J404" i="528" s="1"/>
  <c r="H404" i="528"/>
  <c r="V403" i="528"/>
  <c r="W403" i="528" s="1"/>
  <c r="N403" i="528"/>
  <c r="K403" i="528" a="1"/>
  <c r="K403" i="528" s="1"/>
  <c r="M403" i="528" s="1"/>
  <c r="J403" i="528" a="1"/>
  <c r="J403" i="528" s="1"/>
  <c r="H403" i="528"/>
  <c r="V402" i="528"/>
  <c r="W402" i="528" s="1"/>
  <c r="N402" i="528"/>
  <c r="K402" i="528" a="1"/>
  <c r="K402" i="528" s="1"/>
  <c r="M402" i="528" s="1"/>
  <c r="J402" i="528" a="1"/>
  <c r="J402" i="528" s="1"/>
  <c r="H402" i="528"/>
  <c r="V401" i="528"/>
  <c r="W401" i="528" s="1"/>
  <c r="N401" i="528"/>
  <c r="K401" i="528" a="1"/>
  <c r="K401" i="528" s="1"/>
  <c r="M401" i="528" s="1"/>
  <c r="J401" i="528" a="1"/>
  <c r="J401" i="528" s="1"/>
  <c r="H401" i="528"/>
  <c r="V400" i="528"/>
  <c r="W400" i="528" s="1"/>
  <c r="N400" i="528"/>
  <c r="K400" i="528" a="1"/>
  <c r="K400" i="528" s="1"/>
  <c r="M400" i="528" s="1"/>
  <c r="J400" i="528" a="1"/>
  <c r="J400" i="528" s="1"/>
  <c r="H400" i="528"/>
  <c r="V399" i="528"/>
  <c r="W399" i="528" s="1"/>
  <c r="N399" i="528"/>
  <c r="K399" i="528" a="1"/>
  <c r="K399" i="528" s="1"/>
  <c r="M399" i="528" s="1"/>
  <c r="J399" i="528" a="1"/>
  <c r="J399" i="528" s="1"/>
  <c r="H399" i="528"/>
  <c r="V398" i="528"/>
  <c r="W398" i="528" s="1"/>
  <c r="N398" i="528"/>
  <c r="K398" i="528" a="1"/>
  <c r="K398" i="528" s="1"/>
  <c r="M398" i="528" s="1"/>
  <c r="J398" i="528" a="1"/>
  <c r="J398" i="528" s="1"/>
  <c r="H398" i="528"/>
  <c r="V397" i="528"/>
  <c r="W397" i="528" s="1"/>
  <c r="N397" i="528"/>
  <c r="K397" i="528" a="1"/>
  <c r="K397" i="528" s="1"/>
  <c r="M397" i="528" s="1"/>
  <c r="J397" i="528" a="1"/>
  <c r="J397" i="528" s="1"/>
  <c r="H397" i="528"/>
  <c r="K396" i="528" a="1"/>
  <c r="K396" i="528" s="1"/>
  <c r="M396" i="528" s="1"/>
  <c r="H396" i="528"/>
  <c r="K395" i="528" a="1"/>
  <c r="K395" i="528" s="1"/>
  <c r="M395" i="528" s="1"/>
  <c r="H395" i="528"/>
  <c r="K394" i="528" a="1"/>
  <c r="K394" i="528" s="1"/>
  <c r="M394" i="528" s="1"/>
  <c r="H394" i="528"/>
  <c r="K393" i="528" a="1"/>
  <c r="K393" i="528" s="1"/>
  <c r="M393" i="528" s="1"/>
  <c r="H393" i="528"/>
  <c r="N392" i="528"/>
  <c r="K392" i="528"/>
  <c r="M392" i="528" s="1"/>
  <c r="K392" i="528" a="1"/>
  <c r="H392" i="528"/>
  <c r="N391" i="528"/>
  <c r="K391" i="528" a="1"/>
  <c r="K391" i="528" s="1"/>
  <c r="M391" i="528" s="1"/>
  <c r="H391" i="528"/>
  <c r="N390" i="528"/>
  <c r="K390" i="528" a="1"/>
  <c r="K390" i="528" s="1"/>
  <c r="M390" i="528" s="1"/>
  <c r="H390" i="528"/>
  <c r="N389" i="528"/>
  <c r="K389" i="528" a="1"/>
  <c r="K389" i="528" s="1"/>
  <c r="M389" i="528" s="1"/>
  <c r="H389" i="528"/>
  <c r="V388" i="528"/>
  <c r="W388" i="528" s="1"/>
  <c r="N388" i="528"/>
  <c r="K388" i="528" a="1"/>
  <c r="K388" i="528" s="1"/>
  <c r="M388" i="528" s="1"/>
  <c r="J388" i="528" a="1"/>
  <c r="J388" i="528" s="1"/>
  <c r="H388" i="528"/>
  <c r="V387" i="528"/>
  <c r="W387" i="528" s="1"/>
  <c r="N387" i="528"/>
  <c r="K387" i="528" a="1"/>
  <c r="K387" i="528" s="1"/>
  <c r="M387" i="528" s="1"/>
  <c r="J387" i="528" a="1"/>
  <c r="J387" i="528" s="1"/>
  <c r="H387" i="528"/>
  <c r="V386" i="528"/>
  <c r="W386" i="528" s="1"/>
  <c r="N386" i="528"/>
  <c r="K386" i="528" a="1"/>
  <c r="K386" i="528" s="1"/>
  <c r="M386" i="528" s="1"/>
  <c r="J386" i="528" a="1"/>
  <c r="J386" i="528" s="1"/>
  <c r="H386" i="528"/>
  <c r="V385" i="528"/>
  <c r="W385" i="528" s="1"/>
  <c r="N385" i="528"/>
  <c r="K385" i="528" a="1"/>
  <c r="K385" i="528" s="1"/>
  <c r="M385" i="528" s="1"/>
  <c r="J385" i="528" a="1"/>
  <c r="J385" i="528" s="1"/>
  <c r="H385" i="528"/>
  <c r="V384" i="528"/>
  <c r="W384" i="528" s="1"/>
  <c r="N384" i="528"/>
  <c r="K384" i="528" a="1"/>
  <c r="K384" i="528" s="1"/>
  <c r="M384" i="528" s="1"/>
  <c r="J384" i="528" a="1"/>
  <c r="J384" i="528" s="1"/>
  <c r="H384" i="528"/>
  <c r="V383" i="528"/>
  <c r="W383" i="528" s="1"/>
  <c r="N383" i="528"/>
  <c r="K383" i="528" a="1"/>
  <c r="K383" i="528" s="1"/>
  <c r="M383" i="528" s="1"/>
  <c r="J383" i="528" a="1"/>
  <c r="J383" i="528" s="1"/>
  <c r="H383" i="528"/>
  <c r="V382" i="528"/>
  <c r="W382" i="528" s="1"/>
  <c r="N382" i="528"/>
  <c r="K382" i="528" a="1"/>
  <c r="K382" i="528" s="1"/>
  <c r="M382" i="528" s="1"/>
  <c r="J382" i="528" a="1"/>
  <c r="J382" i="528" s="1"/>
  <c r="H382" i="528"/>
  <c r="V381" i="528"/>
  <c r="W381" i="528" s="1"/>
  <c r="N381" i="528"/>
  <c r="K381" i="528" a="1"/>
  <c r="K381" i="528" s="1"/>
  <c r="M381" i="528" s="1"/>
  <c r="J381" i="528" a="1"/>
  <c r="J381" i="528" s="1"/>
  <c r="H381" i="528"/>
  <c r="V380" i="528"/>
  <c r="W380" i="528" s="1"/>
  <c r="N380" i="528"/>
  <c r="K380" i="528" a="1"/>
  <c r="K380" i="528" s="1"/>
  <c r="M380" i="528" s="1"/>
  <c r="J380" i="528" a="1"/>
  <c r="J380" i="528" s="1"/>
  <c r="H380" i="528"/>
  <c r="V379" i="528"/>
  <c r="W379" i="528" s="1"/>
  <c r="N379" i="528"/>
  <c r="K379" i="528" a="1"/>
  <c r="K379" i="528" s="1"/>
  <c r="M379" i="528" s="1"/>
  <c r="J379" i="528" a="1"/>
  <c r="J379" i="528" s="1"/>
  <c r="H379" i="528"/>
  <c r="V378" i="528"/>
  <c r="W378" i="528" s="1"/>
  <c r="N378" i="528"/>
  <c r="K378" i="528" a="1"/>
  <c r="K378" i="528" s="1"/>
  <c r="M378" i="528" s="1"/>
  <c r="J378" i="528" a="1"/>
  <c r="J378" i="528" s="1"/>
  <c r="H378" i="528"/>
  <c r="V377" i="528"/>
  <c r="W377" i="528" s="1"/>
  <c r="N377" i="528"/>
  <c r="K377" i="528" a="1"/>
  <c r="K377" i="528" s="1"/>
  <c r="M377" i="528" s="1"/>
  <c r="J377" i="528" a="1"/>
  <c r="J377" i="528" s="1"/>
  <c r="H377" i="528"/>
  <c r="K376" i="528" a="1"/>
  <c r="K376" i="528" s="1"/>
  <c r="M376" i="528" s="1"/>
  <c r="H376" i="528"/>
  <c r="K375" i="528" a="1"/>
  <c r="K375" i="528" s="1"/>
  <c r="M375" i="528" s="1"/>
  <c r="H375" i="528"/>
  <c r="K374" i="528" a="1"/>
  <c r="K374" i="528" s="1"/>
  <c r="M374" i="528" s="1"/>
  <c r="H374" i="528"/>
  <c r="V373" i="528"/>
  <c r="W373" i="528" s="1"/>
  <c r="N373" i="528"/>
  <c r="K373" i="528"/>
  <c r="M373" i="528" s="1"/>
  <c r="K373" i="528" a="1"/>
  <c r="J373" i="528"/>
  <c r="J373" i="528" a="1"/>
  <c r="H373" i="528"/>
  <c r="V372" i="528"/>
  <c r="W372" i="528" s="1"/>
  <c r="N372" i="528"/>
  <c r="K372" i="528" a="1"/>
  <c r="K372" i="528" s="1"/>
  <c r="M372" i="528" s="1"/>
  <c r="J372" i="528" a="1"/>
  <c r="J372" i="528" s="1"/>
  <c r="H372" i="528"/>
  <c r="V371" i="528"/>
  <c r="W371" i="528" s="1"/>
  <c r="N371" i="528"/>
  <c r="K371" i="528"/>
  <c r="M371" i="528" s="1"/>
  <c r="K371" i="528" a="1"/>
  <c r="J371" i="528"/>
  <c r="J371" i="528" a="1"/>
  <c r="H371" i="528"/>
  <c r="K370" i="528" a="1"/>
  <c r="K370" i="528" s="1"/>
  <c r="H370" i="528"/>
  <c r="V369" i="528"/>
  <c r="N369" i="528"/>
  <c r="N426" i="528" s="1"/>
  <c r="K369" i="528" a="1"/>
  <c r="K369" i="528" s="1"/>
  <c r="J369" i="528" a="1"/>
  <c r="J369" i="528" s="1"/>
  <c r="H369" i="528"/>
  <c r="AA368" i="528"/>
  <c r="AA504" i="528" s="1"/>
  <c r="Z368" i="528"/>
  <c r="Z504" i="528" s="1"/>
  <c r="Y368" i="528"/>
  <c r="Y504" i="528" s="1"/>
  <c r="X368" i="528"/>
  <c r="X504" i="528" s="1"/>
  <c r="U368" i="528"/>
  <c r="U504" i="528" s="1"/>
  <c r="T368" i="528"/>
  <c r="T504" i="528" s="1"/>
  <c r="S368" i="528"/>
  <c r="S504" i="528" s="1"/>
  <c r="R368" i="528"/>
  <c r="R504" i="528" s="1"/>
  <c r="Q368" i="528"/>
  <c r="Q504" i="528" s="1"/>
  <c r="P368" i="528"/>
  <c r="P504" i="528" s="1"/>
  <c r="O368" i="528"/>
  <c r="I368" i="528"/>
  <c r="I504" i="528" s="1"/>
  <c r="B512" i="528" s="1"/>
  <c r="G368" i="528"/>
  <c r="G504" i="528" s="1"/>
  <c r="V367" i="528"/>
  <c r="W367" i="528" s="1"/>
  <c r="N367" i="528"/>
  <c r="K367" i="528"/>
  <c r="M367" i="528" s="1"/>
  <c r="K367" i="528" a="1"/>
  <c r="J367" i="528" a="1"/>
  <c r="J367" i="528" s="1"/>
  <c r="H367" i="528"/>
  <c r="V366" i="528"/>
  <c r="W366" i="528" s="1"/>
  <c r="N366" i="528"/>
  <c r="K366" i="528" a="1"/>
  <c r="K366" i="528" s="1"/>
  <c r="M366" i="528" s="1"/>
  <c r="J366" i="528" a="1"/>
  <c r="J366" i="528" s="1"/>
  <c r="H366" i="528"/>
  <c r="K365" i="528" a="1"/>
  <c r="K365" i="528" s="1"/>
  <c r="M365" i="528" s="1"/>
  <c r="H365" i="528"/>
  <c r="K364" i="528" a="1"/>
  <c r="K364" i="528" s="1"/>
  <c r="M364" i="528" s="1"/>
  <c r="H364" i="528"/>
  <c r="K363" i="528" a="1"/>
  <c r="K363" i="528" s="1"/>
  <c r="M363" i="528" s="1"/>
  <c r="H363" i="528"/>
  <c r="K362" i="528" a="1"/>
  <c r="K362" i="528" s="1"/>
  <c r="M362" i="528" s="1"/>
  <c r="H362" i="528"/>
  <c r="V361" i="528"/>
  <c r="W361" i="528" s="1"/>
  <c r="N361" i="528"/>
  <c r="K361" i="528" a="1"/>
  <c r="K361" i="528" s="1"/>
  <c r="M361" i="528" s="1"/>
  <c r="J361" i="528" a="1"/>
  <c r="J361" i="528" s="1"/>
  <c r="H361" i="528"/>
  <c r="V360" i="528"/>
  <c r="W360" i="528" s="1"/>
  <c r="N360" i="528"/>
  <c r="K360" i="528" a="1"/>
  <c r="K360" i="528" s="1"/>
  <c r="M360" i="528" s="1"/>
  <c r="J360" i="528" a="1"/>
  <c r="J360" i="528" s="1"/>
  <c r="H360" i="528"/>
  <c r="V359" i="528"/>
  <c r="W359" i="528" s="1"/>
  <c r="N359" i="528"/>
  <c r="K359" i="528" a="1"/>
  <c r="K359" i="528" s="1"/>
  <c r="M359" i="528" s="1"/>
  <c r="J359" i="528" a="1"/>
  <c r="J359" i="528" s="1"/>
  <c r="H359" i="528"/>
  <c r="H358" i="528"/>
  <c r="H357" i="528"/>
  <c r="V356" i="528"/>
  <c r="W356" i="528" s="1"/>
  <c r="N356" i="528"/>
  <c r="K356" i="528" a="1"/>
  <c r="K356" i="528" s="1"/>
  <c r="M356" i="528" s="1"/>
  <c r="J356" i="528" a="1"/>
  <c r="J356" i="528" s="1"/>
  <c r="H356" i="528"/>
  <c r="V355" i="528"/>
  <c r="W355" i="528" s="1"/>
  <c r="N355" i="528"/>
  <c r="K355" i="528"/>
  <c r="M355" i="528" s="1"/>
  <c r="K355" i="528" a="1"/>
  <c r="J355" i="528"/>
  <c r="J355" i="528" a="1"/>
  <c r="H355" i="528"/>
  <c r="K354" i="528" a="1"/>
  <c r="K354" i="528" s="1"/>
  <c r="M354" i="528" s="1"/>
  <c r="H354" i="528"/>
  <c r="K353" i="528"/>
  <c r="M353" i="528" s="1"/>
  <c r="K353" i="528" a="1"/>
  <c r="H353" i="528"/>
  <c r="V352" i="528"/>
  <c r="W352" i="528" s="1"/>
  <c r="N352" i="528"/>
  <c r="K352" i="528" a="1"/>
  <c r="K352" i="528" s="1"/>
  <c r="M352" i="528" s="1"/>
  <c r="J352" i="528" a="1"/>
  <c r="J352" i="528" s="1"/>
  <c r="H352" i="528"/>
  <c r="V351" i="528"/>
  <c r="W351" i="528" s="1"/>
  <c r="N351" i="528"/>
  <c r="K351" i="528"/>
  <c r="M351" i="528" s="1"/>
  <c r="K351" i="528" a="1"/>
  <c r="J351" i="528"/>
  <c r="J351" i="528" a="1"/>
  <c r="H351" i="528"/>
  <c r="V350" i="528"/>
  <c r="W350" i="528" s="1"/>
  <c r="N350" i="528"/>
  <c r="K350" i="528" a="1"/>
  <c r="K350" i="528" s="1"/>
  <c r="M350" i="528" s="1"/>
  <c r="J350" i="528" a="1"/>
  <c r="J350" i="528" s="1"/>
  <c r="H350" i="528"/>
  <c r="V349" i="528"/>
  <c r="W349" i="528" s="1"/>
  <c r="N349" i="528"/>
  <c r="K349" i="528"/>
  <c r="M349" i="528" s="1"/>
  <c r="K349" i="528" a="1"/>
  <c r="J349" i="528"/>
  <c r="J349" i="528" a="1"/>
  <c r="H349" i="528"/>
  <c r="V348" i="528"/>
  <c r="W348" i="528" s="1"/>
  <c r="N348" i="528"/>
  <c r="K348" i="528" a="1"/>
  <c r="K348" i="528" s="1"/>
  <c r="M348" i="528" s="1"/>
  <c r="J348" i="528" a="1"/>
  <c r="J348" i="528" s="1"/>
  <c r="H348" i="528"/>
  <c r="V347" i="528"/>
  <c r="W347" i="528" s="1"/>
  <c r="N347" i="528"/>
  <c r="K347" i="528"/>
  <c r="M347" i="528" s="1"/>
  <c r="K347" i="528" a="1"/>
  <c r="J347" i="528"/>
  <c r="J347" i="528" a="1"/>
  <c r="H347" i="528"/>
  <c r="H368" i="528" s="1"/>
  <c r="X341" i="528"/>
  <c r="X340" i="528"/>
  <c r="X339" i="528"/>
  <c r="G339" i="528"/>
  <c r="C339" i="528"/>
  <c r="X338" i="528"/>
  <c r="I338" i="528"/>
  <c r="E338" i="528"/>
  <c r="K338" i="528" s="1"/>
  <c r="M338" i="528" s="1"/>
  <c r="I337" i="528"/>
  <c r="E337" i="528"/>
  <c r="K337" i="528" s="1"/>
  <c r="M337" i="528" s="1"/>
  <c r="I336" i="528"/>
  <c r="E336" i="528"/>
  <c r="K336" i="528" s="1"/>
  <c r="M336" i="528" s="1"/>
  <c r="X335" i="528"/>
  <c r="I335" i="528"/>
  <c r="I339" i="528" s="1"/>
  <c r="E335" i="528"/>
  <c r="K335" i="528" s="1"/>
  <c r="AA332" i="528"/>
  <c r="Z332" i="528"/>
  <c r="Y332" i="528"/>
  <c r="X332" i="528"/>
  <c r="U332" i="528"/>
  <c r="T332" i="528"/>
  <c r="S332" i="528"/>
  <c r="R332" i="528"/>
  <c r="Q332" i="528"/>
  <c r="P332" i="528"/>
  <c r="O332" i="528"/>
  <c r="R340" i="528" s="1"/>
  <c r="I332" i="528"/>
  <c r="G332" i="528"/>
  <c r="K331" i="528" a="1"/>
  <c r="K331" i="528" s="1"/>
  <c r="H331" i="528"/>
  <c r="K330" i="528" a="1"/>
  <c r="K330" i="528" s="1"/>
  <c r="H330" i="528"/>
  <c r="K329" i="528"/>
  <c r="K329" i="528" a="1"/>
  <c r="H329" i="528"/>
  <c r="V328" i="528"/>
  <c r="W328" i="528" s="1"/>
  <c r="N328" i="528"/>
  <c r="K328" i="528" a="1"/>
  <c r="K328" i="528" s="1"/>
  <c r="D328" i="528"/>
  <c r="H328" i="528" s="1"/>
  <c r="H327" i="528"/>
  <c r="K326" i="528" a="1"/>
  <c r="K326" i="528" s="1"/>
  <c r="H326" i="528"/>
  <c r="H325" i="528"/>
  <c r="V324" i="528"/>
  <c r="W324" i="528" s="1"/>
  <c r="N324" i="528"/>
  <c r="K324" i="528" a="1"/>
  <c r="K324" i="528" s="1"/>
  <c r="M324" i="528" s="1"/>
  <c r="J324" i="528" a="1"/>
  <c r="J324" i="528" s="1"/>
  <c r="H324" i="528"/>
  <c r="V323" i="528"/>
  <c r="W323" i="528" s="1"/>
  <c r="N323" i="528"/>
  <c r="K323" i="528" a="1"/>
  <c r="K323" i="528" s="1"/>
  <c r="M323" i="528" s="1"/>
  <c r="J323" i="528" a="1"/>
  <c r="J323" i="528" s="1"/>
  <c r="H323" i="528"/>
  <c r="H322" i="528"/>
  <c r="V321" i="528"/>
  <c r="W321" i="528" s="1"/>
  <c r="N321" i="528"/>
  <c r="K321" i="528" a="1"/>
  <c r="K321" i="528" s="1"/>
  <c r="M321" i="528" s="1"/>
  <c r="J321" i="528" a="1"/>
  <c r="J321" i="528" s="1"/>
  <c r="H321" i="528"/>
  <c r="V320" i="528"/>
  <c r="W320" i="528" s="1"/>
  <c r="N320" i="528"/>
  <c r="K320" i="528" a="1"/>
  <c r="K320" i="528" s="1"/>
  <c r="M320" i="528" s="1"/>
  <c r="J320" i="528" a="1"/>
  <c r="J320" i="528" s="1"/>
  <c r="H320" i="528"/>
  <c r="V319" i="528"/>
  <c r="W319" i="528" s="1"/>
  <c r="N319" i="528"/>
  <c r="K319" i="528" a="1"/>
  <c r="K319" i="528" s="1"/>
  <c r="M319" i="528" s="1"/>
  <c r="J319" i="528" a="1"/>
  <c r="J319" i="528" s="1"/>
  <c r="H319" i="528"/>
  <c r="V318" i="528"/>
  <c r="V332" i="528" s="1"/>
  <c r="N318" i="528"/>
  <c r="N332" i="528" s="1"/>
  <c r="K318" i="528" a="1"/>
  <c r="K318" i="528" s="1"/>
  <c r="K332" i="528" s="1"/>
  <c r="J318" i="528" a="1"/>
  <c r="J318" i="528" s="1"/>
  <c r="H318" i="528"/>
  <c r="H332" i="528" s="1"/>
  <c r="AA317" i="528"/>
  <c r="Z317" i="528"/>
  <c r="Y317" i="528"/>
  <c r="X317" i="528"/>
  <c r="U317" i="528"/>
  <c r="T317" i="528"/>
  <c r="S317" i="528"/>
  <c r="Q317" i="528"/>
  <c r="P317" i="528"/>
  <c r="O317" i="528"/>
  <c r="I317" i="528"/>
  <c r="G317" i="528"/>
  <c r="V316" i="528"/>
  <c r="W316" i="528" s="1"/>
  <c r="N316" i="528"/>
  <c r="K316" i="528" a="1"/>
  <c r="K316" i="528" s="1"/>
  <c r="M316" i="528" s="1"/>
  <c r="J316" i="528" a="1"/>
  <c r="J316" i="528" s="1"/>
  <c r="H316" i="528"/>
  <c r="H314" i="528"/>
  <c r="H313" i="528"/>
  <c r="V312" i="528"/>
  <c r="W312" i="528" s="1"/>
  <c r="N312" i="528"/>
  <c r="K312" i="528"/>
  <c r="M312" i="528" s="1"/>
  <c r="K312" i="528" a="1"/>
  <c r="J312" i="528"/>
  <c r="J312" i="528" a="1"/>
  <c r="H312" i="528"/>
  <c r="V311" i="528"/>
  <c r="W311" i="528" s="1"/>
  <c r="N311" i="528"/>
  <c r="K311" i="528" a="1"/>
  <c r="K311" i="528" s="1"/>
  <c r="M311" i="528" s="1"/>
  <c r="J311" i="528" a="1"/>
  <c r="J311" i="528" s="1"/>
  <c r="H311" i="528"/>
  <c r="V310" i="528"/>
  <c r="W310" i="528" s="1"/>
  <c r="N310" i="528"/>
  <c r="K310" i="528"/>
  <c r="M310" i="528" s="1"/>
  <c r="K310" i="528" a="1"/>
  <c r="J310" i="528" a="1"/>
  <c r="J310" i="528" s="1"/>
  <c r="H310" i="528"/>
  <c r="V309" i="528"/>
  <c r="W309" i="528" s="1"/>
  <c r="N309" i="528"/>
  <c r="K309" i="528" a="1"/>
  <c r="K309" i="528" s="1"/>
  <c r="M309" i="528" s="1"/>
  <c r="J309" i="528" a="1"/>
  <c r="J309" i="528" s="1"/>
  <c r="H309" i="528"/>
  <c r="V308" i="528"/>
  <c r="V317" i="528" s="1"/>
  <c r="W317" i="528" s="1"/>
  <c r="N308" i="528"/>
  <c r="N317" i="528" s="1"/>
  <c r="K308" i="528" a="1"/>
  <c r="K308" i="528" s="1"/>
  <c r="J308" i="528" a="1"/>
  <c r="J308" i="528" s="1"/>
  <c r="H308" i="528"/>
  <c r="H317" i="528" s="1"/>
  <c r="AA307" i="528"/>
  <c r="Z307" i="528"/>
  <c r="Y307" i="528"/>
  <c r="X307" i="528"/>
  <c r="U307" i="528"/>
  <c r="T307" i="528"/>
  <c r="S307" i="528"/>
  <c r="Q307" i="528"/>
  <c r="P307" i="528"/>
  <c r="O307" i="528"/>
  <c r="R338" i="528" s="1"/>
  <c r="I307" i="528"/>
  <c r="G307" i="528"/>
  <c r="V306" i="528"/>
  <c r="W306" i="528" s="1"/>
  <c r="N306" i="528"/>
  <c r="K306" i="528" a="1"/>
  <c r="K306" i="528" s="1"/>
  <c r="M306" i="528" s="1"/>
  <c r="J306" i="528" a="1"/>
  <c r="J306" i="528" s="1"/>
  <c r="H306" i="528"/>
  <c r="V305" i="528"/>
  <c r="W305" i="528" s="1"/>
  <c r="N305" i="528"/>
  <c r="K305" i="528" a="1"/>
  <c r="K305" i="528" s="1"/>
  <c r="M305" i="528" s="1"/>
  <c r="J305" i="528" a="1"/>
  <c r="J305" i="528" s="1"/>
  <c r="H305" i="528"/>
  <c r="V304" i="528"/>
  <c r="W304" i="528" s="1"/>
  <c r="N304" i="528"/>
  <c r="K304" i="528" a="1"/>
  <c r="K304" i="528" s="1"/>
  <c r="M304" i="528" s="1"/>
  <c r="J304" i="528" a="1"/>
  <c r="J304" i="528" s="1"/>
  <c r="H304" i="528"/>
  <c r="V303" i="528"/>
  <c r="W303" i="528" s="1"/>
  <c r="N303" i="528"/>
  <c r="K303" i="528" a="1"/>
  <c r="K303" i="528" s="1"/>
  <c r="M303" i="528" s="1"/>
  <c r="J303" i="528" a="1"/>
  <c r="J303" i="528" s="1"/>
  <c r="H303" i="528"/>
  <c r="V302" i="528"/>
  <c r="W302" i="528" s="1"/>
  <c r="N302" i="528"/>
  <c r="K302" i="528" a="1"/>
  <c r="K302" i="528" s="1"/>
  <c r="M302" i="528" s="1"/>
  <c r="J302" i="528" a="1"/>
  <c r="J302" i="528" s="1"/>
  <c r="H302" i="528"/>
  <c r="V301" i="528"/>
  <c r="W301" i="528" s="1"/>
  <c r="N301" i="528"/>
  <c r="K301" i="528" a="1"/>
  <c r="K301" i="528" s="1"/>
  <c r="M301" i="528" s="1"/>
  <c r="J301" i="528" a="1"/>
  <c r="J301" i="528" s="1"/>
  <c r="H301" i="528"/>
  <c r="V300" i="528"/>
  <c r="W300" i="528" s="1"/>
  <c r="N300" i="528"/>
  <c r="K300" i="528" a="1"/>
  <c r="K300" i="528" s="1"/>
  <c r="M300" i="528" s="1"/>
  <c r="J300" i="528" a="1"/>
  <c r="J300" i="528" s="1"/>
  <c r="H300" i="528"/>
  <c r="V299" i="528"/>
  <c r="W299" i="528" s="1"/>
  <c r="N299" i="528"/>
  <c r="K299" i="528" a="1"/>
  <c r="K299" i="528" s="1"/>
  <c r="M299" i="528" s="1"/>
  <c r="J299" i="528" a="1"/>
  <c r="J299" i="528" s="1"/>
  <c r="H299" i="528"/>
  <c r="V298" i="528"/>
  <c r="W298" i="528" s="1"/>
  <c r="N298" i="528"/>
  <c r="K298" i="528" a="1"/>
  <c r="K298" i="528" s="1"/>
  <c r="M298" i="528" s="1"/>
  <c r="J298" i="528" a="1"/>
  <c r="J298" i="528" s="1"/>
  <c r="H298" i="528"/>
  <c r="V297" i="528"/>
  <c r="W297" i="528" s="1"/>
  <c r="N297" i="528"/>
  <c r="K297" i="528"/>
  <c r="M297" i="528" s="1"/>
  <c r="K297" i="528" a="1"/>
  <c r="J297" i="528"/>
  <c r="J297" i="528" a="1"/>
  <c r="H297" i="528"/>
  <c r="V296" i="528"/>
  <c r="W296" i="528" s="1"/>
  <c r="N296" i="528"/>
  <c r="K296" i="528" a="1"/>
  <c r="K296" i="528" s="1"/>
  <c r="M296" i="528" s="1"/>
  <c r="J296" i="528" a="1"/>
  <c r="J296" i="528" s="1"/>
  <c r="H296" i="528"/>
  <c r="V295" i="528"/>
  <c r="W295" i="528" s="1"/>
  <c r="N295" i="528"/>
  <c r="K295" i="528"/>
  <c r="M295" i="528" s="1"/>
  <c r="K295" i="528" a="1"/>
  <c r="J295" i="528"/>
  <c r="J295" i="528" a="1"/>
  <c r="H295" i="528"/>
  <c r="V294" i="528"/>
  <c r="W294" i="528" s="1"/>
  <c r="N294" i="528"/>
  <c r="K294" i="528" a="1"/>
  <c r="K294" i="528" s="1"/>
  <c r="M294" i="528" s="1"/>
  <c r="J294" i="528" a="1"/>
  <c r="J294" i="528" s="1"/>
  <c r="H294" i="528"/>
  <c r="V293" i="528"/>
  <c r="W293" i="528" s="1"/>
  <c r="N293" i="528"/>
  <c r="K293" i="528"/>
  <c r="M293" i="528" s="1"/>
  <c r="K293" i="528" a="1"/>
  <c r="J293" i="528"/>
  <c r="J293" i="528" a="1"/>
  <c r="H293" i="528"/>
  <c r="V292" i="528"/>
  <c r="W292" i="528" s="1"/>
  <c r="N292" i="528"/>
  <c r="K292" i="528" a="1"/>
  <c r="K292" i="528" s="1"/>
  <c r="J292" i="528" a="1"/>
  <c r="J292" i="528" s="1"/>
  <c r="H292" i="528"/>
  <c r="AA291" i="528"/>
  <c r="Z291" i="528"/>
  <c r="Y291" i="528"/>
  <c r="X291" i="528"/>
  <c r="U291" i="528"/>
  <c r="T291" i="528"/>
  <c r="S291" i="528"/>
  <c r="R291" i="528"/>
  <c r="Q291" i="528"/>
  <c r="P291" i="528"/>
  <c r="O291" i="528"/>
  <c r="R337" i="528" s="1"/>
  <c r="I291" i="528"/>
  <c r="G291" i="528"/>
  <c r="V290" i="528"/>
  <c r="W290" i="528" s="1"/>
  <c r="N290" i="528"/>
  <c r="K290" i="528" a="1"/>
  <c r="K290" i="528" s="1"/>
  <c r="M290" i="528" s="1"/>
  <c r="J290" i="528" a="1"/>
  <c r="J290" i="528" s="1"/>
  <c r="H290" i="528"/>
  <c r="V289" i="528"/>
  <c r="W289" i="528" s="1"/>
  <c r="N289" i="528"/>
  <c r="K289" i="528" a="1"/>
  <c r="K289" i="528" s="1"/>
  <c r="M289" i="528" s="1"/>
  <c r="J289" i="528" a="1"/>
  <c r="J289" i="528" s="1"/>
  <c r="H289" i="528"/>
  <c r="V288" i="528"/>
  <c r="W288" i="528" s="1"/>
  <c r="N288" i="528"/>
  <c r="K288" i="528" a="1"/>
  <c r="K288" i="528" s="1"/>
  <c r="M288" i="528" s="1"/>
  <c r="J288" i="528" a="1"/>
  <c r="J288" i="528" s="1"/>
  <c r="H288" i="528"/>
  <c r="H287" i="528"/>
  <c r="H286" i="528"/>
  <c r="H285" i="528"/>
  <c r="V284" i="528"/>
  <c r="W284" i="528" s="1"/>
  <c r="N284" i="528"/>
  <c r="K284" i="528" a="1"/>
  <c r="K284" i="528" s="1"/>
  <c r="M284" i="528" s="1"/>
  <c r="J284" i="528" a="1"/>
  <c r="J284" i="528" s="1"/>
  <c r="H284" i="528"/>
  <c r="V283" i="528"/>
  <c r="W283" i="528" s="1"/>
  <c r="N283" i="528"/>
  <c r="K283" i="528"/>
  <c r="M283" i="528" s="1"/>
  <c r="K283" i="528" a="1"/>
  <c r="J283" i="528"/>
  <c r="J283" i="528" a="1"/>
  <c r="H283" i="528"/>
  <c r="N282" i="528"/>
  <c r="K282" i="528" a="1"/>
  <c r="K282" i="528" s="1"/>
  <c r="M282" i="528" s="1"/>
  <c r="H282" i="528"/>
  <c r="N281" i="528"/>
  <c r="K281" i="528" a="1"/>
  <c r="K281" i="528" s="1"/>
  <c r="M281" i="528" s="1"/>
  <c r="H281" i="528"/>
  <c r="N280" i="528"/>
  <c r="K280" i="528" a="1"/>
  <c r="K280" i="528" s="1"/>
  <c r="M280" i="528" s="1"/>
  <c r="H280" i="528"/>
  <c r="N279" i="528"/>
  <c r="K279" i="528" a="1"/>
  <c r="K279" i="528" s="1"/>
  <c r="M279" i="528" s="1"/>
  <c r="H279" i="528"/>
  <c r="N278" i="528"/>
  <c r="K278" i="528" a="1"/>
  <c r="K278" i="528" s="1"/>
  <c r="M278" i="528" s="1"/>
  <c r="H278" i="528"/>
  <c r="N277" i="528"/>
  <c r="K277" i="528"/>
  <c r="M277" i="528" s="1"/>
  <c r="K277" i="528" a="1"/>
  <c r="H277" i="528"/>
  <c r="V276" i="528"/>
  <c r="W276" i="528" s="1"/>
  <c r="N276" i="528"/>
  <c r="K276" i="528" a="1"/>
  <c r="K276" i="528" s="1"/>
  <c r="M276" i="528" s="1"/>
  <c r="J276" i="528" a="1"/>
  <c r="J276" i="528" s="1"/>
  <c r="H276" i="528"/>
  <c r="V275" i="528"/>
  <c r="W275" i="528" s="1"/>
  <c r="N275" i="528"/>
  <c r="K275" i="528"/>
  <c r="M275" i="528" s="1"/>
  <c r="K275" i="528" a="1"/>
  <c r="J275" i="528"/>
  <c r="J275" i="528" a="1"/>
  <c r="H275" i="528"/>
  <c r="V274" i="528"/>
  <c r="W274" i="528" s="1"/>
  <c r="N274" i="528"/>
  <c r="K274" i="528" a="1"/>
  <c r="K274" i="528" s="1"/>
  <c r="M274" i="528" s="1"/>
  <c r="J274" i="528" a="1"/>
  <c r="J274" i="528" s="1"/>
  <c r="H274" i="528"/>
  <c r="V273" i="528"/>
  <c r="W273" i="528" s="1"/>
  <c r="N273" i="528"/>
  <c r="K273" i="528"/>
  <c r="M273" i="528" s="1"/>
  <c r="K273" i="528" a="1"/>
  <c r="J273" i="528"/>
  <c r="J273" i="528" a="1"/>
  <c r="H273" i="528"/>
  <c r="V272" i="528"/>
  <c r="W272" i="528" s="1"/>
  <c r="N272" i="528"/>
  <c r="K272" i="528" a="1"/>
  <c r="K272" i="528" s="1"/>
  <c r="M272" i="528" s="1"/>
  <c r="J272" i="528" a="1"/>
  <c r="J272" i="528" s="1"/>
  <c r="H272" i="528"/>
  <c r="V271" i="528"/>
  <c r="W271" i="528" s="1"/>
  <c r="N271" i="528"/>
  <c r="K271" i="528" a="1"/>
  <c r="K271" i="528" s="1"/>
  <c r="M271" i="528" s="1"/>
  <c r="J271" i="528" a="1"/>
  <c r="J271" i="528" s="1"/>
  <c r="H271" i="528"/>
  <c r="V270" i="528"/>
  <c r="W270" i="528" s="1"/>
  <c r="N270" i="528"/>
  <c r="K270" i="528" a="1"/>
  <c r="K270" i="528" s="1"/>
  <c r="M270" i="528" s="1"/>
  <c r="J270" i="528" a="1"/>
  <c r="J270" i="528" s="1"/>
  <c r="H270" i="528"/>
  <c r="V269" i="528"/>
  <c r="W269" i="528" s="1"/>
  <c r="N269" i="528"/>
  <c r="K269" i="528" a="1"/>
  <c r="K269" i="528" s="1"/>
  <c r="M269" i="528" s="1"/>
  <c r="J269" i="528" a="1"/>
  <c r="J269" i="528" s="1"/>
  <c r="H269" i="528"/>
  <c r="V268" i="528"/>
  <c r="W268" i="528" s="1"/>
  <c r="N268" i="528"/>
  <c r="K268" i="528" a="1"/>
  <c r="K268" i="528" s="1"/>
  <c r="M268" i="528" s="1"/>
  <c r="J268" i="528" a="1"/>
  <c r="J268" i="528" s="1"/>
  <c r="H268" i="528"/>
  <c r="V267" i="528"/>
  <c r="W267" i="528" s="1"/>
  <c r="N267" i="528"/>
  <c r="K267" i="528"/>
  <c r="M267" i="528" s="1"/>
  <c r="K267" i="528" a="1"/>
  <c r="J267" i="528"/>
  <c r="J267" i="528" a="1"/>
  <c r="H267" i="528"/>
  <c r="V266" i="528"/>
  <c r="W266" i="528" s="1"/>
  <c r="N266" i="528"/>
  <c r="K266" i="528" a="1"/>
  <c r="K266" i="528" s="1"/>
  <c r="M266" i="528" s="1"/>
  <c r="J266" i="528" a="1"/>
  <c r="J266" i="528" s="1"/>
  <c r="H266" i="528"/>
  <c r="W265" i="528"/>
  <c r="V265" i="528"/>
  <c r="N265" i="528"/>
  <c r="K265" i="528" a="1"/>
  <c r="K265" i="528" s="1"/>
  <c r="M265" i="528" s="1"/>
  <c r="J265" i="528" a="1"/>
  <c r="J265" i="528" s="1"/>
  <c r="H265" i="528"/>
  <c r="N264" i="528"/>
  <c r="K264" i="528" a="1"/>
  <c r="K264" i="528" s="1"/>
  <c r="M264" i="528" s="1"/>
  <c r="H264" i="528"/>
  <c r="V263" i="528"/>
  <c r="W263" i="528" s="1"/>
  <c r="N263" i="528"/>
  <c r="K263" i="528" a="1"/>
  <c r="K263" i="528" s="1"/>
  <c r="M263" i="528" s="1"/>
  <c r="J263" i="528" a="1"/>
  <c r="J263" i="528" s="1"/>
  <c r="H263" i="528"/>
  <c r="V262" i="528"/>
  <c r="W262" i="528" s="1"/>
  <c r="N262" i="528"/>
  <c r="K262" i="528" a="1"/>
  <c r="K262" i="528" s="1"/>
  <c r="M262" i="528" s="1"/>
  <c r="J262" i="528" a="1"/>
  <c r="J262" i="528" s="1"/>
  <c r="H262" i="528"/>
  <c r="V261" i="528"/>
  <c r="W261" i="528" s="1"/>
  <c r="N261" i="528"/>
  <c r="K261" i="528" a="1"/>
  <c r="K261" i="528" s="1"/>
  <c r="M261" i="528" s="1"/>
  <c r="J261" i="528" a="1"/>
  <c r="J261" i="528" s="1"/>
  <c r="H261" i="528"/>
  <c r="V260" i="528"/>
  <c r="W260" i="528" s="1"/>
  <c r="N260" i="528"/>
  <c r="M260" i="528"/>
  <c r="K260" i="528" a="1"/>
  <c r="K260" i="528" s="1"/>
  <c r="J260" i="528" a="1"/>
  <c r="J260" i="528" s="1"/>
  <c r="H260" i="528"/>
  <c r="V259" i="528"/>
  <c r="W259" i="528" s="1"/>
  <c r="N259" i="528"/>
  <c r="K259" i="528"/>
  <c r="M259" i="528" s="1"/>
  <c r="K259" i="528" a="1"/>
  <c r="J259" i="528"/>
  <c r="J259" i="528" a="1"/>
  <c r="H259" i="528"/>
  <c r="V258" i="528"/>
  <c r="W258" i="528" s="1"/>
  <c r="N258" i="528"/>
  <c r="K258" i="528" a="1"/>
  <c r="K258" i="528" s="1"/>
  <c r="M258" i="528" s="1"/>
  <c r="J258" i="528" a="1"/>
  <c r="J258" i="528" s="1"/>
  <c r="H258" i="528"/>
  <c r="V257" i="528"/>
  <c r="V291" i="528" s="1"/>
  <c r="W291" i="528" s="1"/>
  <c r="N257" i="528"/>
  <c r="K257" i="528" a="1"/>
  <c r="K257" i="528" s="1"/>
  <c r="J257" i="528" a="1"/>
  <c r="J257" i="528" s="1"/>
  <c r="H257" i="528"/>
  <c r="AA256" i="528"/>
  <c r="Z256" i="528"/>
  <c r="Y256" i="528"/>
  <c r="X256" i="528"/>
  <c r="U256" i="528"/>
  <c r="T256" i="528"/>
  <c r="S256" i="528"/>
  <c r="R256" i="528"/>
  <c r="Q256" i="528"/>
  <c r="P256" i="528"/>
  <c r="O256" i="528"/>
  <c r="R336" i="528" s="1"/>
  <c r="I256" i="528"/>
  <c r="G256" i="528"/>
  <c r="H255" i="528"/>
  <c r="H254" i="528"/>
  <c r="H253" i="528"/>
  <c r="H252" i="528"/>
  <c r="H251" i="528"/>
  <c r="H250" i="528"/>
  <c r="K249" i="528" a="1"/>
  <c r="K249" i="528" s="1"/>
  <c r="M249" i="528" s="1"/>
  <c r="H249" i="528"/>
  <c r="K248" i="528"/>
  <c r="M248" i="528" s="1"/>
  <c r="K248" i="528" a="1"/>
  <c r="H248" i="528"/>
  <c r="K247" i="528" a="1"/>
  <c r="K247" i="528" s="1"/>
  <c r="M247" i="528" s="1"/>
  <c r="H247" i="528"/>
  <c r="K246" i="528"/>
  <c r="M246" i="528" s="1"/>
  <c r="K246" i="528" a="1"/>
  <c r="H246" i="528"/>
  <c r="V245" i="528"/>
  <c r="W245" i="528" s="1"/>
  <c r="N245" i="528"/>
  <c r="K245" i="528" a="1"/>
  <c r="K245" i="528" s="1"/>
  <c r="M245" i="528" s="1"/>
  <c r="J245" i="528" a="1"/>
  <c r="J245" i="528" s="1"/>
  <c r="H245" i="528"/>
  <c r="V244" i="528"/>
  <c r="W244" i="528" s="1"/>
  <c r="N244" i="528"/>
  <c r="K244" i="528" a="1"/>
  <c r="K244" i="528" s="1"/>
  <c r="M244" i="528" s="1"/>
  <c r="J244" i="528" a="1"/>
  <c r="J244" i="528" s="1"/>
  <c r="H244" i="528"/>
  <c r="V243" i="528"/>
  <c r="W243" i="528" s="1"/>
  <c r="N243" i="528"/>
  <c r="K243" i="528" a="1"/>
  <c r="K243" i="528" s="1"/>
  <c r="M243" i="528" s="1"/>
  <c r="J243" i="528" a="1"/>
  <c r="J243" i="528" s="1"/>
  <c r="H243" i="528"/>
  <c r="V242" i="528"/>
  <c r="W242" i="528" s="1"/>
  <c r="N242" i="528"/>
  <c r="K242" i="528" a="1"/>
  <c r="K242" i="528" s="1"/>
  <c r="M242" i="528" s="1"/>
  <c r="J242" i="528" a="1"/>
  <c r="J242" i="528" s="1"/>
  <c r="H242" i="528"/>
  <c r="M241" i="528"/>
  <c r="H241" i="528"/>
  <c r="V240" i="528"/>
  <c r="W240" i="528" s="1"/>
  <c r="N240" i="528"/>
  <c r="K240" i="528" a="1"/>
  <c r="K240" i="528" s="1"/>
  <c r="M240" i="528" s="1"/>
  <c r="J240" i="528" a="1"/>
  <c r="J240" i="528" s="1"/>
  <c r="H240" i="528"/>
  <c r="V239" i="528"/>
  <c r="W239" i="528" s="1"/>
  <c r="N239" i="528"/>
  <c r="K239" i="528" a="1"/>
  <c r="K239" i="528" s="1"/>
  <c r="M239" i="528" s="1"/>
  <c r="J239" i="528" a="1"/>
  <c r="J239" i="528" s="1"/>
  <c r="H239" i="528"/>
  <c r="K238" i="528"/>
  <c r="M238" i="528" s="1"/>
  <c r="K238" i="528" a="1"/>
  <c r="H238" i="528"/>
  <c r="H237" i="528"/>
  <c r="V236" i="528"/>
  <c r="W236" i="528" s="1"/>
  <c r="N236" i="528"/>
  <c r="K236" i="528"/>
  <c r="M236" i="528" s="1"/>
  <c r="K236" i="528" a="1"/>
  <c r="J236" i="528"/>
  <c r="J236" i="528" a="1"/>
  <c r="H236" i="528"/>
  <c r="V235" i="528"/>
  <c r="W235" i="528" s="1"/>
  <c r="N235" i="528"/>
  <c r="K235" i="528" a="1"/>
  <c r="K235" i="528" s="1"/>
  <c r="M235" i="528" s="1"/>
  <c r="J235" i="528" a="1"/>
  <c r="J235" i="528" s="1"/>
  <c r="H235" i="528"/>
  <c r="V234" i="528"/>
  <c r="W234" i="528" s="1"/>
  <c r="N234" i="528"/>
  <c r="K234" i="528" a="1"/>
  <c r="K234" i="528" s="1"/>
  <c r="M234" i="528" s="1"/>
  <c r="J234" i="528" a="1"/>
  <c r="J234" i="528" s="1"/>
  <c r="H234" i="528"/>
  <c r="V233" i="528"/>
  <c r="W233" i="528" s="1"/>
  <c r="N233" i="528"/>
  <c r="K233" i="528" a="1"/>
  <c r="K233" i="528" s="1"/>
  <c r="M233" i="528" s="1"/>
  <c r="J233" i="528" a="1"/>
  <c r="J233" i="528" s="1"/>
  <c r="H233" i="528"/>
  <c r="V232" i="528"/>
  <c r="W232" i="528" s="1"/>
  <c r="N232" i="528"/>
  <c r="K232" i="528" a="1"/>
  <c r="K232" i="528" s="1"/>
  <c r="M232" i="528" s="1"/>
  <c r="J232" i="528" a="1"/>
  <c r="J232" i="528" s="1"/>
  <c r="H232" i="528"/>
  <c r="V231" i="528"/>
  <c r="W231" i="528" s="1"/>
  <c r="N231" i="528"/>
  <c r="K231" i="528" a="1"/>
  <c r="K231" i="528" s="1"/>
  <c r="M231" i="528" s="1"/>
  <c r="J231" i="528" a="1"/>
  <c r="J231" i="528" s="1"/>
  <c r="H231" i="528"/>
  <c r="V230" i="528"/>
  <c r="W230" i="528" s="1"/>
  <c r="N230" i="528"/>
  <c r="K230" i="528" a="1"/>
  <c r="K230" i="528" s="1"/>
  <c r="M230" i="528" s="1"/>
  <c r="J230" i="528" a="1"/>
  <c r="J230" i="528" s="1"/>
  <c r="H230" i="528"/>
  <c r="V229" i="528"/>
  <c r="W229" i="528" s="1"/>
  <c r="N229" i="528"/>
  <c r="K229" i="528" a="1"/>
  <c r="K229" i="528" s="1"/>
  <c r="M229" i="528" s="1"/>
  <c r="J229" i="528" a="1"/>
  <c r="J229" i="528" s="1"/>
  <c r="H229" i="528"/>
  <c r="V228" i="528"/>
  <c r="W228" i="528" s="1"/>
  <c r="N228" i="528"/>
  <c r="K228" i="528" a="1"/>
  <c r="K228" i="528" s="1"/>
  <c r="M228" i="528" s="1"/>
  <c r="J228" i="528" a="1"/>
  <c r="J228" i="528" s="1"/>
  <c r="H228" i="528"/>
  <c r="V227" i="528"/>
  <c r="W227" i="528" s="1"/>
  <c r="N227" i="528"/>
  <c r="K227" i="528" a="1"/>
  <c r="K227" i="528" s="1"/>
  <c r="M227" i="528" s="1"/>
  <c r="J227" i="528" a="1"/>
  <c r="J227" i="528" s="1"/>
  <c r="H227" i="528"/>
  <c r="N226" i="528"/>
  <c r="K226" i="528"/>
  <c r="M226" i="528" s="1"/>
  <c r="K226" i="528" a="1"/>
  <c r="H226" i="528"/>
  <c r="N225" i="528"/>
  <c r="K225" i="528" a="1"/>
  <c r="K225" i="528" s="1"/>
  <c r="M225" i="528" s="1"/>
  <c r="H225" i="528"/>
  <c r="N224" i="528"/>
  <c r="K224" i="528" a="1"/>
  <c r="K224" i="528" s="1"/>
  <c r="M224" i="528" s="1"/>
  <c r="H224" i="528"/>
  <c r="N223" i="528"/>
  <c r="K223" i="528" a="1"/>
  <c r="K223" i="528" s="1"/>
  <c r="M223" i="528" s="1"/>
  <c r="H223" i="528"/>
  <c r="N222" i="528"/>
  <c r="K222" i="528"/>
  <c r="M222" i="528" s="1"/>
  <c r="K222" i="528" a="1"/>
  <c r="H222" i="528"/>
  <c r="N221" i="528"/>
  <c r="K221" i="528" a="1"/>
  <c r="K221" i="528" s="1"/>
  <c r="M221" i="528" s="1"/>
  <c r="H221" i="528"/>
  <c r="N220" i="528"/>
  <c r="K220" i="528" a="1"/>
  <c r="K220" i="528" s="1"/>
  <c r="M220" i="528" s="1"/>
  <c r="H220" i="528"/>
  <c r="N219" i="528"/>
  <c r="K219" i="528" a="1"/>
  <c r="K219" i="528" s="1"/>
  <c r="M219" i="528" s="1"/>
  <c r="H219" i="528"/>
  <c r="V218" i="528"/>
  <c r="W218" i="528" s="1"/>
  <c r="N218" i="528"/>
  <c r="K218" i="528"/>
  <c r="M218" i="528" s="1"/>
  <c r="K218" i="528" a="1"/>
  <c r="J218" i="528"/>
  <c r="J218" i="528" a="1"/>
  <c r="H218" i="528"/>
  <c r="V217" i="528"/>
  <c r="W217" i="528" s="1"/>
  <c r="N217" i="528"/>
  <c r="K217" i="528" a="1"/>
  <c r="K217" i="528" s="1"/>
  <c r="M217" i="528" s="1"/>
  <c r="J217" i="528" a="1"/>
  <c r="J217" i="528" s="1"/>
  <c r="H217" i="528"/>
  <c r="V216" i="528"/>
  <c r="W216" i="528" s="1"/>
  <c r="N216" i="528"/>
  <c r="K216" i="528"/>
  <c r="M216" i="528" s="1"/>
  <c r="K216" i="528" a="1"/>
  <c r="J216" i="528"/>
  <c r="J216" i="528" a="1"/>
  <c r="H216" i="528"/>
  <c r="V215" i="528"/>
  <c r="W215" i="528" s="1"/>
  <c r="N215" i="528"/>
  <c r="K215" i="528" a="1"/>
  <c r="K215" i="528" s="1"/>
  <c r="M215" i="528" s="1"/>
  <c r="J215" i="528" a="1"/>
  <c r="J215" i="528" s="1"/>
  <c r="H215" i="528"/>
  <c r="V214" i="528"/>
  <c r="W214" i="528" s="1"/>
  <c r="N214" i="528"/>
  <c r="K214" i="528" a="1"/>
  <c r="K214" i="528" s="1"/>
  <c r="M214" i="528" s="1"/>
  <c r="J214" i="528" a="1"/>
  <c r="J214" i="528" s="1"/>
  <c r="H214" i="528"/>
  <c r="V213" i="528"/>
  <c r="W213" i="528" s="1"/>
  <c r="N213" i="528"/>
  <c r="K213" i="528" a="1"/>
  <c r="K213" i="528" s="1"/>
  <c r="M213" i="528" s="1"/>
  <c r="J213" i="528" a="1"/>
  <c r="J213" i="528" s="1"/>
  <c r="H213" i="528"/>
  <c r="V212" i="528"/>
  <c r="W212" i="528" s="1"/>
  <c r="N212" i="528"/>
  <c r="K212" i="528" a="1"/>
  <c r="K212" i="528" s="1"/>
  <c r="M212" i="528" s="1"/>
  <c r="J212" i="528" a="1"/>
  <c r="J212" i="528" s="1"/>
  <c r="H212" i="528"/>
  <c r="V211" i="528"/>
  <c r="W211" i="528" s="1"/>
  <c r="N211" i="528"/>
  <c r="K211" i="528" a="1"/>
  <c r="K211" i="528" s="1"/>
  <c r="M211" i="528" s="1"/>
  <c r="J211" i="528" a="1"/>
  <c r="J211" i="528" s="1"/>
  <c r="H211" i="528"/>
  <c r="V210" i="528"/>
  <c r="W210" i="528" s="1"/>
  <c r="N210" i="528"/>
  <c r="K210" i="528" a="1"/>
  <c r="K210" i="528" s="1"/>
  <c r="M210" i="528" s="1"/>
  <c r="J210" i="528" a="1"/>
  <c r="J210" i="528" s="1"/>
  <c r="H210" i="528"/>
  <c r="V209" i="528"/>
  <c r="W209" i="528" s="1"/>
  <c r="N209" i="528"/>
  <c r="K209" i="528" a="1"/>
  <c r="K209" i="528" s="1"/>
  <c r="M209" i="528" s="1"/>
  <c r="J209" i="528" a="1"/>
  <c r="J209" i="528" s="1"/>
  <c r="H209" i="528"/>
  <c r="V208" i="528"/>
  <c r="W208" i="528" s="1"/>
  <c r="N208" i="528"/>
  <c r="K208" i="528" a="1"/>
  <c r="K208" i="528" s="1"/>
  <c r="M208" i="528" s="1"/>
  <c r="J208" i="528" a="1"/>
  <c r="J208" i="528" s="1"/>
  <c r="H208" i="528"/>
  <c r="V207" i="528"/>
  <c r="W207" i="528" s="1"/>
  <c r="N207" i="528"/>
  <c r="K207" i="528" a="1"/>
  <c r="K207" i="528" s="1"/>
  <c r="M207" i="528" s="1"/>
  <c r="J207" i="528" a="1"/>
  <c r="J207" i="528" s="1"/>
  <c r="H207" i="528"/>
  <c r="H206" i="528"/>
  <c r="H205" i="528"/>
  <c r="H204" i="528"/>
  <c r="V203" i="528"/>
  <c r="W203" i="528" s="1"/>
  <c r="N203" i="528"/>
  <c r="K203" i="528" a="1"/>
  <c r="K203" i="528" s="1"/>
  <c r="M203" i="528" s="1"/>
  <c r="J203" i="528" a="1"/>
  <c r="J203" i="528" s="1"/>
  <c r="H203" i="528"/>
  <c r="V202" i="528"/>
  <c r="W202" i="528" s="1"/>
  <c r="N202" i="528"/>
  <c r="K202" i="528" a="1"/>
  <c r="K202" i="528" s="1"/>
  <c r="M202" i="528" s="1"/>
  <c r="J202" i="528" a="1"/>
  <c r="J202" i="528" s="1"/>
  <c r="H202" i="528"/>
  <c r="V201" i="528"/>
  <c r="W201" i="528" s="1"/>
  <c r="N201" i="528"/>
  <c r="K201" i="528" a="1"/>
  <c r="K201" i="528" s="1"/>
  <c r="M201" i="528" s="1"/>
  <c r="J201" i="528" a="1"/>
  <c r="J201" i="528" s="1"/>
  <c r="H201" i="528"/>
  <c r="H200" i="528"/>
  <c r="V199" i="528"/>
  <c r="N199" i="528"/>
  <c r="N256" i="528" s="1"/>
  <c r="K199" i="528" a="1"/>
  <c r="K199" i="528" s="1"/>
  <c r="J199" i="528" a="1"/>
  <c r="J199" i="528" s="1"/>
  <c r="H199" i="528"/>
  <c r="AA198" i="528"/>
  <c r="AA333" i="528" s="1"/>
  <c r="Z198" i="528"/>
  <c r="Z333" i="528" s="1"/>
  <c r="Y198" i="528"/>
  <c r="Y333" i="528" s="1"/>
  <c r="X198" i="528"/>
  <c r="X333" i="528" s="1"/>
  <c r="U198" i="528"/>
  <c r="U333" i="528" s="1"/>
  <c r="T198" i="528"/>
  <c r="T333" i="528" s="1"/>
  <c r="S198" i="528"/>
  <c r="S333" i="528" s="1"/>
  <c r="R198" i="528"/>
  <c r="R333" i="528" s="1"/>
  <c r="Q198" i="528"/>
  <c r="Q333" i="528" s="1"/>
  <c r="P198" i="528"/>
  <c r="O198" i="528"/>
  <c r="I198" i="528"/>
  <c r="I333" i="528" s="1"/>
  <c r="B341" i="528" s="1"/>
  <c r="G198" i="528"/>
  <c r="G333" i="528" s="1"/>
  <c r="V197" i="528"/>
  <c r="W197" i="528" s="1"/>
  <c r="N197" i="528"/>
  <c r="K197" i="528" a="1"/>
  <c r="K197" i="528" s="1"/>
  <c r="M197" i="528" s="1"/>
  <c r="J197" i="528" a="1"/>
  <c r="J197" i="528" s="1"/>
  <c r="H197" i="528"/>
  <c r="V196" i="528"/>
  <c r="W196" i="528" s="1"/>
  <c r="N196" i="528"/>
  <c r="K196" i="528" a="1"/>
  <c r="K196" i="528" s="1"/>
  <c r="M196" i="528" s="1"/>
  <c r="J196" i="528" a="1"/>
  <c r="J196" i="528" s="1"/>
  <c r="H196" i="528"/>
  <c r="K195" i="528"/>
  <c r="M195" i="528" s="1"/>
  <c r="K195" i="528" a="1"/>
  <c r="H195" i="528"/>
  <c r="K194" i="528" a="1"/>
  <c r="K194" i="528" s="1"/>
  <c r="M194" i="528" s="1"/>
  <c r="H194" i="528"/>
  <c r="K193" i="528"/>
  <c r="M193" i="528" s="1"/>
  <c r="K193" i="528" a="1"/>
  <c r="H193" i="528"/>
  <c r="K192" i="528" a="1"/>
  <c r="K192" i="528" s="1"/>
  <c r="M192" i="528" s="1"/>
  <c r="H192" i="528"/>
  <c r="V191" i="528"/>
  <c r="W191" i="528" s="1"/>
  <c r="N191" i="528"/>
  <c r="K191" i="528" a="1"/>
  <c r="K191" i="528" s="1"/>
  <c r="M191" i="528" s="1"/>
  <c r="J191" i="528" a="1"/>
  <c r="J191" i="528" s="1"/>
  <c r="H191" i="528"/>
  <c r="V190" i="528"/>
  <c r="W190" i="528" s="1"/>
  <c r="N190" i="528"/>
  <c r="K190" i="528"/>
  <c r="M190" i="528" s="1"/>
  <c r="K190" i="528" a="1"/>
  <c r="J190" i="528" a="1"/>
  <c r="J190" i="528" s="1"/>
  <c r="H190" i="528"/>
  <c r="V189" i="528"/>
  <c r="W189" i="528" s="1"/>
  <c r="N189" i="528"/>
  <c r="K189" i="528" a="1"/>
  <c r="K189" i="528" s="1"/>
  <c r="M189" i="528" s="1"/>
  <c r="J189" i="528" a="1"/>
  <c r="J189" i="528" s="1"/>
  <c r="H189" i="528"/>
  <c r="N188" i="528"/>
  <c r="K188" i="528"/>
  <c r="M188" i="528" s="1"/>
  <c r="K188" i="528" a="1"/>
  <c r="J188" i="528"/>
  <c r="J188" i="528" a="1"/>
  <c r="H188" i="528"/>
  <c r="N187" i="528"/>
  <c r="K187" i="528" a="1"/>
  <c r="K187" i="528" s="1"/>
  <c r="M187" i="528" s="1"/>
  <c r="J187" i="528" a="1"/>
  <c r="J187" i="528" s="1"/>
  <c r="H187" i="528"/>
  <c r="V186" i="528"/>
  <c r="W186" i="528" s="1"/>
  <c r="N186" i="528"/>
  <c r="K186" i="528" a="1"/>
  <c r="K186" i="528" s="1"/>
  <c r="M186" i="528" s="1"/>
  <c r="J186" i="528" a="1"/>
  <c r="J186" i="528" s="1"/>
  <c r="H186" i="528"/>
  <c r="V185" i="528"/>
  <c r="W185" i="528" s="1"/>
  <c r="N185" i="528"/>
  <c r="K185" i="528" a="1"/>
  <c r="K185" i="528" s="1"/>
  <c r="M185" i="528" s="1"/>
  <c r="J185" i="528" a="1"/>
  <c r="J185" i="528" s="1"/>
  <c r="H185" i="528"/>
  <c r="N184" i="528"/>
  <c r="K184" i="528"/>
  <c r="M184" i="528" s="1"/>
  <c r="K184" i="528" a="1"/>
  <c r="H184" i="528"/>
  <c r="N183" i="528"/>
  <c r="K183" i="528" a="1"/>
  <c r="K183" i="528" s="1"/>
  <c r="M183" i="528" s="1"/>
  <c r="H183" i="528"/>
  <c r="V182" i="528"/>
  <c r="W182" i="528" s="1"/>
  <c r="N182" i="528"/>
  <c r="K182" i="528" a="1"/>
  <c r="K182" i="528" s="1"/>
  <c r="M182" i="528" s="1"/>
  <c r="J182" i="528" a="1"/>
  <c r="J182" i="528" s="1"/>
  <c r="H182" i="528"/>
  <c r="V181" i="528"/>
  <c r="W181" i="528" s="1"/>
  <c r="N181" i="528"/>
  <c r="K181" i="528" a="1"/>
  <c r="K181" i="528" s="1"/>
  <c r="M181" i="528" s="1"/>
  <c r="J181" i="528" a="1"/>
  <c r="J181" i="528" s="1"/>
  <c r="H181" i="528"/>
  <c r="V180" i="528"/>
  <c r="W180" i="528" s="1"/>
  <c r="N180" i="528"/>
  <c r="K180" i="528" a="1"/>
  <c r="K180" i="528" s="1"/>
  <c r="M180" i="528" s="1"/>
  <c r="J180" i="528" a="1"/>
  <c r="J180" i="528" s="1"/>
  <c r="H180" i="528"/>
  <c r="V179" i="528"/>
  <c r="W179" i="528" s="1"/>
  <c r="N179" i="528"/>
  <c r="K179" i="528" a="1"/>
  <c r="K179" i="528" s="1"/>
  <c r="M179" i="528" s="1"/>
  <c r="J179" i="528" a="1"/>
  <c r="J179" i="528" s="1"/>
  <c r="H179" i="528"/>
  <c r="V178" i="528"/>
  <c r="W178" i="528" s="1"/>
  <c r="N178" i="528"/>
  <c r="K178" i="528" a="1"/>
  <c r="K178" i="528" s="1"/>
  <c r="M178" i="528" s="1"/>
  <c r="J178" i="528" a="1"/>
  <c r="J178" i="528" s="1"/>
  <c r="H178" i="528"/>
  <c r="V177" i="528"/>
  <c r="V198" i="528" s="1"/>
  <c r="N177" i="528"/>
  <c r="K177" i="528" a="1"/>
  <c r="K177" i="528" s="1"/>
  <c r="J177" i="528" a="1"/>
  <c r="J177" i="528" s="1"/>
  <c r="H177" i="528"/>
  <c r="H198" i="528" s="1"/>
  <c r="X170" i="528"/>
  <c r="Q526" i="528" s="1"/>
  <c r="X169" i="528"/>
  <c r="Q525" i="528" s="1"/>
  <c r="G169" i="528"/>
  <c r="C169" i="528"/>
  <c r="X168" i="528"/>
  <c r="Q524" i="528" s="1"/>
  <c r="I168" i="528"/>
  <c r="E168" i="528"/>
  <c r="K168" i="528" s="1"/>
  <c r="M168" i="528" s="1"/>
  <c r="I167" i="528"/>
  <c r="E167" i="528"/>
  <c r="K167" i="528" s="1"/>
  <c r="M167" i="528" s="1"/>
  <c r="I166" i="528"/>
  <c r="E166" i="528"/>
  <c r="K166" i="528" s="1"/>
  <c r="M166" i="528" s="1"/>
  <c r="X165" i="528"/>
  <c r="Q521" i="528" s="1"/>
  <c r="I165" i="528"/>
  <c r="I169" i="528" s="1"/>
  <c r="E165" i="528"/>
  <c r="K165" i="528" s="1"/>
  <c r="AA162" i="528"/>
  <c r="Z162" i="528"/>
  <c r="Y162" i="528"/>
  <c r="X162" i="528"/>
  <c r="U162" i="528"/>
  <c r="T162" i="528"/>
  <c r="S162" i="528"/>
  <c r="R162" i="528"/>
  <c r="Q162" i="528"/>
  <c r="P162" i="528"/>
  <c r="O162" i="528"/>
  <c r="R170" i="528" s="1"/>
  <c r="I162" i="528"/>
  <c r="G162" i="528"/>
  <c r="C526" i="528" s="1"/>
  <c r="H161" i="528"/>
  <c r="H160" i="528"/>
  <c r="H159" i="528"/>
  <c r="V158" i="528"/>
  <c r="W158" i="528" s="1"/>
  <c r="N158" i="528"/>
  <c r="K158" i="528"/>
  <c r="K158" i="528" a="1"/>
  <c r="J158" i="528" a="1"/>
  <c r="J158" i="528" s="1"/>
  <c r="H158" i="528"/>
  <c r="D158" i="528"/>
  <c r="V157" i="528"/>
  <c r="W157" i="528" s="1"/>
  <c r="N157" i="528"/>
  <c r="K157" i="528" a="1"/>
  <c r="K157" i="528" s="1"/>
  <c r="M157" i="528" s="1"/>
  <c r="J157" i="528" a="1"/>
  <c r="J157" i="528" s="1"/>
  <c r="H157" i="528"/>
  <c r="H156" i="528"/>
  <c r="H155" i="528"/>
  <c r="V154" i="528"/>
  <c r="W154" i="528" s="1"/>
  <c r="N154" i="528"/>
  <c r="K154" i="528" a="1"/>
  <c r="K154" i="528" s="1"/>
  <c r="M154" i="528" s="1"/>
  <c r="J154" i="528" a="1"/>
  <c r="J154" i="528" s="1"/>
  <c r="H154" i="528"/>
  <c r="V153" i="528"/>
  <c r="W153" i="528" s="1"/>
  <c r="N153" i="528"/>
  <c r="K153" i="528" a="1"/>
  <c r="K153" i="528" s="1"/>
  <c r="M153" i="528" s="1"/>
  <c r="J153" i="528" a="1"/>
  <c r="J153" i="528" s="1"/>
  <c r="H153" i="528"/>
  <c r="H152" i="528"/>
  <c r="V151" i="528"/>
  <c r="W151" i="528" s="1"/>
  <c r="N151" i="528"/>
  <c r="K151" i="528" a="1"/>
  <c r="K151" i="528" s="1"/>
  <c r="M151" i="528" s="1"/>
  <c r="J151" i="528" a="1"/>
  <c r="J151" i="528" s="1"/>
  <c r="H151" i="528"/>
  <c r="V150" i="528"/>
  <c r="W150" i="528" s="1"/>
  <c r="N150" i="528"/>
  <c r="K150" i="528" a="1"/>
  <c r="K150" i="528" s="1"/>
  <c r="M150" i="528" s="1"/>
  <c r="J150" i="528" a="1"/>
  <c r="J150" i="528" s="1"/>
  <c r="H150" i="528"/>
  <c r="V149" i="528"/>
  <c r="W149" i="528" s="1"/>
  <c r="N149" i="528"/>
  <c r="K149" i="528" a="1"/>
  <c r="K149" i="528" s="1"/>
  <c r="M149" i="528" s="1"/>
  <c r="J149" i="528" a="1"/>
  <c r="J149" i="528" s="1"/>
  <c r="H149" i="528"/>
  <c r="V148" i="528"/>
  <c r="N148" i="528"/>
  <c r="K148" i="528" a="1"/>
  <c r="K148" i="528" s="1"/>
  <c r="J148" i="528" a="1"/>
  <c r="J148" i="528" s="1"/>
  <c r="H148" i="528"/>
  <c r="AA147" i="528"/>
  <c r="Z147" i="528"/>
  <c r="Y147" i="528"/>
  <c r="X147" i="528"/>
  <c r="U147" i="528"/>
  <c r="T147" i="528"/>
  <c r="S147" i="528"/>
  <c r="Q147" i="528"/>
  <c r="P147" i="528"/>
  <c r="O147" i="528"/>
  <c r="R169" i="528" s="1"/>
  <c r="I147" i="528"/>
  <c r="G147" i="528"/>
  <c r="C525" i="528" s="1"/>
  <c r="V146" i="528"/>
  <c r="W146" i="528" s="1"/>
  <c r="N146" i="528"/>
  <c r="K146" i="528" a="1"/>
  <c r="K146" i="528" s="1"/>
  <c r="M146" i="528" s="1"/>
  <c r="J146" i="528" a="1"/>
  <c r="J146" i="528" s="1"/>
  <c r="H146" i="528"/>
  <c r="H144" i="528"/>
  <c r="H143" i="528"/>
  <c r="V142" i="528"/>
  <c r="W142" i="528" s="1"/>
  <c r="N142" i="528"/>
  <c r="K142" i="528" a="1"/>
  <c r="K142" i="528" s="1"/>
  <c r="M142" i="528" s="1"/>
  <c r="J142" i="528" a="1"/>
  <c r="J142" i="528" s="1"/>
  <c r="H142" i="528"/>
  <c r="V141" i="528"/>
  <c r="W141" i="528" s="1"/>
  <c r="N141" i="528"/>
  <c r="K141" i="528" a="1"/>
  <c r="K141" i="528" s="1"/>
  <c r="M141" i="528" s="1"/>
  <c r="J141" i="528" a="1"/>
  <c r="J141" i="528" s="1"/>
  <c r="H141" i="528"/>
  <c r="V140" i="528"/>
  <c r="W140" i="528" s="1"/>
  <c r="N140" i="528"/>
  <c r="K140" i="528" a="1"/>
  <c r="K140" i="528" s="1"/>
  <c r="M140" i="528" s="1"/>
  <c r="J140" i="528" a="1"/>
  <c r="J140" i="528" s="1"/>
  <c r="H140" i="528"/>
  <c r="V139" i="528"/>
  <c r="W139" i="528" s="1"/>
  <c r="N139" i="528"/>
  <c r="K139" i="528" a="1"/>
  <c r="K139" i="528" s="1"/>
  <c r="M139" i="528" s="1"/>
  <c r="J139" i="528" a="1"/>
  <c r="J139" i="528" s="1"/>
  <c r="H139" i="528"/>
  <c r="V138" i="528"/>
  <c r="V147" i="528" s="1"/>
  <c r="W147" i="528" s="1"/>
  <c r="N138" i="528"/>
  <c r="K138" i="528" a="1"/>
  <c r="K138" i="528" s="1"/>
  <c r="J138" i="528" a="1"/>
  <c r="J138" i="528" s="1"/>
  <c r="H138" i="528"/>
  <c r="H147" i="528" s="1"/>
  <c r="AA137" i="528"/>
  <c r="Z137" i="528"/>
  <c r="Y137" i="528"/>
  <c r="X137" i="528"/>
  <c r="U137" i="528"/>
  <c r="T137" i="528"/>
  <c r="S137" i="528"/>
  <c r="Q137" i="528"/>
  <c r="P137" i="528"/>
  <c r="O137" i="528"/>
  <c r="R168" i="528" s="1"/>
  <c r="I137" i="528"/>
  <c r="G137" i="528"/>
  <c r="C524" i="528" s="1"/>
  <c r="V136" i="528"/>
  <c r="W136" i="528" s="1"/>
  <c r="N136" i="528"/>
  <c r="K136" i="528" a="1"/>
  <c r="K136" i="528" s="1"/>
  <c r="M136" i="528" s="1"/>
  <c r="J136" i="528" a="1"/>
  <c r="J136" i="528" s="1"/>
  <c r="H136" i="528"/>
  <c r="V135" i="528"/>
  <c r="W135" i="528" s="1"/>
  <c r="N135" i="528"/>
  <c r="K135" i="528" a="1"/>
  <c r="K135" i="528" s="1"/>
  <c r="M135" i="528" s="1"/>
  <c r="J135" i="528" a="1"/>
  <c r="J135" i="528" s="1"/>
  <c r="H135" i="528"/>
  <c r="V134" i="528"/>
  <c r="W134" i="528" s="1"/>
  <c r="N134" i="528"/>
  <c r="K134" i="528" a="1"/>
  <c r="K134" i="528" s="1"/>
  <c r="M134" i="528" s="1"/>
  <c r="J134" i="528" a="1"/>
  <c r="J134" i="528" s="1"/>
  <c r="H134" i="528"/>
  <c r="V133" i="528"/>
  <c r="W133" i="528" s="1"/>
  <c r="N133" i="528"/>
  <c r="K133" i="528" a="1"/>
  <c r="K133" i="528" s="1"/>
  <c r="M133" i="528" s="1"/>
  <c r="J133" i="528" a="1"/>
  <c r="J133" i="528" s="1"/>
  <c r="H133" i="528"/>
  <c r="V132" i="528"/>
  <c r="W132" i="528" s="1"/>
  <c r="N132" i="528"/>
  <c r="K132" i="528" a="1"/>
  <c r="K132" i="528" s="1"/>
  <c r="M132" i="528" s="1"/>
  <c r="J132" i="528" a="1"/>
  <c r="J132" i="528" s="1"/>
  <c r="H132" i="528"/>
  <c r="V131" i="528"/>
  <c r="W131" i="528" s="1"/>
  <c r="N131" i="528"/>
  <c r="K131" i="528" a="1"/>
  <c r="K131" i="528" s="1"/>
  <c r="M131" i="528" s="1"/>
  <c r="J131" i="528" a="1"/>
  <c r="J131" i="528" s="1"/>
  <c r="H131" i="528"/>
  <c r="V130" i="528"/>
  <c r="W130" i="528" s="1"/>
  <c r="N130" i="528"/>
  <c r="K130" i="528" a="1"/>
  <c r="K130" i="528" s="1"/>
  <c r="M130" i="528" s="1"/>
  <c r="J130" i="528" a="1"/>
  <c r="J130" i="528" s="1"/>
  <c r="H130" i="528"/>
  <c r="V129" i="528"/>
  <c r="W129" i="528" s="1"/>
  <c r="N129" i="528"/>
  <c r="K129" i="528" a="1"/>
  <c r="K129" i="528" s="1"/>
  <c r="M129" i="528" s="1"/>
  <c r="J129" i="528" a="1"/>
  <c r="J129" i="528" s="1"/>
  <c r="H129" i="528"/>
  <c r="V128" i="528"/>
  <c r="W128" i="528" s="1"/>
  <c r="N128" i="528"/>
  <c r="K128" i="528"/>
  <c r="M128" i="528" s="1"/>
  <c r="K128" i="528" a="1"/>
  <c r="J128" i="528"/>
  <c r="J128" i="528" a="1"/>
  <c r="H128" i="528"/>
  <c r="V127" i="528"/>
  <c r="W127" i="528" s="1"/>
  <c r="N127" i="528"/>
  <c r="K127" i="528" a="1"/>
  <c r="K127" i="528" s="1"/>
  <c r="M127" i="528" s="1"/>
  <c r="J127" i="528" a="1"/>
  <c r="J127" i="528" s="1"/>
  <c r="H127" i="528"/>
  <c r="V126" i="528"/>
  <c r="W126" i="528" s="1"/>
  <c r="N126" i="528"/>
  <c r="K126" i="528"/>
  <c r="M126" i="528" s="1"/>
  <c r="K126" i="528" a="1"/>
  <c r="J126" i="528"/>
  <c r="J126" i="528" a="1"/>
  <c r="H126" i="528"/>
  <c r="V125" i="528"/>
  <c r="W125" i="528" s="1"/>
  <c r="N125" i="528"/>
  <c r="K125" i="528" a="1"/>
  <c r="K125" i="528" s="1"/>
  <c r="M125" i="528" s="1"/>
  <c r="J125" i="528" a="1"/>
  <c r="J125" i="528" s="1"/>
  <c r="H125" i="528"/>
  <c r="V124" i="528"/>
  <c r="W124" i="528" s="1"/>
  <c r="N124" i="528"/>
  <c r="K124" i="528"/>
  <c r="M124" i="528" s="1"/>
  <c r="K124" i="528" a="1"/>
  <c r="J124" i="528"/>
  <c r="J124" i="528" a="1"/>
  <c r="H124" i="528"/>
  <c r="V123" i="528"/>
  <c r="W123" i="528" s="1"/>
  <c r="N123" i="528"/>
  <c r="K123" i="528" a="1"/>
  <c r="K123" i="528" s="1"/>
  <c r="M123" i="528" s="1"/>
  <c r="J123" i="528" a="1"/>
  <c r="J123" i="528" s="1"/>
  <c r="H123" i="528"/>
  <c r="V122" i="528"/>
  <c r="V137" i="528" s="1"/>
  <c r="W137" i="528" s="1"/>
  <c r="N122" i="528"/>
  <c r="K122" i="528"/>
  <c r="K122" i="528" a="1"/>
  <c r="J122" i="528"/>
  <c r="J122" i="528" a="1"/>
  <c r="H122" i="528"/>
  <c r="H137" i="528" s="1"/>
  <c r="AA121" i="528"/>
  <c r="Z121" i="528"/>
  <c r="Y121" i="528"/>
  <c r="X121" i="528"/>
  <c r="U121" i="528"/>
  <c r="T121" i="528"/>
  <c r="S121" i="528"/>
  <c r="R121" i="528"/>
  <c r="Q121" i="528"/>
  <c r="P121" i="528"/>
  <c r="O121" i="528"/>
  <c r="R167" i="528" s="1"/>
  <c r="I121" i="528"/>
  <c r="G121" i="528"/>
  <c r="C523" i="528" s="1"/>
  <c r="V120" i="528"/>
  <c r="W120" i="528" s="1"/>
  <c r="N120" i="528"/>
  <c r="K120" i="528" a="1"/>
  <c r="K120" i="528" s="1"/>
  <c r="M120" i="528" s="1"/>
  <c r="J120" i="528" a="1"/>
  <c r="J120" i="528" s="1"/>
  <c r="H120" i="528"/>
  <c r="V119" i="528"/>
  <c r="W119" i="528" s="1"/>
  <c r="N119" i="528"/>
  <c r="K119" i="528" a="1"/>
  <c r="K119" i="528" s="1"/>
  <c r="M119" i="528" s="1"/>
  <c r="J119" i="528" a="1"/>
  <c r="J119" i="528" s="1"/>
  <c r="H119" i="528"/>
  <c r="V118" i="528"/>
  <c r="W118" i="528" s="1"/>
  <c r="N118" i="528"/>
  <c r="K118" i="528" a="1"/>
  <c r="K118" i="528" s="1"/>
  <c r="M118" i="528" s="1"/>
  <c r="J118" i="528" a="1"/>
  <c r="J118" i="528" s="1"/>
  <c r="H118" i="528"/>
  <c r="K117" i="528" a="1"/>
  <c r="K117" i="528" s="1"/>
  <c r="H117" i="528"/>
  <c r="K116" i="528" a="1"/>
  <c r="K116" i="528" s="1"/>
  <c r="H116" i="528"/>
  <c r="K115" i="528"/>
  <c r="K115" i="528" a="1"/>
  <c r="H115" i="528"/>
  <c r="V114" i="528"/>
  <c r="W114" i="528" s="1"/>
  <c r="N114" i="528"/>
  <c r="K114" i="528" a="1"/>
  <c r="K114" i="528" s="1"/>
  <c r="M114" i="528" s="1"/>
  <c r="J114" i="528" a="1"/>
  <c r="J114" i="528" s="1"/>
  <c r="H114" i="528"/>
  <c r="V113" i="528"/>
  <c r="W113" i="528" s="1"/>
  <c r="N113" i="528"/>
  <c r="K113" i="528" a="1"/>
  <c r="K113" i="528" s="1"/>
  <c r="M113" i="528" s="1"/>
  <c r="J113" i="528" a="1"/>
  <c r="J113" i="528" s="1"/>
  <c r="H113" i="528"/>
  <c r="N112" i="528"/>
  <c r="K112" i="528" a="1"/>
  <c r="K112" i="528" s="1"/>
  <c r="M112" i="528" s="1"/>
  <c r="H112" i="528"/>
  <c r="N111" i="528"/>
  <c r="K111" i="528" a="1"/>
  <c r="K111" i="528" s="1"/>
  <c r="M111" i="528" s="1"/>
  <c r="H111" i="528"/>
  <c r="N110" i="528"/>
  <c r="K110" i="528" a="1"/>
  <c r="K110" i="528" s="1"/>
  <c r="M110" i="528" s="1"/>
  <c r="H110" i="528"/>
  <c r="N109" i="528"/>
  <c r="K109" i="528" a="1"/>
  <c r="K109" i="528" s="1"/>
  <c r="M109" i="528" s="1"/>
  <c r="H109" i="528"/>
  <c r="N108" i="528"/>
  <c r="K108" i="528" a="1"/>
  <c r="K108" i="528" s="1"/>
  <c r="M108" i="528" s="1"/>
  <c r="H108" i="528"/>
  <c r="N107" i="528"/>
  <c r="K107" i="528" a="1"/>
  <c r="K107" i="528" s="1"/>
  <c r="M107" i="528" s="1"/>
  <c r="H107" i="528"/>
  <c r="V106" i="528"/>
  <c r="W106" i="528" s="1"/>
  <c r="N106" i="528"/>
  <c r="K106" i="528" a="1"/>
  <c r="K106" i="528" s="1"/>
  <c r="M106" i="528" s="1"/>
  <c r="J106" i="528" a="1"/>
  <c r="J106" i="528" s="1"/>
  <c r="H106" i="528"/>
  <c r="V105" i="528"/>
  <c r="W105" i="528" s="1"/>
  <c r="N105" i="528"/>
  <c r="K105" i="528" a="1"/>
  <c r="K105" i="528" s="1"/>
  <c r="M105" i="528" s="1"/>
  <c r="J105" i="528" a="1"/>
  <c r="J105" i="528" s="1"/>
  <c r="H105" i="528"/>
  <c r="V104" i="528"/>
  <c r="W104" i="528" s="1"/>
  <c r="N104" i="528"/>
  <c r="K104" i="528" a="1"/>
  <c r="K104" i="528" s="1"/>
  <c r="M104" i="528" s="1"/>
  <c r="J104" i="528" a="1"/>
  <c r="J104" i="528" s="1"/>
  <c r="H104" i="528"/>
  <c r="V103" i="528"/>
  <c r="W103" i="528" s="1"/>
  <c r="N103" i="528"/>
  <c r="K103" i="528" a="1"/>
  <c r="K103" i="528" s="1"/>
  <c r="M103" i="528" s="1"/>
  <c r="J103" i="528" a="1"/>
  <c r="J103" i="528" s="1"/>
  <c r="H103" i="528"/>
  <c r="V102" i="528"/>
  <c r="W102" i="528" s="1"/>
  <c r="N102" i="528"/>
  <c r="K102" i="528" a="1"/>
  <c r="K102" i="528" s="1"/>
  <c r="M102" i="528" s="1"/>
  <c r="J102" i="528" a="1"/>
  <c r="J102" i="528" s="1"/>
  <c r="H102" i="528"/>
  <c r="V101" i="528"/>
  <c r="W101" i="528" s="1"/>
  <c r="N101" i="528"/>
  <c r="K101" i="528" a="1"/>
  <c r="K101" i="528" s="1"/>
  <c r="M101" i="528" s="1"/>
  <c r="J101" i="528" a="1"/>
  <c r="J101" i="528" s="1"/>
  <c r="H101" i="528"/>
  <c r="V100" i="528"/>
  <c r="W100" i="528" s="1"/>
  <c r="N100" i="528"/>
  <c r="K100" i="528" a="1"/>
  <c r="K100" i="528" s="1"/>
  <c r="M100" i="528" s="1"/>
  <c r="J100" i="528" a="1"/>
  <c r="J100" i="528" s="1"/>
  <c r="H100" i="528"/>
  <c r="V99" i="528"/>
  <c r="W99" i="528" s="1"/>
  <c r="N99" i="528"/>
  <c r="K99" i="528" a="1"/>
  <c r="K99" i="528" s="1"/>
  <c r="M99" i="528" s="1"/>
  <c r="J99" i="528" a="1"/>
  <c r="J99" i="528" s="1"/>
  <c r="H99" i="528"/>
  <c r="V98" i="528"/>
  <c r="W98" i="528" s="1"/>
  <c r="N98" i="528"/>
  <c r="K98" i="528" a="1"/>
  <c r="K98" i="528" s="1"/>
  <c r="M98" i="528" s="1"/>
  <c r="J98" i="528" a="1"/>
  <c r="J98" i="528" s="1"/>
  <c r="H98" i="528"/>
  <c r="V97" i="528"/>
  <c r="W97" i="528" s="1"/>
  <c r="N97" i="528"/>
  <c r="K97" i="528" a="1"/>
  <c r="K97" i="528" s="1"/>
  <c r="M97" i="528" s="1"/>
  <c r="J97" i="528" a="1"/>
  <c r="J97" i="528" s="1"/>
  <c r="H97" i="528"/>
  <c r="V96" i="528"/>
  <c r="W96" i="528" s="1"/>
  <c r="N96" i="528"/>
  <c r="K96" i="528" a="1"/>
  <c r="K96" i="528" s="1"/>
  <c r="M96" i="528" s="1"/>
  <c r="J96" i="528" a="1"/>
  <c r="J96" i="528" s="1"/>
  <c r="H96" i="528"/>
  <c r="V95" i="528"/>
  <c r="W95" i="528" s="1"/>
  <c r="N95" i="528"/>
  <c r="K95" i="528" a="1"/>
  <c r="K95" i="528" s="1"/>
  <c r="M95" i="528" s="1"/>
  <c r="J95" i="528" a="1"/>
  <c r="J95" i="528" s="1"/>
  <c r="H95" i="528"/>
  <c r="K94" i="528"/>
  <c r="M94" i="528" s="1"/>
  <c r="K94" i="528" a="1"/>
  <c r="H94" i="528"/>
  <c r="V93" i="528"/>
  <c r="W93" i="528" s="1"/>
  <c r="N93" i="528"/>
  <c r="K93" i="528" a="1"/>
  <c r="K93" i="528" s="1"/>
  <c r="M93" i="528" s="1"/>
  <c r="J93" i="528" a="1"/>
  <c r="J93" i="528" s="1"/>
  <c r="H93" i="528"/>
  <c r="V92" i="528"/>
  <c r="W92" i="528" s="1"/>
  <c r="N92" i="528"/>
  <c r="K92" i="528"/>
  <c r="M92" i="528" s="1"/>
  <c r="K92" i="528" a="1"/>
  <c r="J92" i="528"/>
  <c r="J92" i="528" a="1"/>
  <c r="H92" i="528"/>
  <c r="V91" i="528"/>
  <c r="W91" i="528" s="1"/>
  <c r="N91" i="528"/>
  <c r="K91" i="528" a="1"/>
  <c r="K91" i="528" s="1"/>
  <c r="M91" i="528" s="1"/>
  <c r="J91" i="528" a="1"/>
  <c r="J91" i="528" s="1"/>
  <c r="H91" i="528"/>
  <c r="V90" i="528"/>
  <c r="W90" i="528" s="1"/>
  <c r="N90" i="528"/>
  <c r="K90" i="528"/>
  <c r="M90" i="528" s="1"/>
  <c r="K90" i="528" a="1"/>
  <c r="J90" i="528"/>
  <c r="J90" i="528" a="1"/>
  <c r="H90" i="528"/>
  <c r="V89" i="528"/>
  <c r="W89" i="528" s="1"/>
  <c r="N89" i="528"/>
  <c r="K89" i="528" a="1"/>
  <c r="K89" i="528" s="1"/>
  <c r="M89" i="528" s="1"/>
  <c r="J89" i="528" a="1"/>
  <c r="J89" i="528" s="1"/>
  <c r="H89" i="528"/>
  <c r="V88" i="528"/>
  <c r="W88" i="528" s="1"/>
  <c r="N88" i="528"/>
  <c r="K88" i="528"/>
  <c r="M88" i="528" s="1"/>
  <c r="K88" i="528" a="1"/>
  <c r="J88" i="528"/>
  <c r="J88" i="528" a="1"/>
  <c r="H88" i="528"/>
  <c r="V87" i="528"/>
  <c r="N87" i="528"/>
  <c r="N121" i="528" s="1"/>
  <c r="K87" i="528" a="1"/>
  <c r="K87" i="528" s="1"/>
  <c r="J87" i="528" a="1"/>
  <c r="J87" i="528" s="1"/>
  <c r="H87" i="528"/>
  <c r="AA86" i="528"/>
  <c r="Z86" i="528"/>
  <c r="Y86" i="528"/>
  <c r="X86" i="528"/>
  <c r="U86" i="528"/>
  <c r="T86" i="528"/>
  <c r="S86" i="528"/>
  <c r="R86" i="528"/>
  <c r="Q86" i="528"/>
  <c r="P86" i="528"/>
  <c r="O86" i="528"/>
  <c r="R166" i="528" s="1"/>
  <c r="I86" i="528"/>
  <c r="G86" i="528"/>
  <c r="C522" i="528" s="1"/>
  <c r="K85" i="528" a="1"/>
  <c r="K85" i="528" s="1"/>
  <c r="H85" i="528"/>
  <c r="K84" i="528"/>
  <c r="K84" i="528" a="1"/>
  <c r="H84" i="528"/>
  <c r="K83" i="528" a="1"/>
  <c r="K83" i="528" s="1"/>
  <c r="H83" i="528"/>
  <c r="K82" i="528" a="1"/>
  <c r="K82" i="528" s="1"/>
  <c r="H82" i="528"/>
  <c r="K81" i="528" a="1"/>
  <c r="K81" i="528" s="1"/>
  <c r="H81" i="528"/>
  <c r="K80" i="528" a="1"/>
  <c r="K80" i="528" s="1"/>
  <c r="H80" i="528"/>
  <c r="K79" i="528" a="1"/>
  <c r="K79" i="528" s="1"/>
  <c r="M79" i="528" s="1"/>
  <c r="H79" i="528"/>
  <c r="K78" i="528" a="1"/>
  <c r="K78" i="528" s="1"/>
  <c r="M78" i="528" s="1"/>
  <c r="H78" i="528"/>
  <c r="K77" i="528" a="1"/>
  <c r="K77" i="528" s="1"/>
  <c r="M77" i="528" s="1"/>
  <c r="H77" i="528"/>
  <c r="K76" i="528" a="1"/>
  <c r="K76" i="528" s="1"/>
  <c r="M76" i="528" s="1"/>
  <c r="H76" i="528"/>
  <c r="W75" i="528"/>
  <c r="V75" i="528"/>
  <c r="N75" i="528"/>
  <c r="K75" i="528" a="1"/>
  <c r="K75" i="528" s="1"/>
  <c r="M75" i="528" s="1"/>
  <c r="J75" i="528" a="1"/>
  <c r="J75" i="528" s="1"/>
  <c r="H75" i="528"/>
  <c r="V74" i="528"/>
  <c r="W74" i="528" s="1"/>
  <c r="N74" i="528"/>
  <c r="K74" i="528" a="1"/>
  <c r="K74" i="528" s="1"/>
  <c r="M74" i="528" s="1"/>
  <c r="J74" i="528" a="1"/>
  <c r="J74" i="528" s="1"/>
  <c r="H74" i="528"/>
  <c r="V73" i="528"/>
  <c r="W73" i="528" s="1"/>
  <c r="N73" i="528"/>
  <c r="K73" i="528" a="1"/>
  <c r="K73" i="528" s="1"/>
  <c r="M73" i="528" s="1"/>
  <c r="J73" i="528" a="1"/>
  <c r="J73" i="528" s="1"/>
  <c r="H73" i="528"/>
  <c r="V72" i="528"/>
  <c r="W72" i="528" s="1"/>
  <c r="N72" i="528"/>
  <c r="K72" i="528" a="1"/>
  <c r="K72" i="528" s="1"/>
  <c r="M72" i="528" s="1"/>
  <c r="J72" i="528" a="1"/>
  <c r="J72" i="528" s="1"/>
  <c r="H72" i="528"/>
  <c r="H71" i="528"/>
  <c r="V70" i="528"/>
  <c r="W70" i="528" s="1"/>
  <c r="N70" i="528"/>
  <c r="K70" i="528" a="1"/>
  <c r="K70" i="528" s="1"/>
  <c r="M70" i="528" s="1"/>
  <c r="J70" i="528" a="1"/>
  <c r="J70" i="528" s="1"/>
  <c r="H70" i="528"/>
  <c r="V69" i="528"/>
  <c r="W69" i="528" s="1"/>
  <c r="N69" i="528"/>
  <c r="K69" i="528" a="1"/>
  <c r="K69" i="528" s="1"/>
  <c r="M69" i="528" s="1"/>
  <c r="J69" i="528" a="1"/>
  <c r="J69" i="528" s="1"/>
  <c r="H69" i="528"/>
  <c r="K68" i="528" a="1"/>
  <c r="K68" i="528" s="1"/>
  <c r="H68" i="528"/>
  <c r="K67" i="528"/>
  <c r="K67" i="528" a="1"/>
  <c r="H67" i="528"/>
  <c r="V66" i="528"/>
  <c r="W66" i="528" s="1"/>
  <c r="N66" i="528"/>
  <c r="K66" i="528" a="1"/>
  <c r="K66" i="528" s="1"/>
  <c r="M66" i="528" s="1"/>
  <c r="J66" i="528" a="1"/>
  <c r="J66" i="528" s="1"/>
  <c r="H66" i="528"/>
  <c r="V65" i="528"/>
  <c r="W65" i="528" s="1"/>
  <c r="N65" i="528"/>
  <c r="K65" i="528"/>
  <c r="M65" i="528" s="1"/>
  <c r="K65" i="528" a="1"/>
  <c r="J65" i="528"/>
  <c r="J65" i="528" a="1"/>
  <c r="H65" i="528"/>
  <c r="V64" i="528"/>
  <c r="W64" i="528" s="1"/>
  <c r="N64" i="528"/>
  <c r="K64" i="528" a="1"/>
  <c r="K64" i="528" s="1"/>
  <c r="M64" i="528" s="1"/>
  <c r="J64" i="528" a="1"/>
  <c r="J64" i="528" s="1"/>
  <c r="H64" i="528"/>
  <c r="V63" i="528"/>
  <c r="W63" i="528" s="1"/>
  <c r="N63" i="528"/>
  <c r="K63" i="528" a="1"/>
  <c r="K63" i="528" s="1"/>
  <c r="M63" i="528" s="1"/>
  <c r="J63" i="528" a="1"/>
  <c r="J63" i="528" s="1"/>
  <c r="H63" i="528"/>
  <c r="V62" i="528"/>
  <c r="W62" i="528" s="1"/>
  <c r="N62" i="528"/>
  <c r="K62" i="528" a="1"/>
  <c r="K62" i="528" s="1"/>
  <c r="M62" i="528" s="1"/>
  <c r="J62" i="528" a="1"/>
  <c r="J62" i="528" s="1"/>
  <c r="H62" i="528"/>
  <c r="V61" i="528"/>
  <c r="W61" i="528" s="1"/>
  <c r="N61" i="528"/>
  <c r="K61" i="528" a="1"/>
  <c r="K61" i="528" s="1"/>
  <c r="M61" i="528" s="1"/>
  <c r="J61" i="528" a="1"/>
  <c r="J61" i="528" s="1"/>
  <c r="H61" i="528"/>
  <c r="V60" i="528"/>
  <c r="W60" i="528" s="1"/>
  <c r="N60" i="528"/>
  <c r="K60" i="528" a="1"/>
  <c r="K60" i="528" s="1"/>
  <c r="M60" i="528" s="1"/>
  <c r="J60" i="528" a="1"/>
  <c r="J60" i="528" s="1"/>
  <c r="H60" i="528"/>
  <c r="V59" i="528"/>
  <c r="W59" i="528" s="1"/>
  <c r="N59" i="528"/>
  <c r="K59" i="528" a="1"/>
  <c r="K59" i="528" s="1"/>
  <c r="M59" i="528" s="1"/>
  <c r="J59" i="528" a="1"/>
  <c r="J59" i="528" s="1"/>
  <c r="H59" i="528"/>
  <c r="V58" i="528"/>
  <c r="W58" i="528" s="1"/>
  <c r="N58" i="528"/>
  <c r="K58" i="528" a="1"/>
  <c r="K58" i="528" s="1"/>
  <c r="M58" i="528" s="1"/>
  <c r="J58" i="528" a="1"/>
  <c r="J58" i="528" s="1"/>
  <c r="H58" i="528"/>
  <c r="V57" i="528"/>
  <c r="W57" i="528" s="1"/>
  <c r="N57" i="528"/>
  <c r="K57" i="528" a="1"/>
  <c r="K57" i="528" s="1"/>
  <c r="M57" i="528" s="1"/>
  <c r="J57" i="528" a="1"/>
  <c r="J57" i="528" s="1"/>
  <c r="H57" i="528"/>
  <c r="K56" i="528"/>
  <c r="M56" i="528" s="1"/>
  <c r="K56" i="528" a="1"/>
  <c r="H56" i="528"/>
  <c r="K55" i="528" a="1"/>
  <c r="K55" i="528" s="1"/>
  <c r="M55" i="528" s="1"/>
  <c r="H55" i="528"/>
  <c r="K54" i="528" a="1"/>
  <c r="K54" i="528" s="1"/>
  <c r="M54" i="528" s="1"/>
  <c r="H54" i="528"/>
  <c r="K53" i="528" a="1"/>
  <c r="K53" i="528" s="1"/>
  <c r="M53" i="528" s="1"/>
  <c r="H53" i="528"/>
  <c r="N52" i="528"/>
  <c r="K52" i="528" a="1"/>
  <c r="K52" i="528" s="1"/>
  <c r="M52" i="528" s="1"/>
  <c r="H52" i="528"/>
  <c r="N51" i="528"/>
  <c r="K51" i="528" a="1"/>
  <c r="K51" i="528" s="1"/>
  <c r="M51" i="528" s="1"/>
  <c r="H51" i="528"/>
  <c r="N50" i="528"/>
  <c r="K50" i="528" a="1"/>
  <c r="K50" i="528" s="1"/>
  <c r="M50" i="528" s="1"/>
  <c r="H50" i="528"/>
  <c r="N49" i="528"/>
  <c r="K49" i="528" a="1"/>
  <c r="K49" i="528" s="1"/>
  <c r="M49" i="528" s="1"/>
  <c r="H49" i="528"/>
  <c r="V48" i="528"/>
  <c r="W48" i="528" s="1"/>
  <c r="N48" i="528"/>
  <c r="K48" i="528"/>
  <c r="M48" i="528" s="1"/>
  <c r="K48" i="528" a="1"/>
  <c r="J48" i="528"/>
  <c r="J48" i="528" a="1"/>
  <c r="H48" i="528"/>
  <c r="V47" i="528"/>
  <c r="W47" i="528" s="1"/>
  <c r="N47" i="528"/>
  <c r="K47" i="528" a="1"/>
  <c r="K47" i="528" s="1"/>
  <c r="M47" i="528" s="1"/>
  <c r="J47" i="528" a="1"/>
  <c r="J47" i="528" s="1"/>
  <c r="H47" i="528"/>
  <c r="V46" i="528"/>
  <c r="W46" i="528" s="1"/>
  <c r="N46" i="528"/>
  <c r="K46" i="528" a="1"/>
  <c r="K46" i="528" s="1"/>
  <c r="M46" i="528" s="1"/>
  <c r="J46" i="528" a="1"/>
  <c r="J46" i="528" s="1"/>
  <c r="H46" i="528"/>
  <c r="V45" i="528"/>
  <c r="W45" i="528" s="1"/>
  <c r="N45" i="528"/>
  <c r="K45" i="528" a="1"/>
  <c r="K45" i="528" s="1"/>
  <c r="M45" i="528" s="1"/>
  <c r="J45" i="528" a="1"/>
  <c r="J45" i="528" s="1"/>
  <c r="H45" i="528"/>
  <c r="V44" i="528"/>
  <c r="W44" i="528" s="1"/>
  <c r="N44" i="528"/>
  <c r="K44" i="528" a="1"/>
  <c r="K44" i="528" s="1"/>
  <c r="M44" i="528" s="1"/>
  <c r="J44" i="528" a="1"/>
  <c r="J44" i="528" s="1"/>
  <c r="H44" i="528"/>
  <c r="V43" i="528"/>
  <c r="W43" i="528" s="1"/>
  <c r="N43" i="528"/>
  <c r="K43" i="528" a="1"/>
  <c r="K43" i="528" s="1"/>
  <c r="M43" i="528" s="1"/>
  <c r="J43" i="528" a="1"/>
  <c r="J43" i="528" s="1"/>
  <c r="H43" i="528"/>
  <c r="V42" i="528"/>
  <c r="W42" i="528" s="1"/>
  <c r="N42" i="528"/>
  <c r="K42" i="528" a="1"/>
  <c r="K42" i="528" s="1"/>
  <c r="M42" i="528" s="1"/>
  <c r="J42" i="528" a="1"/>
  <c r="J42" i="528" s="1"/>
  <c r="H42" i="528"/>
  <c r="V41" i="528"/>
  <c r="W41" i="528" s="1"/>
  <c r="N41" i="528"/>
  <c r="K41" i="528" a="1"/>
  <c r="K41" i="528" s="1"/>
  <c r="M41" i="528" s="1"/>
  <c r="J41" i="528" a="1"/>
  <c r="J41" i="528" s="1"/>
  <c r="H41" i="528"/>
  <c r="V40" i="528"/>
  <c r="W40" i="528" s="1"/>
  <c r="N40" i="528"/>
  <c r="K40" i="528" a="1"/>
  <c r="K40" i="528" s="1"/>
  <c r="M40" i="528" s="1"/>
  <c r="J40" i="528" a="1"/>
  <c r="J40" i="528" s="1"/>
  <c r="H40" i="528"/>
  <c r="V39" i="528"/>
  <c r="W39" i="528" s="1"/>
  <c r="N39" i="528"/>
  <c r="K39" i="528" a="1"/>
  <c r="K39" i="528" s="1"/>
  <c r="M39" i="528" s="1"/>
  <c r="J39" i="528" a="1"/>
  <c r="J39" i="528" s="1"/>
  <c r="H39" i="528"/>
  <c r="V38" i="528"/>
  <c r="W38" i="528" s="1"/>
  <c r="N38" i="528"/>
  <c r="K38" i="528" a="1"/>
  <c r="K38" i="528" s="1"/>
  <c r="M38" i="528" s="1"/>
  <c r="J38" i="528" a="1"/>
  <c r="J38" i="528" s="1"/>
  <c r="H38" i="528"/>
  <c r="V37" i="528"/>
  <c r="W37" i="528" s="1"/>
  <c r="N37" i="528"/>
  <c r="K37" i="528" a="1"/>
  <c r="K37" i="528" s="1"/>
  <c r="M37" i="528" s="1"/>
  <c r="J37" i="528" a="1"/>
  <c r="J37" i="528" s="1"/>
  <c r="H37" i="528"/>
  <c r="H36" i="528"/>
  <c r="H35" i="528"/>
  <c r="H34" i="528"/>
  <c r="V33" i="528"/>
  <c r="W33" i="528" s="1"/>
  <c r="N33" i="528"/>
  <c r="K33" i="528" a="1"/>
  <c r="K33" i="528" s="1"/>
  <c r="M33" i="528" s="1"/>
  <c r="J33" i="528" a="1"/>
  <c r="J33" i="528" s="1"/>
  <c r="H33" i="528"/>
  <c r="V32" i="528"/>
  <c r="W32" i="528" s="1"/>
  <c r="N32" i="528"/>
  <c r="K32" i="528" a="1"/>
  <c r="K32" i="528" s="1"/>
  <c r="M32" i="528" s="1"/>
  <c r="J32" i="528" a="1"/>
  <c r="J32" i="528" s="1"/>
  <c r="H32" i="528"/>
  <c r="V31" i="528"/>
  <c r="W31" i="528" s="1"/>
  <c r="N31" i="528"/>
  <c r="K31" i="528" a="1"/>
  <c r="K31" i="528" s="1"/>
  <c r="M31" i="528" s="1"/>
  <c r="J31" i="528" a="1"/>
  <c r="J31" i="528" s="1"/>
  <c r="H31" i="528"/>
  <c r="K30" i="528" a="1"/>
  <c r="K30" i="528" s="1"/>
  <c r="H30" i="528"/>
  <c r="V29" i="528"/>
  <c r="N29" i="528"/>
  <c r="K29" i="528" a="1"/>
  <c r="K29" i="528" s="1"/>
  <c r="J29" i="528" a="1"/>
  <c r="J29" i="528" s="1"/>
  <c r="H29" i="528"/>
  <c r="AA28" i="528"/>
  <c r="AA163" i="528" s="1"/>
  <c r="Z28" i="528"/>
  <c r="Z163" i="528" s="1"/>
  <c r="Y28" i="528"/>
  <c r="Y163" i="528" s="1"/>
  <c r="X28" i="528"/>
  <c r="X163" i="528" s="1"/>
  <c r="U28" i="528"/>
  <c r="U163" i="528" s="1"/>
  <c r="T28" i="528"/>
  <c r="T163" i="528" s="1"/>
  <c r="S28" i="528"/>
  <c r="S163" i="528" s="1"/>
  <c r="R28" i="528"/>
  <c r="R163" i="528" s="1"/>
  <c r="Q28" i="528"/>
  <c r="Q163" i="528" s="1"/>
  <c r="P28" i="528"/>
  <c r="X166" i="528" s="1"/>
  <c r="O28" i="528"/>
  <c r="R165" i="528" s="1"/>
  <c r="I28" i="528"/>
  <c r="I163" i="528" s="1"/>
  <c r="B171" i="528" s="1"/>
  <c r="G28" i="528"/>
  <c r="C521" i="528" s="1"/>
  <c r="V27" i="528"/>
  <c r="W27" i="528" s="1"/>
  <c r="N27" i="528"/>
  <c r="K27" i="528" a="1"/>
  <c r="K27" i="528" s="1"/>
  <c r="M27" i="528" s="1"/>
  <c r="J27" i="528" a="1"/>
  <c r="J27" i="528" s="1"/>
  <c r="H27" i="528"/>
  <c r="V26" i="528"/>
  <c r="W26" i="528" s="1"/>
  <c r="N26" i="528"/>
  <c r="K26" i="528" a="1"/>
  <c r="K26" i="528" s="1"/>
  <c r="M26" i="528" s="1"/>
  <c r="J26" i="528" a="1"/>
  <c r="J26" i="528" s="1"/>
  <c r="H26" i="528"/>
  <c r="K25" i="528"/>
  <c r="M25" i="528" s="1"/>
  <c r="K25" i="528" a="1"/>
  <c r="J25" i="528"/>
  <c r="J25" i="528" a="1"/>
  <c r="H25" i="528"/>
  <c r="K24" i="528" a="1"/>
  <c r="K24" i="528" s="1"/>
  <c r="M24" i="528" s="1"/>
  <c r="J24" i="528" a="1"/>
  <c r="J24" i="528" s="1"/>
  <c r="H24" i="528"/>
  <c r="K23" i="528"/>
  <c r="M23" i="528" s="1"/>
  <c r="K23" i="528" a="1"/>
  <c r="J23" i="528" a="1"/>
  <c r="J23" i="528" s="1"/>
  <c r="H23" i="528"/>
  <c r="K22" i="528" a="1"/>
  <c r="K22" i="528" s="1"/>
  <c r="M22" i="528" s="1"/>
  <c r="J22" i="528" a="1"/>
  <c r="J22" i="528" s="1"/>
  <c r="H22" i="528"/>
  <c r="V21" i="528"/>
  <c r="W21" i="528" s="1"/>
  <c r="N21" i="528"/>
  <c r="K21" i="528" a="1"/>
  <c r="K21" i="528" s="1"/>
  <c r="M21" i="528" s="1"/>
  <c r="J21" i="528" a="1"/>
  <c r="J21" i="528" s="1"/>
  <c r="H21" i="528"/>
  <c r="V20" i="528"/>
  <c r="W20" i="528" s="1"/>
  <c r="N20" i="528"/>
  <c r="K20" i="528" a="1"/>
  <c r="K20" i="528" s="1"/>
  <c r="M20" i="528" s="1"/>
  <c r="J20" i="528" a="1"/>
  <c r="J20" i="528" s="1"/>
  <c r="H20" i="528"/>
  <c r="V19" i="528"/>
  <c r="W19" i="528" s="1"/>
  <c r="N19" i="528"/>
  <c r="K19" i="528"/>
  <c r="M19" i="528" s="1"/>
  <c r="K19" i="528" a="1"/>
  <c r="J19" i="528"/>
  <c r="J19" i="528" a="1"/>
  <c r="H19" i="528"/>
  <c r="N18" i="528"/>
  <c r="K18" i="528" a="1"/>
  <c r="K18" i="528" s="1"/>
  <c r="M18" i="528" s="1"/>
  <c r="J18" i="528" a="1"/>
  <c r="J18" i="528" s="1"/>
  <c r="H18" i="528"/>
  <c r="N17" i="528"/>
  <c r="K17" i="528"/>
  <c r="M17" i="528" s="1"/>
  <c r="K17" i="528" a="1"/>
  <c r="J17" i="528"/>
  <c r="J17" i="528" a="1"/>
  <c r="H17" i="528"/>
  <c r="V16" i="528"/>
  <c r="W16" i="528" s="1"/>
  <c r="N16" i="528"/>
  <c r="K16" i="528" a="1"/>
  <c r="K16" i="528" s="1"/>
  <c r="M16" i="528" s="1"/>
  <c r="J16" i="528" a="1"/>
  <c r="J16" i="528" s="1"/>
  <c r="H16" i="528"/>
  <c r="W15" i="528"/>
  <c r="V15" i="528"/>
  <c r="N15" i="528"/>
  <c r="K15" i="528" a="1"/>
  <c r="K15" i="528" s="1"/>
  <c r="M15" i="528" s="1"/>
  <c r="J15" i="528" a="1"/>
  <c r="J15" i="528" s="1"/>
  <c r="H15" i="528"/>
  <c r="N14" i="528"/>
  <c r="K14" i="528" a="1"/>
  <c r="K14" i="528" s="1"/>
  <c r="M14" i="528" s="1"/>
  <c r="H14" i="528"/>
  <c r="N13" i="528"/>
  <c r="K13" i="528" a="1"/>
  <c r="K13" i="528" s="1"/>
  <c r="M13" i="528" s="1"/>
  <c r="H13" i="528"/>
  <c r="V12" i="528"/>
  <c r="W12" i="528" s="1"/>
  <c r="N12" i="528"/>
  <c r="K12" i="528" a="1"/>
  <c r="K12" i="528" s="1"/>
  <c r="M12" i="528" s="1"/>
  <c r="J12" i="528" a="1"/>
  <c r="J12" i="528" s="1"/>
  <c r="H12" i="528"/>
  <c r="V11" i="528"/>
  <c r="W11" i="528" s="1"/>
  <c r="N11" i="528"/>
  <c r="K11" i="528" a="1"/>
  <c r="K11" i="528" s="1"/>
  <c r="M11" i="528" s="1"/>
  <c r="J11" i="528" a="1"/>
  <c r="J11" i="528" s="1"/>
  <c r="H11" i="528"/>
  <c r="V10" i="528"/>
  <c r="W10" i="528" s="1"/>
  <c r="N10" i="528"/>
  <c r="K10" i="528" a="1"/>
  <c r="K10" i="528" s="1"/>
  <c r="M10" i="528" s="1"/>
  <c r="J10" i="528" a="1"/>
  <c r="J10" i="528" s="1"/>
  <c r="H10" i="528"/>
  <c r="V9" i="528"/>
  <c r="W9" i="528" s="1"/>
  <c r="N9" i="528"/>
  <c r="K9" i="528"/>
  <c r="M9" i="528" s="1"/>
  <c r="K9" i="528" a="1"/>
  <c r="J9" i="528"/>
  <c r="J9" i="528" a="1"/>
  <c r="H9" i="528"/>
  <c r="V8" i="528"/>
  <c r="W8" i="528" s="1"/>
  <c r="N8" i="528"/>
  <c r="K8" i="528" a="1"/>
  <c r="K8" i="528" s="1"/>
  <c r="M8" i="528" s="1"/>
  <c r="J8" i="528" a="1"/>
  <c r="J8" i="528" s="1"/>
  <c r="H8" i="528"/>
  <c r="V7" i="528"/>
  <c r="W7" i="528" s="1"/>
  <c r="N7" i="528"/>
  <c r="N28" i="528" s="1"/>
  <c r="K7" i="528" a="1"/>
  <c r="K7" i="528" s="1"/>
  <c r="J7" i="528" a="1"/>
  <c r="J7" i="528" s="1"/>
  <c r="H7" i="528"/>
  <c r="H28" i="528" s="1"/>
  <c r="M525" i="529" l="1"/>
  <c r="M522" i="529"/>
  <c r="M526" i="529"/>
  <c r="M524" i="529"/>
  <c r="M523" i="529"/>
  <c r="M521" i="529" a="1"/>
  <c r="M521" i="529" s="1"/>
  <c r="I341" i="529"/>
  <c r="M341" i="529" s="1"/>
  <c r="G517" i="529"/>
  <c r="S525" i="529"/>
  <c r="S521" i="529" a="1"/>
  <c r="S521" i="529" s="1"/>
  <c r="S524" i="529"/>
  <c r="S526" i="529"/>
  <c r="S522" i="529"/>
  <c r="J461" i="528" a="1"/>
  <c r="J461" i="528" s="1"/>
  <c r="J291" i="528" a="1"/>
  <c r="J291" i="528" s="1"/>
  <c r="J317" i="528" a="1"/>
  <c r="J317" i="528" s="1"/>
  <c r="J256" i="528" a="1"/>
  <c r="J256" i="528" s="1"/>
  <c r="J307" i="528" a="1"/>
  <c r="J307" i="528" s="1"/>
  <c r="R339" i="528"/>
  <c r="V256" i="528"/>
  <c r="W256" i="528" s="1"/>
  <c r="H256" i="528"/>
  <c r="N162" i="528"/>
  <c r="J162" i="528" a="1"/>
  <c r="J162" i="528" s="1"/>
  <c r="N147" i="528"/>
  <c r="N137" i="528"/>
  <c r="H121" i="528"/>
  <c r="V121" i="528"/>
  <c r="W121" i="528" s="1"/>
  <c r="N86" i="528"/>
  <c r="N163" i="528" s="1"/>
  <c r="B172" i="528" s="1"/>
  <c r="E172" i="528" s="1"/>
  <c r="H86" i="528"/>
  <c r="V86" i="528"/>
  <c r="W86" i="528" s="1"/>
  <c r="M368" i="528"/>
  <c r="N368" i="528"/>
  <c r="J368" i="528" a="1"/>
  <c r="J368" i="528" s="1"/>
  <c r="H426" i="528"/>
  <c r="V426" i="528"/>
  <c r="W426" i="528" s="1"/>
  <c r="H477" i="528"/>
  <c r="K477" i="528"/>
  <c r="M487" i="528"/>
  <c r="W478" i="528"/>
  <c r="V461" i="528"/>
  <c r="W461" i="528" s="1"/>
  <c r="J147" i="528" a="1"/>
  <c r="J147" i="528" s="1"/>
  <c r="W308" i="528"/>
  <c r="W369" i="528"/>
  <c r="N198" i="528"/>
  <c r="H307" i="528"/>
  <c r="W318" i="528"/>
  <c r="N477" i="528"/>
  <c r="N307" i="528"/>
  <c r="H162" i="528"/>
  <c r="H163" i="528" s="1"/>
  <c r="E170" i="528" s="1"/>
  <c r="V162" i="528"/>
  <c r="W162" i="528" s="1"/>
  <c r="W122" i="528"/>
  <c r="K137" i="528"/>
  <c r="J137" i="528" a="1"/>
  <c r="J137" i="528" s="1"/>
  <c r="K28" i="528"/>
  <c r="C517" i="528"/>
  <c r="Q522" i="528"/>
  <c r="K86" i="528"/>
  <c r="M29" i="528"/>
  <c r="M86" i="528" s="1"/>
  <c r="K121" i="528"/>
  <c r="M87" i="528"/>
  <c r="M121" i="528" s="1"/>
  <c r="K524" i="528"/>
  <c r="K147" i="528"/>
  <c r="M138" i="528"/>
  <c r="M147" i="528" s="1"/>
  <c r="K525" i="528"/>
  <c r="K162" i="528"/>
  <c r="M148" i="528"/>
  <c r="M162" i="528" s="1"/>
  <c r="K526" i="528"/>
  <c r="M199" i="528"/>
  <c r="M256" i="528" s="1"/>
  <c r="K256" i="528"/>
  <c r="K291" i="528"/>
  <c r="M257" i="528"/>
  <c r="M291" i="528" s="1"/>
  <c r="M7" i="528"/>
  <c r="M28" i="528" s="1"/>
  <c r="V28" i="528"/>
  <c r="K521" i="528"/>
  <c r="R172" i="528"/>
  <c r="T168" i="528" s="1"/>
  <c r="K522" i="528"/>
  <c r="T166" i="528"/>
  <c r="K523" i="528"/>
  <c r="T167" i="528"/>
  <c r="K169" i="528"/>
  <c r="M165" i="528"/>
  <c r="M177" i="528"/>
  <c r="M198" i="528" s="1"/>
  <c r="K198" i="528"/>
  <c r="C527" i="528"/>
  <c r="E521" i="528" s="1"/>
  <c r="M122" i="528"/>
  <c r="M137" i="528" s="1"/>
  <c r="E524" i="528"/>
  <c r="W138" i="528"/>
  <c r="E525" i="528"/>
  <c r="W148" i="528"/>
  <c r="E526" i="528"/>
  <c r="O163" i="528"/>
  <c r="E169" i="528"/>
  <c r="W177" i="528"/>
  <c r="W198" i="528" s="1"/>
  <c r="J198" i="528" a="1"/>
  <c r="J198" i="528" s="1"/>
  <c r="X336" i="528"/>
  <c r="P333" i="528"/>
  <c r="X337" i="528" s="1"/>
  <c r="X342" i="528" s="1"/>
  <c r="W199" i="528"/>
  <c r="H291" i="528"/>
  <c r="H333" i="528" s="1"/>
  <c r="E340" i="528" s="1"/>
  <c r="N291" i="528"/>
  <c r="N333" i="528" s="1"/>
  <c r="B342" i="528" s="1"/>
  <c r="W257" i="528"/>
  <c r="K307" i="528"/>
  <c r="M292" i="528"/>
  <c r="M307" i="528" s="1"/>
  <c r="K317" i="528"/>
  <c r="W332" i="528"/>
  <c r="K339" i="528"/>
  <c r="M335" i="528"/>
  <c r="J28" i="528" a="1"/>
  <c r="J28" i="528" s="1"/>
  <c r="W29" i="528"/>
  <c r="J86" i="528" a="1"/>
  <c r="J86" i="528" s="1"/>
  <c r="W87" i="528"/>
  <c r="J121" i="528" a="1"/>
  <c r="J121" i="528" s="1"/>
  <c r="G163" i="528"/>
  <c r="P163" i="528"/>
  <c r="X167" i="528" s="1"/>
  <c r="X172" i="528" s="1"/>
  <c r="Z166" i="528" s="1"/>
  <c r="B340" i="528"/>
  <c r="J333" i="528" a="1"/>
  <c r="J333" i="528" s="1"/>
  <c r="M340" i="528" s="1"/>
  <c r="R335" i="528"/>
  <c r="O333" i="528"/>
  <c r="V307" i="528"/>
  <c r="W307" i="528" s="1"/>
  <c r="E339" i="528"/>
  <c r="V368" i="528"/>
  <c r="K426" i="528"/>
  <c r="K461" i="528"/>
  <c r="M427" i="528"/>
  <c r="M461" i="528" s="1"/>
  <c r="M308" i="528"/>
  <c r="M317" i="528" s="1"/>
  <c r="M318" i="528"/>
  <c r="M332" i="528" s="1"/>
  <c r="K368" i="528"/>
  <c r="W368" i="528"/>
  <c r="B511" i="528"/>
  <c r="J504" i="528" a="1"/>
  <c r="J504" i="528" s="1"/>
  <c r="M511" i="528" s="1"/>
  <c r="X506" i="528"/>
  <c r="O504" i="528"/>
  <c r="X507" i="528" s="1"/>
  <c r="R506" i="528"/>
  <c r="M369" i="528"/>
  <c r="M426" i="528" s="1"/>
  <c r="H461" i="528"/>
  <c r="H504" i="528" s="1"/>
  <c r="E511" i="528" s="1"/>
  <c r="N461" i="528"/>
  <c r="N504" i="528" s="1"/>
  <c r="B513" i="528" s="1"/>
  <c r="E513" i="528" s="1"/>
  <c r="W427" i="528"/>
  <c r="M462" i="528"/>
  <c r="M477" i="528" s="1"/>
  <c r="W462" i="528"/>
  <c r="V477" i="528"/>
  <c r="W477" i="528" s="1"/>
  <c r="K503" i="528"/>
  <c r="M488" i="528"/>
  <c r="M503" i="528" s="1"/>
  <c r="K487" i="528"/>
  <c r="R531" i="528"/>
  <c r="S531" i="528" a="1"/>
  <c r="S531" i="528" s="1"/>
  <c r="R510" i="528"/>
  <c r="W488" i="528"/>
  <c r="W503" i="528" s="1"/>
  <c r="K506" i="528"/>
  <c r="J533" i="528"/>
  <c r="Q530" i="528"/>
  <c r="R532" i="528"/>
  <c r="S532" i="528" a="1"/>
  <c r="S532" i="528" s="1"/>
  <c r="T530" i="528" a="1"/>
  <c r="T530" i="528" s="1"/>
  <c r="T531" i="528" a="1"/>
  <c r="T531" i="528" s="1"/>
  <c r="T532" i="528" a="1"/>
  <c r="T532" i="528" s="1"/>
  <c r="C533" i="528"/>
  <c r="T533" i="528" s="1" a="1"/>
  <c r="T533" i="528" s="1"/>
  <c r="J434" i="527" a="1"/>
  <c r="J434" i="527" s="1"/>
  <c r="M144" i="527"/>
  <c r="J144" i="527" a="1"/>
  <c r="J144" i="527" s="1"/>
  <c r="J111" i="527" a="1"/>
  <c r="J111" i="527" s="1"/>
  <c r="J110" i="527" a="1"/>
  <c r="J110" i="527" s="1"/>
  <c r="J109" i="527" a="1"/>
  <c r="J109" i="527" s="1"/>
  <c r="J108" i="527" a="1"/>
  <c r="J108" i="527" s="1"/>
  <c r="J107" i="527" a="1"/>
  <c r="J107" i="527" s="1"/>
  <c r="J106" i="527" a="1"/>
  <c r="J106" i="527" s="1"/>
  <c r="J105" i="527" a="1"/>
  <c r="J105" i="527" s="1"/>
  <c r="J104" i="527" a="1"/>
  <c r="J104" i="527" s="1"/>
  <c r="J103" i="527" a="1"/>
  <c r="J103" i="527" s="1"/>
  <c r="J102" i="527" a="1"/>
  <c r="J102" i="527" s="1"/>
  <c r="J101" i="527" a="1"/>
  <c r="J101" i="527" s="1"/>
  <c r="J100" i="527" a="1"/>
  <c r="J100" i="527" s="1"/>
  <c r="J99" i="527" a="1"/>
  <c r="J99" i="527" s="1"/>
  <c r="J98" i="527" a="1"/>
  <c r="J98" i="527" s="1"/>
  <c r="J97" i="527" a="1"/>
  <c r="J97" i="527" s="1"/>
  <c r="J96" i="527" a="1"/>
  <c r="J96" i="527" s="1"/>
  <c r="J95" i="527" a="1"/>
  <c r="J95" i="527" s="1"/>
  <c r="J94" i="527" a="1"/>
  <c r="J94" i="527" s="1"/>
  <c r="M35" i="527"/>
  <c r="K35" i="527" a="1"/>
  <c r="K35" i="527" s="1"/>
  <c r="J51" i="527" a="1"/>
  <c r="J51" i="527" s="1"/>
  <c r="J50" i="527" a="1"/>
  <c r="J50" i="527" s="1"/>
  <c r="J35" i="527" a="1"/>
  <c r="J35" i="527" s="1"/>
  <c r="I111" i="527"/>
  <c r="I19" i="527"/>
  <c r="I135" i="527"/>
  <c r="I108" i="527"/>
  <c r="I94" i="527"/>
  <c r="I144" i="527"/>
  <c r="I428" i="527"/>
  <c r="I429" i="527"/>
  <c r="I434" i="527"/>
  <c r="J314" i="527" a="1"/>
  <c r="J314" i="527" s="1"/>
  <c r="J313" i="527" a="1"/>
  <c r="J313" i="527" s="1"/>
  <c r="J264" i="527" a="1"/>
  <c r="J264" i="527" s="1"/>
  <c r="J222" i="527" a="1"/>
  <c r="J222" i="527" s="1"/>
  <c r="J221" i="527" a="1"/>
  <c r="J221" i="527" s="1"/>
  <c r="I182" i="527"/>
  <c r="I305" i="527"/>
  <c r="I313" i="527"/>
  <c r="I314" i="527"/>
  <c r="I284" i="527"/>
  <c r="I264" i="527"/>
  <c r="I191" i="527"/>
  <c r="S527" i="529" l="1"/>
  <c r="K517" i="529"/>
  <c r="O517" i="529" s="1"/>
  <c r="K516" i="529"/>
  <c r="Z340" i="528"/>
  <c r="Z339" i="528"/>
  <c r="Z338" i="528"/>
  <c r="T165" i="528" a="1"/>
  <c r="T165" i="528" s="1"/>
  <c r="M504" i="528"/>
  <c r="E523" i="528"/>
  <c r="E522" i="528"/>
  <c r="G516" i="528"/>
  <c r="E342" i="528"/>
  <c r="C518" i="528"/>
  <c r="G518" i="528" s="1"/>
  <c r="R530" i="528"/>
  <c r="R533" i="528" s="1"/>
  <c r="Q533" i="528"/>
  <c r="S533" i="528" s="1" a="1"/>
  <c r="S533" i="528" s="1"/>
  <c r="S530" i="528" a="1"/>
  <c r="S530" i="528" s="1"/>
  <c r="K510" i="528"/>
  <c r="M510" i="528" s="1"/>
  <c r="M506" i="528"/>
  <c r="K504" i="528"/>
  <c r="R342" i="528"/>
  <c r="T335" i="528" s="1" a="1"/>
  <c r="T335" i="528" s="1"/>
  <c r="B170" i="528"/>
  <c r="C516" i="528" s="1"/>
  <c r="J163" i="528" a="1"/>
  <c r="J163" i="528" s="1"/>
  <c r="M170" i="528" s="1"/>
  <c r="Z336" i="528"/>
  <c r="W333" i="528"/>
  <c r="Z169" i="528"/>
  <c r="Z168" i="528"/>
  <c r="E527" i="528"/>
  <c r="V333" i="528"/>
  <c r="I342" i="528" s="1"/>
  <c r="M342" i="528" s="1" a="1"/>
  <c r="M342" i="528" s="1"/>
  <c r="M333" i="528"/>
  <c r="M163" i="528"/>
  <c r="T170" i="528"/>
  <c r="T169" i="528"/>
  <c r="K163" i="528"/>
  <c r="E171" i="528" s="1"/>
  <c r="R513" i="528"/>
  <c r="T510" i="528" s="1"/>
  <c r="X513" i="528"/>
  <c r="Z506" i="528" s="1" a="1"/>
  <c r="Z506" i="528" s="1"/>
  <c r="V504" i="528"/>
  <c r="Z165" i="528" a="1"/>
  <c r="Z165" i="528" s="1"/>
  <c r="Z171" i="528"/>
  <c r="Q523" i="528"/>
  <c r="Z167" i="528"/>
  <c r="Z341" i="528"/>
  <c r="Z335" i="528" a="1"/>
  <c r="Z335" i="528" s="1"/>
  <c r="M339" i="528"/>
  <c r="Z337" i="528"/>
  <c r="Z170" i="528"/>
  <c r="K333" i="528"/>
  <c r="M169" i="528"/>
  <c r="K527" i="528"/>
  <c r="M521" i="528" s="1" a="1"/>
  <c r="M521" i="528" s="1"/>
  <c r="T171" i="528"/>
  <c r="V163" i="528"/>
  <c r="I172" i="528" s="1"/>
  <c r="W28" i="528"/>
  <c r="W163" i="528" s="1"/>
  <c r="M526" i="528"/>
  <c r="M524" i="528"/>
  <c r="J314" i="505" a="1"/>
  <c r="J314" i="505" s="1"/>
  <c r="J313" i="505" a="1"/>
  <c r="J313" i="505" s="1"/>
  <c r="J311" i="505" a="1"/>
  <c r="J311" i="505" s="1"/>
  <c r="J142" i="505" a="1"/>
  <c r="J142" i="505" s="1"/>
  <c r="G94" i="527"/>
  <c r="G191" i="527"/>
  <c r="M525" i="528" l="1"/>
  <c r="M522" i="528"/>
  <c r="T506" i="528" a="1"/>
  <c r="T506" i="528" s="1"/>
  <c r="J141" i="505" a="1"/>
  <c r="J141" i="505" s="1"/>
  <c r="J143" i="505" a="1"/>
  <c r="J143" i="505" s="1"/>
  <c r="K143" i="505" a="1"/>
  <c r="K143" i="505" s="1"/>
  <c r="J144" i="505" a="1"/>
  <c r="J144" i="505" s="1"/>
  <c r="K144" i="505" a="1"/>
  <c r="K144" i="505" s="1"/>
  <c r="L163" i="528"/>
  <c r="I170" i="528" s="1"/>
  <c r="J312" i="505" a="1"/>
  <c r="J312" i="505" s="1"/>
  <c r="M172" i="528" a="1"/>
  <c r="M172" i="528" s="1"/>
  <c r="M523" i="528"/>
  <c r="E341" i="528"/>
  <c r="I341" i="528" s="1"/>
  <c r="M341" i="528" s="1"/>
  <c r="L333" i="528"/>
  <c r="I340" i="528" s="1"/>
  <c r="I513" i="528"/>
  <c r="M513" i="528" s="1" a="1"/>
  <c r="M513" i="528" s="1"/>
  <c r="W504" i="528"/>
  <c r="Z512" i="528"/>
  <c r="Z511" i="528"/>
  <c r="Z508" i="528"/>
  <c r="Z509" i="528"/>
  <c r="Z510" i="528"/>
  <c r="T512" i="528"/>
  <c r="T507" i="528"/>
  <c r="T509" i="528"/>
  <c r="T511" i="528"/>
  <c r="T508" i="528"/>
  <c r="I171" i="528"/>
  <c r="M171" i="528" s="1"/>
  <c r="O516" i="528" a="1"/>
  <c r="O516" i="528" s="1"/>
  <c r="T341" i="528"/>
  <c r="T337" i="528"/>
  <c r="T340" i="528"/>
  <c r="T338" i="528"/>
  <c r="T336" i="528"/>
  <c r="T339" i="528"/>
  <c r="Z507" i="528"/>
  <c r="Q527" i="528"/>
  <c r="S523" i="528" s="1"/>
  <c r="E512" i="528"/>
  <c r="I512" i="528" s="1"/>
  <c r="M512" i="528" s="1"/>
  <c r="L504" i="528"/>
  <c r="I511" i="528" s="1"/>
  <c r="G429" i="527"/>
  <c r="G428" i="527"/>
  <c r="G434" i="527"/>
  <c r="G313" i="527"/>
  <c r="G314" i="527"/>
  <c r="G305" i="527"/>
  <c r="G182" i="527"/>
  <c r="G284" i="527"/>
  <c r="G222" i="527"/>
  <c r="G221" i="527"/>
  <c r="G199" i="527"/>
  <c r="G201" i="527"/>
  <c r="G189" i="527"/>
  <c r="G144" i="527"/>
  <c r="G108" i="527"/>
  <c r="G135" i="527"/>
  <c r="G51" i="527"/>
  <c r="G50" i="527"/>
  <c r="G48" i="527"/>
  <c r="G35" i="527"/>
  <c r="G29" i="527"/>
  <c r="G19" i="527"/>
  <c r="P533" i="527"/>
  <c r="O533" i="527"/>
  <c r="N533" i="527"/>
  <c r="M533" i="527"/>
  <c r="L533" i="527"/>
  <c r="K533" i="527"/>
  <c r="I533" i="527"/>
  <c r="H533" i="527"/>
  <c r="G533" i="527"/>
  <c r="F533" i="527"/>
  <c r="E533" i="527"/>
  <c r="N514" i="527"/>
  <c r="G514" i="527"/>
  <c r="X512" i="527"/>
  <c r="X511" i="527"/>
  <c r="X510" i="527"/>
  <c r="G510" i="527"/>
  <c r="E510" i="527"/>
  <c r="C510" i="527"/>
  <c r="X509" i="527"/>
  <c r="I509" i="527"/>
  <c r="E509" i="527"/>
  <c r="X508" i="527"/>
  <c r="I508" i="527"/>
  <c r="I510" i="527" s="1"/>
  <c r="E508" i="527"/>
  <c r="I507" i="527"/>
  <c r="E507" i="527"/>
  <c r="K507" i="527" s="1"/>
  <c r="M507" i="527" s="1"/>
  <c r="I506" i="527"/>
  <c r="E506" i="527"/>
  <c r="K506" i="527" s="1"/>
  <c r="AA503" i="527"/>
  <c r="Z503" i="527"/>
  <c r="Y503" i="527"/>
  <c r="X503" i="527"/>
  <c r="U503" i="527"/>
  <c r="T503" i="527"/>
  <c r="S503" i="527"/>
  <c r="R503" i="527"/>
  <c r="Q503" i="527"/>
  <c r="P503" i="527"/>
  <c r="O503" i="527"/>
  <c r="R511" i="527" s="1"/>
  <c r="I503" i="527"/>
  <c r="G503" i="527"/>
  <c r="H502" i="527"/>
  <c r="H501" i="527"/>
  <c r="H500" i="527"/>
  <c r="H499" i="527"/>
  <c r="D499" i="527"/>
  <c r="W498" i="527"/>
  <c r="V498" i="527"/>
  <c r="N498" i="527"/>
  <c r="K498" i="527" a="1"/>
  <c r="K498" i="527" s="1"/>
  <c r="M498" i="527" s="1"/>
  <c r="J498" i="527" a="1"/>
  <c r="J498" i="527" s="1"/>
  <c r="H498" i="527"/>
  <c r="H497" i="527"/>
  <c r="H496" i="527"/>
  <c r="W495" i="527"/>
  <c r="V495" i="527"/>
  <c r="N495" i="527"/>
  <c r="K495" i="527" a="1"/>
  <c r="K495" i="527" s="1"/>
  <c r="M495" i="527" s="1"/>
  <c r="J495" i="527" a="1"/>
  <c r="J495" i="527" s="1"/>
  <c r="H495" i="527"/>
  <c r="V494" i="527"/>
  <c r="W494" i="527" s="1"/>
  <c r="N494" i="527"/>
  <c r="M494" i="527"/>
  <c r="K494" i="527" a="1"/>
  <c r="K494" i="527" s="1"/>
  <c r="J494" i="527" a="1"/>
  <c r="J494" i="527" s="1"/>
  <c r="H494" i="527"/>
  <c r="H493" i="527"/>
  <c r="H492" i="527"/>
  <c r="W491" i="527"/>
  <c r="V491" i="527"/>
  <c r="N491" i="527"/>
  <c r="K491" i="527" a="1"/>
  <c r="K491" i="527" s="1"/>
  <c r="M491" i="527" s="1"/>
  <c r="J491" i="527" a="1"/>
  <c r="J491" i="527" s="1"/>
  <c r="H491" i="527"/>
  <c r="V490" i="527"/>
  <c r="W490" i="527" s="1"/>
  <c r="N490" i="527"/>
  <c r="M490" i="527"/>
  <c r="K490" i="527" a="1"/>
  <c r="K490" i="527" s="1"/>
  <c r="J490" i="527" a="1"/>
  <c r="J490" i="527" s="1"/>
  <c r="H490" i="527"/>
  <c r="W489" i="527"/>
  <c r="V489" i="527"/>
  <c r="N489" i="527"/>
  <c r="K489" i="527" a="1"/>
  <c r="K489" i="527" s="1"/>
  <c r="M489" i="527" s="1"/>
  <c r="J489" i="527" a="1"/>
  <c r="J489" i="527" s="1"/>
  <c r="H489" i="527"/>
  <c r="V488" i="527"/>
  <c r="N488" i="527"/>
  <c r="M488" i="527"/>
  <c r="K488" i="527" a="1"/>
  <c r="K488" i="527" s="1"/>
  <c r="J488" i="527" a="1"/>
  <c r="J488" i="527" s="1"/>
  <c r="H488" i="527"/>
  <c r="AA487" i="527"/>
  <c r="Z487" i="527"/>
  <c r="Y487" i="527"/>
  <c r="X487" i="527"/>
  <c r="U487" i="527"/>
  <c r="T487" i="527"/>
  <c r="S487" i="527"/>
  <c r="Q487" i="527"/>
  <c r="P487" i="527"/>
  <c r="O487" i="527"/>
  <c r="I487" i="527"/>
  <c r="G487" i="527"/>
  <c r="J487" i="527" s="1" a="1"/>
  <c r="J487" i="527" s="1"/>
  <c r="V486" i="527"/>
  <c r="W486" i="527" s="1"/>
  <c r="N486" i="527"/>
  <c r="K486" i="527"/>
  <c r="M486" i="527" s="1"/>
  <c r="K486" i="527" a="1"/>
  <c r="J486" i="527"/>
  <c r="J486" i="527" a="1"/>
  <c r="H486" i="527"/>
  <c r="H483" i="527"/>
  <c r="V482" i="527"/>
  <c r="W482" i="527" s="1"/>
  <c r="N482" i="527"/>
  <c r="K482" i="527" a="1"/>
  <c r="K482" i="527" s="1"/>
  <c r="M482" i="527" s="1"/>
  <c r="J482" i="527" a="1"/>
  <c r="J482" i="527" s="1"/>
  <c r="H482" i="527"/>
  <c r="V481" i="527"/>
  <c r="W481" i="527" s="1"/>
  <c r="N481" i="527"/>
  <c r="M481" i="527"/>
  <c r="K481" i="527" a="1"/>
  <c r="K481" i="527" s="1"/>
  <c r="J481" i="527" a="1"/>
  <c r="J481" i="527" s="1"/>
  <c r="H481" i="527"/>
  <c r="W480" i="527"/>
  <c r="V480" i="527"/>
  <c r="N480" i="527"/>
  <c r="K480" i="527" a="1"/>
  <c r="K480" i="527" s="1"/>
  <c r="M480" i="527" s="1"/>
  <c r="J480" i="527" a="1"/>
  <c r="J480" i="527" s="1"/>
  <c r="H480" i="527"/>
  <c r="V479" i="527"/>
  <c r="W479" i="527" s="1"/>
  <c r="N479" i="527"/>
  <c r="M479" i="527"/>
  <c r="K479" i="527" a="1"/>
  <c r="K479" i="527" s="1"/>
  <c r="J479" i="527" a="1"/>
  <c r="J479" i="527" s="1"/>
  <c r="H479" i="527"/>
  <c r="W478" i="527"/>
  <c r="V478" i="527"/>
  <c r="N478" i="527"/>
  <c r="N487" i="527" s="1"/>
  <c r="K478" i="527" a="1"/>
  <c r="K478" i="527" s="1"/>
  <c r="M478" i="527" s="1"/>
  <c r="J478" i="527" a="1"/>
  <c r="J478" i="527" s="1"/>
  <c r="H478" i="527"/>
  <c r="H487" i="527" s="1"/>
  <c r="AA477" i="527"/>
  <c r="Z477" i="527"/>
  <c r="Y477" i="527"/>
  <c r="X477" i="527"/>
  <c r="U477" i="527"/>
  <c r="T477" i="527"/>
  <c r="S477" i="527"/>
  <c r="Q477" i="527"/>
  <c r="P477" i="527"/>
  <c r="O477" i="527"/>
  <c r="I477" i="527"/>
  <c r="G477" i="527"/>
  <c r="V476" i="527"/>
  <c r="W476" i="527" s="1"/>
  <c r="N476" i="527"/>
  <c r="K476" i="527" a="1"/>
  <c r="K476" i="527" s="1"/>
  <c r="M476" i="527" s="1"/>
  <c r="J476" i="527" a="1"/>
  <c r="J476" i="527" s="1"/>
  <c r="H476" i="527"/>
  <c r="V475" i="527"/>
  <c r="W475" i="527" s="1"/>
  <c r="N475" i="527"/>
  <c r="K475" i="527"/>
  <c r="M475" i="527" s="1"/>
  <c r="K475" i="527" a="1"/>
  <c r="J475" i="527"/>
  <c r="J475" i="527" a="1"/>
  <c r="H475" i="527"/>
  <c r="V474" i="527"/>
  <c r="W474" i="527" s="1"/>
  <c r="N474" i="527"/>
  <c r="K474" i="527" a="1"/>
  <c r="K474" i="527" s="1"/>
  <c r="M474" i="527" s="1"/>
  <c r="J474" i="527" a="1"/>
  <c r="J474" i="527" s="1"/>
  <c r="H474" i="527"/>
  <c r="V473" i="527"/>
  <c r="W473" i="527" s="1"/>
  <c r="N473" i="527"/>
  <c r="K473" i="527" a="1"/>
  <c r="K473" i="527" s="1"/>
  <c r="M473" i="527" s="1"/>
  <c r="J473" i="527" a="1"/>
  <c r="J473" i="527" s="1"/>
  <c r="H473" i="527"/>
  <c r="V472" i="527"/>
  <c r="W472" i="527" s="1"/>
  <c r="N472" i="527"/>
  <c r="K472" i="527"/>
  <c r="M472" i="527" s="1"/>
  <c r="K472" i="527" a="1"/>
  <c r="J472" i="527"/>
  <c r="J472" i="527" a="1"/>
  <c r="H472" i="527"/>
  <c r="V471" i="527"/>
  <c r="W471" i="527" s="1"/>
  <c r="N471" i="527"/>
  <c r="K471" i="527" a="1"/>
  <c r="K471" i="527" s="1"/>
  <c r="M471" i="527" s="1"/>
  <c r="J471" i="527" a="1"/>
  <c r="J471" i="527" s="1"/>
  <c r="H471" i="527"/>
  <c r="V470" i="527"/>
  <c r="W470" i="527" s="1"/>
  <c r="N470" i="527"/>
  <c r="K470" i="527" a="1"/>
  <c r="K470" i="527" s="1"/>
  <c r="M470" i="527" s="1"/>
  <c r="J470" i="527" a="1"/>
  <c r="J470" i="527" s="1"/>
  <c r="H470" i="527"/>
  <c r="V469" i="527"/>
  <c r="W469" i="527" s="1"/>
  <c r="N469" i="527"/>
  <c r="K469" i="527" a="1"/>
  <c r="K469" i="527" s="1"/>
  <c r="M469" i="527" s="1"/>
  <c r="J469" i="527" a="1"/>
  <c r="J469" i="527" s="1"/>
  <c r="H469" i="527"/>
  <c r="V468" i="527"/>
  <c r="W468" i="527" s="1"/>
  <c r="N468" i="527"/>
  <c r="K468" i="527"/>
  <c r="M468" i="527" s="1"/>
  <c r="K468" i="527" a="1"/>
  <c r="J468" i="527"/>
  <c r="J468" i="527" a="1"/>
  <c r="H468" i="527"/>
  <c r="V467" i="527"/>
  <c r="W467" i="527" s="1"/>
  <c r="N467" i="527"/>
  <c r="K467" i="527" a="1"/>
  <c r="K467" i="527" s="1"/>
  <c r="M467" i="527" s="1"/>
  <c r="J467" i="527" a="1"/>
  <c r="J467" i="527" s="1"/>
  <c r="H467" i="527"/>
  <c r="W466" i="527"/>
  <c r="V466" i="527"/>
  <c r="N466" i="527"/>
  <c r="K466" i="527" a="1"/>
  <c r="K466" i="527" s="1"/>
  <c r="M466" i="527" s="1"/>
  <c r="J466" i="527" a="1"/>
  <c r="J466" i="527" s="1"/>
  <c r="H466" i="527"/>
  <c r="V465" i="527"/>
  <c r="W465" i="527" s="1"/>
  <c r="N465" i="527"/>
  <c r="K465" i="527" a="1"/>
  <c r="K465" i="527" s="1"/>
  <c r="M465" i="527" s="1"/>
  <c r="J465" i="527" a="1"/>
  <c r="J465" i="527" s="1"/>
  <c r="H465" i="527"/>
  <c r="V464" i="527"/>
  <c r="W464" i="527" s="1"/>
  <c r="N464" i="527"/>
  <c r="K464" i="527"/>
  <c r="M464" i="527" s="1"/>
  <c r="K464" i="527" a="1"/>
  <c r="J464" i="527"/>
  <c r="J464" i="527" a="1"/>
  <c r="H464" i="527"/>
  <c r="V463" i="527"/>
  <c r="W463" i="527" s="1"/>
  <c r="N463" i="527"/>
  <c r="K463" i="527" a="1"/>
  <c r="K463" i="527" s="1"/>
  <c r="M463" i="527" s="1"/>
  <c r="J463" i="527" a="1"/>
  <c r="J463" i="527" s="1"/>
  <c r="H463" i="527"/>
  <c r="V462" i="527"/>
  <c r="W462" i="527" s="1"/>
  <c r="N462" i="527"/>
  <c r="N477" i="527" s="1"/>
  <c r="K462" i="527" a="1"/>
  <c r="K462" i="527" s="1"/>
  <c r="J462" i="527" a="1"/>
  <c r="J462" i="527" s="1"/>
  <c r="H462" i="527"/>
  <c r="AA461" i="527"/>
  <c r="Z461" i="527"/>
  <c r="Y461" i="527"/>
  <c r="X461" i="527"/>
  <c r="U461" i="527"/>
  <c r="T461" i="527"/>
  <c r="S461" i="527"/>
  <c r="R461" i="527"/>
  <c r="Q461" i="527"/>
  <c r="P461" i="527"/>
  <c r="O461" i="527"/>
  <c r="I461" i="527"/>
  <c r="G461" i="527"/>
  <c r="V460" i="527"/>
  <c r="W460" i="527" s="1"/>
  <c r="N460" i="527"/>
  <c r="K460" i="527"/>
  <c r="M460" i="527" s="1"/>
  <c r="K460" i="527" a="1"/>
  <c r="J460" i="527"/>
  <c r="J460" i="527" a="1"/>
  <c r="H460" i="527"/>
  <c r="V459" i="527"/>
  <c r="W459" i="527" s="1"/>
  <c r="N459" i="527"/>
  <c r="K459" i="527" a="1"/>
  <c r="K459" i="527" s="1"/>
  <c r="M459" i="527" s="1"/>
  <c r="J459" i="527" a="1"/>
  <c r="J459" i="527" s="1"/>
  <c r="H459" i="527"/>
  <c r="W458" i="527"/>
  <c r="V458" i="527"/>
  <c r="N458" i="527"/>
  <c r="K458" i="527" a="1"/>
  <c r="K458" i="527" s="1"/>
  <c r="M458" i="527" s="1"/>
  <c r="J458" i="527" a="1"/>
  <c r="J458" i="527" s="1"/>
  <c r="H458" i="527"/>
  <c r="K457" i="527"/>
  <c r="M457" i="527" s="1"/>
  <c r="K457" i="527" a="1"/>
  <c r="H457" i="527"/>
  <c r="K456" i="527" a="1"/>
  <c r="K456" i="527" s="1"/>
  <c r="M456" i="527" s="1"/>
  <c r="H456" i="527"/>
  <c r="K455" i="527"/>
  <c r="M455" i="527" s="1"/>
  <c r="K455" i="527" a="1"/>
  <c r="H455" i="527"/>
  <c r="V454" i="527"/>
  <c r="W454" i="527" s="1"/>
  <c r="N454" i="527"/>
  <c r="K454" i="527" a="1"/>
  <c r="K454" i="527" s="1"/>
  <c r="M454" i="527" s="1"/>
  <c r="J454" i="527" a="1"/>
  <c r="J454" i="527" s="1"/>
  <c r="H454" i="527"/>
  <c r="V453" i="527"/>
  <c r="W453" i="527" s="1"/>
  <c r="N453" i="527"/>
  <c r="K453" i="527" a="1"/>
  <c r="K453" i="527" s="1"/>
  <c r="M453" i="527" s="1"/>
  <c r="J453" i="527" a="1"/>
  <c r="J453" i="527" s="1"/>
  <c r="H453" i="527"/>
  <c r="N452" i="527"/>
  <c r="K452" i="527" a="1"/>
  <c r="K452" i="527" s="1"/>
  <c r="M452" i="527" s="1"/>
  <c r="H452" i="527"/>
  <c r="N451" i="527"/>
  <c r="K451" i="527"/>
  <c r="M451" i="527" s="1"/>
  <c r="K451" i="527" a="1"/>
  <c r="H451" i="527"/>
  <c r="N450" i="527"/>
  <c r="K450" i="527" a="1"/>
  <c r="K450" i="527" s="1"/>
  <c r="M450" i="527" s="1"/>
  <c r="H450" i="527"/>
  <c r="N449" i="527"/>
  <c r="K449" i="527" a="1"/>
  <c r="K449" i="527" s="1"/>
  <c r="M449" i="527" s="1"/>
  <c r="H449" i="527"/>
  <c r="N448" i="527"/>
  <c r="K448" i="527" a="1"/>
  <c r="K448" i="527" s="1"/>
  <c r="M448" i="527" s="1"/>
  <c r="H448" i="527"/>
  <c r="N447" i="527"/>
  <c r="K447" i="527"/>
  <c r="M447" i="527" s="1"/>
  <c r="K447" i="527" a="1"/>
  <c r="H447" i="527"/>
  <c r="V446" i="527"/>
  <c r="W446" i="527" s="1"/>
  <c r="N446" i="527"/>
  <c r="K446" i="527" a="1"/>
  <c r="K446" i="527" s="1"/>
  <c r="M446" i="527" s="1"/>
  <c r="J446" i="527" a="1"/>
  <c r="J446" i="527" s="1"/>
  <c r="H446" i="527"/>
  <c r="V445" i="527"/>
  <c r="W445" i="527" s="1"/>
  <c r="N445" i="527"/>
  <c r="K445" i="527" a="1"/>
  <c r="K445" i="527" s="1"/>
  <c r="M445" i="527" s="1"/>
  <c r="J445" i="527" a="1"/>
  <c r="J445" i="527" s="1"/>
  <c r="H445" i="527"/>
  <c r="V444" i="527"/>
  <c r="W444" i="527" s="1"/>
  <c r="N444" i="527"/>
  <c r="K444" i="527" a="1"/>
  <c r="K444" i="527" s="1"/>
  <c r="M444" i="527" s="1"/>
  <c r="J444" i="527" a="1"/>
  <c r="J444" i="527" s="1"/>
  <c r="H444" i="527"/>
  <c r="V443" i="527"/>
  <c r="W443" i="527" s="1"/>
  <c r="N443" i="527"/>
  <c r="K443" i="527"/>
  <c r="M443" i="527" s="1"/>
  <c r="K443" i="527" a="1"/>
  <c r="J443" i="527"/>
  <c r="J443" i="527" a="1"/>
  <c r="H443" i="527"/>
  <c r="V442" i="527"/>
  <c r="W442" i="527" s="1"/>
  <c r="N442" i="527"/>
  <c r="K442" i="527" a="1"/>
  <c r="K442" i="527" s="1"/>
  <c r="M442" i="527" s="1"/>
  <c r="J442" i="527" a="1"/>
  <c r="J442" i="527" s="1"/>
  <c r="H442" i="527"/>
  <c r="V441" i="527"/>
  <c r="W441" i="527" s="1"/>
  <c r="N441" i="527"/>
  <c r="K441" i="527"/>
  <c r="M441" i="527" s="1"/>
  <c r="K441" i="527" a="1"/>
  <c r="J441" i="527"/>
  <c r="J441" i="527" a="1"/>
  <c r="H441" i="527"/>
  <c r="V440" i="527"/>
  <c r="W440" i="527" s="1"/>
  <c r="N440" i="527"/>
  <c r="K440" i="527" a="1"/>
  <c r="K440" i="527" s="1"/>
  <c r="M440" i="527" s="1"/>
  <c r="J440" i="527" a="1"/>
  <c r="J440" i="527" s="1"/>
  <c r="H440" i="527"/>
  <c r="V439" i="527"/>
  <c r="W439" i="527" s="1"/>
  <c r="N439" i="527"/>
  <c r="K439" i="527" a="1"/>
  <c r="K439" i="527" s="1"/>
  <c r="M439" i="527" s="1"/>
  <c r="J439" i="527" a="1"/>
  <c r="J439" i="527" s="1"/>
  <c r="H439" i="527"/>
  <c r="V438" i="527"/>
  <c r="W438" i="527" s="1"/>
  <c r="N438" i="527"/>
  <c r="K438" i="527" a="1"/>
  <c r="K438" i="527" s="1"/>
  <c r="M438" i="527" s="1"/>
  <c r="J438" i="527" a="1"/>
  <c r="J438" i="527" s="1"/>
  <c r="H438" i="527"/>
  <c r="V437" i="527"/>
  <c r="W437" i="527" s="1"/>
  <c r="N437" i="527"/>
  <c r="K437" i="527"/>
  <c r="M437" i="527" s="1"/>
  <c r="K437" i="527" a="1"/>
  <c r="J437" i="527"/>
  <c r="J437" i="527" a="1"/>
  <c r="H437" i="527"/>
  <c r="V436" i="527"/>
  <c r="W436" i="527" s="1"/>
  <c r="N436" i="527"/>
  <c r="K436" i="527" a="1"/>
  <c r="K436" i="527" s="1"/>
  <c r="M436" i="527" s="1"/>
  <c r="J436" i="527" a="1"/>
  <c r="J436" i="527" s="1"/>
  <c r="H436" i="527"/>
  <c r="W435" i="527"/>
  <c r="V435" i="527"/>
  <c r="N435" i="527"/>
  <c r="K435" i="527" a="1"/>
  <c r="K435" i="527" s="1"/>
  <c r="M435" i="527" s="1"/>
  <c r="J435" i="527" a="1"/>
  <c r="J435" i="527" s="1"/>
  <c r="H435" i="527"/>
  <c r="N434" i="527"/>
  <c r="K434" i="527" a="1"/>
  <c r="K434" i="527" s="1"/>
  <c r="M434" i="527" s="1"/>
  <c r="H434" i="527"/>
  <c r="V433" i="527"/>
  <c r="W433" i="527" s="1"/>
  <c r="N433" i="527"/>
  <c r="K433" i="527" a="1"/>
  <c r="K433" i="527" s="1"/>
  <c r="M433" i="527" s="1"/>
  <c r="J433" i="527" a="1"/>
  <c r="J433" i="527" s="1"/>
  <c r="H433" i="527"/>
  <c r="V432" i="527"/>
  <c r="W432" i="527" s="1"/>
  <c r="N432" i="527"/>
  <c r="K432" i="527" a="1"/>
  <c r="K432" i="527" s="1"/>
  <c r="M432" i="527" s="1"/>
  <c r="J432" i="527" a="1"/>
  <c r="J432" i="527" s="1"/>
  <c r="H432" i="527"/>
  <c r="V431" i="527"/>
  <c r="W431" i="527" s="1"/>
  <c r="N431" i="527"/>
  <c r="K431" i="527"/>
  <c r="M431" i="527" s="1"/>
  <c r="K431" i="527" a="1"/>
  <c r="J431" i="527"/>
  <c r="J431" i="527" a="1"/>
  <c r="H431" i="527"/>
  <c r="V430" i="527"/>
  <c r="W430" i="527" s="1"/>
  <c r="N430" i="527"/>
  <c r="K430" i="527" a="1"/>
  <c r="K430" i="527" s="1"/>
  <c r="M430" i="527" s="1"/>
  <c r="J430" i="527" a="1"/>
  <c r="J430" i="527" s="1"/>
  <c r="H430" i="527"/>
  <c r="W429" i="527"/>
  <c r="V429" i="527"/>
  <c r="N429" i="527"/>
  <c r="K429" i="527" a="1"/>
  <c r="K429" i="527" s="1"/>
  <c r="M429" i="527" s="1"/>
  <c r="J429" i="527" a="1"/>
  <c r="J429" i="527" s="1"/>
  <c r="H429" i="527"/>
  <c r="V428" i="527"/>
  <c r="W428" i="527" s="1"/>
  <c r="N428" i="527"/>
  <c r="K428" i="527" a="1"/>
  <c r="K428" i="527" s="1"/>
  <c r="M428" i="527" s="1"/>
  <c r="J428" i="527" a="1"/>
  <c r="J428" i="527" s="1"/>
  <c r="H428" i="527"/>
  <c r="V427" i="527"/>
  <c r="V461" i="527" s="1"/>
  <c r="W461" i="527" s="1"/>
  <c r="N427" i="527"/>
  <c r="N461" i="527" s="1"/>
  <c r="K427" i="527" a="1"/>
  <c r="K427" i="527" s="1"/>
  <c r="M427" i="527" s="1"/>
  <c r="J427" i="527" a="1"/>
  <c r="J427" i="527" s="1"/>
  <c r="H427" i="527"/>
  <c r="H461" i="527" s="1"/>
  <c r="AA426" i="527"/>
  <c r="Z426" i="527"/>
  <c r="Y426" i="527"/>
  <c r="X426" i="527"/>
  <c r="U426" i="527"/>
  <c r="T426" i="527"/>
  <c r="S426" i="527"/>
  <c r="R426" i="527"/>
  <c r="Q426" i="527"/>
  <c r="P426" i="527"/>
  <c r="O426" i="527"/>
  <c r="I426" i="527"/>
  <c r="G426" i="527"/>
  <c r="J426" i="527" s="1" a="1"/>
  <c r="J426" i="527" s="1"/>
  <c r="K425" i="527" a="1"/>
  <c r="K425" i="527" s="1"/>
  <c r="M425" i="527" s="1"/>
  <c r="H425" i="527"/>
  <c r="K424" i="527" a="1"/>
  <c r="K424" i="527" s="1"/>
  <c r="M424" i="527" s="1"/>
  <c r="H424" i="527"/>
  <c r="K423" i="527" a="1"/>
  <c r="K423" i="527" s="1"/>
  <c r="M423" i="527" s="1"/>
  <c r="H423" i="527"/>
  <c r="K422" i="527" a="1"/>
  <c r="K422" i="527" s="1"/>
  <c r="M422" i="527" s="1"/>
  <c r="H422" i="527"/>
  <c r="K421" i="527" a="1"/>
  <c r="K421" i="527" s="1"/>
  <c r="M421" i="527" s="1"/>
  <c r="H421" i="527"/>
  <c r="K420" i="527" a="1"/>
  <c r="K420" i="527" s="1"/>
  <c r="M420" i="527" s="1"/>
  <c r="H420" i="527"/>
  <c r="K419" i="527" a="1"/>
  <c r="K419" i="527" s="1"/>
  <c r="M419" i="527" s="1"/>
  <c r="H419" i="527"/>
  <c r="K418" i="527" a="1"/>
  <c r="K418" i="527" s="1"/>
  <c r="M418" i="527" s="1"/>
  <c r="H418" i="527"/>
  <c r="K417" i="527" a="1"/>
  <c r="K417" i="527" s="1"/>
  <c r="M417" i="527" s="1"/>
  <c r="H417" i="527"/>
  <c r="K416" i="527" a="1"/>
  <c r="K416" i="527" s="1"/>
  <c r="M416" i="527" s="1"/>
  <c r="H416" i="527"/>
  <c r="W415" i="527"/>
  <c r="V415" i="527"/>
  <c r="N415" i="527"/>
  <c r="K415" i="527" a="1"/>
  <c r="K415" i="527" s="1"/>
  <c r="M415" i="527" s="1"/>
  <c r="J415" i="527" a="1"/>
  <c r="J415" i="527" s="1"/>
  <c r="H415" i="527"/>
  <c r="V414" i="527"/>
  <c r="W414" i="527" s="1"/>
  <c r="N414" i="527"/>
  <c r="K414" i="527" a="1"/>
  <c r="K414" i="527" s="1"/>
  <c r="M414" i="527" s="1"/>
  <c r="J414" i="527" a="1"/>
  <c r="J414" i="527" s="1"/>
  <c r="H414" i="527"/>
  <c r="V413" i="527"/>
  <c r="W413" i="527" s="1"/>
  <c r="N413" i="527"/>
  <c r="K413" i="527"/>
  <c r="M413" i="527" s="1"/>
  <c r="K413" i="527" a="1"/>
  <c r="J413" i="527"/>
  <c r="J413" i="527" a="1"/>
  <c r="H413" i="527"/>
  <c r="V412" i="527"/>
  <c r="W412" i="527" s="1"/>
  <c r="N412" i="527"/>
  <c r="K412" i="527" a="1"/>
  <c r="K412" i="527" s="1"/>
  <c r="M412" i="527" s="1"/>
  <c r="J412" i="527" a="1"/>
  <c r="J412" i="527" s="1"/>
  <c r="H412" i="527"/>
  <c r="H411" i="527"/>
  <c r="V410" i="527"/>
  <c r="W410" i="527" s="1"/>
  <c r="N410" i="527"/>
  <c r="K410" i="527" a="1"/>
  <c r="K410" i="527" s="1"/>
  <c r="M410" i="527" s="1"/>
  <c r="J410" i="527" a="1"/>
  <c r="J410" i="527" s="1"/>
  <c r="H410" i="527"/>
  <c r="V409" i="527"/>
  <c r="W409" i="527" s="1"/>
  <c r="N409" i="527"/>
  <c r="K409" i="527" a="1"/>
  <c r="K409" i="527" s="1"/>
  <c r="M409" i="527" s="1"/>
  <c r="J409" i="527" a="1"/>
  <c r="J409" i="527" s="1"/>
  <c r="H409" i="527"/>
  <c r="H408" i="527"/>
  <c r="K407" i="527" a="1"/>
  <c r="K407" i="527" s="1"/>
  <c r="H407" i="527"/>
  <c r="V406" i="527"/>
  <c r="W406" i="527" s="1"/>
  <c r="N406" i="527"/>
  <c r="K406" i="527" a="1"/>
  <c r="K406" i="527" s="1"/>
  <c r="M406" i="527" s="1"/>
  <c r="J406" i="527" a="1"/>
  <c r="J406" i="527" s="1"/>
  <c r="H406" i="527"/>
  <c r="V405" i="527"/>
  <c r="W405" i="527" s="1"/>
  <c r="N405" i="527"/>
  <c r="K405" i="527"/>
  <c r="M405" i="527" s="1"/>
  <c r="K405" i="527" a="1"/>
  <c r="J405" i="527"/>
  <c r="J405" i="527" a="1"/>
  <c r="H405" i="527"/>
  <c r="V404" i="527"/>
  <c r="W404" i="527" s="1"/>
  <c r="N404" i="527"/>
  <c r="K404" i="527" a="1"/>
  <c r="K404" i="527" s="1"/>
  <c r="M404" i="527" s="1"/>
  <c r="J404" i="527" a="1"/>
  <c r="J404" i="527" s="1"/>
  <c r="H404" i="527"/>
  <c r="V403" i="527"/>
  <c r="W403" i="527" s="1"/>
  <c r="N403" i="527"/>
  <c r="K403" i="527" a="1"/>
  <c r="K403" i="527" s="1"/>
  <c r="M403" i="527" s="1"/>
  <c r="J403" i="527" a="1"/>
  <c r="J403" i="527" s="1"/>
  <c r="H403" i="527"/>
  <c r="V402" i="527"/>
  <c r="W402" i="527" s="1"/>
  <c r="N402" i="527"/>
  <c r="K402" i="527" a="1"/>
  <c r="K402" i="527" s="1"/>
  <c r="M402" i="527" s="1"/>
  <c r="J402" i="527" a="1"/>
  <c r="J402" i="527" s="1"/>
  <c r="H402" i="527"/>
  <c r="V401" i="527"/>
  <c r="W401" i="527" s="1"/>
  <c r="N401" i="527"/>
  <c r="K401" i="527"/>
  <c r="M401" i="527" s="1"/>
  <c r="K401" i="527" a="1"/>
  <c r="J401" i="527"/>
  <c r="J401" i="527" a="1"/>
  <c r="H401" i="527"/>
  <c r="V400" i="527"/>
  <c r="W400" i="527" s="1"/>
  <c r="N400" i="527"/>
  <c r="K400" i="527" a="1"/>
  <c r="K400" i="527" s="1"/>
  <c r="M400" i="527" s="1"/>
  <c r="J400" i="527" a="1"/>
  <c r="J400" i="527" s="1"/>
  <c r="H400" i="527"/>
  <c r="W399" i="527"/>
  <c r="V399" i="527"/>
  <c r="N399" i="527"/>
  <c r="K399" i="527" a="1"/>
  <c r="K399" i="527" s="1"/>
  <c r="M399" i="527" s="1"/>
  <c r="J399" i="527" a="1"/>
  <c r="J399" i="527" s="1"/>
  <c r="H399" i="527"/>
  <c r="V398" i="527"/>
  <c r="W398" i="527" s="1"/>
  <c r="N398" i="527"/>
  <c r="K398" i="527" a="1"/>
  <c r="K398" i="527" s="1"/>
  <c r="M398" i="527" s="1"/>
  <c r="J398" i="527" a="1"/>
  <c r="J398" i="527" s="1"/>
  <c r="H398" i="527"/>
  <c r="V397" i="527"/>
  <c r="W397" i="527" s="1"/>
  <c r="N397" i="527"/>
  <c r="K397" i="527"/>
  <c r="M397" i="527" s="1"/>
  <c r="K397" i="527" a="1"/>
  <c r="J397" i="527"/>
  <c r="J397" i="527" a="1"/>
  <c r="H397" i="527"/>
  <c r="K396" i="527" a="1"/>
  <c r="K396" i="527" s="1"/>
  <c r="M396" i="527" s="1"/>
  <c r="H396" i="527"/>
  <c r="K395" i="527"/>
  <c r="M395" i="527" s="1"/>
  <c r="K395" i="527" a="1"/>
  <c r="H395" i="527"/>
  <c r="K394" i="527" a="1"/>
  <c r="K394" i="527" s="1"/>
  <c r="M394" i="527" s="1"/>
  <c r="H394" i="527"/>
  <c r="K393" i="527"/>
  <c r="M393" i="527" s="1"/>
  <c r="K393" i="527" a="1"/>
  <c r="H393" i="527"/>
  <c r="N392" i="527"/>
  <c r="K392" i="527" a="1"/>
  <c r="K392" i="527" s="1"/>
  <c r="M392" i="527" s="1"/>
  <c r="H392" i="527"/>
  <c r="N391" i="527"/>
  <c r="K391" i="527" a="1"/>
  <c r="K391" i="527" s="1"/>
  <c r="M391" i="527" s="1"/>
  <c r="H391" i="527"/>
  <c r="N390" i="527"/>
  <c r="K390" i="527" a="1"/>
  <c r="K390" i="527" s="1"/>
  <c r="M390" i="527" s="1"/>
  <c r="H390" i="527"/>
  <c r="N389" i="527"/>
  <c r="K389" i="527"/>
  <c r="M389" i="527" s="1"/>
  <c r="K389" i="527" a="1"/>
  <c r="H389" i="527"/>
  <c r="V388" i="527"/>
  <c r="W388" i="527" s="1"/>
  <c r="N388" i="527"/>
  <c r="K388" i="527" a="1"/>
  <c r="K388" i="527" s="1"/>
  <c r="M388" i="527" s="1"/>
  <c r="J388" i="527" a="1"/>
  <c r="J388" i="527" s="1"/>
  <c r="H388" i="527"/>
  <c r="V387" i="527"/>
  <c r="W387" i="527" s="1"/>
  <c r="N387" i="527"/>
  <c r="K387" i="527" a="1"/>
  <c r="K387" i="527" s="1"/>
  <c r="M387" i="527" s="1"/>
  <c r="J387" i="527" a="1"/>
  <c r="J387" i="527" s="1"/>
  <c r="H387" i="527"/>
  <c r="V386" i="527"/>
  <c r="W386" i="527" s="1"/>
  <c r="N386" i="527"/>
  <c r="K386" i="527" a="1"/>
  <c r="K386" i="527" s="1"/>
  <c r="M386" i="527" s="1"/>
  <c r="J386" i="527" a="1"/>
  <c r="J386" i="527" s="1"/>
  <c r="H386" i="527"/>
  <c r="V385" i="527"/>
  <c r="W385" i="527" s="1"/>
  <c r="N385" i="527"/>
  <c r="K385" i="527"/>
  <c r="M385" i="527" s="1"/>
  <c r="K385" i="527" a="1"/>
  <c r="J385" i="527"/>
  <c r="J385" i="527" a="1"/>
  <c r="H385" i="527"/>
  <c r="V384" i="527"/>
  <c r="W384" i="527" s="1"/>
  <c r="N384" i="527"/>
  <c r="K384" i="527" a="1"/>
  <c r="K384" i="527" s="1"/>
  <c r="M384" i="527" s="1"/>
  <c r="J384" i="527" a="1"/>
  <c r="J384" i="527" s="1"/>
  <c r="H384" i="527"/>
  <c r="V383" i="527"/>
  <c r="W383" i="527" s="1"/>
  <c r="N383" i="527"/>
  <c r="K383" i="527"/>
  <c r="M383" i="527" s="1"/>
  <c r="K383" i="527" a="1"/>
  <c r="J383" i="527"/>
  <c r="J383" i="527" a="1"/>
  <c r="H383" i="527"/>
  <c r="V382" i="527"/>
  <c r="W382" i="527" s="1"/>
  <c r="N382" i="527"/>
  <c r="K382" i="527" a="1"/>
  <c r="K382" i="527" s="1"/>
  <c r="M382" i="527" s="1"/>
  <c r="J382" i="527" a="1"/>
  <c r="J382" i="527" s="1"/>
  <c r="H382" i="527"/>
  <c r="V381" i="527"/>
  <c r="W381" i="527" s="1"/>
  <c r="N381" i="527"/>
  <c r="K381" i="527" a="1"/>
  <c r="K381" i="527" s="1"/>
  <c r="M381" i="527" s="1"/>
  <c r="J381" i="527" a="1"/>
  <c r="J381" i="527" s="1"/>
  <c r="H381" i="527"/>
  <c r="V380" i="527"/>
  <c r="W380" i="527" s="1"/>
  <c r="N380" i="527"/>
  <c r="M380" i="527"/>
  <c r="K380" i="527" a="1"/>
  <c r="K380" i="527" s="1"/>
  <c r="J380" i="527" a="1"/>
  <c r="J380" i="527" s="1"/>
  <c r="H380" i="527"/>
  <c r="V379" i="527"/>
  <c r="W379" i="527" s="1"/>
  <c r="N379" i="527"/>
  <c r="K379" i="527" a="1"/>
  <c r="K379" i="527" s="1"/>
  <c r="M379" i="527" s="1"/>
  <c r="J379" i="527" a="1"/>
  <c r="J379" i="527" s="1"/>
  <c r="H379" i="527"/>
  <c r="V378" i="527"/>
  <c r="W378" i="527" s="1"/>
  <c r="N378" i="527"/>
  <c r="M378" i="527"/>
  <c r="K378" i="527" a="1"/>
  <c r="K378" i="527" s="1"/>
  <c r="J378" i="527" a="1"/>
  <c r="J378" i="527" s="1"/>
  <c r="H378" i="527"/>
  <c r="W377" i="527"/>
  <c r="V377" i="527"/>
  <c r="N377" i="527"/>
  <c r="K377" i="527" a="1"/>
  <c r="K377" i="527" s="1"/>
  <c r="M377" i="527" s="1"/>
  <c r="J377" i="527" a="1"/>
  <c r="J377" i="527" s="1"/>
  <c r="H377" i="527"/>
  <c r="K376" i="527"/>
  <c r="M376" i="527" s="1"/>
  <c r="K376" i="527" a="1"/>
  <c r="H376" i="527"/>
  <c r="K375" i="527" a="1"/>
  <c r="K375" i="527" s="1"/>
  <c r="M375" i="527" s="1"/>
  <c r="H375" i="527"/>
  <c r="K374" i="527"/>
  <c r="M374" i="527" s="1"/>
  <c r="K374" i="527" a="1"/>
  <c r="H374" i="527"/>
  <c r="V373" i="527"/>
  <c r="W373" i="527" s="1"/>
  <c r="N373" i="527"/>
  <c r="K373" i="527" a="1"/>
  <c r="K373" i="527" s="1"/>
  <c r="M373" i="527" s="1"/>
  <c r="J373" i="527" a="1"/>
  <c r="J373" i="527" s="1"/>
  <c r="H373" i="527"/>
  <c r="V372" i="527"/>
  <c r="W372" i="527" s="1"/>
  <c r="N372" i="527"/>
  <c r="K372" i="527" a="1"/>
  <c r="K372" i="527" s="1"/>
  <c r="M372" i="527" s="1"/>
  <c r="J372" i="527" a="1"/>
  <c r="J372" i="527" s="1"/>
  <c r="H372" i="527"/>
  <c r="V371" i="527"/>
  <c r="W371" i="527" s="1"/>
  <c r="N371" i="527"/>
  <c r="K371" i="527" a="1"/>
  <c r="K371" i="527" s="1"/>
  <c r="M371" i="527" s="1"/>
  <c r="J371" i="527" a="1"/>
  <c r="J371" i="527" s="1"/>
  <c r="H371" i="527"/>
  <c r="K370" i="527" a="1"/>
  <c r="K370" i="527" s="1"/>
  <c r="H370" i="527"/>
  <c r="V369" i="527"/>
  <c r="V426" i="527" s="1"/>
  <c r="W426" i="527" s="1"/>
  <c r="N369" i="527"/>
  <c r="K369" i="527" a="1"/>
  <c r="K369" i="527" s="1"/>
  <c r="J369" i="527" a="1"/>
  <c r="J369" i="527" s="1"/>
  <c r="H369" i="527"/>
  <c r="AA368" i="527"/>
  <c r="AA504" i="527" s="1"/>
  <c r="Z368" i="527"/>
  <c r="Z504" i="527" s="1"/>
  <c r="Y368" i="527"/>
  <c r="Y504" i="527" s="1"/>
  <c r="X368" i="527"/>
  <c r="X504" i="527" s="1"/>
  <c r="U368" i="527"/>
  <c r="U504" i="527" s="1"/>
  <c r="T368" i="527"/>
  <c r="T504" i="527" s="1"/>
  <c r="S368" i="527"/>
  <c r="S504" i="527" s="1"/>
  <c r="R368" i="527"/>
  <c r="R504" i="527" s="1"/>
  <c r="Q368" i="527"/>
  <c r="Q504" i="527" s="1"/>
  <c r="P368" i="527"/>
  <c r="P504" i="527" s="1"/>
  <c r="O368" i="527"/>
  <c r="I368" i="527"/>
  <c r="I504" i="527" s="1"/>
  <c r="B512" i="527" s="1"/>
  <c r="G368" i="527"/>
  <c r="G504" i="527" s="1"/>
  <c r="V367" i="527"/>
  <c r="W367" i="527" s="1"/>
  <c r="N367" i="527"/>
  <c r="K367" i="527" a="1"/>
  <c r="K367" i="527" s="1"/>
  <c r="M367" i="527" s="1"/>
  <c r="J367" i="527" a="1"/>
  <c r="J367" i="527" s="1"/>
  <c r="H367" i="527"/>
  <c r="V366" i="527"/>
  <c r="W366" i="527" s="1"/>
  <c r="N366" i="527"/>
  <c r="K366" i="527"/>
  <c r="M366" i="527" s="1"/>
  <c r="K366" i="527" a="1"/>
  <c r="J366" i="527"/>
  <c r="J366" i="527" a="1"/>
  <c r="H366" i="527"/>
  <c r="K365" i="527" a="1"/>
  <c r="K365" i="527" s="1"/>
  <c r="M365" i="527" s="1"/>
  <c r="H365" i="527"/>
  <c r="K364" i="527"/>
  <c r="M364" i="527" s="1"/>
  <c r="K364" i="527" a="1"/>
  <c r="H364" i="527"/>
  <c r="K363" i="527" a="1"/>
  <c r="K363" i="527" s="1"/>
  <c r="M363" i="527" s="1"/>
  <c r="H363" i="527"/>
  <c r="K362" i="527"/>
  <c r="M362" i="527" s="1"/>
  <c r="K362" i="527" a="1"/>
  <c r="H362" i="527"/>
  <c r="V361" i="527"/>
  <c r="W361" i="527" s="1"/>
  <c r="N361" i="527"/>
  <c r="K361" i="527" a="1"/>
  <c r="K361" i="527" s="1"/>
  <c r="M361" i="527" s="1"/>
  <c r="J361" i="527" a="1"/>
  <c r="J361" i="527" s="1"/>
  <c r="H361" i="527"/>
  <c r="V360" i="527"/>
  <c r="W360" i="527" s="1"/>
  <c r="N360" i="527"/>
  <c r="K360" i="527" a="1"/>
  <c r="K360" i="527" s="1"/>
  <c r="M360" i="527" s="1"/>
  <c r="J360" i="527" a="1"/>
  <c r="J360" i="527" s="1"/>
  <c r="H360" i="527"/>
  <c r="V359" i="527"/>
  <c r="W359" i="527" s="1"/>
  <c r="N359" i="527"/>
  <c r="K359" i="527" a="1"/>
  <c r="K359" i="527" s="1"/>
  <c r="M359" i="527" s="1"/>
  <c r="J359" i="527" a="1"/>
  <c r="J359" i="527" s="1"/>
  <c r="H359" i="527"/>
  <c r="H358" i="527"/>
  <c r="H357" i="527"/>
  <c r="V356" i="527"/>
  <c r="W356" i="527" s="1"/>
  <c r="N356" i="527"/>
  <c r="K356" i="527"/>
  <c r="M356" i="527" s="1"/>
  <c r="K356" i="527" a="1"/>
  <c r="J356" i="527"/>
  <c r="J356" i="527" a="1"/>
  <c r="H356" i="527"/>
  <c r="V355" i="527"/>
  <c r="W355" i="527" s="1"/>
  <c r="N355" i="527"/>
  <c r="K355" i="527" a="1"/>
  <c r="K355" i="527" s="1"/>
  <c r="M355" i="527" s="1"/>
  <c r="J355" i="527" a="1"/>
  <c r="J355" i="527" s="1"/>
  <c r="H355" i="527"/>
  <c r="K354" i="527" a="1"/>
  <c r="K354" i="527" s="1"/>
  <c r="M354" i="527" s="1"/>
  <c r="H354" i="527"/>
  <c r="K353" i="527" a="1"/>
  <c r="K353" i="527" s="1"/>
  <c r="M353" i="527" s="1"/>
  <c r="H353" i="527"/>
  <c r="W352" i="527"/>
  <c r="V352" i="527"/>
  <c r="N352" i="527"/>
  <c r="K352" i="527" a="1"/>
  <c r="K352" i="527" s="1"/>
  <c r="M352" i="527" s="1"/>
  <c r="J352" i="527" a="1"/>
  <c r="J352" i="527" s="1"/>
  <c r="H352" i="527"/>
  <c r="V351" i="527"/>
  <c r="W351" i="527" s="1"/>
  <c r="N351" i="527"/>
  <c r="K351" i="527" a="1"/>
  <c r="K351" i="527" s="1"/>
  <c r="M351" i="527" s="1"/>
  <c r="J351" i="527" a="1"/>
  <c r="J351" i="527" s="1"/>
  <c r="H351" i="527"/>
  <c r="V350" i="527"/>
  <c r="W350" i="527" s="1"/>
  <c r="N350" i="527"/>
  <c r="K350" i="527"/>
  <c r="M350" i="527" s="1"/>
  <c r="K350" i="527" a="1"/>
  <c r="J350" i="527"/>
  <c r="J350" i="527" a="1"/>
  <c r="H350" i="527"/>
  <c r="V349" i="527"/>
  <c r="W349" i="527" s="1"/>
  <c r="N349" i="527"/>
  <c r="K349" i="527" a="1"/>
  <c r="K349" i="527" s="1"/>
  <c r="M349" i="527" s="1"/>
  <c r="J349" i="527" a="1"/>
  <c r="J349" i="527" s="1"/>
  <c r="H349" i="527"/>
  <c r="V348" i="527"/>
  <c r="W348" i="527" s="1"/>
  <c r="N348" i="527"/>
  <c r="K348" i="527" a="1"/>
  <c r="K348" i="527" s="1"/>
  <c r="M348" i="527" s="1"/>
  <c r="J348" i="527" a="1"/>
  <c r="J348" i="527" s="1"/>
  <c r="H348" i="527"/>
  <c r="V347" i="527"/>
  <c r="N347" i="527"/>
  <c r="K347" i="527" a="1"/>
  <c r="K347" i="527" s="1"/>
  <c r="J347" i="527" a="1"/>
  <c r="J347" i="527" s="1"/>
  <c r="H347" i="527"/>
  <c r="X341" i="527"/>
  <c r="X340" i="527"/>
  <c r="X339" i="527"/>
  <c r="G339" i="527"/>
  <c r="E339" i="527"/>
  <c r="C339" i="527"/>
  <c r="X338" i="527"/>
  <c r="I338" i="527"/>
  <c r="E338" i="527"/>
  <c r="K338" i="527" s="1"/>
  <c r="M338" i="527" s="1"/>
  <c r="I337" i="527"/>
  <c r="E337" i="527"/>
  <c r="K337" i="527" s="1"/>
  <c r="M337" i="527" s="1"/>
  <c r="I336" i="527"/>
  <c r="E336" i="527"/>
  <c r="K336" i="527" s="1"/>
  <c r="M336" i="527" s="1"/>
  <c r="X335" i="527"/>
  <c r="I335" i="527"/>
  <c r="I339" i="527" s="1"/>
  <c r="E335" i="527"/>
  <c r="K335" i="527" s="1"/>
  <c r="AA332" i="527"/>
  <c r="Z332" i="527"/>
  <c r="Y332" i="527"/>
  <c r="X332" i="527"/>
  <c r="U332" i="527"/>
  <c r="T332" i="527"/>
  <c r="S332" i="527"/>
  <c r="R332" i="527"/>
  <c r="Q332" i="527"/>
  <c r="P332" i="527"/>
  <c r="O332" i="527"/>
  <c r="R340" i="527" s="1"/>
  <c r="I332" i="527"/>
  <c r="G332" i="527"/>
  <c r="K331" i="527" a="1"/>
  <c r="K331" i="527" s="1"/>
  <c r="H331" i="527"/>
  <c r="K330" i="527"/>
  <c r="K330" i="527" a="1"/>
  <c r="H330" i="527"/>
  <c r="K329" i="527" a="1"/>
  <c r="K329" i="527" s="1"/>
  <c r="H329" i="527"/>
  <c r="V328" i="527"/>
  <c r="W328" i="527" s="1"/>
  <c r="N328" i="527"/>
  <c r="K328" i="527" a="1"/>
  <c r="K328" i="527" s="1"/>
  <c r="D328" i="527"/>
  <c r="H328" i="527" s="1"/>
  <c r="H327" i="527"/>
  <c r="K326" i="527" a="1"/>
  <c r="K326" i="527" s="1"/>
  <c r="H326" i="527"/>
  <c r="H325" i="527"/>
  <c r="V324" i="527"/>
  <c r="W324" i="527" s="1"/>
  <c r="N324" i="527"/>
  <c r="K324" i="527" a="1"/>
  <c r="K324" i="527" s="1"/>
  <c r="M324" i="527" s="1"/>
  <c r="J324" i="527" a="1"/>
  <c r="J324" i="527" s="1"/>
  <c r="H324" i="527"/>
  <c r="V323" i="527"/>
  <c r="W323" i="527" s="1"/>
  <c r="N323" i="527"/>
  <c r="K323" i="527" a="1"/>
  <c r="K323" i="527" s="1"/>
  <c r="M323" i="527" s="1"/>
  <c r="J323" i="527" a="1"/>
  <c r="J323" i="527" s="1"/>
  <c r="H323" i="527"/>
  <c r="H322" i="527"/>
  <c r="V321" i="527"/>
  <c r="W321" i="527" s="1"/>
  <c r="N321" i="527"/>
  <c r="K321" i="527" a="1"/>
  <c r="K321" i="527" s="1"/>
  <c r="M321" i="527" s="1"/>
  <c r="J321" i="527" a="1"/>
  <c r="J321" i="527" s="1"/>
  <c r="H321" i="527"/>
  <c r="V320" i="527"/>
  <c r="W320" i="527" s="1"/>
  <c r="N320" i="527"/>
  <c r="K320" i="527"/>
  <c r="M320" i="527" s="1"/>
  <c r="K320" i="527" a="1"/>
  <c r="J320" i="527"/>
  <c r="J320" i="527" a="1"/>
  <c r="H320" i="527"/>
  <c r="V319" i="527"/>
  <c r="W319" i="527" s="1"/>
  <c r="N319" i="527"/>
  <c r="K319" i="527" a="1"/>
  <c r="K319" i="527" s="1"/>
  <c r="M319" i="527" s="1"/>
  <c r="J319" i="527" a="1"/>
  <c r="J319" i="527" s="1"/>
  <c r="H319" i="527"/>
  <c r="V318" i="527"/>
  <c r="V332" i="527" s="1"/>
  <c r="N318" i="527"/>
  <c r="N332" i="527" s="1"/>
  <c r="K318" i="527" a="1"/>
  <c r="K318" i="527" s="1"/>
  <c r="J318" i="527" a="1"/>
  <c r="J318" i="527" s="1"/>
  <c r="H318" i="527"/>
  <c r="H332" i="527" s="1"/>
  <c r="AA317" i="527"/>
  <c r="Z317" i="527"/>
  <c r="Y317" i="527"/>
  <c r="X317" i="527"/>
  <c r="U317" i="527"/>
  <c r="T317" i="527"/>
  <c r="S317" i="527"/>
  <c r="Q317" i="527"/>
  <c r="P317" i="527"/>
  <c r="O317" i="527"/>
  <c r="R339" i="527" s="1"/>
  <c r="I317" i="527"/>
  <c r="G317" i="527"/>
  <c r="V316" i="527"/>
  <c r="W316" i="527" s="1"/>
  <c r="N316" i="527"/>
  <c r="K316" i="527" a="1"/>
  <c r="K316" i="527" s="1"/>
  <c r="M316" i="527" s="1"/>
  <c r="J316" i="527" a="1"/>
  <c r="J316" i="527" s="1"/>
  <c r="H316" i="527"/>
  <c r="H314" i="527"/>
  <c r="H313" i="527"/>
  <c r="V312" i="527"/>
  <c r="W312" i="527" s="1"/>
  <c r="N312" i="527"/>
  <c r="K312" i="527" a="1"/>
  <c r="K312" i="527" s="1"/>
  <c r="M312" i="527" s="1"/>
  <c r="J312" i="527" a="1"/>
  <c r="J312" i="527" s="1"/>
  <c r="H312" i="527"/>
  <c r="V311" i="527"/>
  <c r="W311" i="527" s="1"/>
  <c r="N311" i="527"/>
  <c r="K311" i="527" a="1"/>
  <c r="K311" i="527" s="1"/>
  <c r="M311" i="527" s="1"/>
  <c r="J311" i="527" a="1"/>
  <c r="J311" i="527" s="1"/>
  <c r="H311" i="527"/>
  <c r="V310" i="527"/>
  <c r="W310" i="527" s="1"/>
  <c r="N310" i="527"/>
  <c r="K310" i="527"/>
  <c r="M310" i="527" s="1"/>
  <c r="K310" i="527" a="1"/>
  <c r="J310" i="527"/>
  <c r="J310" i="527" a="1"/>
  <c r="H310" i="527"/>
  <c r="V309" i="527"/>
  <c r="W309" i="527" s="1"/>
  <c r="N309" i="527"/>
  <c r="K309" i="527" a="1"/>
  <c r="K309" i="527" s="1"/>
  <c r="M309" i="527" s="1"/>
  <c r="J309" i="527" a="1"/>
  <c r="J309" i="527" s="1"/>
  <c r="H309" i="527"/>
  <c r="V308" i="527"/>
  <c r="V317" i="527" s="1"/>
  <c r="W317" i="527" s="1"/>
  <c r="N308" i="527"/>
  <c r="N317" i="527" s="1"/>
  <c r="K308" i="527" a="1"/>
  <c r="K308" i="527" s="1"/>
  <c r="K317" i="527" s="1"/>
  <c r="J308" i="527" a="1"/>
  <c r="J308" i="527" s="1"/>
  <c r="H308" i="527"/>
  <c r="AA307" i="527"/>
  <c r="Z307" i="527"/>
  <c r="Y307" i="527"/>
  <c r="X307" i="527"/>
  <c r="U307" i="527"/>
  <c r="T307" i="527"/>
  <c r="S307" i="527"/>
  <c r="Q307" i="527"/>
  <c r="P307" i="527"/>
  <c r="O307" i="527"/>
  <c r="R338" i="527" s="1"/>
  <c r="I307" i="527"/>
  <c r="G307" i="527"/>
  <c r="V306" i="527"/>
  <c r="W306" i="527" s="1"/>
  <c r="N306" i="527"/>
  <c r="K306" i="527" a="1"/>
  <c r="K306" i="527" s="1"/>
  <c r="M306" i="527" s="1"/>
  <c r="J306" i="527" a="1"/>
  <c r="J306" i="527" s="1"/>
  <c r="H306" i="527"/>
  <c r="V305" i="527"/>
  <c r="W305" i="527" s="1"/>
  <c r="N305" i="527"/>
  <c r="K305" i="527" a="1"/>
  <c r="K305" i="527" s="1"/>
  <c r="M305" i="527" s="1"/>
  <c r="J305" i="527" a="1"/>
  <c r="J305" i="527" s="1"/>
  <c r="H305" i="527"/>
  <c r="V304" i="527"/>
  <c r="W304" i="527" s="1"/>
  <c r="N304" i="527"/>
  <c r="K304" i="527" a="1"/>
  <c r="K304" i="527" s="1"/>
  <c r="M304" i="527" s="1"/>
  <c r="J304" i="527" a="1"/>
  <c r="J304" i="527" s="1"/>
  <c r="H304" i="527"/>
  <c r="V303" i="527"/>
  <c r="W303" i="527" s="1"/>
  <c r="N303" i="527"/>
  <c r="K303" i="527"/>
  <c r="M303" i="527" s="1"/>
  <c r="K303" i="527" a="1"/>
  <c r="J303" i="527"/>
  <c r="J303" i="527" a="1"/>
  <c r="H303" i="527"/>
  <c r="V302" i="527"/>
  <c r="W302" i="527" s="1"/>
  <c r="N302" i="527"/>
  <c r="K302" i="527" a="1"/>
  <c r="K302" i="527" s="1"/>
  <c r="M302" i="527" s="1"/>
  <c r="J302" i="527" a="1"/>
  <c r="J302" i="527" s="1"/>
  <c r="H302" i="527"/>
  <c r="V301" i="527"/>
  <c r="W301" i="527" s="1"/>
  <c r="N301" i="527"/>
  <c r="K301" i="527" a="1"/>
  <c r="K301" i="527" s="1"/>
  <c r="M301" i="527" s="1"/>
  <c r="J301" i="527" a="1"/>
  <c r="J301" i="527" s="1"/>
  <c r="H301" i="527"/>
  <c r="V300" i="527"/>
  <c r="W300" i="527" s="1"/>
  <c r="N300" i="527"/>
  <c r="K300" i="527" a="1"/>
  <c r="K300" i="527" s="1"/>
  <c r="M300" i="527" s="1"/>
  <c r="J300" i="527" a="1"/>
  <c r="J300" i="527" s="1"/>
  <c r="H300" i="527"/>
  <c r="V299" i="527"/>
  <c r="W299" i="527" s="1"/>
  <c r="N299" i="527"/>
  <c r="K299" i="527"/>
  <c r="M299" i="527" s="1"/>
  <c r="K299" i="527" a="1"/>
  <c r="J299" i="527"/>
  <c r="J299" i="527" a="1"/>
  <c r="H299" i="527"/>
  <c r="V298" i="527"/>
  <c r="W298" i="527" s="1"/>
  <c r="N298" i="527"/>
  <c r="K298" i="527" a="1"/>
  <c r="K298" i="527" s="1"/>
  <c r="M298" i="527" s="1"/>
  <c r="J298" i="527" a="1"/>
  <c r="J298" i="527" s="1"/>
  <c r="H298" i="527"/>
  <c r="V297" i="527"/>
  <c r="W297" i="527" s="1"/>
  <c r="N297" i="527"/>
  <c r="K297" i="527" a="1"/>
  <c r="K297" i="527" s="1"/>
  <c r="M297" i="527" s="1"/>
  <c r="J297" i="527" a="1"/>
  <c r="J297" i="527" s="1"/>
  <c r="H297" i="527"/>
  <c r="V296" i="527"/>
  <c r="W296" i="527" s="1"/>
  <c r="N296" i="527"/>
  <c r="K296" i="527" a="1"/>
  <c r="K296" i="527" s="1"/>
  <c r="M296" i="527" s="1"/>
  <c r="J296" i="527" a="1"/>
  <c r="J296" i="527" s="1"/>
  <c r="H296" i="527"/>
  <c r="V295" i="527"/>
  <c r="W295" i="527" s="1"/>
  <c r="N295" i="527"/>
  <c r="K295" i="527"/>
  <c r="M295" i="527" s="1"/>
  <c r="K295" i="527" a="1"/>
  <c r="J295" i="527"/>
  <c r="J295" i="527" a="1"/>
  <c r="H295" i="527"/>
  <c r="V294" i="527"/>
  <c r="W294" i="527" s="1"/>
  <c r="N294" i="527"/>
  <c r="K294" i="527" a="1"/>
  <c r="K294" i="527" s="1"/>
  <c r="M294" i="527" s="1"/>
  <c r="J294" i="527" a="1"/>
  <c r="J294" i="527" s="1"/>
  <c r="H294" i="527"/>
  <c r="V293" i="527"/>
  <c r="W293" i="527" s="1"/>
  <c r="N293" i="527"/>
  <c r="K293" i="527" a="1"/>
  <c r="K293" i="527" s="1"/>
  <c r="M293" i="527" s="1"/>
  <c r="J293" i="527" a="1"/>
  <c r="J293" i="527" s="1"/>
  <c r="H293" i="527"/>
  <c r="V292" i="527"/>
  <c r="N292" i="527"/>
  <c r="K292" i="527" a="1"/>
  <c r="K292" i="527" s="1"/>
  <c r="J292" i="527" a="1"/>
  <c r="J292" i="527" s="1"/>
  <c r="H292" i="527"/>
  <c r="AA291" i="527"/>
  <c r="Z291" i="527"/>
  <c r="Y291" i="527"/>
  <c r="X291" i="527"/>
  <c r="U291" i="527"/>
  <c r="T291" i="527"/>
  <c r="S291" i="527"/>
  <c r="R291" i="527"/>
  <c r="Q291" i="527"/>
  <c r="P291" i="527"/>
  <c r="O291" i="527"/>
  <c r="R337" i="527" s="1"/>
  <c r="I291" i="527"/>
  <c r="G291" i="527"/>
  <c r="V290" i="527"/>
  <c r="W290" i="527" s="1"/>
  <c r="N290" i="527"/>
  <c r="K290" i="527" a="1"/>
  <c r="K290" i="527" s="1"/>
  <c r="M290" i="527" s="1"/>
  <c r="J290" i="527" a="1"/>
  <c r="J290" i="527" s="1"/>
  <c r="H290" i="527"/>
  <c r="V289" i="527"/>
  <c r="W289" i="527" s="1"/>
  <c r="N289" i="527"/>
  <c r="K289" i="527" a="1"/>
  <c r="K289" i="527" s="1"/>
  <c r="M289" i="527" s="1"/>
  <c r="J289" i="527" a="1"/>
  <c r="J289" i="527" s="1"/>
  <c r="H289" i="527"/>
  <c r="V288" i="527"/>
  <c r="W288" i="527" s="1"/>
  <c r="N288" i="527"/>
  <c r="K288" i="527"/>
  <c r="M288" i="527" s="1"/>
  <c r="K288" i="527" a="1"/>
  <c r="J288" i="527"/>
  <c r="J288" i="527" a="1"/>
  <c r="H288" i="527"/>
  <c r="H287" i="527"/>
  <c r="H286" i="527"/>
  <c r="H285" i="527"/>
  <c r="V284" i="527"/>
  <c r="W284" i="527" s="1"/>
  <c r="N284" i="527"/>
  <c r="K284" i="527" a="1"/>
  <c r="K284" i="527" s="1"/>
  <c r="M284" i="527" s="1"/>
  <c r="J284" i="527" a="1"/>
  <c r="J284" i="527" s="1"/>
  <c r="H284" i="527"/>
  <c r="V283" i="527"/>
  <c r="W283" i="527" s="1"/>
  <c r="N283" i="527"/>
  <c r="K283" i="527" a="1"/>
  <c r="K283" i="527" s="1"/>
  <c r="M283" i="527" s="1"/>
  <c r="J283" i="527" a="1"/>
  <c r="J283" i="527" s="1"/>
  <c r="H283" i="527"/>
  <c r="N282" i="527"/>
  <c r="K282" i="527"/>
  <c r="M282" i="527" s="1"/>
  <c r="K282" i="527" a="1"/>
  <c r="H282" i="527"/>
  <c r="N281" i="527"/>
  <c r="K281" i="527" a="1"/>
  <c r="K281" i="527" s="1"/>
  <c r="M281" i="527" s="1"/>
  <c r="H281" i="527"/>
  <c r="N280" i="527"/>
  <c r="K280" i="527" a="1"/>
  <c r="K280" i="527" s="1"/>
  <c r="M280" i="527" s="1"/>
  <c r="H280" i="527"/>
  <c r="N279" i="527"/>
  <c r="K279" i="527" a="1"/>
  <c r="K279" i="527" s="1"/>
  <c r="M279" i="527" s="1"/>
  <c r="H279" i="527"/>
  <c r="N278" i="527"/>
  <c r="K278" i="527"/>
  <c r="M278" i="527" s="1"/>
  <c r="K278" i="527" a="1"/>
  <c r="H278" i="527"/>
  <c r="N277" i="527"/>
  <c r="K277" i="527" a="1"/>
  <c r="K277" i="527" s="1"/>
  <c r="M277" i="527" s="1"/>
  <c r="H277" i="527"/>
  <c r="V276" i="527"/>
  <c r="W276" i="527" s="1"/>
  <c r="N276" i="527"/>
  <c r="K276" i="527" a="1"/>
  <c r="K276" i="527" s="1"/>
  <c r="M276" i="527" s="1"/>
  <c r="J276" i="527" a="1"/>
  <c r="J276" i="527" s="1"/>
  <c r="H276" i="527"/>
  <c r="V275" i="527"/>
  <c r="W275" i="527" s="1"/>
  <c r="N275" i="527"/>
  <c r="K275" i="527" a="1"/>
  <c r="K275" i="527" s="1"/>
  <c r="M275" i="527" s="1"/>
  <c r="J275" i="527" a="1"/>
  <c r="J275" i="527" s="1"/>
  <c r="H275" i="527"/>
  <c r="V274" i="527"/>
  <c r="W274" i="527" s="1"/>
  <c r="N274" i="527"/>
  <c r="K274" i="527"/>
  <c r="M274" i="527" s="1"/>
  <c r="K274" i="527" a="1"/>
  <c r="J274" i="527"/>
  <c r="J274" i="527" a="1"/>
  <c r="H274" i="527"/>
  <c r="V273" i="527"/>
  <c r="W273" i="527" s="1"/>
  <c r="N273" i="527"/>
  <c r="K273" i="527" a="1"/>
  <c r="K273" i="527" s="1"/>
  <c r="M273" i="527" s="1"/>
  <c r="J273" i="527" a="1"/>
  <c r="J273" i="527" s="1"/>
  <c r="H273" i="527"/>
  <c r="V272" i="527"/>
  <c r="W272" i="527" s="1"/>
  <c r="N272" i="527"/>
  <c r="K272" i="527" a="1"/>
  <c r="K272" i="527" s="1"/>
  <c r="M272" i="527" s="1"/>
  <c r="J272" i="527" a="1"/>
  <c r="J272" i="527" s="1"/>
  <c r="H272" i="527"/>
  <c r="V271" i="527"/>
  <c r="W271" i="527" s="1"/>
  <c r="N271" i="527"/>
  <c r="K271" i="527" a="1"/>
  <c r="K271" i="527" s="1"/>
  <c r="M271" i="527" s="1"/>
  <c r="J271" i="527" a="1"/>
  <c r="J271" i="527" s="1"/>
  <c r="H271" i="527"/>
  <c r="V270" i="527"/>
  <c r="W270" i="527" s="1"/>
  <c r="N270" i="527"/>
  <c r="K270" i="527"/>
  <c r="M270" i="527" s="1"/>
  <c r="K270" i="527" a="1"/>
  <c r="J270" i="527"/>
  <c r="J270" i="527" a="1"/>
  <c r="H270" i="527"/>
  <c r="V269" i="527"/>
  <c r="W269" i="527" s="1"/>
  <c r="N269" i="527"/>
  <c r="K269" i="527" a="1"/>
  <c r="K269" i="527" s="1"/>
  <c r="M269" i="527" s="1"/>
  <c r="J269" i="527" a="1"/>
  <c r="J269" i="527" s="1"/>
  <c r="H269" i="527"/>
  <c r="W268" i="527"/>
  <c r="V268" i="527"/>
  <c r="N268" i="527"/>
  <c r="K268" i="527" a="1"/>
  <c r="K268" i="527" s="1"/>
  <c r="M268" i="527" s="1"/>
  <c r="J268" i="527" a="1"/>
  <c r="J268" i="527" s="1"/>
  <c r="H268" i="527"/>
  <c r="V267" i="527"/>
  <c r="W267" i="527" s="1"/>
  <c r="N267" i="527"/>
  <c r="K267" i="527" a="1"/>
  <c r="K267" i="527" s="1"/>
  <c r="M267" i="527" s="1"/>
  <c r="J267" i="527" a="1"/>
  <c r="J267" i="527" s="1"/>
  <c r="H267" i="527"/>
  <c r="V266" i="527"/>
  <c r="W266" i="527" s="1"/>
  <c r="N266" i="527"/>
  <c r="K266" i="527"/>
  <c r="M266" i="527" s="1"/>
  <c r="K266" i="527" a="1"/>
  <c r="J266" i="527"/>
  <c r="J266" i="527" a="1"/>
  <c r="H266" i="527"/>
  <c r="V265" i="527"/>
  <c r="W265" i="527" s="1"/>
  <c r="N265" i="527"/>
  <c r="K265" i="527" a="1"/>
  <c r="K265" i="527" s="1"/>
  <c r="M265" i="527" s="1"/>
  <c r="J265" i="527" a="1"/>
  <c r="J265" i="527" s="1"/>
  <c r="H265" i="527"/>
  <c r="N264" i="527"/>
  <c r="K264" i="527" a="1"/>
  <c r="K264" i="527" s="1"/>
  <c r="M264" i="527" s="1"/>
  <c r="H264" i="527"/>
  <c r="V263" i="527"/>
  <c r="W263" i="527" s="1"/>
  <c r="N263" i="527"/>
  <c r="K263" i="527" a="1"/>
  <c r="K263" i="527" s="1"/>
  <c r="M263" i="527" s="1"/>
  <c r="J263" i="527" a="1"/>
  <c r="J263" i="527" s="1"/>
  <c r="H263" i="527"/>
  <c r="V262" i="527"/>
  <c r="W262" i="527" s="1"/>
  <c r="N262" i="527"/>
  <c r="K262" i="527" a="1"/>
  <c r="K262" i="527" s="1"/>
  <c r="M262" i="527" s="1"/>
  <c r="J262" i="527" a="1"/>
  <c r="J262" i="527" s="1"/>
  <c r="H262" i="527"/>
  <c r="V261" i="527"/>
  <c r="W261" i="527" s="1"/>
  <c r="N261" i="527"/>
  <c r="K261" i="527" a="1"/>
  <c r="K261" i="527" s="1"/>
  <c r="M261" i="527" s="1"/>
  <c r="J261" i="527" a="1"/>
  <c r="J261" i="527" s="1"/>
  <c r="H261" i="527"/>
  <c r="V260" i="527"/>
  <c r="W260" i="527" s="1"/>
  <c r="N260" i="527"/>
  <c r="K260" i="527"/>
  <c r="M260" i="527" s="1"/>
  <c r="K260" i="527" a="1"/>
  <c r="J260" i="527"/>
  <c r="J260" i="527" a="1"/>
  <c r="H260" i="527"/>
  <c r="V259" i="527"/>
  <c r="W259" i="527" s="1"/>
  <c r="N259" i="527"/>
  <c r="K259" i="527" a="1"/>
  <c r="K259" i="527" s="1"/>
  <c r="M259" i="527" s="1"/>
  <c r="J259" i="527" a="1"/>
  <c r="J259" i="527" s="1"/>
  <c r="H259" i="527"/>
  <c r="V258" i="527"/>
  <c r="W258" i="527" s="1"/>
  <c r="N258" i="527"/>
  <c r="K258" i="527" a="1"/>
  <c r="K258" i="527" s="1"/>
  <c r="M258" i="527" s="1"/>
  <c r="J258" i="527" a="1"/>
  <c r="J258" i="527" s="1"/>
  <c r="H258" i="527"/>
  <c r="V257" i="527"/>
  <c r="N257" i="527"/>
  <c r="K257" i="527" a="1"/>
  <c r="K257" i="527" s="1"/>
  <c r="J257" i="527" a="1"/>
  <c r="J257" i="527" s="1"/>
  <c r="H257" i="527"/>
  <c r="AA256" i="527"/>
  <c r="Z256" i="527"/>
  <c r="Y256" i="527"/>
  <c r="X256" i="527"/>
  <c r="U256" i="527"/>
  <c r="T256" i="527"/>
  <c r="S256" i="527"/>
  <c r="R256" i="527"/>
  <c r="Q256" i="527"/>
  <c r="P256" i="527"/>
  <c r="O256" i="527"/>
  <c r="R336" i="527" s="1"/>
  <c r="I256" i="527"/>
  <c r="G256" i="527"/>
  <c r="H255" i="527"/>
  <c r="H254" i="527"/>
  <c r="H253" i="527"/>
  <c r="H252" i="527"/>
  <c r="H251" i="527"/>
  <c r="H250" i="527"/>
  <c r="K249" i="527" a="1"/>
  <c r="K249" i="527" s="1"/>
  <c r="M249" i="527" s="1"/>
  <c r="H249" i="527"/>
  <c r="K248" i="527"/>
  <c r="M248" i="527" s="1"/>
  <c r="K248" i="527" a="1"/>
  <c r="H248" i="527"/>
  <c r="K247" i="527" a="1"/>
  <c r="K247" i="527" s="1"/>
  <c r="M247" i="527" s="1"/>
  <c r="H247" i="527"/>
  <c r="K246" i="527"/>
  <c r="M246" i="527" s="1"/>
  <c r="K246" i="527" a="1"/>
  <c r="H246" i="527"/>
  <c r="V245" i="527"/>
  <c r="W245" i="527" s="1"/>
  <c r="N245" i="527"/>
  <c r="K245" i="527" a="1"/>
  <c r="K245" i="527" s="1"/>
  <c r="M245" i="527" s="1"/>
  <c r="J245" i="527" a="1"/>
  <c r="J245" i="527" s="1"/>
  <c r="H245" i="527"/>
  <c r="V244" i="527"/>
  <c r="W244" i="527" s="1"/>
  <c r="N244" i="527"/>
  <c r="K244" i="527"/>
  <c r="M244" i="527" s="1"/>
  <c r="K244" i="527" a="1"/>
  <c r="J244" i="527"/>
  <c r="J244" i="527" a="1"/>
  <c r="H244" i="527"/>
  <c r="V243" i="527"/>
  <c r="W243" i="527" s="1"/>
  <c r="N243" i="527"/>
  <c r="K243" i="527" a="1"/>
  <c r="K243" i="527" s="1"/>
  <c r="M243" i="527" s="1"/>
  <c r="J243" i="527" a="1"/>
  <c r="J243" i="527" s="1"/>
  <c r="H243" i="527"/>
  <c r="V242" i="527"/>
  <c r="W242" i="527" s="1"/>
  <c r="N242" i="527"/>
  <c r="K242" i="527" a="1"/>
  <c r="K242" i="527" s="1"/>
  <c r="M242" i="527" s="1"/>
  <c r="J242" i="527" a="1"/>
  <c r="J242" i="527" s="1"/>
  <c r="H242" i="527"/>
  <c r="M241" i="527"/>
  <c r="H241" i="527"/>
  <c r="V240" i="527"/>
  <c r="W240" i="527" s="1"/>
  <c r="N240" i="527"/>
  <c r="K240" i="527" a="1"/>
  <c r="K240" i="527" s="1"/>
  <c r="M240" i="527" s="1"/>
  <c r="J240" i="527" a="1"/>
  <c r="J240" i="527" s="1"/>
  <c r="H240" i="527"/>
  <c r="V239" i="527"/>
  <c r="W239" i="527" s="1"/>
  <c r="N239" i="527"/>
  <c r="K239" i="527"/>
  <c r="M239" i="527" s="1"/>
  <c r="K239" i="527" a="1"/>
  <c r="J239" i="527"/>
  <c r="J239" i="527" a="1"/>
  <c r="H239" i="527"/>
  <c r="K238" i="527" a="1"/>
  <c r="K238" i="527" s="1"/>
  <c r="M238" i="527" s="1"/>
  <c r="H238" i="527"/>
  <c r="H237" i="527"/>
  <c r="V236" i="527"/>
  <c r="W236" i="527" s="1"/>
  <c r="N236" i="527"/>
  <c r="K236" i="527"/>
  <c r="M236" i="527" s="1"/>
  <c r="K236" i="527" a="1"/>
  <c r="J236" i="527"/>
  <c r="J236" i="527" a="1"/>
  <c r="H236" i="527"/>
  <c r="V235" i="527"/>
  <c r="W235" i="527" s="1"/>
  <c r="N235" i="527"/>
  <c r="K235" i="527" a="1"/>
  <c r="K235" i="527" s="1"/>
  <c r="M235" i="527" s="1"/>
  <c r="J235" i="527" a="1"/>
  <c r="J235" i="527" s="1"/>
  <c r="H235" i="527"/>
  <c r="V234" i="527"/>
  <c r="W234" i="527" s="1"/>
  <c r="N234" i="527"/>
  <c r="K234" i="527" a="1"/>
  <c r="K234" i="527" s="1"/>
  <c r="M234" i="527" s="1"/>
  <c r="J234" i="527" a="1"/>
  <c r="J234" i="527" s="1"/>
  <c r="H234" i="527"/>
  <c r="V233" i="527"/>
  <c r="W233" i="527" s="1"/>
  <c r="N233" i="527"/>
  <c r="K233" i="527" a="1"/>
  <c r="K233" i="527" s="1"/>
  <c r="M233" i="527" s="1"/>
  <c r="J233" i="527" a="1"/>
  <c r="J233" i="527" s="1"/>
  <c r="H233" i="527"/>
  <c r="V232" i="527"/>
  <c r="W232" i="527" s="1"/>
  <c r="N232" i="527"/>
  <c r="K232" i="527"/>
  <c r="M232" i="527" s="1"/>
  <c r="K232" i="527" a="1"/>
  <c r="J232" i="527"/>
  <c r="J232" i="527" a="1"/>
  <c r="H232" i="527"/>
  <c r="V231" i="527"/>
  <c r="W231" i="527" s="1"/>
  <c r="N231" i="527"/>
  <c r="K231" i="527" a="1"/>
  <c r="K231" i="527" s="1"/>
  <c r="M231" i="527" s="1"/>
  <c r="J231" i="527" a="1"/>
  <c r="J231" i="527" s="1"/>
  <c r="H231" i="527"/>
  <c r="V230" i="527"/>
  <c r="W230" i="527" s="1"/>
  <c r="N230" i="527"/>
  <c r="K230" i="527" a="1"/>
  <c r="K230" i="527" s="1"/>
  <c r="M230" i="527" s="1"/>
  <c r="J230" i="527" a="1"/>
  <c r="J230" i="527" s="1"/>
  <c r="H230" i="527"/>
  <c r="V229" i="527"/>
  <c r="W229" i="527" s="1"/>
  <c r="N229" i="527"/>
  <c r="K229" i="527" a="1"/>
  <c r="K229" i="527" s="1"/>
  <c r="M229" i="527" s="1"/>
  <c r="J229" i="527" a="1"/>
  <c r="J229" i="527" s="1"/>
  <c r="H229" i="527"/>
  <c r="V228" i="527"/>
  <c r="W228" i="527" s="1"/>
  <c r="N228" i="527"/>
  <c r="K228" i="527"/>
  <c r="M228" i="527" s="1"/>
  <c r="K228" i="527" a="1"/>
  <c r="J228" i="527"/>
  <c r="J228" i="527" a="1"/>
  <c r="H228" i="527"/>
  <c r="V227" i="527"/>
  <c r="W227" i="527" s="1"/>
  <c r="N227" i="527"/>
  <c r="K227" i="527" a="1"/>
  <c r="K227" i="527" s="1"/>
  <c r="M227" i="527" s="1"/>
  <c r="J227" i="527" a="1"/>
  <c r="J227" i="527" s="1"/>
  <c r="H227" i="527"/>
  <c r="N226" i="527"/>
  <c r="K226" i="527" a="1"/>
  <c r="K226" i="527" s="1"/>
  <c r="M226" i="527" s="1"/>
  <c r="H226" i="527"/>
  <c r="N225" i="527"/>
  <c r="K225" i="527" a="1"/>
  <c r="K225" i="527" s="1"/>
  <c r="M225" i="527" s="1"/>
  <c r="H225" i="527"/>
  <c r="N224" i="527"/>
  <c r="K224" i="527"/>
  <c r="M224" i="527" s="1"/>
  <c r="K224" i="527" a="1"/>
  <c r="H224" i="527"/>
  <c r="N223" i="527"/>
  <c r="K223" i="527" a="1"/>
  <c r="K223" i="527" s="1"/>
  <c r="M223" i="527" s="1"/>
  <c r="H223" i="527"/>
  <c r="N222" i="527"/>
  <c r="K222" i="527"/>
  <c r="M222" i="527" s="1"/>
  <c r="K222" i="527" a="1"/>
  <c r="H222" i="527"/>
  <c r="N221" i="527"/>
  <c r="K221" i="527" a="1"/>
  <c r="K221" i="527" s="1"/>
  <c r="M221" i="527" s="1"/>
  <c r="H221" i="527"/>
  <c r="N220" i="527"/>
  <c r="K220" i="527" a="1"/>
  <c r="K220" i="527" s="1"/>
  <c r="M220" i="527" s="1"/>
  <c r="H220" i="527"/>
  <c r="N219" i="527"/>
  <c r="K219" i="527" a="1"/>
  <c r="K219" i="527" s="1"/>
  <c r="M219" i="527" s="1"/>
  <c r="H219" i="527"/>
  <c r="V218" i="527"/>
  <c r="W218" i="527" s="1"/>
  <c r="N218" i="527"/>
  <c r="K218" i="527" a="1"/>
  <c r="K218" i="527" s="1"/>
  <c r="M218" i="527" s="1"/>
  <c r="J218" i="527" a="1"/>
  <c r="J218" i="527" s="1"/>
  <c r="H218" i="527"/>
  <c r="V217" i="527"/>
  <c r="W217" i="527" s="1"/>
  <c r="N217" i="527"/>
  <c r="K217" i="527" a="1"/>
  <c r="K217" i="527" s="1"/>
  <c r="M217" i="527" s="1"/>
  <c r="J217" i="527" a="1"/>
  <c r="J217" i="527" s="1"/>
  <c r="H217" i="527"/>
  <c r="V216" i="527"/>
  <c r="W216" i="527" s="1"/>
  <c r="N216" i="527"/>
  <c r="K216" i="527"/>
  <c r="M216" i="527" s="1"/>
  <c r="K216" i="527" a="1"/>
  <c r="J216" i="527"/>
  <c r="J216" i="527" a="1"/>
  <c r="H216" i="527"/>
  <c r="V215" i="527"/>
  <c r="W215" i="527" s="1"/>
  <c r="N215" i="527"/>
  <c r="K215" i="527" a="1"/>
  <c r="K215" i="527" s="1"/>
  <c r="M215" i="527" s="1"/>
  <c r="J215" i="527" a="1"/>
  <c r="J215" i="527" s="1"/>
  <c r="H215" i="527"/>
  <c r="V214" i="527"/>
  <c r="W214" i="527" s="1"/>
  <c r="N214" i="527"/>
  <c r="K214" i="527" a="1"/>
  <c r="K214" i="527" s="1"/>
  <c r="M214" i="527" s="1"/>
  <c r="J214" i="527" a="1"/>
  <c r="J214" i="527" s="1"/>
  <c r="H214" i="527"/>
  <c r="V213" i="527"/>
  <c r="W213" i="527" s="1"/>
  <c r="N213" i="527"/>
  <c r="K213" i="527" a="1"/>
  <c r="K213" i="527" s="1"/>
  <c r="M213" i="527" s="1"/>
  <c r="J213" i="527" a="1"/>
  <c r="J213" i="527" s="1"/>
  <c r="H213" i="527"/>
  <c r="V212" i="527"/>
  <c r="W212" i="527" s="1"/>
  <c r="N212" i="527"/>
  <c r="K212" i="527"/>
  <c r="M212" i="527" s="1"/>
  <c r="K212" i="527" a="1"/>
  <c r="J212" i="527"/>
  <c r="J212" i="527" a="1"/>
  <c r="H212" i="527"/>
  <c r="V211" i="527"/>
  <c r="W211" i="527" s="1"/>
  <c r="N211" i="527"/>
  <c r="K211" i="527" a="1"/>
  <c r="K211" i="527" s="1"/>
  <c r="M211" i="527" s="1"/>
  <c r="J211" i="527" a="1"/>
  <c r="J211" i="527" s="1"/>
  <c r="H211" i="527"/>
  <c r="V210" i="527"/>
  <c r="W210" i="527" s="1"/>
  <c r="N210" i="527"/>
  <c r="K210" i="527" a="1"/>
  <c r="K210" i="527" s="1"/>
  <c r="M210" i="527" s="1"/>
  <c r="J210" i="527" a="1"/>
  <c r="J210" i="527" s="1"/>
  <c r="H210" i="527"/>
  <c r="V209" i="527"/>
  <c r="W209" i="527" s="1"/>
  <c r="N209" i="527"/>
  <c r="K209" i="527" a="1"/>
  <c r="K209" i="527" s="1"/>
  <c r="M209" i="527" s="1"/>
  <c r="J209" i="527" a="1"/>
  <c r="J209" i="527" s="1"/>
  <c r="H209" i="527"/>
  <c r="V208" i="527"/>
  <c r="W208" i="527" s="1"/>
  <c r="N208" i="527"/>
  <c r="K208" i="527"/>
  <c r="M208" i="527" s="1"/>
  <c r="K208" i="527" a="1"/>
  <c r="J208" i="527"/>
  <c r="J208" i="527" a="1"/>
  <c r="H208" i="527"/>
  <c r="V207" i="527"/>
  <c r="W207" i="527" s="1"/>
  <c r="N207" i="527"/>
  <c r="K207" i="527" a="1"/>
  <c r="K207" i="527" s="1"/>
  <c r="M207" i="527" s="1"/>
  <c r="J207" i="527" a="1"/>
  <c r="J207" i="527" s="1"/>
  <c r="H207" i="527"/>
  <c r="H206" i="527"/>
  <c r="H205" i="527"/>
  <c r="H204" i="527"/>
  <c r="V203" i="527"/>
  <c r="W203" i="527" s="1"/>
  <c r="N203" i="527"/>
  <c r="K203" i="527" a="1"/>
  <c r="K203" i="527" s="1"/>
  <c r="M203" i="527" s="1"/>
  <c r="J203" i="527" a="1"/>
  <c r="J203" i="527" s="1"/>
  <c r="H203" i="527"/>
  <c r="V202" i="527"/>
  <c r="W202" i="527" s="1"/>
  <c r="N202" i="527"/>
  <c r="K202" i="527"/>
  <c r="M202" i="527" s="1"/>
  <c r="K202" i="527" a="1"/>
  <c r="J202" i="527"/>
  <c r="J202" i="527" a="1"/>
  <c r="H202" i="527"/>
  <c r="V201" i="527"/>
  <c r="W201" i="527" s="1"/>
  <c r="N201" i="527"/>
  <c r="K201" i="527" a="1"/>
  <c r="K201" i="527" s="1"/>
  <c r="M201" i="527" s="1"/>
  <c r="J201" i="527" a="1"/>
  <c r="J201" i="527" s="1"/>
  <c r="H201" i="527"/>
  <c r="H200" i="527"/>
  <c r="V199" i="527"/>
  <c r="V256" i="527" s="1"/>
  <c r="W256" i="527" s="1"/>
  <c r="N199" i="527"/>
  <c r="N256" i="527" s="1"/>
  <c r="K199" i="527" a="1"/>
  <c r="K199" i="527" s="1"/>
  <c r="J199" i="527" a="1"/>
  <c r="J199" i="527" s="1"/>
  <c r="H199" i="527"/>
  <c r="AA198" i="527"/>
  <c r="AA333" i="527" s="1"/>
  <c r="Z198" i="527"/>
  <c r="Z333" i="527" s="1"/>
  <c r="Y198" i="527"/>
  <c r="Y333" i="527" s="1"/>
  <c r="X198" i="527"/>
  <c r="X333" i="527" s="1"/>
  <c r="U198" i="527"/>
  <c r="U333" i="527" s="1"/>
  <c r="T198" i="527"/>
  <c r="T333" i="527" s="1"/>
  <c r="S198" i="527"/>
  <c r="S333" i="527" s="1"/>
  <c r="R198" i="527"/>
  <c r="R333" i="527" s="1"/>
  <c r="Q198" i="527"/>
  <c r="Q333" i="527" s="1"/>
  <c r="P198" i="527"/>
  <c r="O198" i="527"/>
  <c r="I198" i="527"/>
  <c r="I333" i="527" s="1"/>
  <c r="B341" i="527" s="1"/>
  <c r="G198" i="527"/>
  <c r="G333" i="527" s="1"/>
  <c r="V197" i="527"/>
  <c r="W197" i="527" s="1"/>
  <c r="N197" i="527"/>
  <c r="K197" i="527" a="1"/>
  <c r="K197" i="527" s="1"/>
  <c r="M197" i="527" s="1"/>
  <c r="J197" i="527" a="1"/>
  <c r="J197" i="527" s="1"/>
  <c r="H197" i="527"/>
  <c r="V196" i="527"/>
  <c r="W196" i="527" s="1"/>
  <c r="N196" i="527"/>
  <c r="K196" i="527"/>
  <c r="M196" i="527" s="1"/>
  <c r="K196" i="527" a="1"/>
  <c r="J196" i="527" a="1"/>
  <c r="J196" i="527" s="1"/>
  <c r="H196" i="527"/>
  <c r="K195" i="527" a="1"/>
  <c r="K195" i="527" s="1"/>
  <c r="M195" i="527" s="1"/>
  <c r="H195" i="527"/>
  <c r="K194" i="527"/>
  <c r="M194" i="527" s="1"/>
  <c r="K194" i="527" a="1"/>
  <c r="H194" i="527"/>
  <c r="K193" i="527" a="1"/>
  <c r="K193" i="527" s="1"/>
  <c r="M193" i="527" s="1"/>
  <c r="H193" i="527"/>
  <c r="K192" i="527"/>
  <c r="M192" i="527" s="1"/>
  <c r="K192" i="527" a="1"/>
  <c r="H192" i="527"/>
  <c r="V191" i="527"/>
  <c r="W191" i="527" s="1"/>
  <c r="N191" i="527"/>
  <c r="K191" i="527" a="1"/>
  <c r="K191" i="527" s="1"/>
  <c r="M191" i="527" s="1"/>
  <c r="J191" i="527" a="1"/>
  <c r="J191" i="527" s="1"/>
  <c r="H191" i="527"/>
  <c r="V190" i="527"/>
  <c r="W190" i="527" s="1"/>
  <c r="N190" i="527"/>
  <c r="K190" i="527" a="1"/>
  <c r="K190" i="527" s="1"/>
  <c r="M190" i="527" s="1"/>
  <c r="J190" i="527" a="1"/>
  <c r="J190" i="527" s="1"/>
  <c r="H190" i="527"/>
  <c r="V189" i="527"/>
  <c r="W189" i="527" s="1"/>
  <c r="N189" i="527"/>
  <c r="K189" i="527" a="1"/>
  <c r="K189" i="527" s="1"/>
  <c r="M189" i="527" s="1"/>
  <c r="J189" i="527" a="1"/>
  <c r="J189" i="527" s="1"/>
  <c r="H189" i="527"/>
  <c r="N188" i="527"/>
  <c r="K188" i="527" a="1"/>
  <c r="K188" i="527" s="1"/>
  <c r="M188" i="527" s="1"/>
  <c r="J188" i="527" a="1"/>
  <c r="J188" i="527" s="1"/>
  <c r="H188" i="527"/>
  <c r="N187" i="527"/>
  <c r="K187" i="527" a="1"/>
  <c r="K187" i="527" s="1"/>
  <c r="M187" i="527" s="1"/>
  <c r="J187" i="527" a="1"/>
  <c r="J187" i="527" s="1"/>
  <c r="H187" i="527"/>
  <c r="W186" i="527"/>
  <c r="V186" i="527"/>
  <c r="N186" i="527"/>
  <c r="K186" i="527" a="1"/>
  <c r="K186" i="527" s="1"/>
  <c r="M186" i="527" s="1"/>
  <c r="J186" i="527" a="1"/>
  <c r="J186" i="527" s="1"/>
  <c r="H186" i="527"/>
  <c r="V185" i="527"/>
  <c r="W185" i="527" s="1"/>
  <c r="N185" i="527"/>
  <c r="K185" i="527" a="1"/>
  <c r="K185" i="527" s="1"/>
  <c r="M185" i="527" s="1"/>
  <c r="J185" i="527" a="1"/>
  <c r="J185" i="527" s="1"/>
  <c r="H185" i="527"/>
  <c r="N184" i="527"/>
  <c r="K184" i="527"/>
  <c r="M184" i="527" s="1"/>
  <c r="K184" i="527" a="1"/>
  <c r="H184" i="527"/>
  <c r="N183" i="527"/>
  <c r="K183" i="527" a="1"/>
  <c r="K183" i="527" s="1"/>
  <c r="M183" i="527" s="1"/>
  <c r="H183" i="527"/>
  <c r="V182" i="527"/>
  <c r="W182" i="527" s="1"/>
  <c r="N182" i="527"/>
  <c r="K182" i="527" a="1"/>
  <c r="K182" i="527" s="1"/>
  <c r="M182" i="527" s="1"/>
  <c r="J182" i="527" a="1"/>
  <c r="J182" i="527" s="1"/>
  <c r="H182" i="527"/>
  <c r="V181" i="527"/>
  <c r="W181" i="527" s="1"/>
  <c r="N181" i="527"/>
  <c r="K181" i="527" a="1"/>
  <c r="K181" i="527" s="1"/>
  <c r="M181" i="527" s="1"/>
  <c r="J181" i="527" a="1"/>
  <c r="J181" i="527" s="1"/>
  <c r="H181" i="527"/>
  <c r="V180" i="527"/>
  <c r="W180" i="527" s="1"/>
  <c r="N180" i="527"/>
  <c r="K180" i="527"/>
  <c r="M180" i="527" s="1"/>
  <c r="K180" i="527" a="1"/>
  <c r="J180" i="527" a="1"/>
  <c r="J180" i="527" s="1"/>
  <c r="H180" i="527"/>
  <c r="V179" i="527"/>
  <c r="W179" i="527" s="1"/>
  <c r="N179" i="527"/>
  <c r="K179" i="527" a="1"/>
  <c r="K179" i="527" s="1"/>
  <c r="M179" i="527" s="1"/>
  <c r="J179" i="527" a="1"/>
  <c r="J179" i="527" s="1"/>
  <c r="H179" i="527"/>
  <c r="V178" i="527"/>
  <c r="W178" i="527" s="1"/>
  <c r="N178" i="527"/>
  <c r="K178" i="527" a="1"/>
  <c r="K178" i="527" s="1"/>
  <c r="M178" i="527" s="1"/>
  <c r="J178" i="527" a="1"/>
  <c r="J178" i="527" s="1"/>
  <c r="H178" i="527"/>
  <c r="V177" i="527"/>
  <c r="V198" i="527" s="1"/>
  <c r="N177" i="527"/>
  <c r="K177" i="527" a="1"/>
  <c r="K177" i="527" s="1"/>
  <c r="J177" i="527" a="1"/>
  <c r="J177" i="527" s="1"/>
  <c r="H177" i="527"/>
  <c r="X170" i="527"/>
  <c r="Q526" i="527" s="1"/>
  <c r="X169" i="527"/>
  <c r="Q525" i="527" s="1"/>
  <c r="G169" i="527"/>
  <c r="C169" i="527"/>
  <c r="X168" i="527"/>
  <c r="Q524" i="527" s="1"/>
  <c r="I168" i="527"/>
  <c r="E168" i="527"/>
  <c r="K168" i="527" s="1"/>
  <c r="M168" i="527" s="1"/>
  <c r="I167" i="527"/>
  <c r="E167" i="527"/>
  <c r="K167" i="527" s="1"/>
  <c r="M167" i="527" s="1"/>
  <c r="I166" i="527"/>
  <c r="E166" i="527"/>
  <c r="K166" i="527" s="1"/>
  <c r="M166" i="527" s="1"/>
  <c r="X165" i="527"/>
  <c r="Q521" i="527" s="1"/>
  <c r="I165" i="527"/>
  <c r="I169" i="527" s="1"/>
  <c r="E165" i="527"/>
  <c r="E169" i="527" s="1"/>
  <c r="AA162" i="527"/>
  <c r="Z162" i="527"/>
  <c r="Y162" i="527"/>
  <c r="X162" i="527"/>
  <c r="U162" i="527"/>
  <c r="T162" i="527"/>
  <c r="S162" i="527"/>
  <c r="R162" i="527"/>
  <c r="Q162" i="527"/>
  <c r="P162" i="527"/>
  <c r="O162" i="527"/>
  <c r="R170" i="527" s="1"/>
  <c r="I162" i="527"/>
  <c r="G162" i="527"/>
  <c r="C526" i="527" s="1"/>
  <c r="H161" i="527"/>
  <c r="H160" i="527"/>
  <c r="H159" i="527"/>
  <c r="V158" i="527"/>
  <c r="W158" i="527" s="1"/>
  <c r="N158" i="527"/>
  <c r="K158" i="527"/>
  <c r="K158" i="527" a="1"/>
  <c r="J158" i="527" a="1"/>
  <c r="J158" i="527" s="1"/>
  <c r="H158" i="527"/>
  <c r="D158" i="527"/>
  <c r="V157" i="527"/>
  <c r="W157" i="527" s="1"/>
  <c r="N157" i="527"/>
  <c r="K157" i="527" a="1"/>
  <c r="K157" i="527" s="1"/>
  <c r="M157" i="527" s="1"/>
  <c r="J157" i="527" a="1"/>
  <c r="J157" i="527" s="1"/>
  <c r="H157" i="527"/>
  <c r="H156" i="527"/>
  <c r="H155" i="527"/>
  <c r="V154" i="527"/>
  <c r="W154" i="527" s="1"/>
  <c r="N154" i="527"/>
  <c r="K154" i="527" a="1"/>
  <c r="K154" i="527" s="1"/>
  <c r="M154" i="527" s="1"/>
  <c r="J154" i="527" a="1"/>
  <c r="J154" i="527" s="1"/>
  <c r="H154" i="527"/>
  <c r="V153" i="527"/>
  <c r="W153" i="527" s="1"/>
  <c r="N153" i="527"/>
  <c r="K153" i="527"/>
  <c r="M153" i="527" s="1"/>
  <c r="K153" i="527" a="1"/>
  <c r="J153" i="527"/>
  <c r="J153" i="527" a="1"/>
  <c r="H153" i="527"/>
  <c r="H152" i="527"/>
  <c r="W151" i="527"/>
  <c r="V151" i="527"/>
  <c r="N151" i="527"/>
  <c r="K151" i="527" a="1"/>
  <c r="K151" i="527" s="1"/>
  <c r="M151" i="527" s="1"/>
  <c r="J151" i="527" a="1"/>
  <c r="J151" i="527" s="1"/>
  <c r="H151" i="527"/>
  <c r="V150" i="527"/>
  <c r="W150" i="527" s="1"/>
  <c r="N150" i="527"/>
  <c r="K150" i="527" a="1"/>
  <c r="K150" i="527" s="1"/>
  <c r="M150" i="527" s="1"/>
  <c r="J150" i="527" a="1"/>
  <c r="J150" i="527" s="1"/>
  <c r="H150" i="527"/>
  <c r="V149" i="527"/>
  <c r="W149" i="527" s="1"/>
  <c r="N149" i="527"/>
  <c r="K149" i="527"/>
  <c r="M149" i="527" s="1"/>
  <c r="K149" i="527" a="1"/>
  <c r="J149" i="527"/>
  <c r="J149" i="527" a="1"/>
  <c r="H149" i="527"/>
  <c r="V148" i="527"/>
  <c r="W148" i="527" s="1"/>
  <c r="N148" i="527"/>
  <c r="N162" i="527" s="1"/>
  <c r="K148" i="527" a="1"/>
  <c r="K148" i="527" s="1"/>
  <c r="J148" i="527" a="1"/>
  <c r="J148" i="527" s="1"/>
  <c r="H148" i="527"/>
  <c r="H162" i="527" s="1"/>
  <c r="AA147" i="527"/>
  <c r="Z147" i="527"/>
  <c r="Y147" i="527"/>
  <c r="X147" i="527"/>
  <c r="U147" i="527"/>
  <c r="T147" i="527"/>
  <c r="S147" i="527"/>
  <c r="Q147" i="527"/>
  <c r="P147" i="527"/>
  <c r="O147" i="527"/>
  <c r="I147" i="527"/>
  <c r="G147" i="527"/>
  <c r="C525" i="527" s="1"/>
  <c r="W146" i="527"/>
  <c r="V146" i="527"/>
  <c r="N146" i="527"/>
  <c r="K146" i="527" a="1"/>
  <c r="K146" i="527" s="1"/>
  <c r="M146" i="527" s="1"/>
  <c r="J146" i="527" a="1"/>
  <c r="J146" i="527" s="1"/>
  <c r="H146" i="527"/>
  <c r="H144" i="527"/>
  <c r="H143" i="527"/>
  <c r="V142" i="527"/>
  <c r="W142" i="527" s="1"/>
  <c r="N142" i="527"/>
  <c r="K142" i="527" a="1"/>
  <c r="K142" i="527" s="1"/>
  <c r="M142" i="527" s="1"/>
  <c r="J142" i="527" a="1"/>
  <c r="J142" i="527" s="1"/>
  <c r="H142" i="527"/>
  <c r="V141" i="527"/>
  <c r="W141" i="527" s="1"/>
  <c r="N141" i="527"/>
  <c r="K141" i="527"/>
  <c r="M141" i="527" s="1"/>
  <c r="K141" i="527" a="1"/>
  <c r="J141" i="527"/>
  <c r="J141" i="527" a="1"/>
  <c r="H141" i="527"/>
  <c r="V140" i="527"/>
  <c r="W140" i="527" s="1"/>
  <c r="N140" i="527"/>
  <c r="K140" i="527" a="1"/>
  <c r="K140" i="527" s="1"/>
  <c r="M140" i="527" s="1"/>
  <c r="J140" i="527" a="1"/>
  <c r="J140" i="527" s="1"/>
  <c r="H140" i="527"/>
  <c r="V139" i="527"/>
  <c r="W139" i="527" s="1"/>
  <c r="N139" i="527"/>
  <c r="K139" i="527" a="1"/>
  <c r="K139" i="527" s="1"/>
  <c r="M139" i="527" s="1"/>
  <c r="J139" i="527" a="1"/>
  <c r="J139" i="527" s="1"/>
  <c r="H139" i="527"/>
  <c r="V138" i="527"/>
  <c r="V147" i="527" s="1"/>
  <c r="W147" i="527" s="1"/>
  <c r="N138" i="527"/>
  <c r="K138" i="527" a="1"/>
  <c r="K138" i="527" s="1"/>
  <c r="J138" i="527" a="1"/>
  <c r="J138" i="527" s="1"/>
  <c r="H138" i="527"/>
  <c r="H147" i="527" s="1"/>
  <c r="AA137" i="527"/>
  <c r="Z137" i="527"/>
  <c r="Y137" i="527"/>
  <c r="X137" i="527"/>
  <c r="U137" i="527"/>
  <c r="T137" i="527"/>
  <c r="S137" i="527"/>
  <c r="Q137" i="527"/>
  <c r="P137" i="527"/>
  <c r="O137" i="527"/>
  <c r="I137" i="527"/>
  <c r="G137" i="527"/>
  <c r="C524" i="527" s="1"/>
  <c r="V136" i="527"/>
  <c r="W136" i="527" s="1"/>
  <c r="N136" i="527"/>
  <c r="K136" i="527" a="1"/>
  <c r="K136" i="527" s="1"/>
  <c r="M136" i="527" s="1"/>
  <c r="J136" i="527" a="1"/>
  <c r="J136" i="527" s="1"/>
  <c r="H136" i="527"/>
  <c r="V135" i="527"/>
  <c r="W135" i="527" s="1"/>
  <c r="N135" i="527"/>
  <c r="K135" i="527" a="1"/>
  <c r="K135" i="527" s="1"/>
  <c r="M135" i="527" s="1"/>
  <c r="J135" i="527" a="1"/>
  <c r="J135" i="527" s="1"/>
  <c r="H135" i="527"/>
  <c r="V134" i="527"/>
  <c r="W134" i="527" s="1"/>
  <c r="N134" i="527"/>
  <c r="K134" i="527" a="1"/>
  <c r="K134" i="527" s="1"/>
  <c r="M134" i="527" s="1"/>
  <c r="J134" i="527" a="1"/>
  <c r="J134" i="527" s="1"/>
  <c r="H134" i="527"/>
  <c r="V133" i="527"/>
  <c r="W133" i="527" s="1"/>
  <c r="N133" i="527"/>
  <c r="K133" i="527" a="1"/>
  <c r="K133" i="527" s="1"/>
  <c r="M133" i="527" s="1"/>
  <c r="J133" i="527" a="1"/>
  <c r="J133" i="527" s="1"/>
  <c r="H133" i="527"/>
  <c r="V132" i="527"/>
  <c r="W132" i="527" s="1"/>
  <c r="N132" i="527"/>
  <c r="K132" i="527"/>
  <c r="M132" i="527" s="1"/>
  <c r="K132" i="527" a="1"/>
  <c r="J132" i="527"/>
  <c r="J132" i="527" a="1"/>
  <c r="H132" i="527"/>
  <c r="V131" i="527"/>
  <c r="W131" i="527" s="1"/>
  <c r="N131" i="527"/>
  <c r="K131" i="527" a="1"/>
  <c r="K131" i="527" s="1"/>
  <c r="M131" i="527" s="1"/>
  <c r="J131" i="527" a="1"/>
  <c r="J131" i="527" s="1"/>
  <c r="H131" i="527"/>
  <c r="V130" i="527"/>
  <c r="W130" i="527" s="1"/>
  <c r="N130" i="527"/>
  <c r="K130" i="527" a="1"/>
  <c r="K130" i="527" s="1"/>
  <c r="M130" i="527" s="1"/>
  <c r="J130" i="527" a="1"/>
  <c r="J130" i="527" s="1"/>
  <c r="H130" i="527"/>
  <c r="V129" i="527"/>
  <c r="W129" i="527" s="1"/>
  <c r="N129" i="527"/>
  <c r="K129" i="527" a="1"/>
  <c r="K129" i="527" s="1"/>
  <c r="M129" i="527" s="1"/>
  <c r="J129" i="527" a="1"/>
  <c r="J129" i="527" s="1"/>
  <c r="H129" i="527"/>
  <c r="V128" i="527"/>
  <c r="W128" i="527" s="1"/>
  <c r="N128" i="527"/>
  <c r="K128" i="527"/>
  <c r="M128" i="527" s="1"/>
  <c r="K128" i="527" a="1"/>
  <c r="J128" i="527"/>
  <c r="J128" i="527" a="1"/>
  <c r="H128" i="527"/>
  <c r="V127" i="527"/>
  <c r="W127" i="527" s="1"/>
  <c r="N127" i="527"/>
  <c r="K127" i="527" a="1"/>
  <c r="K127" i="527" s="1"/>
  <c r="M127" i="527" s="1"/>
  <c r="J127" i="527" a="1"/>
  <c r="J127" i="527" s="1"/>
  <c r="H127" i="527"/>
  <c r="W126" i="527"/>
  <c r="V126" i="527"/>
  <c r="N126" i="527"/>
  <c r="K126" i="527" a="1"/>
  <c r="K126" i="527" s="1"/>
  <c r="M126" i="527" s="1"/>
  <c r="J126" i="527" a="1"/>
  <c r="J126" i="527" s="1"/>
  <c r="H126" i="527"/>
  <c r="V125" i="527"/>
  <c r="W125" i="527" s="1"/>
  <c r="N125" i="527"/>
  <c r="K125" i="527" a="1"/>
  <c r="K125" i="527" s="1"/>
  <c r="M125" i="527" s="1"/>
  <c r="J125" i="527" a="1"/>
  <c r="J125" i="527" s="1"/>
  <c r="H125" i="527"/>
  <c r="V124" i="527"/>
  <c r="W124" i="527" s="1"/>
  <c r="N124" i="527"/>
  <c r="K124" i="527"/>
  <c r="M124" i="527" s="1"/>
  <c r="K124" i="527" a="1"/>
  <c r="J124" i="527"/>
  <c r="J124" i="527" a="1"/>
  <c r="H124" i="527"/>
  <c r="V123" i="527"/>
  <c r="W123" i="527" s="1"/>
  <c r="N123" i="527"/>
  <c r="K123" i="527" a="1"/>
  <c r="K123" i="527" s="1"/>
  <c r="M123" i="527" s="1"/>
  <c r="J123" i="527" a="1"/>
  <c r="J123" i="527" s="1"/>
  <c r="H123" i="527"/>
  <c r="V122" i="527"/>
  <c r="W122" i="527" s="1"/>
  <c r="N122" i="527"/>
  <c r="N137" i="527" s="1"/>
  <c r="K122" i="527" a="1"/>
  <c r="K122" i="527" s="1"/>
  <c r="M122" i="527" s="1"/>
  <c r="J122" i="527" a="1"/>
  <c r="J122" i="527" s="1"/>
  <c r="H122" i="527"/>
  <c r="AA121" i="527"/>
  <c r="Z121" i="527"/>
  <c r="Y121" i="527"/>
  <c r="X121" i="527"/>
  <c r="U121" i="527"/>
  <c r="T121" i="527"/>
  <c r="S121" i="527"/>
  <c r="R121" i="527"/>
  <c r="Q121" i="527"/>
  <c r="P121" i="527"/>
  <c r="O121" i="527"/>
  <c r="R167" i="527" s="1"/>
  <c r="I121" i="527"/>
  <c r="G121" i="527"/>
  <c r="C523" i="527" s="1"/>
  <c r="V120" i="527"/>
  <c r="W120" i="527" s="1"/>
  <c r="N120" i="527"/>
  <c r="K120" i="527" a="1"/>
  <c r="K120" i="527" s="1"/>
  <c r="M120" i="527" s="1"/>
  <c r="J120" i="527" a="1"/>
  <c r="J120" i="527" s="1"/>
  <c r="H120" i="527"/>
  <c r="V119" i="527"/>
  <c r="W119" i="527" s="1"/>
  <c r="N119" i="527"/>
  <c r="K119" i="527" a="1"/>
  <c r="K119" i="527" s="1"/>
  <c r="M119" i="527" s="1"/>
  <c r="J119" i="527" a="1"/>
  <c r="J119" i="527" s="1"/>
  <c r="H119" i="527"/>
  <c r="V118" i="527"/>
  <c r="W118" i="527" s="1"/>
  <c r="N118" i="527"/>
  <c r="K118" i="527"/>
  <c r="M118" i="527" s="1"/>
  <c r="K118" i="527" a="1"/>
  <c r="J118" i="527" a="1"/>
  <c r="J118" i="527" s="1"/>
  <c r="H118" i="527"/>
  <c r="K117" i="527" a="1"/>
  <c r="K117" i="527" s="1"/>
  <c r="H117" i="527"/>
  <c r="K116" i="527" a="1"/>
  <c r="K116" i="527" s="1"/>
  <c r="H116" i="527"/>
  <c r="K115" i="527" a="1"/>
  <c r="K115" i="527" s="1"/>
  <c r="H115" i="527"/>
  <c r="V114" i="527"/>
  <c r="W114" i="527" s="1"/>
  <c r="N114" i="527"/>
  <c r="K114" i="527" a="1"/>
  <c r="K114" i="527" s="1"/>
  <c r="M114" i="527" s="1"/>
  <c r="J114" i="527" a="1"/>
  <c r="J114" i="527" s="1"/>
  <c r="H114" i="527"/>
  <c r="V113" i="527"/>
  <c r="W113" i="527" s="1"/>
  <c r="N113" i="527"/>
  <c r="K113" i="527"/>
  <c r="M113" i="527" s="1"/>
  <c r="K113" i="527" a="1"/>
  <c r="J113" i="527"/>
  <c r="J113" i="527" a="1"/>
  <c r="H113" i="527"/>
  <c r="N112" i="527"/>
  <c r="K112" i="527" a="1"/>
  <c r="K112" i="527" s="1"/>
  <c r="M112" i="527" s="1"/>
  <c r="H112" i="527"/>
  <c r="N111" i="527"/>
  <c r="K111" i="527" a="1"/>
  <c r="K111" i="527" s="1"/>
  <c r="M111" i="527" s="1"/>
  <c r="H111" i="527"/>
  <c r="N110" i="527"/>
  <c r="K110" i="527" a="1"/>
  <c r="K110" i="527" s="1"/>
  <c r="M110" i="527" s="1"/>
  <c r="H110" i="527"/>
  <c r="N109" i="527"/>
  <c r="K109" i="527" a="1"/>
  <c r="K109" i="527" s="1"/>
  <c r="M109" i="527" s="1"/>
  <c r="H109" i="527"/>
  <c r="N108" i="527"/>
  <c r="K108" i="527" a="1"/>
  <c r="K108" i="527" s="1"/>
  <c r="M108" i="527" s="1"/>
  <c r="H108" i="527"/>
  <c r="N107" i="527"/>
  <c r="K107" i="527" a="1"/>
  <c r="K107" i="527" s="1"/>
  <c r="M107" i="527" s="1"/>
  <c r="H107" i="527"/>
  <c r="V106" i="527"/>
  <c r="W106" i="527" s="1"/>
  <c r="N106" i="527"/>
  <c r="K106" i="527" a="1"/>
  <c r="K106" i="527" s="1"/>
  <c r="M106" i="527" s="1"/>
  <c r="H106" i="527"/>
  <c r="V105" i="527"/>
  <c r="W105" i="527" s="1"/>
  <c r="N105" i="527"/>
  <c r="K105" i="527" a="1"/>
  <c r="K105" i="527" s="1"/>
  <c r="M105" i="527" s="1"/>
  <c r="H105" i="527"/>
  <c r="V104" i="527"/>
  <c r="W104" i="527" s="1"/>
  <c r="N104" i="527"/>
  <c r="K104" i="527" a="1"/>
  <c r="K104" i="527" s="1"/>
  <c r="M104" i="527" s="1"/>
  <c r="H104" i="527"/>
  <c r="V103" i="527"/>
  <c r="W103" i="527" s="1"/>
  <c r="N103" i="527"/>
  <c r="K103" i="527"/>
  <c r="M103" i="527" s="1"/>
  <c r="K103" i="527" a="1"/>
  <c r="H103" i="527"/>
  <c r="V102" i="527"/>
  <c r="W102" i="527" s="1"/>
  <c r="N102" i="527"/>
  <c r="K102" i="527" a="1"/>
  <c r="K102" i="527" s="1"/>
  <c r="M102" i="527" s="1"/>
  <c r="H102" i="527"/>
  <c r="V101" i="527"/>
  <c r="W101" i="527" s="1"/>
  <c r="N101" i="527"/>
  <c r="K101" i="527" a="1"/>
  <c r="K101" i="527" s="1"/>
  <c r="M101" i="527" s="1"/>
  <c r="H101" i="527"/>
  <c r="V100" i="527"/>
  <c r="W100" i="527" s="1"/>
  <c r="N100" i="527"/>
  <c r="K100" i="527" a="1"/>
  <c r="K100" i="527" s="1"/>
  <c r="M100" i="527" s="1"/>
  <c r="H100" i="527"/>
  <c r="V99" i="527"/>
  <c r="W99" i="527" s="1"/>
  <c r="N99" i="527"/>
  <c r="K99" i="527" a="1"/>
  <c r="K99" i="527" s="1"/>
  <c r="M99" i="527" s="1"/>
  <c r="H99" i="527"/>
  <c r="V98" i="527"/>
  <c r="W98" i="527" s="1"/>
  <c r="N98" i="527"/>
  <c r="K98" i="527" a="1"/>
  <c r="K98" i="527" s="1"/>
  <c r="M98" i="527" s="1"/>
  <c r="H98" i="527"/>
  <c r="V97" i="527"/>
  <c r="W97" i="527" s="1"/>
  <c r="N97" i="527"/>
  <c r="K97" i="527" a="1"/>
  <c r="K97" i="527" s="1"/>
  <c r="M97" i="527" s="1"/>
  <c r="H97" i="527"/>
  <c r="V96" i="527"/>
  <c r="W96" i="527" s="1"/>
  <c r="N96" i="527"/>
  <c r="K96" i="527" a="1"/>
  <c r="K96" i="527" s="1"/>
  <c r="M96" i="527" s="1"/>
  <c r="H96" i="527"/>
  <c r="V95" i="527"/>
  <c r="W95" i="527" s="1"/>
  <c r="N95" i="527"/>
  <c r="K95" i="527" a="1"/>
  <c r="K95" i="527" s="1"/>
  <c r="M95" i="527" s="1"/>
  <c r="H95" i="527"/>
  <c r="K94" i="527" a="1"/>
  <c r="K94" i="527" s="1"/>
  <c r="M94" i="527" s="1"/>
  <c r="H94" i="527"/>
  <c r="V93" i="527"/>
  <c r="W93" i="527" s="1"/>
  <c r="N93" i="527"/>
  <c r="K93" i="527"/>
  <c r="M93" i="527" s="1"/>
  <c r="K93" i="527" a="1"/>
  <c r="J93" i="527"/>
  <c r="J93" i="527" a="1"/>
  <c r="H93" i="527"/>
  <c r="V92" i="527"/>
  <c r="W92" i="527" s="1"/>
  <c r="N92" i="527"/>
  <c r="K92" i="527" a="1"/>
  <c r="K92" i="527" s="1"/>
  <c r="M92" i="527" s="1"/>
  <c r="J92" i="527" a="1"/>
  <c r="J92" i="527" s="1"/>
  <c r="H92" i="527"/>
  <c r="W91" i="527"/>
  <c r="V91" i="527"/>
  <c r="N91" i="527"/>
  <c r="K91" i="527" a="1"/>
  <c r="K91" i="527" s="1"/>
  <c r="M91" i="527" s="1"/>
  <c r="J91" i="527" a="1"/>
  <c r="J91" i="527" s="1"/>
  <c r="H91" i="527"/>
  <c r="V90" i="527"/>
  <c r="W90" i="527" s="1"/>
  <c r="N90" i="527"/>
  <c r="K90" i="527" a="1"/>
  <c r="K90" i="527" s="1"/>
  <c r="M90" i="527" s="1"/>
  <c r="J90" i="527" a="1"/>
  <c r="J90" i="527" s="1"/>
  <c r="H90" i="527"/>
  <c r="V89" i="527"/>
  <c r="W89" i="527" s="1"/>
  <c r="N89" i="527"/>
  <c r="K89" i="527" a="1"/>
  <c r="K89" i="527" s="1"/>
  <c r="M89" i="527" s="1"/>
  <c r="J89" i="527" a="1"/>
  <c r="J89" i="527" s="1"/>
  <c r="H89" i="527"/>
  <c r="V88" i="527"/>
  <c r="W88" i="527" s="1"/>
  <c r="N88" i="527"/>
  <c r="K88" i="527" a="1"/>
  <c r="K88" i="527" s="1"/>
  <c r="M88" i="527" s="1"/>
  <c r="J88" i="527" a="1"/>
  <c r="J88" i="527" s="1"/>
  <c r="H88" i="527"/>
  <c r="V87" i="527"/>
  <c r="N87" i="527"/>
  <c r="N121" i="527" s="1"/>
  <c r="K87" i="527"/>
  <c r="M87" i="527" s="1"/>
  <c r="K87" i="527" a="1"/>
  <c r="J87" i="527"/>
  <c r="J87" i="527" a="1"/>
  <c r="H87" i="527"/>
  <c r="AA86" i="527"/>
  <c r="Z86" i="527"/>
  <c r="Y86" i="527"/>
  <c r="X86" i="527"/>
  <c r="U86" i="527"/>
  <c r="T86" i="527"/>
  <c r="S86" i="527"/>
  <c r="R86" i="527"/>
  <c r="Q86" i="527"/>
  <c r="P86" i="527"/>
  <c r="O86" i="527"/>
  <c r="R166" i="527" s="1"/>
  <c r="I86" i="527"/>
  <c r="G86" i="527"/>
  <c r="C522" i="527" s="1"/>
  <c r="K85" i="527" a="1"/>
  <c r="K85" i="527" s="1"/>
  <c r="H85" i="527"/>
  <c r="K84" i="527"/>
  <c r="K84" i="527" a="1"/>
  <c r="H84" i="527"/>
  <c r="K83" i="527" a="1"/>
  <c r="K83" i="527" s="1"/>
  <c r="H83" i="527"/>
  <c r="K82" i="527" a="1"/>
  <c r="K82" i="527" s="1"/>
  <c r="H82" i="527"/>
  <c r="K81" i="527" a="1"/>
  <c r="K81" i="527" s="1"/>
  <c r="H81" i="527"/>
  <c r="K80" i="527" a="1"/>
  <c r="K80" i="527" s="1"/>
  <c r="H80" i="527"/>
  <c r="K79" i="527" a="1"/>
  <c r="K79" i="527" s="1"/>
  <c r="M79" i="527" s="1"/>
  <c r="H79" i="527"/>
  <c r="K78" i="527" a="1"/>
  <c r="K78" i="527" s="1"/>
  <c r="M78" i="527" s="1"/>
  <c r="H78" i="527"/>
  <c r="K77" i="527" a="1"/>
  <c r="K77" i="527" s="1"/>
  <c r="M77" i="527" s="1"/>
  <c r="H77" i="527"/>
  <c r="K76" i="527" a="1"/>
  <c r="K76" i="527" s="1"/>
  <c r="M76" i="527" s="1"/>
  <c r="H76" i="527"/>
  <c r="W75" i="527"/>
  <c r="V75" i="527"/>
  <c r="N75" i="527"/>
  <c r="K75" i="527" a="1"/>
  <c r="K75" i="527" s="1"/>
  <c r="M75" i="527" s="1"/>
  <c r="J75" i="527" a="1"/>
  <c r="J75" i="527" s="1"/>
  <c r="H75" i="527"/>
  <c r="V74" i="527"/>
  <c r="W74" i="527" s="1"/>
  <c r="N74" i="527"/>
  <c r="K74" i="527" a="1"/>
  <c r="K74" i="527" s="1"/>
  <c r="M74" i="527" s="1"/>
  <c r="J74" i="527" a="1"/>
  <c r="J74" i="527" s="1"/>
  <c r="H74" i="527"/>
  <c r="V73" i="527"/>
  <c r="W73" i="527" s="1"/>
  <c r="N73" i="527"/>
  <c r="K73" i="527"/>
  <c r="M73" i="527" s="1"/>
  <c r="K73" i="527" a="1"/>
  <c r="J73" i="527"/>
  <c r="J73" i="527" a="1"/>
  <c r="H73" i="527"/>
  <c r="V72" i="527"/>
  <c r="W72" i="527" s="1"/>
  <c r="N72" i="527"/>
  <c r="K72" i="527" a="1"/>
  <c r="K72" i="527" s="1"/>
  <c r="M72" i="527" s="1"/>
  <c r="J72" i="527" a="1"/>
  <c r="J72" i="527" s="1"/>
  <c r="H72" i="527"/>
  <c r="H71" i="527"/>
  <c r="V70" i="527"/>
  <c r="W70" i="527" s="1"/>
  <c r="N70" i="527"/>
  <c r="K70" i="527" a="1"/>
  <c r="K70" i="527" s="1"/>
  <c r="M70" i="527" s="1"/>
  <c r="J70" i="527" a="1"/>
  <c r="J70" i="527" s="1"/>
  <c r="H70" i="527"/>
  <c r="V69" i="527"/>
  <c r="W69" i="527" s="1"/>
  <c r="N69" i="527"/>
  <c r="K69" i="527" a="1"/>
  <c r="K69" i="527" s="1"/>
  <c r="M69" i="527" s="1"/>
  <c r="J69" i="527" a="1"/>
  <c r="J69" i="527" s="1"/>
  <c r="H69" i="527"/>
  <c r="K68" i="527" a="1"/>
  <c r="K68" i="527" s="1"/>
  <c r="H68" i="527"/>
  <c r="K67" i="527"/>
  <c r="K67" i="527" a="1"/>
  <c r="H67" i="527"/>
  <c r="V66" i="527"/>
  <c r="W66" i="527" s="1"/>
  <c r="N66" i="527"/>
  <c r="K66" i="527" a="1"/>
  <c r="K66" i="527" s="1"/>
  <c r="M66" i="527" s="1"/>
  <c r="J66" i="527" a="1"/>
  <c r="J66" i="527" s="1"/>
  <c r="H66" i="527"/>
  <c r="V65" i="527"/>
  <c r="W65" i="527" s="1"/>
  <c r="N65" i="527"/>
  <c r="K65" i="527" a="1"/>
  <c r="K65" i="527" s="1"/>
  <c r="M65" i="527" s="1"/>
  <c r="J65" i="527" a="1"/>
  <c r="J65" i="527" s="1"/>
  <c r="H65" i="527"/>
  <c r="V64" i="527"/>
  <c r="W64" i="527" s="1"/>
  <c r="N64" i="527"/>
  <c r="K64" i="527" a="1"/>
  <c r="K64" i="527" s="1"/>
  <c r="M64" i="527" s="1"/>
  <c r="J64" i="527" a="1"/>
  <c r="J64" i="527" s="1"/>
  <c r="H64" i="527"/>
  <c r="V63" i="527"/>
  <c r="W63" i="527" s="1"/>
  <c r="N63" i="527"/>
  <c r="K63" i="527"/>
  <c r="M63" i="527" s="1"/>
  <c r="K63" i="527" a="1"/>
  <c r="J63" i="527"/>
  <c r="J63" i="527" a="1"/>
  <c r="H63" i="527"/>
  <c r="V62" i="527"/>
  <c r="W62" i="527" s="1"/>
  <c r="N62" i="527"/>
  <c r="K62" i="527" a="1"/>
  <c r="K62" i="527" s="1"/>
  <c r="M62" i="527" s="1"/>
  <c r="J62" i="527" a="1"/>
  <c r="J62" i="527" s="1"/>
  <c r="H62" i="527"/>
  <c r="W61" i="527"/>
  <c r="V61" i="527"/>
  <c r="N61" i="527"/>
  <c r="K61" i="527" a="1"/>
  <c r="K61" i="527" s="1"/>
  <c r="M61" i="527" s="1"/>
  <c r="J61" i="527" a="1"/>
  <c r="J61" i="527" s="1"/>
  <c r="H61" i="527"/>
  <c r="V60" i="527"/>
  <c r="W60" i="527" s="1"/>
  <c r="N60" i="527"/>
  <c r="K60" i="527" a="1"/>
  <c r="K60" i="527" s="1"/>
  <c r="M60" i="527" s="1"/>
  <c r="J60" i="527" a="1"/>
  <c r="J60" i="527" s="1"/>
  <c r="H60" i="527"/>
  <c r="V59" i="527"/>
  <c r="W59" i="527" s="1"/>
  <c r="N59" i="527"/>
  <c r="K59" i="527"/>
  <c r="M59" i="527" s="1"/>
  <c r="K59" i="527" a="1"/>
  <c r="J59" i="527"/>
  <c r="J59" i="527" a="1"/>
  <c r="H59" i="527"/>
  <c r="V58" i="527"/>
  <c r="W58" i="527" s="1"/>
  <c r="N58" i="527"/>
  <c r="K58" i="527" a="1"/>
  <c r="K58" i="527" s="1"/>
  <c r="M58" i="527" s="1"/>
  <c r="J58" i="527" a="1"/>
  <c r="J58" i="527" s="1"/>
  <c r="H58" i="527"/>
  <c r="V57" i="527"/>
  <c r="W57" i="527" s="1"/>
  <c r="N57" i="527"/>
  <c r="K57" i="527" a="1"/>
  <c r="K57" i="527" s="1"/>
  <c r="M57" i="527" s="1"/>
  <c r="J57" i="527" a="1"/>
  <c r="J57" i="527" s="1"/>
  <c r="H57" i="527"/>
  <c r="K56" i="527"/>
  <c r="M56" i="527" s="1"/>
  <c r="K56" i="527" a="1"/>
  <c r="H56" i="527"/>
  <c r="K55" i="527" a="1"/>
  <c r="K55" i="527" s="1"/>
  <c r="M55" i="527" s="1"/>
  <c r="H55" i="527"/>
  <c r="K54" i="527"/>
  <c r="M54" i="527" s="1"/>
  <c r="K54" i="527" a="1"/>
  <c r="H54" i="527"/>
  <c r="K53" i="527" a="1"/>
  <c r="K53" i="527" s="1"/>
  <c r="M53" i="527" s="1"/>
  <c r="H53" i="527"/>
  <c r="N52" i="527"/>
  <c r="K52" i="527" a="1"/>
  <c r="K52" i="527" s="1"/>
  <c r="M52" i="527" s="1"/>
  <c r="H52" i="527"/>
  <c r="N51" i="527"/>
  <c r="K51" i="527" a="1"/>
  <c r="K51" i="527" s="1"/>
  <c r="M51" i="527" s="1"/>
  <c r="H51" i="527"/>
  <c r="N50" i="527"/>
  <c r="K50" i="527" a="1"/>
  <c r="K50" i="527" s="1"/>
  <c r="M50" i="527" s="1"/>
  <c r="H50" i="527"/>
  <c r="N49" i="527"/>
  <c r="K49" i="527" a="1"/>
  <c r="K49" i="527" s="1"/>
  <c r="M49" i="527" s="1"/>
  <c r="H49" i="527"/>
  <c r="V48" i="527"/>
  <c r="W48" i="527" s="1"/>
  <c r="N48" i="527"/>
  <c r="K48" i="527" a="1"/>
  <c r="K48" i="527" s="1"/>
  <c r="M48" i="527" s="1"/>
  <c r="J48" i="527" a="1"/>
  <c r="J48" i="527" s="1"/>
  <c r="H48" i="527"/>
  <c r="V47" i="527"/>
  <c r="W47" i="527" s="1"/>
  <c r="N47" i="527"/>
  <c r="K47" i="527" a="1"/>
  <c r="K47" i="527" s="1"/>
  <c r="M47" i="527" s="1"/>
  <c r="J47" i="527" a="1"/>
  <c r="J47" i="527" s="1"/>
  <c r="H47" i="527"/>
  <c r="V46" i="527"/>
  <c r="W46" i="527" s="1"/>
  <c r="N46" i="527"/>
  <c r="K46" i="527" a="1"/>
  <c r="K46" i="527" s="1"/>
  <c r="M46" i="527" s="1"/>
  <c r="J46" i="527" a="1"/>
  <c r="J46" i="527" s="1"/>
  <c r="H46" i="527"/>
  <c r="V45" i="527"/>
  <c r="W45" i="527" s="1"/>
  <c r="N45" i="527"/>
  <c r="K45" i="527"/>
  <c r="M45" i="527" s="1"/>
  <c r="K45" i="527" a="1"/>
  <c r="J45" i="527"/>
  <c r="J45" i="527" a="1"/>
  <c r="H45" i="527"/>
  <c r="V44" i="527"/>
  <c r="W44" i="527" s="1"/>
  <c r="N44" i="527"/>
  <c r="K44" i="527" a="1"/>
  <c r="K44" i="527" s="1"/>
  <c r="M44" i="527" s="1"/>
  <c r="J44" i="527" a="1"/>
  <c r="J44" i="527" s="1"/>
  <c r="H44" i="527"/>
  <c r="V43" i="527"/>
  <c r="W43" i="527" s="1"/>
  <c r="N43" i="527"/>
  <c r="K43" i="527" a="1"/>
  <c r="K43" i="527" s="1"/>
  <c r="M43" i="527" s="1"/>
  <c r="J43" i="527" a="1"/>
  <c r="J43" i="527" s="1"/>
  <c r="H43" i="527"/>
  <c r="V42" i="527"/>
  <c r="W42" i="527" s="1"/>
  <c r="N42" i="527"/>
  <c r="K42" i="527" a="1"/>
  <c r="K42" i="527" s="1"/>
  <c r="M42" i="527" s="1"/>
  <c r="J42" i="527" a="1"/>
  <c r="J42" i="527" s="1"/>
  <c r="H42" i="527"/>
  <c r="V41" i="527"/>
  <c r="W41" i="527" s="1"/>
  <c r="N41" i="527"/>
  <c r="K41" i="527"/>
  <c r="M41" i="527" s="1"/>
  <c r="K41" i="527" a="1"/>
  <c r="J41" i="527"/>
  <c r="J41" i="527" a="1"/>
  <c r="H41" i="527"/>
  <c r="V40" i="527"/>
  <c r="W40" i="527" s="1"/>
  <c r="N40" i="527"/>
  <c r="K40" i="527" a="1"/>
  <c r="K40" i="527" s="1"/>
  <c r="M40" i="527" s="1"/>
  <c r="J40" i="527" a="1"/>
  <c r="J40" i="527" s="1"/>
  <c r="H40" i="527"/>
  <c r="V39" i="527"/>
  <c r="W39" i="527" s="1"/>
  <c r="N39" i="527"/>
  <c r="K39" i="527" a="1"/>
  <c r="K39" i="527" s="1"/>
  <c r="M39" i="527" s="1"/>
  <c r="J39" i="527" a="1"/>
  <c r="J39" i="527" s="1"/>
  <c r="H39" i="527"/>
  <c r="V38" i="527"/>
  <c r="W38" i="527" s="1"/>
  <c r="N38" i="527"/>
  <c r="K38" i="527" a="1"/>
  <c r="K38" i="527" s="1"/>
  <c r="M38" i="527" s="1"/>
  <c r="J38" i="527" a="1"/>
  <c r="J38" i="527" s="1"/>
  <c r="H38" i="527"/>
  <c r="V37" i="527"/>
  <c r="W37" i="527" s="1"/>
  <c r="N37" i="527"/>
  <c r="K37" i="527"/>
  <c r="M37" i="527" s="1"/>
  <c r="K37" i="527" a="1"/>
  <c r="J37" i="527"/>
  <c r="J37" i="527" a="1"/>
  <c r="H37" i="527"/>
  <c r="H36" i="527"/>
  <c r="H35" i="527"/>
  <c r="H34" i="527"/>
  <c r="V33" i="527"/>
  <c r="W33" i="527" s="1"/>
  <c r="N33" i="527"/>
  <c r="K33" i="527" a="1"/>
  <c r="K33" i="527" s="1"/>
  <c r="M33" i="527" s="1"/>
  <c r="J33" i="527" a="1"/>
  <c r="J33" i="527" s="1"/>
  <c r="H33" i="527"/>
  <c r="V32" i="527"/>
  <c r="W32" i="527" s="1"/>
  <c r="N32" i="527"/>
  <c r="K32" i="527" a="1"/>
  <c r="K32" i="527" s="1"/>
  <c r="M32" i="527" s="1"/>
  <c r="J32" i="527" a="1"/>
  <c r="J32" i="527" s="1"/>
  <c r="H32" i="527"/>
  <c r="V31" i="527"/>
  <c r="W31" i="527" s="1"/>
  <c r="N31" i="527"/>
  <c r="K31" i="527"/>
  <c r="M31" i="527" s="1"/>
  <c r="K31" i="527" a="1"/>
  <c r="J31" i="527"/>
  <c r="J31" i="527" a="1"/>
  <c r="H31" i="527"/>
  <c r="K30" i="527" a="1"/>
  <c r="K30" i="527" s="1"/>
  <c r="H30" i="527"/>
  <c r="W29" i="527"/>
  <c r="V29" i="527"/>
  <c r="N29" i="527"/>
  <c r="K29" i="527" a="1"/>
  <c r="K29" i="527" s="1"/>
  <c r="M29" i="527" s="1"/>
  <c r="J29" i="527" a="1"/>
  <c r="J29" i="527" s="1"/>
  <c r="H29" i="527"/>
  <c r="AA28" i="527"/>
  <c r="AA163" i="527" s="1"/>
  <c r="Z28" i="527"/>
  <c r="Z163" i="527" s="1"/>
  <c r="Y28" i="527"/>
  <c r="Y163" i="527" s="1"/>
  <c r="X28" i="527"/>
  <c r="X163" i="527" s="1"/>
  <c r="U28" i="527"/>
  <c r="U163" i="527" s="1"/>
  <c r="T28" i="527"/>
  <c r="T163" i="527" s="1"/>
  <c r="S28" i="527"/>
  <c r="S163" i="527" s="1"/>
  <c r="R28" i="527"/>
  <c r="R163" i="527" s="1"/>
  <c r="Q28" i="527"/>
  <c r="Q163" i="527" s="1"/>
  <c r="P28" i="527"/>
  <c r="O28" i="527"/>
  <c r="I28" i="527"/>
  <c r="G28" i="527"/>
  <c r="V27" i="527"/>
  <c r="W27" i="527" s="1"/>
  <c r="N27" i="527"/>
  <c r="K27" i="527"/>
  <c r="M27" i="527" s="1"/>
  <c r="K27" i="527" a="1"/>
  <c r="J27" i="527"/>
  <c r="J27" i="527" a="1"/>
  <c r="H27" i="527"/>
  <c r="V26" i="527"/>
  <c r="W26" i="527" s="1"/>
  <c r="N26" i="527"/>
  <c r="K26" i="527" a="1"/>
  <c r="K26" i="527" s="1"/>
  <c r="M26" i="527" s="1"/>
  <c r="J26" i="527" a="1"/>
  <c r="J26" i="527" s="1"/>
  <c r="H26" i="527"/>
  <c r="K25" i="527" a="1"/>
  <c r="K25" i="527" s="1"/>
  <c r="M25" i="527" s="1"/>
  <c r="J25" i="527" a="1"/>
  <c r="J25" i="527" s="1"/>
  <c r="H25" i="527"/>
  <c r="K24" i="527" a="1"/>
  <c r="K24" i="527" s="1"/>
  <c r="M24" i="527" s="1"/>
  <c r="J24" i="527" a="1"/>
  <c r="J24" i="527" s="1"/>
  <c r="H24" i="527"/>
  <c r="K23" i="527" a="1"/>
  <c r="K23" i="527" s="1"/>
  <c r="M23" i="527" s="1"/>
  <c r="J23" i="527" a="1"/>
  <c r="J23" i="527" s="1"/>
  <c r="H23" i="527"/>
  <c r="K22" i="527" a="1"/>
  <c r="K22" i="527" s="1"/>
  <c r="M22" i="527" s="1"/>
  <c r="J22" i="527" a="1"/>
  <c r="J22" i="527" s="1"/>
  <c r="H22" i="527"/>
  <c r="V21" i="527"/>
  <c r="W21" i="527" s="1"/>
  <c r="N21" i="527"/>
  <c r="K21" i="527" a="1"/>
  <c r="K21" i="527" s="1"/>
  <c r="M21" i="527" s="1"/>
  <c r="J21" i="527" a="1"/>
  <c r="J21" i="527" s="1"/>
  <c r="H21" i="527"/>
  <c r="V20" i="527"/>
  <c r="W20" i="527" s="1"/>
  <c r="N20" i="527"/>
  <c r="K20" i="527" a="1"/>
  <c r="K20" i="527" s="1"/>
  <c r="M20" i="527" s="1"/>
  <c r="J20" i="527" a="1"/>
  <c r="J20" i="527" s="1"/>
  <c r="H20" i="527"/>
  <c r="V19" i="527"/>
  <c r="W19" i="527" s="1"/>
  <c r="N19" i="527"/>
  <c r="K19" i="527" a="1"/>
  <c r="K19" i="527" s="1"/>
  <c r="M19" i="527" s="1"/>
  <c r="J19" i="527" a="1"/>
  <c r="J19" i="527" s="1"/>
  <c r="H19" i="527"/>
  <c r="N18" i="527"/>
  <c r="K18" i="527" a="1"/>
  <c r="K18" i="527" s="1"/>
  <c r="M18" i="527" s="1"/>
  <c r="J18" i="527" a="1"/>
  <c r="J18" i="527" s="1"/>
  <c r="H18" i="527"/>
  <c r="N17" i="527"/>
  <c r="K17" i="527"/>
  <c r="M17" i="527" s="1"/>
  <c r="K17" i="527" a="1"/>
  <c r="J17" i="527"/>
  <c r="J17" i="527" a="1"/>
  <c r="H17" i="527"/>
  <c r="V16" i="527"/>
  <c r="W16" i="527" s="1"/>
  <c r="N16" i="527"/>
  <c r="K16" i="527" a="1"/>
  <c r="K16" i="527" s="1"/>
  <c r="M16" i="527" s="1"/>
  <c r="J16" i="527" a="1"/>
  <c r="J16" i="527" s="1"/>
  <c r="H16" i="527"/>
  <c r="W15" i="527"/>
  <c r="V15" i="527"/>
  <c r="N15" i="527"/>
  <c r="K15" i="527" a="1"/>
  <c r="K15" i="527" s="1"/>
  <c r="M15" i="527" s="1"/>
  <c r="J15" i="527" a="1"/>
  <c r="J15" i="527" s="1"/>
  <c r="H15" i="527"/>
  <c r="N14" i="527"/>
  <c r="K14" i="527" a="1"/>
  <c r="K14" i="527" s="1"/>
  <c r="M14" i="527" s="1"/>
  <c r="H14" i="527"/>
  <c r="N13" i="527"/>
  <c r="K13" i="527"/>
  <c r="M13" i="527" s="1"/>
  <c r="K13" i="527" a="1"/>
  <c r="H13" i="527"/>
  <c r="V12" i="527"/>
  <c r="W12" i="527" s="1"/>
  <c r="N12" i="527"/>
  <c r="K12" i="527" a="1"/>
  <c r="K12" i="527" s="1"/>
  <c r="M12" i="527" s="1"/>
  <c r="J12" i="527" a="1"/>
  <c r="J12" i="527" s="1"/>
  <c r="H12" i="527"/>
  <c r="V11" i="527"/>
  <c r="W11" i="527" s="1"/>
  <c r="N11" i="527"/>
  <c r="K11" i="527" a="1"/>
  <c r="K11" i="527" s="1"/>
  <c r="M11" i="527" s="1"/>
  <c r="J11" i="527" a="1"/>
  <c r="J11" i="527" s="1"/>
  <c r="H11" i="527"/>
  <c r="V10" i="527"/>
  <c r="W10" i="527" s="1"/>
  <c r="N10" i="527"/>
  <c r="K10" i="527" a="1"/>
  <c r="K10" i="527" s="1"/>
  <c r="M10" i="527" s="1"/>
  <c r="J10" i="527" a="1"/>
  <c r="J10" i="527" s="1"/>
  <c r="H10" i="527"/>
  <c r="V9" i="527"/>
  <c r="W9" i="527" s="1"/>
  <c r="N9" i="527"/>
  <c r="K9" i="527"/>
  <c r="M9" i="527" s="1"/>
  <c r="K9" i="527" a="1"/>
  <c r="J9" i="527"/>
  <c r="J9" i="527" a="1"/>
  <c r="H9" i="527"/>
  <c r="V8" i="527"/>
  <c r="W8" i="527" s="1"/>
  <c r="N8" i="527"/>
  <c r="K8" i="527" a="1"/>
  <c r="K8" i="527" s="1"/>
  <c r="M8" i="527" s="1"/>
  <c r="J8" i="527" a="1"/>
  <c r="J8" i="527" s="1"/>
  <c r="H8" i="527"/>
  <c r="V7" i="527"/>
  <c r="N7" i="527"/>
  <c r="K7" i="527" a="1"/>
  <c r="K7" i="527" s="1"/>
  <c r="J7" i="527" a="1"/>
  <c r="J7" i="527" s="1"/>
  <c r="H7" i="527"/>
  <c r="H368" i="527" l="1"/>
  <c r="V368" i="527"/>
  <c r="H86" i="527"/>
  <c r="N198" i="527"/>
  <c r="H28" i="527"/>
  <c r="V28" i="527"/>
  <c r="H307" i="527"/>
  <c r="V307" i="527"/>
  <c r="W307" i="527" s="1"/>
  <c r="W308" i="527"/>
  <c r="N28" i="527"/>
  <c r="N86" i="527"/>
  <c r="K518" i="528"/>
  <c r="O518" i="528" s="1" a="1"/>
  <c r="O518" i="528" s="1"/>
  <c r="S525" i="528"/>
  <c r="S521" i="528" a="1"/>
  <c r="S521" i="528" s="1"/>
  <c r="S524" i="528"/>
  <c r="S526" i="528"/>
  <c r="S522" i="528"/>
  <c r="G517" i="528"/>
  <c r="J28" i="527" a="1"/>
  <c r="J28" i="527" s="1"/>
  <c r="I163" i="527"/>
  <c r="B171" i="527" s="1"/>
  <c r="J461" i="527" a="1"/>
  <c r="J461" i="527" s="1"/>
  <c r="J307" i="527" a="1"/>
  <c r="J307" i="527" s="1"/>
  <c r="J317" i="527" a="1"/>
  <c r="J317" i="527" s="1"/>
  <c r="J256" i="527" a="1"/>
  <c r="J256" i="527" s="1"/>
  <c r="J291" i="527" a="1"/>
  <c r="J291" i="527" s="1"/>
  <c r="M503" i="527"/>
  <c r="H477" i="527"/>
  <c r="V477" i="527"/>
  <c r="W477" i="527" s="1"/>
  <c r="J477" i="527" a="1"/>
  <c r="J477" i="527" s="1"/>
  <c r="R509" i="527"/>
  <c r="K503" i="527"/>
  <c r="W427" i="527"/>
  <c r="M461" i="527"/>
  <c r="N368" i="527"/>
  <c r="W318" i="527"/>
  <c r="W332" i="527" s="1"/>
  <c r="N307" i="527"/>
  <c r="V291" i="527"/>
  <c r="W291" i="527" s="1"/>
  <c r="H256" i="527"/>
  <c r="H198" i="527"/>
  <c r="H317" i="527"/>
  <c r="J162" i="527" a="1"/>
  <c r="J162" i="527" s="1"/>
  <c r="N147" i="527"/>
  <c r="N163" i="527" s="1"/>
  <c r="B172" i="527" s="1"/>
  <c r="R169" i="527"/>
  <c r="R168" i="527"/>
  <c r="M137" i="527"/>
  <c r="H137" i="527"/>
  <c r="V137" i="527"/>
  <c r="W137" i="527" s="1"/>
  <c r="H121" i="527"/>
  <c r="H163" i="527" s="1"/>
  <c r="E170" i="527" s="1"/>
  <c r="V121" i="527"/>
  <c r="W121" i="527" s="1"/>
  <c r="M121" i="527"/>
  <c r="W87" i="527"/>
  <c r="W7" i="527"/>
  <c r="J147" i="527" a="1"/>
  <c r="J147" i="527" s="1"/>
  <c r="J121" i="527" a="1"/>
  <c r="J121" i="527" s="1"/>
  <c r="J137" i="527" a="1"/>
  <c r="J137" i="527" s="1"/>
  <c r="M86" i="527"/>
  <c r="K28" i="527"/>
  <c r="W28" i="527"/>
  <c r="M7" i="527"/>
  <c r="M28" i="527" s="1"/>
  <c r="C521" i="527"/>
  <c r="G163" i="527"/>
  <c r="O163" i="527"/>
  <c r="R165" i="527"/>
  <c r="V86" i="527"/>
  <c r="W86" i="527" s="1"/>
  <c r="K522" i="527"/>
  <c r="K523" i="527"/>
  <c r="K525" i="527"/>
  <c r="K162" i="527"/>
  <c r="M148" i="527"/>
  <c r="M162" i="527" s="1"/>
  <c r="K526" i="527"/>
  <c r="K256" i="527"/>
  <c r="M199" i="527"/>
  <c r="M256" i="527" s="1"/>
  <c r="K291" i="527"/>
  <c r="M257" i="527"/>
  <c r="M291" i="527" s="1"/>
  <c r="X166" i="527"/>
  <c r="P163" i="527"/>
  <c r="X167" i="527" s="1"/>
  <c r="K86" i="527"/>
  <c r="K524" i="527"/>
  <c r="K147" i="527"/>
  <c r="M138" i="527"/>
  <c r="M147" i="527" s="1"/>
  <c r="K198" i="527"/>
  <c r="M177" i="527"/>
  <c r="M198" i="527" s="1"/>
  <c r="J86" i="527" a="1"/>
  <c r="J86" i="527" s="1"/>
  <c r="K121" i="527"/>
  <c r="K137" i="527"/>
  <c r="V162" i="527"/>
  <c r="W162" i="527" s="1"/>
  <c r="K165" i="527"/>
  <c r="J333" i="527" a="1"/>
  <c r="J333" i="527" s="1"/>
  <c r="M340" i="527" s="1"/>
  <c r="B340" i="527"/>
  <c r="O333" i="527"/>
  <c r="R335" i="527"/>
  <c r="M292" i="527"/>
  <c r="M307" i="527" s="1"/>
  <c r="K307" i="527"/>
  <c r="W138" i="527"/>
  <c r="W177" i="527"/>
  <c r="W198" i="527" s="1"/>
  <c r="W333" i="527" s="1"/>
  <c r="J198" i="527" a="1"/>
  <c r="J198" i="527" s="1"/>
  <c r="X336" i="527"/>
  <c r="P333" i="527"/>
  <c r="X337" i="527" s="1"/>
  <c r="W199" i="527"/>
  <c r="H291" i="527"/>
  <c r="H333" i="527" s="1"/>
  <c r="E340" i="527" s="1"/>
  <c r="N291" i="527"/>
  <c r="N333" i="527" s="1"/>
  <c r="B342" i="527" s="1"/>
  <c r="W257" i="527"/>
  <c r="K332" i="527"/>
  <c r="M335" i="527"/>
  <c r="K339" i="527"/>
  <c r="M339" i="527" s="1"/>
  <c r="M347" i="527"/>
  <c r="M368" i="527" s="1"/>
  <c r="K368" i="527"/>
  <c r="K426" i="527"/>
  <c r="M369" i="527"/>
  <c r="M426" i="527" s="1"/>
  <c r="W292" i="527"/>
  <c r="M308" i="527"/>
  <c r="M317" i="527" s="1"/>
  <c r="M318" i="527"/>
  <c r="M332" i="527" s="1"/>
  <c r="W347" i="527"/>
  <c r="W368" i="527" s="1"/>
  <c r="J368" i="527" a="1"/>
  <c r="J368" i="527" s="1"/>
  <c r="H426" i="527"/>
  <c r="N426" i="527"/>
  <c r="W369" i="527"/>
  <c r="B511" i="527"/>
  <c r="J504" i="527" a="1"/>
  <c r="J504" i="527" s="1"/>
  <c r="M511" i="527" s="1"/>
  <c r="R506" i="527"/>
  <c r="O504" i="527"/>
  <c r="X507" i="527" s="1"/>
  <c r="X506" i="527"/>
  <c r="K461" i="527"/>
  <c r="K477" i="527"/>
  <c r="K487" i="527"/>
  <c r="V503" i="527"/>
  <c r="W488" i="527"/>
  <c r="W503" i="527" s="1"/>
  <c r="R507" i="527"/>
  <c r="R508" i="527"/>
  <c r="M462" i="527"/>
  <c r="M477" i="527" s="1"/>
  <c r="M487" i="527"/>
  <c r="V487" i="527"/>
  <c r="W487" i="527" s="1"/>
  <c r="R510" i="527"/>
  <c r="H503" i="527"/>
  <c r="N503" i="527"/>
  <c r="M506" i="527"/>
  <c r="J503" i="527" a="1"/>
  <c r="J503" i="527" s="1"/>
  <c r="K508" i="527"/>
  <c r="M508" i="527" s="1"/>
  <c r="K509" i="527"/>
  <c r="M509" i="527" s="1"/>
  <c r="G47" i="526"/>
  <c r="E172" i="527" l="1"/>
  <c r="K517" i="528"/>
  <c r="O517" i="528" s="1"/>
  <c r="K516" i="528"/>
  <c r="S527" i="528"/>
  <c r="C517" i="527"/>
  <c r="N504" i="527"/>
  <c r="B513" i="527" s="1"/>
  <c r="E513" i="527" s="1"/>
  <c r="H504" i="527"/>
  <c r="E511" i="527" s="1"/>
  <c r="V333" i="527"/>
  <c r="I342" i="527" s="1"/>
  <c r="M342" i="527" s="1" a="1"/>
  <c r="M342" i="527" s="1"/>
  <c r="X342" i="527"/>
  <c r="Z335" i="527" s="1" a="1"/>
  <c r="Z335" i="527" s="1"/>
  <c r="X172" i="527"/>
  <c r="Z169" i="527" s="1"/>
  <c r="G516" i="527"/>
  <c r="E342" i="527"/>
  <c r="C518" i="527"/>
  <c r="G518" i="527" s="1"/>
  <c r="K504" i="527"/>
  <c r="Z336" i="527"/>
  <c r="K333" i="527"/>
  <c r="Q522" i="527"/>
  <c r="Z166" i="527"/>
  <c r="C527" i="527"/>
  <c r="E521" i="527" s="1"/>
  <c r="W163" i="527"/>
  <c r="K163" i="527"/>
  <c r="E171" i="527" s="1"/>
  <c r="K510" i="527"/>
  <c r="M510" i="527" s="1"/>
  <c r="X513" i="527"/>
  <c r="Z506" i="527" s="1" a="1"/>
  <c r="Z506" i="527" s="1"/>
  <c r="R513" i="527"/>
  <c r="T507" i="527" s="1"/>
  <c r="V504" i="527"/>
  <c r="M504" i="527"/>
  <c r="Z340" i="527"/>
  <c r="Z339" i="527"/>
  <c r="Z338" i="527"/>
  <c r="Z337" i="527"/>
  <c r="Z341" i="527"/>
  <c r="R342" i="527"/>
  <c r="T335" i="527" s="1" a="1"/>
  <c r="T335" i="527" s="1"/>
  <c r="Z171" i="527"/>
  <c r="Z165" i="527" a="1"/>
  <c r="Z165" i="527" s="1"/>
  <c r="M165" i="527"/>
  <c r="K169" i="527"/>
  <c r="M169" i="527" s="1"/>
  <c r="M333" i="527"/>
  <c r="Q523" i="527"/>
  <c r="Z167" i="527"/>
  <c r="K521" i="527"/>
  <c r="R172" i="527"/>
  <c r="T165" i="527" s="1" a="1"/>
  <c r="T165" i="527" s="1"/>
  <c r="J163" i="527" a="1"/>
  <c r="J163" i="527" s="1"/>
  <c r="M170" i="527" s="1"/>
  <c r="B170" i="527"/>
  <c r="C516" i="527" s="1"/>
  <c r="M163" i="527"/>
  <c r="V163" i="527"/>
  <c r="I172" i="527" s="1"/>
  <c r="J314" i="526" a="1"/>
  <c r="J314" i="526" s="1"/>
  <c r="J279" i="526" a="1"/>
  <c r="J279" i="526" s="1"/>
  <c r="J278" i="526" a="1"/>
  <c r="J278" i="526" s="1"/>
  <c r="J277" i="526" a="1"/>
  <c r="J277" i="526" s="1"/>
  <c r="J264" i="526" a="1"/>
  <c r="J264" i="526" s="1"/>
  <c r="J238" i="526" a="1"/>
  <c r="J238" i="526" s="1"/>
  <c r="J220" i="526" a="1"/>
  <c r="J220" i="526" s="1"/>
  <c r="J219" i="526" a="1"/>
  <c r="J219" i="526" s="1"/>
  <c r="I189" i="526"/>
  <c r="I278" i="526"/>
  <c r="I277" i="526"/>
  <c r="I264" i="526"/>
  <c r="I279" i="526"/>
  <c r="I314" i="526"/>
  <c r="J144" i="526" a="1"/>
  <c r="J144" i="526" s="1"/>
  <c r="J109" i="526" a="1"/>
  <c r="J109" i="526" s="1"/>
  <c r="J108" i="526" a="1"/>
  <c r="J108" i="526" s="1"/>
  <c r="J107" i="526" a="1"/>
  <c r="J107" i="526" s="1"/>
  <c r="J68" i="526" a="1"/>
  <c r="J68" i="526" s="1"/>
  <c r="J67" i="526" a="1"/>
  <c r="J67" i="526" s="1"/>
  <c r="J66" i="526" a="1"/>
  <c r="J66" i="526" s="1"/>
  <c r="J65" i="526" a="1"/>
  <c r="J65" i="526" s="1"/>
  <c r="J64" i="526" a="1"/>
  <c r="J64" i="526" s="1"/>
  <c r="J63" i="526" a="1"/>
  <c r="J63" i="526" s="1"/>
  <c r="J62" i="526" a="1"/>
  <c r="J62" i="526" s="1"/>
  <c r="J61" i="526" a="1"/>
  <c r="J61" i="526" s="1"/>
  <c r="J60" i="526" a="1"/>
  <c r="J60" i="526" s="1"/>
  <c r="J59" i="526" a="1"/>
  <c r="J59" i="526" s="1"/>
  <c r="J58" i="526" a="1"/>
  <c r="J58" i="526" s="1"/>
  <c r="J57" i="526" a="1"/>
  <c r="J57" i="526" s="1"/>
  <c r="J56" i="526" a="1"/>
  <c r="J56" i="526" s="1"/>
  <c r="J55" i="526" a="1"/>
  <c r="J55" i="526" s="1"/>
  <c r="J54" i="526" a="1"/>
  <c r="J54" i="526" s="1"/>
  <c r="J53" i="526" a="1"/>
  <c r="J53" i="526" s="1"/>
  <c r="J52" i="526" a="1"/>
  <c r="J52" i="526" s="1"/>
  <c r="J51" i="526" a="1"/>
  <c r="J51" i="526" s="1"/>
  <c r="J50" i="526" a="1"/>
  <c r="J50" i="526" s="1"/>
  <c r="J49" i="526" a="1"/>
  <c r="J49" i="526" s="1"/>
  <c r="I144" i="526"/>
  <c r="I107" i="526"/>
  <c r="I20" i="526"/>
  <c r="I108" i="526"/>
  <c r="I109" i="526"/>
  <c r="I19" i="526"/>
  <c r="K316" i="505" a="1"/>
  <c r="K316" i="505" s="1"/>
  <c r="Z170" i="527" l="1"/>
  <c r="T506" i="527" a="1"/>
  <c r="T506" i="527" s="1"/>
  <c r="Z168" i="527"/>
  <c r="L163" i="527"/>
  <c r="I170" i="527" s="1"/>
  <c r="M172" i="527" a="1"/>
  <c r="M172" i="527" s="1"/>
  <c r="K527" i="527"/>
  <c r="M521" i="527" s="1" a="1"/>
  <c r="M521" i="527" s="1"/>
  <c r="T171" i="527"/>
  <c r="T166" i="527"/>
  <c r="T167" i="527"/>
  <c r="T169" i="527"/>
  <c r="T170" i="527"/>
  <c r="T168" i="527"/>
  <c r="T341" i="527"/>
  <c r="T338" i="527"/>
  <c r="T339" i="527"/>
  <c r="T336" i="527"/>
  <c r="T340" i="527"/>
  <c r="T337" i="527"/>
  <c r="W504" i="527"/>
  <c r="I513" i="527"/>
  <c r="M513" i="527" s="1" a="1"/>
  <c r="M513" i="527" s="1"/>
  <c r="T512" i="527"/>
  <c r="T509" i="527"/>
  <c r="T511" i="527"/>
  <c r="E522" i="527"/>
  <c r="E524" i="527"/>
  <c r="E525" i="527"/>
  <c r="E523" i="527"/>
  <c r="E526" i="527"/>
  <c r="E341" i="527"/>
  <c r="I341" i="527" s="1"/>
  <c r="M341" i="527" s="1"/>
  <c r="L333" i="527"/>
  <c r="I340" i="527" s="1"/>
  <c r="E512" i="527"/>
  <c r="I512" i="527" s="1"/>
  <c r="M512" i="527" s="1"/>
  <c r="L504" i="527"/>
  <c r="I511" i="527" s="1"/>
  <c r="T508" i="527"/>
  <c r="O516" i="527" a="1"/>
  <c r="O516" i="527" s="1"/>
  <c r="Z511" i="527"/>
  <c r="Z510" i="527"/>
  <c r="Z509" i="527"/>
  <c r="Z508" i="527"/>
  <c r="Z512" i="527"/>
  <c r="G517" i="527"/>
  <c r="K517" i="527" s="1"/>
  <c r="O517" i="527" s="1"/>
  <c r="I171" i="527"/>
  <c r="M171" i="527" s="1"/>
  <c r="Q527" i="527"/>
  <c r="Z507" i="527"/>
  <c r="T510" i="527"/>
  <c r="G219" i="526"/>
  <c r="G220" i="526"/>
  <c r="G264" i="526"/>
  <c r="G215" i="526"/>
  <c r="G314" i="526"/>
  <c r="G218" i="526"/>
  <c r="G279" i="526"/>
  <c r="G278" i="526"/>
  <c r="G189" i="526"/>
  <c r="E527" i="527" l="1"/>
  <c r="S525" i="527"/>
  <c r="S521" i="527" a="1"/>
  <c r="S521" i="527" s="1"/>
  <c r="S524" i="527"/>
  <c r="S526" i="527"/>
  <c r="S523" i="527"/>
  <c r="S522" i="527"/>
  <c r="K516" i="527"/>
  <c r="M526" i="527"/>
  <c r="M523" i="527"/>
  <c r="M524" i="527"/>
  <c r="M525" i="527"/>
  <c r="M522" i="527"/>
  <c r="K518" i="527"/>
  <c r="O518" i="527" s="1" a="1"/>
  <c r="O518" i="527" s="1"/>
  <c r="G49" i="526"/>
  <c r="G45" i="526"/>
  <c r="G144" i="526"/>
  <c r="G68" i="526"/>
  <c r="G109" i="526"/>
  <c r="G108" i="526"/>
  <c r="G19" i="526"/>
  <c r="G20" i="526"/>
  <c r="H314" i="516"/>
  <c r="H313" i="516"/>
  <c r="H314" i="517"/>
  <c r="H313" i="517"/>
  <c r="H314" i="518"/>
  <c r="H313" i="518"/>
  <c r="H314" i="519"/>
  <c r="H313" i="519"/>
  <c r="H314" i="520"/>
  <c r="H313" i="520"/>
  <c r="H314" i="521"/>
  <c r="H313" i="521"/>
  <c r="H314" i="522"/>
  <c r="H313" i="522"/>
  <c r="H314" i="523"/>
  <c r="H313" i="523"/>
  <c r="H314" i="524"/>
  <c r="H313" i="524"/>
  <c r="H314" i="525"/>
  <c r="H313" i="525"/>
  <c r="H314" i="434"/>
  <c r="H313" i="434"/>
  <c r="H314" i="508"/>
  <c r="H314" i="505"/>
  <c r="H314" i="489"/>
  <c r="H314" i="526"/>
  <c r="H313" i="526"/>
  <c r="H144" i="516"/>
  <c r="H144" i="508" s="1"/>
  <c r="H144" i="517"/>
  <c r="H144" i="518"/>
  <c r="H144" i="519"/>
  <c r="H144" i="520"/>
  <c r="H144" i="521"/>
  <c r="H144" i="522"/>
  <c r="H144" i="523"/>
  <c r="H144" i="524"/>
  <c r="H144" i="525"/>
  <c r="H144" i="434"/>
  <c r="H144" i="489"/>
  <c r="H144" i="526"/>
  <c r="P533" i="526"/>
  <c r="O533" i="526"/>
  <c r="N533" i="526"/>
  <c r="M533" i="526"/>
  <c r="L533" i="526"/>
  <c r="K533" i="526"/>
  <c r="I533" i="526"/>
  <c r="H533" i="526"/>
  <c r="G533" i="526"/>
  <c r="F533" i="526"/>
  <c r="E533" i="526"/>
  <c r="N514" i="526"/>
  <c r="G514" i="526"/>
  <c r="X512" i="526"/>
  <c r="X511" i="526"/>
  <c r="X510" i="526"/>
  <c r="I510" i="526"/>
  <c r="G510" i="526"/>
  <c r="E510" i="526"/>
  <c r="C510" i="526"/>
  <c r="X509" i="526"/>
  <c r="M509" i="526"/>
  <c r="K509" i="526"/>
  <c r="I509" i="526"/>
  <c r="E509" i="526"/>
  <c r="X508" i="526"/>
  <c r="M508" i="526"/>
  <c r="K508" i="526"/>
  <c r="I508" i="526"/>
  <c r="E508" i="526"/>
  <c r="M507" i="526"/>
  <c r="K507" i="526"/>
  <c r="I507" i="526"/>
  <c r="E507" i="526"/>
  <c r="M506" i="526"/>
  <c r="K506" i="526"/>
  <c r="K510" i="526" s="1"/>
  <c r="M510" i="526" s="1"/>
  <c r="I506" i="526"/>
  <c r="E506" i="526"/>
  <c r="AA503" i="526"/>
  <c r="Z503" i="526"/>
  <c r="Y503" i="526"/>
  <c r="X503" i="526"/>
  <c r="U503" i="526"/>
  <c r="T503" i="526"/>
  <c r="S503" i="526"/>
  <c r="R503" i="526"/>
  <c r="Q503" i="526"/>
  <c r="P503" i="526"/>
  <c r="O503" i="526"/>
  <c r="R511" i="526" s="1"/>
  <c r="I503" i="526"/>
  <c r="G503" i="526"/>
  <c r="J503" i="526" s="1" a="1"/>
  <c r="J503" i="526" s="1"/>
  <c r="H502" i="526"/>
  <c r="H501" i="526"/>
  <c r="H500" i="526"/>
  <c r="H499" i="526"/>
  <c r="D499" i="526"/>
  <c r="V498" i="526"/>
  <c r="W498" i="526" s="1"/>
  <c r="N498" i="526"/>
  <c r="K498" i="526" a="1"/>
  <c r="K498" i="526" s="1"/>
  <c r="M498" i="526" s="1"/>
  <c r="J498" i="526" a="1"/>
  <c r="J498" i="526" s="1"/>
  <c r="H498" i="526"/>
  <c r="H497" i="526"/>
  <c r="H496" i="526"/>
  <c r="W495" i="526"/>
  <c r="V495" i="526"/>
  <c r="N495" i="526"/>
  <c r="K495" i="526" a="1"/>
  <c r="K495" i="526" s="1"/>
  <c r="M495" i="526" s="1"/>
  <c r="J495" i="526" a="1"/>
  <c r="J495" i="526" s="1"/>
  <c r="H495" i="526"/>
  <c r="V494" i="526"/>
  <c r="W494" i="526" s="1"/>
  <c r="N494" i="526"/>
  <c r="K494" i="526"/>
  <c r="M494" i="526" s="1"/>
  <c r="K494" i="526" a="1"/>
  <c r="J494" i="526"/>
  <c r="J494" i="526" a="1"/>
  <c r="H494" i="526"/>
  <c r="H493" i="526"/>
  <c r="H492" i="526"/>
  <c r="V491" i="526"/>
  <c r="W491" i="526" s="1"/>
  <c r="N491" i="526"/>
  <c r="K491" i="526" a="1"/>
  <c r="K491" i="526" s="1"/>
  <c r="M491" i="526" s="1"/>
  <c r="J491" i="526" a="1"/>
  <c r="J491" i="526" s="1"/>
  <c r="H491" i="526"/>
  <c r="W490" i="526"/>
  <c r="V490" i="526"/>
  <c r="N490" i="526"/>
  <c r="K490" i="526" a="1"/>
  <c r="K490" i="526" s="1"/>
  <c r="M490" i="526" s="1"/>
  <c r="J490" i="526" a="1"/>
  <c r="J490" i="526" s="1"/>
  <c r="H490" i="526"/>
  <c r="V489" i="526"/>
  <c r="W489" i="526" s="1"/>
  <c r="N489" i="526"/>
  <c r="M489" i="526"/>
  <c r="K489" i="526" a="1"/>
  <c r="K489" i="526" s="1"/>
  <c r="J489" i="526" a="1"/>
  <c r="J489" i="526" s="1"/>
  <c r="H489" i="526"/>
  <c r="W488" i="526"/>
  <c r="V488" i="526"/>
  <c r="N488" i="526"/>
  <c r="N503" i="526" s="1"/>
  <c r="K488" i="526" a="1"/>
  <c r="K488" i="526" s="1"/>
  <c r="K503" i="526" s="1"/>
  <c r="J488" i="526" a="1"/>
  <c r="J488" i="526" s="1"/>
  <c r="H488" i="526"/>
  <c r="H503" i="526" s="1"/>
  <c r="AA487" i="526"/>
  <c r="Z487" i="526"/>
  <c r="Y487" i="526"/>
  <c r="X487" i="526"/>
  <c r="U487" i="526"/>
  <c r="T487" i="526"/>
  <c r="S487" i="526"/>
  <c r="Q487" i="526"/>
  <c r="P487" i="526"/>
  <c r="O487" i="526"/>
  <c r="I487" i="526"/>
  <c r="G487" i="526"/>
  <c r="V486" i="526"/>
  <c r="W486" i="526" s="1"/>
  <c r="N486" i="526"/>
  <c r="K486" i="526" a="1"/>
  <c r="K486" i="526" s="1"/>
  <c r="M486" i="526" s="1"/>
  <c r="J486" i="526" a="1"/>
  <c r="J486" i="526" s="1"/>
  <c r="H486" i="526"/>
  <c r="H483" i="526"/>
  <c r="V482" i="526"/>
  <c r="W482" i="526" s="1"/>
  <c r="N482" i="526"/>
  <c r="K482" i="526" a="1"/>
  <c r="K482" i="526" s="1"/>
  <c r="M482" i="526" s="1"/>
  <c r="J482" i="526" a="1"/>
  <c r="J482" i="526" s="1"/>
  <c r="H482" i="526"/>
  <c r="V481" i="526"/>
  <c r="W481" i="526" s="1"/>
  <c r="N481" i="526"/>
  <c r="K481" i="526" a="1"/>
  <c r="K481" i="526" s="1"/>
  <c r="M481" i="526" s="1"/>
  <c r="J481" i="526" a="1"/>
  <c r="J481" i="526" s="1"/>
  <c r="H481" i="526"/>
  <c r="V480" i="526"/>
  <c r="W480" i="526" s="1"/>
  <c r="N480" i="526"/>
  <c r="K480" i="526" a="1"/>
  <c r="K480" i="526" s="1"/>
  <c r="M480" i="526" s="1"/>
  <c r="J480" i="526" a="1"/>
  <c r="J480" i="526" s="1"/>
  <c r="H480" i="526"/>
  <c r="V479" i="526"/>
  <c r="W479" i="526" s="1"/>
  <c r="N479" i="526"/>
  <c r="K479" i="526"/>
  <c r="M479" i="526" s="1"/>
  <c r="K479" i="526" a="1"/>
  <c r="J479" i="526"/>
  <c r="J479" i="526" a="1"/>
  <c r="H479" i="526"/>
  <c r="V478" i="526"/>
  <c r="W478" i="526" s="1"/>
  <c r="N478" i="526"/>
  <c r="K478" i="526" a="1"/>
  <c r="K478" i="526" s="1"/>
  <c r="J478" i="526" a="1"/>
  <c r="J478" i="526" s="1"/>
  <c r="H478" i="526"/>
  <c r="AA477" i="526"/>
  <c r="Z477" i="526"/>
  <c r="Y477" i="526"/>
  <c r="X477" i="526"/>
  <c r="U477" i="526"/>
  <c r="T477" i="526"/>
  <c r="S477" i="526"/>
  <c r="Q477" i="526"/>
  <c r="P477" i="526"/>
  <c r="O477" i="526"/>
  <c r="I477" i="526"/>
  <c r="G477" i="526"/>
  <c r="J477" i="526" s="1" a="1"/>
  <c r="J477" i="526" s="1"/>
  <c r="V476" i="526"/>
  <c r="W476" i="526" s="1"/>
  <c r="N476" i="526"/>
  <c r="K476" i="526" a="1"/>
  <c r="K476" i="526" s="1"/>
  <c r="M476" i="526" s="1"/>
  <c r="J476" i="526" a="1"/>
  <c r="J476" i="526" s="1"/>
  <c r="H476" i="526"/>
  <c r="V475" i="526"/>
  <c r="W475" i="526" s="1"/>
  <c r="N475" i="526"/>
  <c r="K475" i="526" a="1"/>
  <c r="K475" i="526" s="1"/>
  <c r="M475" i="526" s="1"/>
  <c r="J475" i="526" a="1"/>
  <c r="J475" i="526" s="1"/>
  <c r="H475" i="526"/>
  <c r="V474" i="526"/>
  <c r="W474" i="526" s="1"/>
  <c r="N474" i="526"/>
  <c r="K474" i="526" a="1"/>
  <c r="K474" i="526" s="1"/>
  <c r="M474" i="526" s="1"/>
  <c r="J474" i="526" a="1"/>
  <c r="J474" i="526" s="1"/>
  <c r="H474" i="526"/>
  <c r="V473" i="526"/>
  <c r="W473" i="526" s="1"/>
  <c r="N473" i="526"/>
  <c r="K473" i="526" a="1"/>
  <c r="K473" i="526" s="1"/>
  <c r="M473" i="526" s="1"/>
  <c r="J473" i="526" a="1"/>
  <c r="J473" i="526" s="1"/>
  <c r="H473" i="526"/>
  <c r="V472" i="526"/>
  <c r="W472" i="526" s="1"/>
  <c r="N472" i="526"/>
  <c r="K472" i="526"/>
  <c r="M472" i="526" s="1"/>
  <c r="K472" i="526" a="1"/>
  <c r="J472" i="526"/>
  <c r="J472" i="526" a="1"/>
  <c r="H472" i="526"/>
  <c r="V471" i="526"/>
  <c r="W471" i="526" s="1"/>
  <c r="N471" i="526"/>
  <c r="K471" i="526" a="1"/>
  <c r="K471" i="526" s="1"/>
  <c r="M471" i="526" s="1"/>
  <c r="J471" i="526" a="1"/>
  <c r="J471" i="526" s="1"/>
  <c r="H471" i="526"/>
  <c r="V470" i="526"/>
  <c r="W470" i="526" s="1"/>
  <c r="N470" i="526"/>
  <c r="K470" i="526"/>
  <c r="M470" i="526" s="1"/>
  <c r="K470" i="526" a="1"/>
  <c r="J470" i="526"/>
  <c r="J470" i="526" a="1"/>
  <c r="H470" i="526"/>
  <c r="V469" i="526"/>
  <c r="W469" i="526" s="1"/>
  <c r="N469" i="526"/>
  <c r="K469" i="526" a="1"/>
  <c r="K469" i="526" s="1"/>
  <c r="M469" i="526" s="1"/>
  <c r="J469" i="526" a="1"/>
  <c r="J469" i="526" s="1"/>
  <c r="H469" i="526"/>
  <c r="W468" i="526"/>
  <c r="V468" i="526"/>
  <c r="N468" i="526"/>
  <c r="K468" i="526" a="1"/>
  <c r="K468" i="526" s="1"/>
  <c r="M468" i="526" s="1"/>
  <c r="J468" i="526" a="1"/>
  <c r="J468" i="526" s="1"/>
  <c r="H468" i="526"/>
  <c r="V467" i="526"/>
  <c r="W467" i="526" s="1"/>
  <c r="N467" i="526"/>
  <c r="K467" i="526" a="1"/>
  <c r="K467" i="526" s="1"/>
  <c r="M467" i="526" s="1"/>
  <c r="J467" i="526" a="1"/>
  <c r="J467" i="526" s="1"/>
  <c r="H467" i="526"/>
  <c r="V466" i="526"/>
  <c r="W466" i="526" s="1"/>
  <c r="N466" i="526"/>
  <c r="K466" i="526" a="1"/>
  <c r="K466" i="526" s="1"/>
  <c r="M466" i="526" s="1"/>
  <c r="J466" i="526" a="1"/>
  <c r="J466" i="526" s="1"/>
  <c r="H466" i="526"/>
  <c r="V465" i="526"/>
  <c r="W465" i="526" s="1"/>
  <c r="N465" i="526"/>
  <c r="K465" i="526" a="1"/>
  <c r="K465" i="526" s="1"/>
  <c r="M465" i="526" s="1"/>
  <c r="J465" i="526" a="1"/>
  <c r="J465" i="526" s="1"/>
  <c r="H465" i="526"/>
  <c r="V464" i="526"/>
  <c r="W464" i="526" s="1"/>
  <c r="N464" i="526"/>
  <c r="K464" i="526"/>
  <c r="M464" i="526" s="1"/>
  <c r="K464" i="526" a="1"/>
  <c r="J464" i="526"/>
  <c r="J464" i="526" a="1"/>
  <c r="H464" i="526"/>
  <c r="V463" i="526"/>
  <c r="W463" i="526" s="1"/>
  <c r="N463" i="526"/>
  <c r="K463" i="526" a="1"/>
  <c r="K463" i="526" s="1"/>
  <c r="M463" i="526" s="1"/>
  <c r="J463" i="526" a="1"/>
  <c r="J463" i="526" s="1"/>
  <c r="H463" i="526"/>
  <c r="V462" i="526"/>
  <c r="N462" i="526"/>
  <c r="K462" i="526"/>
  <c r="M462" i="526" s="1"/>
  <c r="K462" i="526" a="1"/>
  <c r="J462" i="526"/>
  <c r="J462" i="526" a="1"/>
  <c r="H462" i="526"/>
  <c r="AA461" i="526"/>
  <c r="Z461" i="526"/>
  <c r="Y461" i="526"/>
  <c r="X461" i="526"/>
  <c r="U461" i="526"/>
  <c r="T461" i="526"/>
  <c r="S461" i="526"/>
  <c r="R461" i="526"/>
  <c r="Q461" i="526"/>
  <c r="P461" i="526"/>
  <c r="O461" i="526"/>
  <c r="I461" i="526"/>
  <c r="G461" i="526"/>
  <c r="V460" i="526"/>
  <c r="W460" i="526" s="1"/>
  <c r="N460" i="526"/>
  <c r="K460" i="526" a="1"/>
  <c r="K460" i="526" s="1"/>
  <c r="M460" i="526" s="1"/>
  <c r="J460" i="526" a="1"/>
  <c r="J460" i="526" s="1"/>
  <c r="H460" i="526"/>
  <c r="V459" i="526"/>
  <c r="W459" i="526" s="1"/>
  <c r="N459" i="526"/>
  <c r="K459" i="526" a="1"/>
  <c r="K459" i="526" s="1"/>
  <c r="M459" i="526" s="1"/>
  <c r="J459" i="526" a="1"/>
  <c r="J459" i="526" s="1"/>
  <c r="H459" i="526"/>
  <c r="V458" i="526"/>
  <c r="W458" i="526" s="1"/>
  <c r="N458" i="526"/>
  <c r="K458" i="526" a="1"/>
  <c r="K458" i="526" s="1"/>
  <c r="M458" i="526" s="1"/>
  <c r="J458" i="526" a="1"/>
  <c r="J458" i="526" s="1"/>
  <c r="H458" i="526"/>
  <c r="K457" i="526" a="1"/>
  <c r="K457" i="526" s="1"/>
  <c r="M457" i="526" s="1"/>
  <c r="H457" i="526"/>
  <c r="K456" i="526" a="1"/>
  <c r="K456" i="526" s="1"/>
  <c r="M456" i="526" s="1"/>
  <c r="H456" i="526"/>
  <c r="K455" i="526" a="1"/>
  <c r="K455" i="526" s="1"/>
  <c r="M455" i="526" s="1"/>
  <c r="H455" i="526"/>
  <c r="V454" i="526"/>
  <c r="W454" i="526" s="1"/>
  <c r="N454" i="526"/>
  <c r="K454" i="526" a="1"/>
  <c r="K454" i="526" s="1"/>
  <c r="M454" i="526" s="1"/>
  <c r="J454" i="526" a="1"/>
  <c r="J454" i="526" s="1"/>
  <c r="H454" i="526"/>
  <c r="V453" i="526"/>
  <c r="W453" i="526" s="1"/>
  <c r="N453" i="526"/>
  <c r="K453" i="526" a="1"/>
  <c r="K453" i="526" s="1"/>
  <c r="M453" i="526" s="1"/>
  <c r="J453" i="526" a="1"/>
  <c r="J453" i="526" s="1"/>
  <c r="H453" i="526"/>
  <c r="N452" i="526"/>
  <c r="K452" i="526"/>
  <c r="M452" i="526" s="1"/>
  <c r="K452" i="526" a="1"/>
  <c r="H452" i="526"/>
  <c r="N451" i="526"/>
  <c r="K451" i="526" a="1"/>
  <c r="K451" i="526" s="1"/>
  <c r="M451" i="526" s="1"/>
  <c r="H451" i="526"/>
  <c r="N450" i="526"/>
  <c r="K450" i="526" a="1"/>
  <c r="K450" i="526" s="1"/>
  <c r="M450" i="526" s="1"/>
  <c r="H450" i="526"/>
  <c r="N449" i="526"/>
  <c r="K449" i="526" a="1"/>
  <c r="K449" i="526" s="1"/>
  <c r="M449" i="526" s="1"/>
  <c r="H449" i="526"/>
  <c r="N448" i="526"/>
  <c r="K448" i="526"/>
  <c r="M448" i="526" s="1"/>
  <c r="K448" i="526" a="1"/>
  <c r="H448" i="526"/>
  <c r="N447" i="526"/>
  <c r="K447" i="526" a="1"/>
  <c r="K447" i="526" s="1"/>
  <c r="M447" i="526" s="1"/>
  <c r="H447" i="526"/>
  <c r="W446" i="526"/>
  <c r="V446" i="526"/>
  <c r="N446" i="526"/>
  <c r="K446" i="526" a="1"/>
  <c r="K446" i="526" s="1"/>
  <c r="M446" i="526" s="1"/>
  <c r="J446" i="526" a="1"/>
  <c r="J446" i="526" s="1"/>
  <c r="H446" i="526"/>
  <c r="V445" i="526"/>
  <c r="W445" i="526" s="1"/>
  <c r="N445" i="526"/>
  <c r="K445" i="526" a="1"/>
  <c r="K445" i="526" s="1"/>
  <c r="M445" i="526" s="1"/>
  <c r="J445" i="526" a="1"/>
  <c r="J445" i="526" s="1"/>
  <c r="H445" i="526"/>
  <c r="V444" i="526"/>
  <c r="W444" i="526" s="1"/>
  <c r="N444" i="526"/>
  <c r="K444" i="526" a="1"/>
  <c r="K444" i="526" s="1"/>
  <c r="M444" i="526" s="1"/>
  <c r="J444" i="526" a="1"/>
  <c r="J444" i="526" s="1"/>
  <c r="H444" i="526"/>
  <c r="V443" i="526"/>
  <c r="W443" i="526" s="1"/>
  <c r="N443" i="526"/>
  <c r="K443" i="526" a="1"/>
  <c r="K443" i="526" s="1"/>
  <c r="M443" i="526" s="1"/>
  <c r="J443" i="526" a="1"/>
  <c r="J443" i="526" s="1"/>
  <c r="H443" i="526"/>
  <c r="V442" i="526"/>
  <c r="W442" i="526" s="1"/>
  <c r="N442" i="526"/>
  <c r="K442" i="526"/>
  <c r="M442" i="526" s="1"/>
  <c r="K442" i="526" a="1"/>
  <c r="J442" i="526"/>
  <c r="J442" i="526" a="1"/>
  <c r="H442" i="526"/>
  <c r="V441" i="526"/>
  <c r="W441" i="526" s="1"/>
  <c r="N441" i="526"/>
  <c r="K441" i="526" a="1"/>
  <c r="K441" i="526" s="1"/>
  <c r="M441" i="526" s="1"/>
  <c r="J441" i="526" a="1"/>
  <c r="J441" i="526" s="1"/>
  <c r="H441" i="526"/>
  <c r="V440" i="526"/>
  <c r="W440" i="526" s="1"/>
  <c r="N440" i="526"/>
  <c r="K440" i="526"/>
  <c r="M440" i="526" s="1"/>
  <c r="K440" i="526" a="1"/>
  <c r="J440" i="526"/>
  <c r="J440" i="526" a="1"/>
  <c r="H440" i="526"/>
  <c r="V439" i="526"/>
  <c r="W439" i="526" s="1"/>
  <c r="N439" i="526"/>
  <c r="K439" i="526" a="1"/>
  <c r="K439" i="526" s="1"/>
  <c r="M439" i="526" s="1"/>
  <c r="J439" i="526" a="1"/>
  <c r="J439" i="526" s="1"/>
  <c r="H439" i="526"/>
  <c r="W438" i="526"/>
  <c r="V438" i="526"/>
  <c r="N438" i="526"/>
  <c r="K438" i="526" a="1"/>
  <c r="K438" i="526" s="1"/>
  <c r="M438" i="526" s="1"/>
  <c r="J438" i="526" a="1"/>
  <c r="J438" i="526" s="1"/>
  <c r="H438" i="526"/>
  <c r="V437" i="526"/>
  <c r="W437" i="526" s="1"/>
  <c r="N437" i="526"/>
  <c r="K437" i="526" a="1"/>
  <c r="K437" i="526" s="1"/>
  <c r="M437" i="526" s="1"/>
  <c r="J437" i="526" a="1"/>
  <c r="J437" i="526" s="1"/>
  <c r="H437" i="526"/>
  <c r="W436" i="526"/>
  <c r="V436" i="526"/>
  <c r="N436" i="526"/>
  <c r="K436" i="526" a="1"/>
  <c r="K436" i="526" s="1"/>
  <c r="M436" i="526" s="1"/>
  <c r="J436" i="526" a="1"/>
  <c r="J436" i="526" s="1"/>
  <c r="H436" i="526"/>
  <c r="V435" i="526"/>
  <c r="W435" i="526" s="1"/>
  <c r="N435" i="526"/>
  <c r="K435" i="526" a="1"/>
  <c r="K435" i="526" s="1"/>
  <c r="M435" i="526" s="1"/>
  <c r="J435" i="526" a="1"/>
  <c r="J435" i="526" s="1"/>
  <c r="H435" i="526"/>
  <c r="N434" i="526"/>
  <c r="K434" i="526"/>
  <c r="M434" i="526" s="1"/>
  <c r="K434" i="526" a="1"/>
  <c r="H434" i="526"/>
  <c r="V433" i="526"/>
  <c r="W433" i="526" s="1"/>
  <c r="N433" i="526"/>
  <c r="K433" i="526" a="1"/>
  <c r="K433" i="526" s="1"/>
  <c r="M433" i="526" s="1"/>
  <c r="J433" i="526" a="1"/>
  <c r="J433" i="526" s="1"/>
  <c r="H433" i="526"/>
  <c r="V432" i="526"/>
  <c r="W432" i="526" s="1"/>
  <c r="N432" i="526"/>
  <c r="K432" i="526"/>
  <c r="M432" i="526" s="1"/>
  <c r="K432" i="526" a="1"/>
  <c r="J432" i="526"/>
  <c r="J432" i="526" a="1"/>
  <c r="H432" i="526"/>
  <c r="V431" i="526"/>
  <c r="W431" i="526" s="1"/>
  <c r="N431" i="526"/>
  <c r="K431" i="526" a="1"/>
  <c r="K431" i="526" s="1"/>
  <c r="M431" i="526" s="1"/>
  <c r="J431" i="526" a="1"/>
  <c r="J431" i="526" s="1"/>
  <c r="H431" i="526"/>
  <c r="V430" i="526"/>
  <c r="W430" i="526" s="1"/>
  <c r="N430" i="526"/>
  <c r="K430" i="526"/>
  <c r="M430" i="526" s="1"/>
  <c r="K430" i="526" a="1"/>
  <c r="J430" i="526"/>
  <c r="J430" i="526" a="1"/>
  <c r="H430" i="526"/>
  <c r="V429" i="526"/>
  <c r="W429" i="526" s="1"/>
  <c r="N429" i="526"/>
  <c r="K429" i="526" a="1"/>
  <c r="K429" i="526" s="1"/>
  <c r="M429" i="526" s="1"/>
  <c r="J429" i="526" a="1"/>
  <c r="J429" i="526" s="1"/>
  <c r="H429" i="526"/>
  <c r="V428" i="526"/>
  <c r="W428" i="526" s="1"/>
  <c r="N428" i="526"/>
  <c r="K428" i="526"/>
  <c r="M428" i="526" s="1"/>
  <c r="K428" i="526" a="1"/>
  <c r="J428" i="526"/>
  <c r="J428" i="526" a="1"/>
  <c r="H428" i="526"/>
  <c r="V427" i="526"/>
  <c r="N427" i="526"/>
  <c r="N461" i="526" s="1"/>
  <c r="K427" i="526" a="1"/>
  <c r="K427" i="526" s="1"/>
  <c r="J427" i="526" a="1"/>
  <c r="J427" i="526" s="1"/>
  <c r="H427" i="526"/>
  <c r="AA426" i="526"/>
  <c r="Z426" i="526"/>
  <c r="Y426" i="526"/>
  <c r="X426" i="526"/>
  <c r="U426" i="526"/>
  <c r="T426" i="526"/>
  <c r="S426" i="526"/>
  <c r="R426" i="526"/>
  <c r="Q426" i="526"/>
  <c r="P426" i="526"/>
  <c r="O426" i="526"/>
  <c r="R507" i="526" s="1"/>
  <c r="I426" i="526"/>
  <c r="G426" i="526"/>
  <c r="J426" i="526" s="1" a="1"/>
  <c r="J426" i="526" s="1"/>
  <c r="K425" i="526" a="1"/>
  <c r="K425" i="526" s="1"/>
  <c r="M425" i="526" s="1"/>
  <c r="H425" i="526"/>
  <c r="K424" i="526"/>
  <c r="M424" i="526" s="1"/>
  <c r="K424" i="526" a="1"/>
  <c r="H424" i="526"/>
  <c r="K423" i="526" a="1"/>
  <c r="K423" i="526" s="1"/>
  <c r="M423" i="526" s="1"/>
  <c r="H423" i="526"/>
  <c r="K422" i="526" a="1"/>
  <c r="K422" i="526" s="1"/>
  <c r="M422" i="526" s="1"/>
  <c r="H422" i="526"/>
  <c r="K421" i="526" a="1"/>
  <c r="K421" i="526" s="1"/>
  <c r="M421" i="526" s="1"/>
  <c r="H421" i="526"/>
  <c r="K420" i="526" a="1"/>
  <c r="K420" i="526" s="1"/>
  <c r="M420" i="526" s="1"/>
  <c r="H420" i="526"/>
  <c r="K419" i="526" a="1"/>
  <c r="K419" i="526" s="1"/>
  <c r="M419" i="526" s="1"/>
  <c r="H419" i="526"/>
  <c r="K418" i="526" a="1"/>
  <c r="K418" i="526" s="1"/>
  <c r="M418" i="526" s="1"/>
  <c r="H418" i="526"/>
  <c r="K417" i="526" a="1"/>
  <c r="K417" i="526" s="1"/>
  <c r="M417" i="526" s="1"/>
  <c r="H417" i="526"/>
  <c r="K416" i="526" a="1"/>
  <c r="K416" i="526" s="1"/>
  <c r="M416" i="526" s="1"/>
  <c r="H416" i="526"/>
  <c r="W415" i="526"/>
  <c r="V415" i="526"/>
  <c r="N415" i="526"/>
  <c r="K415" i="526" a="1"/>
  <c r="K415" i="526" s="1"/>
  <c r="M415" i="526" s="1"/>
  <c r="J415" i="526" a="1"/>
  <c r="J415" i="526" s="1"/>
  <c r="H415" i="526"/>
  <c r="V414" i="526"/>
  <c r="W414" i="526" s="1"/>
  <c r="N414" i="526"/>
  <c r="K414" i="526" a="1"/>
  <c r="K414" i="526" s="1"/>
  <c r="M414" i="526" s="1"/>
  <c r="J414" i="526" a="1"/>
  <c r="J414" i="526" s="1"/>
  <c r="H414" i="526"/>
  <c r="V413" i="526"/>
  <c r="W413" i="526" s="1"/>
  <c r="N413" i="526"/>
  <c r="K413" i="526" a="1"/>
  <c r="K413" i="526" s="1"/>
  <c r="M413" i="526" s="1"/>
  <c r="J413" i="526" a="1"/>
  <c r="J413" i="526" s="1"/>
  <c r="H413" i="526"/>
  <c r="V412" i="526"/>
  <c r="W412" i="526" s="1"/>
  <c r="N412" i="526"/>
  <c r="K412" i="526" a="1"/>
  <c r="K412" i="526" s="1"/>
  <c r="M412" i="526" s="1"/>
  <c r="J412" i="526" a="1"/>
  <c r="J412" i="526" s="1"/>
  <c r="H412" i="526"/>
  <c r="H411" i="526"/>
  <c r="V410" i="526"/>
  <c r="W410" i="526" s="1"/>
  <c r="N410" i="526"/>
  <c r="K410" i="526" a="1"/>
  <c r="K410" i="526" s="1"/>
  <c r="M410" i="526" s="1"/>
  <c r="J410" i="526" a="1"/>
  <c r="J410" i="526" s="1"/>
  <c r="H410" i="526"/>
  <c r="V409" i="526"/>
  <c r="W409" i="526" s="1"/>
  <c r="N409" i="526"/>
  <c r="K409" i="526" a="1"/>
  <c r="K409" i="526" s="1"/>
  <c r="M409" i="526" s="1"/>
  <c r="J409" i="526" a="1"/>
  <c r="J409" i="526" s="1"/>
  <c r="H409" i="526"/>
  <c r="H408" i="526"/>
  <c r="K407" i="526" a="1"/>
  <c r="K407" i="526" s="1"/>
  <c r="H407" i="526"/>
  <c r="V406" i="526"/>
  <c r="W406" i="526" s="1"/>
  <c r="N406" i="526"/>
  <c r="K406" i="526" a="1"/>
  <c r="K406" i="526" s="1"/>
  <c r="M406" i="526" s="1"/>
  <c r="J406" i="526" a="1"/>
  <c r="J406" i="526" s="1"/>
  <c r="H406" i="526"/>
  <c r="V405" i="526"/>
  <c r="W405" i="526" s="1"/>
  <c r="N405" i="526"/>
  <c r="K405" i="526" a="1"/>
  <c r="K405" i="526" s="1"/>
  <c r="M405" i="526" s="1"/>
  <c r="J405" i="526" a="1"/>
  <c r="J405" i="526" s="1"/>
  <c r="H405" i="526"/>
  <c r="V404" i="526"/>
  <c r="W404" i="526" s="1"/>
  <c r="N404" i="526"/>
  <c r="K404" i="526" a="1"/>
  <c r="K404" i="526" s="1"/>
  <c r="M404" i="526" s="1"/>
  <c r="J404" i="526" a="1"/>
  <c r="J404" i="526" s="1"/>
  <c r="H404" i="526"/>
  <c r="V403" i="526"/>
  <c r="W403" i="526" s="1"/>
  <c r="N403" i="526"/>
  <c r="K403" i="526" a="1"/>
  <c r="K403" i="526" s="1"/>
  <c r="M403" i="526" s="1"/>
  <c r="J403" i="526" a="1"/>
  <c r="J403" i="526" s="1"/>
  <c r="H403" i="526"/>
  <c r="V402" i="526"/>
  <c r="W402" i="526" s="1"/>
  <c r="N402" i="526"/>
  <c r="K402" i="526" a="1"/>
  <c r="K402" i="526" s="1"/>
  <c r="M402" i="526" s="1"/>
  <c r="J402" i="526" a="1"/>
  <c r="J402" i="526" s="1"/>
  <c r="H402" i="526"/>
  <c r="V401" i="526"/>
  <c r="W401" i="526" s="1"/>
  <c r="N401" i="526"/>
  <c r="K401" i="526" a="1"/>
  <c r="K401" i="526" s="1"/>
  <c r="M401" i="526" s="1"/>
  <c r="J401" i="526" a="1"/>
  <c r="J401" i="526" s="1"/>
  <c r="H401" i="526"/>
  <c r="V400" i="526"/>
  <c r="W400" i="526" s="1"/>
  <c r="N400" i="526"/>
  <c r="K400" i="526" a="1"/>
  <c r="K400" i="526" s="1"/>
  <c r="M400" i="526" s="1"/>
  <c r="J400" i="526" a="1"/>
  <c r="J400" i="526" s="1"/>
  <c r="H400" i="526"/>
  <c r="V399" i="526"/>
  <c r="W399" i="526" s="1"/>
  <c r="N399" i="526"/>
  <c r="K399" i="526" a="1"/>
  <c r="K399" i="526" s="1"/>
  <c r="M399" i="526" s="1"/>
  <c r="J399" i="526" a="1"/>
  <c r="J399" i="526" s="1"/>
  <c r="H399" i="526"/>
  <c r="V398" i="526"/>
  <c r="W398" i="526" s="1"/>
  <c r="N398" i="526"/>
  <c r="K398" i="526" a="1"/>
  <c r="K398" i="526" s="1"/>
  <c r="M398" i="526" s="1"/>
  <c r="J398" i="526" a="1"/>
  <c r="J398" i="526" s="1"/>
  <c r="H398" i="526"/>
  <c r="V397" i="526"/>
  <c r="W397" i="526" s="1"/>
  <c r="N397" i="526"/>
  <c r="K397" i="526" a="1"/>
  <c r="K397" i="526" s="1"/>
  <c r="M397" i="526" s="1"/>
  <c r="J397" i="526" a="1"/>
  <c r="J397" i="526" s="1"/>
  <c r="H397" i="526"/>
  <c r="K396" i="526"/>
  <c r="M396" i="526" s="1"/>
  <c r="K396" i="526" a="1"/>
  <c r="H396" i="526"/>
  <c r="K395" i="526" a="1"/>
  <c r="K395" i="526" s="1"/>
  <c r="M395" i="526" s="1"/>
  <c r="H395" i="526"/>
  <c r="K394" i="526"/>
  <c r="M394" i="526" s="1"/>
  <c r="K394" i="526" a="1"/>
  <c r="H394" i="526"/>
  <c r="K393" i="526" a="1"/>
  <c r="K393" i="526" s="1"/>
  <c r="M393" i="526" s="1"/>
  <c r="H393" i="526"/>
  <c r="N392" i="526"/>
  <c r="K392" i="526" a="1"/>
  <c r="K392" i="526" s="1"/>
  <c r="M392" i="526" s="1"/>
  <c r="H392" i="526"/>
  <c r="N391" i="526"/>
  <c r="K391" i="526"/>
  <c r="M391" i="526" s="1"/>
  <c r="K391" i="526" a="1"/>
  <c r="H391" i="526"/>
  <c r="N390" i="526"/>
  <c r="K390" i="526" a="1"/>
  <c r="K390" i="526" s="1"/>
  <c r="M390" i="526" s="1"/>
  <c r="H390" i="526"/>
  <c r="N389" i="526"/>
  <c r="K389" i="526" a="1"/>
  <c r="K389" i="526" s="1"/>
  <c r="M389" i="526" s="1"/>
  <c r="H389" i="526"/>
  <c r="V388" i="526"/>
  <c r="W388" i="526" s="1"/>
  <c r="N388" i="526"/>
  <c r="K388" i="526" a="1"/>
  <c r="K388" i="526" s="1"/>
  <c r="M388" i="526" s="1"/>
  <c r="J388" i="526" a="1"/>
  <c r="J388" i="526" s="1"/>
  <c r="H388" i="526"/>
  <c r="V387" i="526"/>
  <c r="W387" i="526" s="1"/>
  <c r="N387" i="526"/>
  <c r="K387" i="526" a="1"/>
  <c r="K387" i="526" s="1"/>
  <c r="M387" i="526" s="1"/>
  <c r="J387" i="526" a="1"/>
  <c r="J387" i="526" s="1"/>
  <c r="H387" i="526"/>
  <c r="V386" i="526"/>
  <c r="W386" i="526" s="1"/>
  <c r="N386" i="526"/>
  <c r="M386" i="526"/>
  <c r="K386" i="526" a="1"/>
  <c r="K386" i="526" s="1"/>
  <c r="J386" i="526"/>
  <c r="J386" i="526" a="1"/>
  <c r="H386" i="526"/>
  <c r="V385" i="526"/>
  <c r="W385" i="526" s="1"/>
  <c r="N385" i="526"/>
  <c r="K385" i="526" a="1"/>
  <c r="K385" i="526" s="1"/>
  <c r="M385" i="526" s="1"/>
  <c r="J385" i="526" a="1"/>
  <c r="J385" i="526" s="1"/>
  <c r="H385" i="526"/>
  <c r="V384" i="526"/>
  <c r="W384" i="526" s="1"/>
  <c r="N384" i="526"/>
  <c r="K384" i="526"/>
  <c r="M384" i="526" s="1"/>
  <c r="K384" i="526" a="1"/>
  <c r="J384" i="526"/>
  <c r="J384" i="526" a="1"/>
  <c r="H384" i="526"/>
  <c r="V383" i="526"/>
  <c r="W383" i="526" s="1"/>
  <c r="N383" i="526"/>
  <c r="K383" i="526" a="1"/>
  <c r="K383" i="526" s="1"/>
  <c r="M383" i="526" s="1"/>
  <c r="J383" i="526" a="1"/>
  <c r="J383" i="526" s="1"/>
  <c r="H383" i="526"/>
  <c r="V382" i="526"/>
  <c r="W382" i="526" s="1"/>
  <c r="N382" i="526"/>
  <c r="K382" i="526"/>
  <c r="M382" i="526" s="1"/>
  <c r="K382" i="526" a="1"/>
  <c r="J382" i="526"/>
  <c r="J382" i="526" a="1"/>
  <c r="H382" i="526"/>
  <c r="V381" i="526"/>
  <c r="W381" i="526" s="1"/>
  <c r="N381" i="526"/>
  <c r="K381" i="526" a="1"/>
  <c r="K381" i="526" s="1"/>
  <c r="M381" i="526" s="1"/>
  <c r="J381" i="526" a="1"/>
  <c r="J381" i="526" s="1"/>
  <c r="H381" i="526"/>
  <c r="V380" i="526"/>
  <c r="W380" i="526" s="1"/>
  <c r="N380" i="526"/>
  <c r="K380" i="526"/>
  <c r="M380" i="526" s="1"/>
  <c r="K380" i="526" a="1"/>
  <c r="J380" i="526"/>
  <c r="J380" i="526" a="1"/>
  <c r="H380" i="526"/>
  <c r="V379" i="526"/>
  <c r="W379" i="526" s="1"/>
  <c r="N379" i="526"/>
  <c r="K379" i="526" a="1"/>
  <c r="K379" i="526" s="1"/>
  <c r="M379" i="526" s="1"/>
  <c r="J379" i="526" a="1"/>
  <c r="J379" i="526" s="1"/>
  <c r="H379" i="526"/>
  <c r="V378" i="526"/>
  <c r="W378" i="526" s="1"/>
  <c r="N378" i="526"/>
  <c r="K378" i="526"/>
  <c r="M378" i="526" s="1"/>
  <c r="K378" i="526" a="1"/>
  <c r="J378" i="526"/>
  <c r="J378" i="526" a="1"/>
  <c r="H378" i="526"/>
  <c r="V377" i="526"/>
  <c r="W377" i="526" s="1"/>
  <c r="N377" i="526"/>
  <c r="K377" i="526" a="1"/>
  <c r="K377" i="526" s="1"/>
  <c r="M377" i="526" s="1"/>
  <c r="J377" i="526" a="1"/>
  <c r="J377" i="526" s="1"/>
  <c r="H377" i="526"/>
  <c r="K376" i="526" a="1"/>
  <c r="K376" i="526" s="1"/>
  <c r="M376" i="526" s="1"/>
  <c r="H376" i="526"/>
  <c r="K375" i="526" a="1"/>
  <c r="K375" i="526" s="1"/>
  <c r="M375" i="526" s="1"/>
  <c r="H375" i="526"/>
  <c r="K374" i="526" a="1"/>
  <c r="K374" i="526" s="1"/>
  <c r="M374" i="526" s="1"/>
  <c r="H374" i="526"/>
  <c r="V373" i="526"/>
  <c r="W373" i="526" s="1"/>
  <c r="N373" i="526"/>
  <c r="K373" i="526"/>
  <c r="M373" i="526" s="1"/>
  <c r="K373" i="526" a="1"/>
  <c r="J373" i="526"/>
  <c r="J373" i="526" a="1"/>
  <c r="H373" i="526"/>
  <c r="V372" i="526"/>
  <c r="W372" i="526" s="1"/>
  <c r="N372" i="526"/>
  <c r="K372" i="526" a="1"/>
  <c r="K372" i="526" s="1"/>
  <c r="M372" i="526" s="1"/>
  <c r="J372" i="526" a="1"/>
  <c r="J372" i="526" s="1"/>
  <c r="H372" i="526"/>
  <c r="V371" i="526"/>
  <c r="W371" i="526" s="1"/>
  <c r="N371" i="526"/>
  <c r="K371" i="526"/>
  <c r="M371" i="526" s="1"/>
  <c r="K371" i="526" a="1"/>
  <c r="J371" i="526"/>
  <c r="J371" i="526" a="1"/>
  <c r="H371" i="526"/>
  <c r="K370" i="526" a="1"/>
  <c r="K370" i="526" s="1"/>
  <c r="H370" i="526"/>
  <c r="V369" i="526"/>
  <c r="W369" i="526" s="1"/>
  <c r="N369" i="526"/>
  <c r="N426" i="526" s="1"/>
  <c r="K369" i="526" a="1"/>
  <c r="K369" i="526" s="1"/>
  <c r="J369" i="526" a="1"/>
  <c r="J369" i="526" s="1"/>
  <c r="H369" i="526"/>
  <c r="AA368" i="526"/>
  <c r="AA504" i="526" s="1"/>
  <c r="Z368" i="526"/>
  <c r="Z504" i="526" s="1"/>
  <c r="Y368" i="526"/>
  <c r="Y504" i="526" s="1"/>
  <c r="X368" i="526"/>
  <c r="X504" i="526" s="1"/>
  <c r="U368" i="526"/>
  <c r="U504" i="526" s="1"/>
  <c r="T368" i="526"/>
  <c r="T504" i="526" s="1"/>
  <c r="S368" i="526"/>
  <c r="S504" i="526" s="1"/>
  <c r="R368" i="526"/>
  <c r="R504" i="526" s="1"/>
  <c r="Q368" i="526"/>
  <c r="Q504" i="526" s="1"/>
  <c r="P368" i="526"/>
  <c r="P504" i="526" s="1"/>
  <c r="O368" i="526"/>
  <c r="I368" i="526"/>
  <c r="I504" i="526" s="1"/>
  <c r="B512" i="526" s="1"/>
  <c r="G368" i="526"/>
  <c r="G504" i="526" s="1"/>
  <c r="V367" i="526"/>
  <c r="W367" i="526" s="1"/>
  <c r="N367" i="526"/>
  <c r="K367" i="526"/>
  <c r="M367" i="526" s="1"/>
  <c r="K367" i="526" a="1"/>
  <c r="J367" i="526"/>
  <c r="J367" i="526" a="1"/>
  <c r="H367" i="526"/>
  <c r="V366" i="526"/>
  <c r="W366" i="526" s="1"/>
  <c r="N366" i="526"/>
  <c r="K366" i="526" a="1"/>
  <c r="K366" i="526" s="1"/>
  <c r="M366" i="526" s="1"/>
  <c r="J366" i="526" a="1"/>
  <c r="J366" i="526" s="1"/>
  <c r="H366" i="526"/>
  <c r="K365" i="526" a="1"/>
  <c r="K365" i="526" s="1"/>
  <c r="M365" i="526" s="1"/>
  <c r="H365" i="526"/>
  <c r="K364" i="526" a="1"/>
  <c r="K364" i="526" s="1"/>
  <c r="M364" i="526" s="1"/>
  <c r="H364" i="526"/>
  <c r="K363" i="526" a="1"/>
  <c r="K363" i="526" s="1"/>
  <c r="M363" i="526" s="1"/>
  <c r="H363" i="526"/>
  <c r="K362" i="526" a="1"/>
  <c r="K362" i="526" s="1"/>
  <c r="M362" i="526" s="1"/>
  <c r="H362" i="526"/>
  <c r="V361" i="526"/>
  <c r="W361" i="526" s="1"/>
  <c r="N361" i="526"/>
  <c r="K361" i="526" a="1"/>
  <c r="K361" i="526" s="1"/>
  <c r="M361" i="526" s="1"/>
  <c r="J361" i="526" a="1"/>
  <c r="J361" i="526" s="1"/>
  <c r="H361" i="526"/>
  <c r="V360" i="526"/>
  <c r="W360" i="526" s="1"/>
  <c r="N360" i="526"/>
  <c r="K360" i="526" a="1"/>
  <c r="K360" i="526" s="1"/>
  <c r="M360" i="526" s="1"/>
  <c r="J360" i="526" a="1"/>
  <c r="J360" i="526" s="1"/>
  <c r="H360" i="526"/>
  <c r="V359" i="526"/>
  <c r="W359" i="526" s="1"/>
  <c r="N359" i="526"/>
  <c r="K359" i="526" a="1"/>
  <c r="K359" i="526" s="1"/>
  <c r="M359" i="526" s="1"/>
  <c r="J359" i="526" a="1"/>
  <c r="J359" i="526" s="1"/>
  <c r="H359" i="526"/>
  <c r="H358" i="526"/>
  <c r="H357" i="526"/>
  <c r="V356" i="526"/>
  <c r="W356" i="526" s="1"/>
  <c r="N356" i="526"/>
  <c r="K356" i="526" a="1"/>
  <c r="K356" i="526" s="1"/>
  <c r="M356" i="526" s="1"/>
  <c r="J356" i="526" a="1"/>
  <c r="J356" i="526" s="1"/>
  <c r="H356" i="526"/>
  <c r="V355" i="526"/>
  <c r="W355" i="526" s="1"/>
  <c r="N355" i="526"/>
  <c r="K355" i="526"/>
  <c r="M355" i="526" s="1"/>
  <c r="K355" i="526" a="1"/>
  <c r="J355" i="526"/>
  <c r="J355" i="526" a="1"/>
  <c r="H355" i="526"/>
  <c r="K354" i="526" a="1"/>
  <c r="K354" i="526" s="1"/>
  <c r="M354" i="526" s="1"/>
  <c r="H354" i="526"/>
  <c r="K353" i="526"/>
  <c r="M353" i="526" s="1"/>
  <c r="K353" i="526" a="1"/>
  <c r="H353" i="526"/>
  <c r="V352" i="526"/>
  <c r="W352" i="526" s="1"/>
  <c r="N352" i="526"/>
  <c r="K352" i="526" a="1"/>
  <c r="K352" i="526" s="1"/>
  <c r="M352" i="526" s="1"/>
  <c r="J352" i="526" a="1"/>
  <c r="J352" i="526" s="1"/>
  <c r="H352" i="526"/>
  <c r="V351" i="526"/>
  <c r="W351" i="526" s="1"/>
  <c r="N351" i="526"/>
  <c r="K351" i="526"/>
  <c r="M351" i="526" s="1"/>
  <c r="K351" i="526" a="1"/>
  <c r="J351" i="526"/>
  <c r="J351" i="526" a="1"/>
  <c r="H351" i="526"/>
  <c r="V350" i="526"/>
  <c r="W350" i="526" s="1"/>
  <c r="N350" i="526"/>
  <c r="K350" i="526" a="1"/>
  <c r="K350" i="526" s="1"/>
  <c r="M350" i="526" s="1"/>
  <c r="J350" i="526" a="1"/>
  <c r="J350" i="526" s="1"/>
  <c r="H350" i="526"/>
  <c r="V349" i="526"/>
  <c r="W349" i="526" s="1"/>
  <c r="N349" i="526"/>
  <c r="K349" i="526"/>
  <c r="M349" i="526" s="1"/>
  <c r="K349" i="526" a="1"/>
  <c r="J349" i="526"/>
  <c r="J349" i="526" a="1"/>
  <c r="H349" i="526"/>
  <c r="V348" i="526"/>
  <c r="W348" i="526" s="1"/>
  <c r="N348" i="526"/>
  <c r="K348" i="526" a="1"/>
  <c r="K348" i="526" s="1"/>
  <c r="M348" i="526" s="1"/>
  <c r="J348" i="526" a="1"/>
  <c r="J348" i="526" s="1"/>
  <c r="H348" i="526"/>
  <c r="V347" i="526"/>
  <c r="V368" i="526" s="1"/>
  <c r="N347" i="526"/>
  <c r="K347" i="526"/>
  <c r="M347" i="526" s="1"/>
  <c r="K347" i="526" a="1"/>
  <c r="J347" i="526"/>
  <c r="J347" i="526" a="1"/>
  <c r="H347" i="526"/>
  <c r="H368" i="526" s="1"/>
  <c r="X341" i="526"/>
  <c r="X340" i="526"/>
  <c r="X339" i="526"/>
  <c r="G339" i="526"/>
  <c r="C339" i="526"/>
  <c r="X338" i="526"/>
  <c r="I338" i="526"/>
  <c r="E338" i="526"/>
  <c r="K338" i="526" s="1"/>
  <c r="M338" i="526" s="1"/>
  <c r="I337" i="526"/>
  <c r="E337" i="526"/>
  <c r="K337" i="526" s="1"/>
  <c r="M337" i="526" s="1"/>
  <c r="I336" i="526"/>
  <c r="E336" i="526"/>
  <c r="K336" i="526" s="1"/>
  <c r="M336" i="526" s="1"/>
  <c r="X335" i="526"/>
  <c r="I335" i="526"/>
  <c r="I339" i="526" s="1"/>
  <c r="E335" i="526"/>
  <c r="E339" i="526" s="1"/>
  <c r="AA332" i="526"/>
  <c r="Z332" i="526"/>
  <c r="Y332" i="526"/>
  <c r="X332" i="526"/>
  <c r="U332" i="526"/>
  <c r="T332" i="526"/>
  <c r="S332" i="526"/>
  <c r="R332" i="526"/>
  <c r="Q332" i="526"/>
  <c r="P332" i="526"/>
  <c r="O332" i="526"/>
  <c r="R340" i="526" s="1"/>
  <c r="I332" i="526"/>
  <c r="G332" i="526"/>
  <c r="K331" i="526" a="1"/>
  <c r="K331" i="526" s="1"/>
  <c r="H331" i="526"/>
  <c r="K330" i="526" a="1"/>
  <c r="K330" i="526" s="1"/>
  <c r="H330" i="526"/>
  <c r="K329" i="526"/>
  <c r="K329" i="526" a="1"/>
  <c r="H329" i="526"/>
  <c r="V328" i="526"/>
  <c r="W328" i="526" s="1"/>
  <c r="N328" i="526"/>
  <c r="K328" i="526" a="1"/>
  <c r="K328" i="526" s="1"/>
  <c r="H328" i="526"/>
  <c r="D328" i="526"/>
  <c r="H327" i="526"/>
  <c r="K326" i="526" a="1"/>
  <c r="K326" i="526" s="1"/>
  <c r="H326" i="526"/>
  <c r="H325" i="526"/>
  <c r="V324" i="526"/>
  <c r="W324" i="526" s="1"/>
  <c r="N324" i="526"/>
  <c r="K324" i="526" a="1"/>
  <c r="K324" i="526" s="1"/>
  <c r="M324" i="526" s="1"/>
  <c r="J324" i="526" a="1"/>
  <c r="J324" i="526" s="1"/>
  <c r="H324" i="526"/>
  <c r="V323" i="526"/>
  <c r="W323" i="526" s="1"/>
  <c r="N323" i="526"/>
  <c r="K323" i="526" a="1"/>
  <c r="K323" i="526" s="1"/>
  <c r="M323" i="526" s="1"/>
  <c r="J323" i="526" a="1"/>
  <c r="J323" i="526" s="1"/>
  <c r="H323" i="526"/>
  <c r="H322" i="526"/>
  <c r="V321" i="526"/>
  <c r="W321" i="526" s="1"/>
  <c r="N321" i="526"/>
  <c r="K321" i="526" a="1"/>
  <c r="K321" i="526" s="1"/>
  <c r="M321" i="526" s="1"/>
  <c r="J321" i="526" a="1"/>
  <c r="J321" i="526" s="1"/>
  <c r="H321" i="526"/>
  <c r="V320" i="526"/>
  <c r="W320" i="526" s="1"/>
  <c r="N320" i="526"/>
  <c r="K320" i="526" a="1"/>
  <c r="K320" i="526" s="1"/>
  <c r="M320" i="526" s="1"/>
  <c r="J320" i="526" a="1"/>
  <c r="J320" i="526" s="1"/>
  <c r="H320" i="526"/>
  <c r="V319" i="526"/>
  <c r="W319" i="526" s="1"/>
  <c r="N319" i="526"/>
  <c r="K319" i="526" a="1"/>
  <c r="K319" i="526" s="1"/>
  <c r="M319" i="526" s="1"/>
  <c r="J319" i="526" a="1"/>
  <c r="J319" i="526" s="1"/>
  <c r="H319" i="526"/>
  <c r="V318" i="526"/>
  <c r="W318" i="526" s="1"/>
  <c r="N318" i="526"/>
  <c r="K318" i="526" a="1"/>
  <c r="K318" i="526" s="1"/>
  <c r="J318" i="526" a="1"/>
  <c r="J318" i="526" s="1"/>
  <c r="H318" i="526"/>
  <c r="H332" i="526" s="1"/>
  <c r="AA317" i="526"/>
  <c r="Z317" i="526"/>
  <c r="Y317" i="526"/>
  <c r="X317" i="526"/>
  <c r="U317" i="526"/>
  <c r="T317" i="526"/>
  <c r="S317" i="526"/>
  <c r="Q317" i="526"/>
  <c r="P317" i="526"/>
  <c r="O317" i="526"/>
  <c r="R339" i="526" s="1"/>
  <c r="I317" i="526"/>
  <c r="G317" i="526"/>
  <c r="V316" i="526"/>
  <c r="W316" i="526" s="1"/>
  <c r="N316" i="526"/>
  <c r="K316" i="526" a="1"/>
  <c r="K316" i="526" s="1"/>
  <c r="M316" i="526" s="1"/>
  <c r="J316" i="526" a="1"/>
  <c r="J316" i="526" s="1"/>
  <c r="H316" i="526"/>
  <c r="V312" i="526"/>
  <c r="W312" i="526" s="1"/>
  <c r="N312" i="526"/>
  <c r="K312" i="526" a="1"/>
  <c r="K312" i="526" s="1"/>
  <c r="M312" i="526" s="1"/>
  <c r="J312" i="526" a="1"/>
  <c r="J312" i="526" s="1"/>
  <c r="H312" i="526"/>
  <c r="V311" i="526"/>
  <c r="W311" i="526" s="1"/>
  <c r="N311" i="526"/>
  <c r="K311" i="526" a="1"/>
  <c r="K311" i="526" s="1"/>
  <c r="M311" i="526" s="1"/>
  <c r="J311" i="526" a="1"/>
  <c r="J311" i="526" s="1"/>
  <c r="H311" i="526"/>
  <c r="V310" i="526"/>
  <c r="W310" i="526" s="1"/>
  <c r="N310" i="526"/>
  <c r="K310" i="526" a="1"/>
  <c r="K310" i="526" s="1"/>
  <c r="M310" i="526" s="1"/>
  <c r="J310" i="526" a="1"/>
  <c r="J310" i="526" s="1"/>
  <c r="H310" i="526"/>
  <c r="V309" i="526"/>
  <c r="W309" i="526" s="1"/>
  <c r="N309" i="526"/>
  <c r="K309" i="526" a="1"/>
  <c r="K309" i="526" s="1"/>
  <c r="M309" i="526" s="1"/>
  <c r="J309" i="526" a="1"/>
  <c r="J309" i="526" s="1"/>
  <c r="H309" i="526"/>
  <c r="V308" i="526"/>
  <c r="V317" i="526" s="1"/>
  <c r="W317" i="526" s="1"/>
  <c r="N308" i="526"/>
  <c r="K308" i="526" a="1"/>
  <c r="K308" i="526" s="1"/>
  <c r="J308" i="526" a="1"/>
  <c r="J308" i="526" s="1"/>
  <c r="H308" i="526"/>
  <c r="H317" i="526" s="1"/>
  <c r="AA307" i="526"/>
  <c r="Z307" i="526"/>
  <c r="Y307" i="526"/>
  <c r="X307" i="526"/>
  <c r="U307" i="526"/>
  <c r="T307" i="526"/>
  <c r="S307" i="526"/>
  <c r="Q307" i="526"/>
  <c r="P307" i="526"/>
  <c r="O307" i="526"/>
  <c r="R338" i="526" s="1"/>
  <c r="I307" i="526"/>
  <c r="G307" i="526"/>
  <c r="J307" i="526" s="1" a="1"/>
  <c r="J307" i="526" s="1"/>
  <c r="V306" i="526"/>
  <c r="W306" i="526" s="1"/>
  <c r="N306" i="526"/>
  <c r="K306" i="526" a="1"/>
  <c r="K306" i="526" s="1"/>
  <c r="M306" i="526" s="1"/>
  <c r="J306" i="526" a="1"/>
  <c r="J306" i="526" s="1"/>
  <c r="H306" i="526"/>
  <c r="V305" i="526"/>
  <c r="W305" i="526" s="1"/>
  <c r="N305" i="526"/>
  <c r="K305" i="526" a="1"/>
  <c r="K305" i="526" s="1"/>
  <c r="M305" i="526" s="1"/>
  <c r="J305" i="526" a="1"/>
  <c r="J305" i="526" s="1"/>
  <c r="H305" i="526"/>
  <c r="V304" i="526"/>
  <c r="W304" i="526" s="1"/>
  <c r="N304" i="526"/>
  <c r="K304" i="526" a="1"/>
  <c r="K304" i="526" s="1"/>
  <c r="M304" i="526" s="1"/>
  <c r="J304" i="526" a="1"/>
  <c r="J304" i="526" s="1"/>
  <c r="H304" i="526"/>
  <c r="V303" i="526"/>
  <c r="W303" i="526" s="1"/>
  <c r="N303" i="526"/>
  <c r="K303" i="526" a="1"/>
  <c r="K303" i="526" s="1"/>
  <c r="M303" i="526" s="1"/>
  <c r="J303" i="526" a="1"/>
  <c r="J303" i="526" s="1"/>
  <c r="H303" i="526"/>
  <c r="V302" i="526"/>
  <c r="W302" i="526" s="1"/>
  <c r="N302" i="526"/>
  <c r="K302" i="526" a="1"/>
  <c r="K302" i="526" s="1"/>
  <c r="M302" i="526" s="1"/>
  <c r="J302" i="526" a="1"/>
  <c r="J302" i="526" s="1"/>
  <c r="H302" i="526"/>
  <c r="V301" i="526"/>
  <c r="W301" i="526" s="1"/>
  <c r="N301" i="526"/>
  <c r="K301" i="526" a="1"/>
  <c r="K301" i="526" s="1"/>
  <c r="M301" i="526" s="1"/>
  <c r="J301" i="526" a="1"/>
  <c r="J301" i="526" s="1"/>
  <c r="H301" i="526"/>
  <c r="V300" i="526"/>
  <c r="W300" i="526" s="1"/>
  <c r="N300" i="526"/>
  <c r="K300" i="526" a="1"/>
  <c r="K300" i="526" s="1"/>
  <c r="M300" i="526" s="1"/>
  <c r="J300" i="526" a="1"/>
  <c r="J300" i="526" s="1"/>
  <c r="H300" i="526"/>
  <c r="V299" i="526"/>
  <c r="W299" i="526" s="1"/>
  <c r="N299" i="526"/>
  <c r="K299" i="526" a="1"/>
  <c r="K299" i="526" s="1"/>
  <c r="M299" i="526" s="1"/>
  <c r="J299" i="526" a="1"/>
  <c r="J299" i="526" s="1"/>
  <c r="H299" i="526"/>
  <c r="V298" i="526"/>
  <c r="W298" i="526" s="1"/>
  <c r="N298" i="526"/>
  <c r="K298" i="526"/>
  <c r="M298" i="526" s="1"/>
  <c r="K298" i="526" a="1"/>
  <c r="J298" i="526"/>
  <c r="J298" i="526" a="1"/>
  <c r="H298" i="526"/>
  <c r="V297" i="526"/>
  <c r="W297" i="526" s="1"/>
  <c r="N297" i="526"/>
  <c r="K297" i="526" a="1"/>
  <c r="K297" i="526" s="1"/>
  <c r="M297" i="526" s="1"/>
  <c r="J297" i="526" a="1"/>
  <c r="J297" i="526" s="1"/>
  <c r="H297" i="526"/>
  <c r="V296" i="526"/>
  <c r="W296" i="526" s="1"/>
  <c r="N296" i="526"/>
  <c r="K296" i="526"/>
  <c r="M296" i="526" s="1"/>
  <c r="K296" i="526" a="1"/>
  <c r="J296" i="526"/>
  <c r="J296" i="526" a="1"/>
  <c r="H296" i="526"/>
  <c r="V295" i="526"/>
  <c r="W295" i="526" s="1"/>
  <c r="N295" i="526"/>
  <c r="K295" i="526" a="1"/>
  <c r="K295" i="526" s="1"/>
  <c r="M295" i="526" s="1"/>
  <c r="J295" i="526" a="1"/>
  <c r="J295" i="526" s="1"/>
  <c r="H295" i="526"/>
  <c r="V294" i="526"/>
  <c r="W294" i="526" s="1"/>
  <c r="N294" i="526"/>
  <c r="K294" i="526"/>
  <c r="M294" i="526" s="1"/>
  <c r="K294" i="526" a="1"/>
  <c r="J294" i="526"/>
  <c r="J294" i="526" a="1"/>
  <c r="H294" i="526"/>
  <c r="V293" i="526"/>
  <c r="W293" i="526" s="1"/>
  <c r="N293" i="526"/>
  <c r="K293" i="526" a="1"/>
  <c r="K293" i="526" s="1"/>
  <c r="M293" i="526" s="1"/>
  <c r="J293" i="526" a="1"/>
  <c r="J293" i="526" s="1"/>
  <c r="H293" i="526"/>
  <c r="V292" i="526"/>
  <c r="V307" i="526" s="1"/>
  <c r="W307" i="526" s="1"/>
  <c r="N292" i="526"/>
  <c r="K292" i="526"/>
  <c r="M292" i="526" s="1"/>
  <c r="K292" i="526" a="1"/>
  <c r="J292" i="526"/>
  <c r="J292" i="526" a="1"/>
  <c r="H292" i="526"/>
  <c r="H307" i="526" s="1"/>
  <c r="AA291" i="526"/>
  <c r="Z291" i="526"/>
  <c r="Y291" i="526"/>
  <c r="X291" i="526"/>
  <c r="U291" i="526"/>
  <c r="T291" i="526"/>
  <c r="S291" i="526"/>
  <c r="R291" i="526"/>
  <c r="Q291" i="526"/>
  <c r="P291" i="526"/>
  <c r="O291" i="526"/>
  <c r="R337" i="526" s="1"/>
  <c r="I291" i="526"/>
  <c r="G291" i="526"/>
  <c r="V290" i="526"/>
  <c r="W290" i="526" s="1"/>
  <c r="N290" i="526"/>
  <c r="K290" i="526" a="1"/>
  <c r="K290" i="526" s="1"/>
  <c r="M290" i="526" s="1"/>
  <c r="J290" i="526" a="1"/>
  <c r="J290" i="526" s="1"/>
  <c r="H290" i="526"/>
  <c r="V289" i="526"/>
  <c r="W289" i="526" s="1"/>
  <c r="N289" i="526"/>
  <c r="K289" i="526" a="1"/>
  <c r="K289" i="526" s="1"/>
  <c r="M289" i="526" s="1"/>
  <c r="J289" i="526" a="1"/>
  <c r="J289" i="526" s="1"/>
  <c r="H289" i="526"/>
  <c r="V288" i="526"/>
  <c r="W288" i="526" s="1"/>
  <c r="N288" i="526"/>
  <c r="K288" i="526" a="1"/>
  <c r="K288" i="526" s="1"/>
  <c r="M288" i="526" s="1"/>
  <c r="J288" i="526" a="1"/>
  <c r="J288" i="526" s="1"/>
  <c r="H288" i="526"/>
  <c r="H287" i="526"/>
  <c r="H286" i="526"/>
  <c r="H285" i="526"/>
  <c r="V284" i="526"/>
  <c r="W284" i="526" s="1"/>
  <c r="N284" i="526"/>
  <c r="K284" i="526" a="1"/>
  <c r="K284" i="526" s="1"/>
  <c r="M284" i="526" s="1"/>
  <c r="J284" i="526" a="1"/>
  <c r="J284" i="526" s="1"/>
  <c r="H284" i="526"/>
  <c r="V283" i="526"/>
  <c r="W283" i="526" s="1"/>
  <c r="N283" i="526"/>
  <c r="K283" i="526" a="1"/>
  <c r="K283" i="526" s="1"/>
  <c r="M283" i="526" s="1"/>
  <c r="J283" i="526" a="1"/>
  <c r="J283" i="526" s="1"/>
  <c r="H283" i="526"/>
  <c r="N282" i="526"/>
  <c r="K282" i="526" a="1"/>
  <c r="K282" i="526" s="1"/>
  <c r="M282" i="526" s="1"/>
  <c r="H282" i="526"/>
  <c r="N281" i="526"/>
  <c r="K281" i="526"/>
  <c r="M281" i="526" s="1"/>
  <c r="K281" i="526" a="1"/>
  <c r="H281" i="526"/>
  <c r="N280" i="526"/>
  <c r="K280" i="526" a="1"/>
  <c r="K280" i="526" s="1"/>
  <c r="M280" i="526" s="1"/>
  <c r="H280" i="526"/>
  <c r="N279" i="526"/>
  <c r="K279" i="526"/>
  <c r="M279" i="526" s="1"/>
  <c r="K279" i="526" a="1"/>
  <c r="H279" i="526"/>
  <c r="N278" i="526"/>
  <c r="K278" i="526" a="1"/>
  <c r="K278" i="526" s="1"/>
  <c r="M278" i="526" s="1"/>
  <c r="H278" i="526"/>
  <c r="N277" i="526"/>
  <c r="K277" i="526" a="1"/>
  <c r="K277" i="526" s="1"/>
  <c r="M277" i="526" s="1"/>
  <c r="H277" i="526"/>
  <c r="V276" i="526"/>
  <c r="W276" i="526" s="1"/>
  <c r="N276" i="526"/>
  <c r="K276" i="526" a="1"/>
  <c r="K276" i="526" s="1"/>
  <c r="M276" i="526" s="1"/>
  <c r="J276" i="526" a="1"/>
  <c r="J276" i="526" s="1"/>
  <c r="H276" i="526"/>
  <c r="V275" i="526"/>
  <c r="W275" i="526" s="1"/>
  <c r="N275" i="526"/>
  <c r="K275" i="526"/>
  <c r="M275" i="526" s="1"/>
  <c r="K275" i="526" a="1"/>
  <c r="J275" i="526"/>
  <c r="J275" i="526" a="1"/>
  <c r="H275" i="526"/>
  <c r="V274" i="526"/>
  <c r="W274" i="526" s="1"/>
  <c r="N274" i="526"/>
  <c r="K274" i="526" a="1"/>
  <c r="K274" i="526" s="1"/>
  <c r="M274" i="526" s="1"/>
  <c r="J274" i="526" a="1"/>
  <c r="J274" i="526" s="1"/>
  <c r="H274" i="526"/>
  <c r="V273" i="526"/>
  <c r="W273" i="526" s="1"/>
  <c r="N273" i="526"/>
  <c r="K273" i="526"/>
  <c r="M273" i="526" s="1"/>
  <c r="K273" i="526" a="1"/>
  <c r="J273" i="526"/>
  <c r="J273" i="526" a="1"/>
  <c r="H273" i="526"/>
  <c r="V272" i="526"/>
  <c r="W272" i="526" s="1"/>
  <c r="N272" i="526"/>
  <c r="K272" i="526" a="1"/>
  <c r="K272" i="526" s="1"/>
  <c r="M272" i="526" s="1"/>
  <c r="J272" i="526" a="1"/>
  <c r="J272" i="526" s="1"/>
  <c r="H272" i="526"/>
  <c r="V271" i="526"/>
  <c r="W271" i="526" s="1"/>
  <c r="N271" i="526"/>
  <c r="K271" i="526" a="1"/>
  <c r="K271" i="526" s="1"/>
  <c r="M271" i="526" s="1"/>
  <c r="J271" i="526" a="1"/>
  <c r="J271" i="526" s="1"/>
  <c r="H271" i="526"/>
  <c r="V270" i="526"/>
  <c r="W270" i="526" s="1"/>
  <c r="N270" i="526"/>
  <c r="K270" i="526" a="1"/>
  <c r="K270" i="526" s="1"/>
  <c r="M270" i="526" s="1"/>
  <c r="J270" i="526" a="1"/>
  <c r="J270" i="526" s="1"/>
  <c r="H270" i="526"/>
  <c r="V269" i="526"/>
  <c r="W269" i="526" s="1"/>
  <c r="N269" i="526"/>
  <c r="K269" i="526" a="1"/>
  <c r="K269" i="526" s="1"/>
  <c r="M269" i="526" s="1"/>
  <c r="J269" i="526" a="1"/>
  <c r="J269" i="526" s="1"/>
  <c r="H269" i="526"/>
  <c r="V268" i="526"/>
  <c r="W268" i="526" s="1"/>
  <c r="N268" i="526"/>
  <c r="K268" i="526" a="1"/>
  <c r="K268" i="526" s="1"/>
  <c r="M268" i="526" s="1"/>
  <c r="J268" i="526" a="1"/>
  <c r="J268" i="526" s="1"/>
  <c r="H268" i="526"/>
  <c r="V267" i="526"/>
  <c r="W267" i="526" s="1"/>
  <c r="N267" i="526"/>
  <c r="K267" i="526"/>
  <c r="M267" i="526" s="1"/>
  <c r="K267" i="526" a="1"/>
  <c r="J267" i="526" a="1"/>
  <c r="J267" i="526" s="1"/>
  <c r="H267" i="526"/>
  <c r="V266" i="526"/>
  <c r="W266" i="526" s="1"/>
  <c r="N266" i="526"/>
  <c r="K266" i="526" a="1"/>
  <c r="K266" i="526" s="1"/>
  <c r="M266" i="526" s="1"/>
  <c r="J266" i="526" a="1"/>
  <c r="J266" i="526" s="1"/>
  <c r="H266" i="526"/>
  <c r="V265" i="526"/>
  <c r="W265" i="526" s="1"/>
  <c r="N265" i="526"/>
  <c r="K265" i="526"/>
  <c r="M265" i="526" s="1"/>
  <c r="K265" i="526" a="1"/>
  <c r="J265" i="526" a="1"/>
  <c r="J265" i="526" s="1"/>
  <c r="H265" i="526"/>
  <c r="N264" i="526"/>
  <c r="K264" i="526" a="1"/>
  <c r="K264" i="526" s="1"/>
  <c r="M264" i="526" s="1"/>
  <c r="H264" i="526"/>
  <c r="V263" i="526"/>
  <c r="W263" i="526" s="1"/>
  <c r="N263" i="526"/>
  <c r="K263" i="526"/>
  <c r="M263" i="526" s="1"/>
  <c r="K263" i="526" a="1"/>
  <c r="J263" i="526" a="1"/>
  <c r="J263" i="526" s="1"/>
  <c r="H263" i="526"/>
  <c r="V262" i="526"/>
  <c r="W262" i="526" s="1"/>
  <c r="N262" i="526"/>
  <c r="K262" i="526" a="1"/>
  <c r="K262" i="526" s="1"/>
  <c r="M262" i="526" s="1"/>
  <c r="J262" i="526" a="1"/>
  <c r="J262" i="526" s="1"/>
  <c r="H262" i="526"/>
  <c r="V261" i="526"/>
  <c r="W261" i="526" s="1"/>
  <c r="N261" i="526"/>
  <c r="K261" i="526" a="1"/>
  <c r="K261" i="526" s="1"/>
  <c r="M261" i="526" s="1"/>
  <c r="J261" i="526" a="1"/>
  <c r="J261" i="526" s="1"/>
  <c r="H261" i="526"/>
  <c r="V260" i="526"/>
  <c r="W260" i="526" s="1"/>
  <c r="N260" i="526"/>
  <c r="K260" i="526" a="1"/>
  <c r="K260" i="526" s="1"/>
  <c r="M260" i="526" s="1"/>
  <c r="J260" i="526" a="1"/>
  <c r="J260" i="526" s="1"/>
  <c r="H260" i="526"/>
  <c r="V259" i="526"/>
  <c r="W259" i="526" s="1"/>
  <c r="N259" i="526"/>
  <c r="K259" i="526" a="1"/>
  <c r="K259" i="526" s="1"/>
  <c r="M259" i="526" s="1"/>
  <c r="J259" i="526" a="1"/>
  <c r="J259" i="526" s="1"/>
  <c r="H259" i="526"/>
  <c r="V258" i="526"/>
  <c r="W258" i="526" s="1"/>
  <c r="N258" i="526"/>
  <c r="K258" i="526" a="1"/>
  <c r="K258" i="526" s="1"/>
  <c r="M258" i="526" s="1"/>
  <c r="J258" i="526" a="1"/>
  <c r="J258" i="526" s="1"/>
  <c r="H258" i="526"/>
  <c r="V257" i="526"/>
  <c r="N257" i="526"/>
  <c r="K257" i="526" a="1"/>
  <c r="K257" i="526" s="1"/>
  <c r="J257" i="526" a="1"/>
  <c r="J257" i="526" s="1"/>
  <c r="H257" i="526"/>
  <c r="AA256" i="526"/>
  <c r="Z256" i="526"/>
  <c r="Y256" i="526"/>
  <c r="X256" i="526"/>
  <c r="U256" i="526"/>
  <c r="T256" i="526"/>
  <c r="S256" i="526"/>
  <c r="R256" i="526"/>
  <c r="Q256" i="526"/>
  <c r="P256" i="526"/>
  <c r="O256" i="526"/>
  <c r="R336" i="526" s="1"/>
  <c r="I256" i="526"/>
  <c r="G256" i="526"/>
  <c r="H255" i="526"/>
  <c r="H254" i="526"/>
  <c r="H253" i="526"/>
  <c r="H252" i="526"/>
  <c r="H251" i="526"/>
  <c r="H250" i="526"/>
  <c r="K249" i="526" a="1"/>
  <c r="K249" i="526" s="1"/>
  <c r="M249" i="526" s="1"/>
  <c r="H249" i="526"/>
  <c r="K248" i="526" a="1"/>
  <c r="K248" i="526" s="1"/>
  <c r="M248" i="526" s="1"/>
  <c r="H248" i="526"/>
  <c r="K247" i="526" a="1"/>
  <c r="K247" i="526" s="1"/>
  <c r="M247" i="526" s="1"/>
  <c r="H247" i="526"/>
  <c r="K246" i="526" a="1"/>
  <c r="K246" i="526" s="1"/>
  <c r="M246" i="526" s="1"/>
  <c r="H246" i="526"/>
  <c r="V245" i="526"/>
  <c r="W245" i="526" s="1"/>
  <c r="N245" i="526"/>
  <c r="K245" i="526"/>
  <c r="M245" i="526" s="1"/>
  <c r="K245" i="526" a="1"/>
  <c r="J245" i="526"/>
  <c r="J245" i="526" a="1"/>
  <c r="H245" i="526"/>
  <c r="V244" i="526"/>
  <c r="W244" i="526" s="1"/>
  <c r="N244" i="526"/>
  <c r="K244" i="526" a="1"/>
  <c r="K244" i="526" s="1"/>
  <c r="M244" i="526" s="1"/>
  <c r="J244" i="526" a="1"/>
  <c r="J244" i="526" s="1"/>
  <c r="H244" i="526"/>
  <c r="V243" i="526"/>
  <c r="W243" i="526" s="1"/>
  <c r="N243" i="526"/>
  <c r="K243" i="526"/>
  <c r="M243" i="526" s="1"/>
  <c r="K243" i="526" a="1"/>
  <c r="J243" i="526"/>
  <c r="J243" i="526" a="1"/>
  <c r="H243" i="526"/>
  <c r="V242" i="526"/>
  <c r="W242" i="526" s="1"/>
  <c r="N242" i="526"/>
  <c r="K242" i="526" a="1"/>
  <c r="K242" i="526" s="1"/>
  <c r="M242" i="526" s="1"/>
  <c r="J242" i="526" a="1"/>
  <c r="J242" i="526" s="1"/>
  <c r="H242" i="526"/>
  <c r="M241" i="526"/>
  <c r="H241" i="526"/>
  <c r="V240" i="526"/>
  <c r="W240" i="526" s="1"/>
  <c r="N240" i="526"/>
  <c r="K240" i="526" a="1"/>
  <c r="K240" i="526" s="1"/>
  <c r="M240" i="526" s="1"/>
  <c r="J240" i="526" a="1"/>
  <c r="J240" i="526" s="1"/>
  <c r="H240" i="526"/>
  <c r="V239" i="526"/>
  <c r="W239" i="526" s="1"/>
  <c r="N239" i="526"/>
  <c r="K239" i="526" a="1"/>
  <c r="K239" i="526" s="1"/>
  <c r="M239" i="526" s="1"/>
  <c r="J239" i="526" a="1"/>
  <c r="J239" i="526" s="1"/>
  <c r="H239" i="526"/>
  <c r="K238" i="526" a="1"/>
  <c r="K238" i="526" s="1"/>
  <c r="M238" i="526" s="1"/>
  <c r="H238" i="526"/>
  <c r="H237" i="526"/>
  <c r="V236" i="526"/>
  <c r="W236" i="526" s="1"/>
  <c r="N236" i="526"/>
  <c r="K236" i="526" a="1"/>
  <c r="K236" i="526" s="1"/>
  <c r="M236" i="526" s="1"/>
  <c r="J236" i="526" a="1"/>
  <c r="J236" i="526" s="1"/>
  <c r="H236" i="526"/>
  <c r="V235" i="526"/>
  <c r="W235" i="526" s="1"/>
  <c r="N235" i="526"/>
  <c r="K235" i="526"/>
  <c r="M235" i="526" s="1"/>
  <c r="K235" i="526" a="1"/>
  <c r="J235" i="526"/>
  <c r="J235" i="526" a="1"/>
  <c r="H235" i="526"/>
  <c r="V234" i="526"/>
  <c r="W234" i="526" s="1"/>
  <c r="N234" i="526"/>
  <c r="K234" i="526" a="1"/>
  <c r="K234" i="526" s="1"/>
  <c r="M234" i="526" s="1"/>
  <c r="J234" i="526" a="1"/>
  <c r="J234" i="526" s="1"/>
  <c r="H234" i="526"/>
  <c r="V233" i="526"/>
  <c r="W233" i="526" s="1"/>
  <c r="N233" i="526"/>
  <c r="K233" i="526" a="1"/>
  <c r="K233" i="526" s="1"/>
  <c r="M233" i="526" s="1"/>
  <c r="J233" i="526" a="1"/>
  <c r="J233" i="526" s="1"/>
  <c r="H233" i="526"/>
  <c r="V232" i="526"/>
  <c r="W232" i="526" s="1"/>
  <c r="N232" i="526"/>
  <c r="K232" i="526" a="1"/>
  <c r="K232" i="526" s="1"/>
  <c r="M232" i="526" s="1"/>
  <c r="J232" i="526" a="1"/>
  <c r="J232" i="526" s="1"/>
  <c r="H232" i="526"/>
  <c r="V231" i="526"/>
  <c r="W231" i="526" s="1"/>
  <c r="N231" i="526"/>
  <c r="K231" i="526" a="1"/>
  <c r="K231" i="526" s="1"/>
  <c r="M231" i="526" s="1"/>
  <c r="J231" i="526" a="1"/>
  <c r="J231" i="526" s="1"/>
  <c r="H231" i="526"/>
  <c r="V230" i="526"/>
  <c r="W230" i="526" s="1"/>
  <c r="N230" i="526"/>
  <c r="K230" i="526" a="1"/>
  <c r="K230" i="526" s="1"/>
  <c r="M230" i="526" s="1"/>
  <c r="J230" i="526" a="1"/>
  <c r="J230" i="526" s="1"/>
  <c r="H230" i="526"/>
  <c r="V229" i="526"/>
  <c r="W229" i="526" s="1"/>
  <c r="N229" i="526"/>
  <c r="K229" i="526" a="1"/>
  <c r="K229" i="526" s="1"/>
  <c r="M229" i="526" s="1"/>
  <c r="J229" i="526" a="1"/>
  <c r="J229" i="526" s="1"/>
  <c r="H229" i="526"/>
  <c r="V228" i="526"/>
  <c r="W228" i="526" s="1"/>
  <c r="N228" i="526"/>
  <c r="K228" i="526" a="1"/>
  <c r="K228" i="526" s="1"/>
  <c r="M228" i="526" s="1"/>
  <c r="J228" i="526" a="1"/>
  <c r="J228" i="526" s="1"/>
  <c r="H228" i="526"/>
  <c r="V227" i="526"/>
  <c r="W227" i="526" s="1"/>
  <c r="N227" i="526"/>
  <c r="K227" i="526" a="1"/>
  <c r="K227" i="526" s="1"/>
  <c r="M227" i="526" s="1"/>
  <c r="J227" i="526" a="1"/>
  <c r="J227" i="526" s="1"/>
  <c r="H227" i="526"/>
  <c r="N226" i="526"/>
  <c r="K226" i="526"/>
  <c r="M226" i="526" s="1"/>
  <c r="K226" i="526" a="1"/>
  <c r="H226" i="526"/>
  <c r="N225" i="526"/>
  <c r="K225" i="526" a="1"/>
  <c r="K225" i="526" s="1"/>
  <c r="M225" i="526" s="1"/>
  <c r="H225" i="526"/>
  <c r="N224" i="526"/>
  <c r="K224" i="526" a="1"/>
  <c r="K224" i="526" s="1"/>
  <c r="M224" i="526" s="1"/>
  <c r="H224" i="526"/>
  <c r="N223" i="526"/>
  <c r="K223" i="526" a="1"/>
  <c r="K223" i="526" s="1"/>
  <c r="M223" i="526" s="1"/>
  <c r="H223" i="526"/>
  <c r="N222" i="526"/>
  <c r="K222" i="526"/>
  <c r="M222" i="526" s="1"/>
  <c r="K222" i="526" a="1"/>
  <c r="H222" i="526"/>
  <c r="N221" i="526"/>
  <c r="K221" i="526" a="1"/>
  <c r="K221" i="526" s="1"/>
  <c r="M221" i="526" s="1"/>
  <c r="H221" i="526"/>
  <c r="N220" i="526"/>
  <c r="K220" i="526" a="1"/>
  <c r="K220" i="526" s="1"/>
  <c r="M220" i="526" s="1"/>
  <c r="H220" i="526"/>
  <c r="N219" i="526"/>
  <c r="K219" i="526" a="1"/>
  <c r="K219" i="526" s="1"/>
  <c r="M219" i="526" s="1"/>
  <c r="H219" i="526"/>
  <c r="V218" i="526"/>
  <c r="W218" i="526" s="1"/>
  <c r="N218" i="526"/>
  <c r="K218" i="526" a="1"/>
  <c r="K218" i="526" s="1"/>
  <c r="M218" i="526" s="1"/>
  <c r="J218" i="526" a="1"/>
  <c r="J218" i="526" s="1"/>
  <c r="H218" i="526"/>
  <c r="V217" i="526"/>
  <c r="W217" i="526" s="1"/>
  <c r="N217" i="526"/>
  <c r="K217" i="526" a="1"/>
  <c r="K217" i="526" s="1"/>
  <c r="M217" i="526" s="1"/>
  <c r="J217" i="526" a="1"/>
  <c r="J217" i="526" s="1"/>
  <c r="H217" i="526"/>
  <c r="V216" i="526"/>
  <c r="W216" i="526" s="1"/>
  <c r="N216" i="526"/>
  <c r="K216" i="526"/>
  <c r="M216" i="526" s="1"/>
  <c r="K216" i="526" a="1"/>
  <c r="J216" i="526"/>
  <c r="J216" i="526" a="1"/>
  <c r="H216" i="526"/>
  <c r="V215" i="526"/>
  <c r="W215" i="526" s="1"/>
  <c r="N215" i="526"/>
  <c r="K215" i="526" a="1"/>
  <c r="K215" i="526" s="1"/>
  <c r="M215" i="526" s="1"/>
  <c r="J215" i="526" a="1"/>
  <c r="J215" i="526" s="1"/>
  <c r="H215" i="526"/>
  <c r="V214" i="526"/>
  <c r="W214" i="526" s="1"/>
  <c r="N214" i="526"/>
  <c r="K214" i="526"/>
  <c r="M214" i="526" s="1"/>
  <c r="K214" i="526" a="1"/>
  <c r="J214" i="526"/>
  <c r="J214" i="526" a="1"/>
  <c r="H214" i="526"/>
  <c r="V213" i="526"/>
  <c r="W213" i="526" s="1"/>
  <c r="N213" i="526"/>
  <c r="K213" i="526" a="1"/>
  <c r="K213" i="526" s="1"/>
  <c r="M213" i="526" s="1"/>
  <c r="J213" i="526" a="1"/>
  <c r="J213" i="526" s="1"/>
  <c r="H213" i="526"/>
  <c r="V212" i="526"/>
  <c r="W212" i="526" s="1"/>
  <c r="N212" i="526"/>
  <c r="K212" i="526"/>
  <c r="M212" i="526" s="1"/>
  <c r="K212" i="526" a="1"/>
  <c r="J212" i="526"/>
  <c r="J212" i="526" a="1"/>
  <c r="H212" i="526"/>
  <c r="V211" i="526"/>
  <c r="W211" i="526" s="1"/>
  <c r="N211" i="526"/>
  <c r="K211" i="526" a="1"/>
  <c r="K211" i="526" s="1"/>
  <c r="M211" i="526" s="1"/>
  <c r="J211" i="526" a="1"/>
  <c r="J211" i="526" s="1"/>
  <c r="H211" i="526"/>
  <c r="V210" i="526"/>
  <c r="W210" i="526" s="1"/>
  <c r="N210" i="526"/>
  <c r="K210" i="526" a="1"/>
  <c r="K210" i="526" s="1"/>
  <c r="M210" i="526" s="1"/>
  <c r="J210" i="526" a="1"/>
  <c r="J210" i="526" s="1"/>
  <c r="H210" i="526"/>
  <c r="V209" i="526"/>
  <c r="W209" i="526" s="1"/>
  <c r="N209" i="526"/>
  <c r="K209" i="526" a="1"/>
  <c r="K209" i="526" s="1"/>
  <c r="M209" i="526" s="1"/>
  <c r="J209" i="526" a="1"/>
  <c r="J209" i="526" s="1"/>
  <c r="H209" i="526"/>
  <c r="V208" i="526"/>
  <c r="W208" i="526" s="1"/>
  <c r="N208" i="526"/>
  <c r="K208" i="526" a="1"/>
  <c r="K208" i="526" s="1"/>
  <c r="M208" i="526" s="1"/>
  <c r="J208" i="526" a="1"/>
  <c r="J208" i="526" s="1"/>
  <c r="H208" i="526"/>
  <c r="V207" i="526"/>
  <c r="W207" i="526" s="1"/>
  <c r="N207" i="526"/>
  <c r="K207" i="526" a="1"/>
  <c r="K207" i="526" s="1"/>
  <c r="M207" i="526" s="1"/>
  <c r="J207" i="526" a="1"/>
  <c r="J207" i="526" s="1"/>
  <c r="H207" i="526"/>
  <c r="H206" i="526"/>
  <c r="H205" i="526"/>
  <c r="H204" i="526"/>
  <c r="V203" i="526"/>
  <c r="W203" i="526" s="1"/>
  <c r="N203" i="526"/>
  <c r="K203" i="526" a="1"/>
  <c r="K203" i="526" s="1"/>
  <c r="M203" i="526" s="1"/>
  <c r="J203" i="526" a="1"/>
  <c r="J203" i="526" s="1"/>
  <c r="H203" i="526"/>
  <c r="V202" i="526"/>
  <c r="W202" i="526" s="1"/>
  <c r="N202" i="526"/>
  <c r="K202" i="526" a="1"/>
  <c r="K202" i="526" s="1"/>
  <c r="M202" i="526" s="1"/>
  <c r="J202" i="526" a="1"/>
  <c r="J202" i="526" s="1"/>
  <c r="H202" i="526"/>
  <c r="V201" i="526"/>
  <c r="W201" i="526" s="1"/>
  <c r="N201" i="526"/>
  <c r="K201" i="526" a="1"/>
  <c r="K201" i="526" s="1"/>
  <c r="M201" i="526" s="1"/>
  <c r="J201" i="526" a="1"/>
  <c r="J201" i="526" s="1"/>
  <c r="H201" i="526"/>
  <c r="H200" i="526"/>
  <c r="V199" i="526"/>
  <c r="V256" i="526" s="1"/>
  <c r="W256" i="526" s="1"/>
  <c r="N199" i="526"/>
  <c r="K199" i="526" a="1"/>
  <c r="K199" i="526" s="1"/>
  <c r="J199" i="526" a="1"/>
  <c r="J199" i="526" s="1"/>
  <c r="H199" i="526"/>
  <c r="AA198" i="526"/>
  <c r="AA333" i="526" s="1"/>
  <c r="Z198" i="526"/>
  <c r="Z333" i="526" s="1"/>
  <c r="Y198" i="526"/>
  <c r="Y333" i="526" s="1"/>
  <c r="X198" i="526"/>
  <c r="X333" i="526" s="1"/>
  <c r="U198" i="526"/>
  <c r="U333" i="526" s="1"/>
  <c r="T198" i="526"/>
  <c r="T333" i="526" s="1"/>
  <c r="S198" i="526"/>
  <c r="S333" i="526" s="1"/>
  <c r="R198" i="526"/>
  <c r="R333" i="526" s="1"/>
  <c r="Q198" i="526"/>
  <c r="Q333" i="526" s="1"/>
  <c r="P198" i="526"/>
  <c r="O198" i="526"/>
  <c r="I198" i="526"/>
  <c r="I333" i="526" s="1"/>
  <c r="B341" i="526" s="1"/>
  <c r="G198" i="526"/>
  <c r="G333" i="526" s="1"/>
  <c r="V197" i="526"/>
  <c r="W197" i="526" s="1"/>
  <c r="N197" i="526"/>
  <c r="K197" i="526" a="1"/>
  <c r="K197" i="526" s="1"/>
  <c r="M197" i="526" s="1"/>
  <c r="J197" i="526" a="1"/>
  <c r="J197" i="526" s="1"/>
  <c r="H197" i="526"/>
  <c r="V196" i="526"/>
  <c r="W196" i="526" s="1"/>
  <c r="N196" i="526"/>
  <c r="K196" i="526" a="1"/>
  <c r="K196" i="526" s="1"/>
  <c r="M196" i="526" s="1"/>
  <c r="J196" i="526" a="1"/>
  <c r="J196" i="526" s="1"/>
  <c r="H196" i="526"/>
  <c r="K195" i="526"/>
  <c r="M195" i="526" s="1"/>
  <c r="K195" i="526" a="1"/>
  <c r="H195" i="526"/>
  <c r="K194" i="526" a="1"/>
  <c r="K194" i="526" s="1"/>
  <c r="M194" i="526" s="1"/>
  <c r="H194" i="526"/>
  <c r="K193" i="526"/>
  <c r="M193" i="526" s="1"/>
  <c r="K193" i="526" a="1"/>
  <c r="H193" i="526"/>
  <c r="K192" i="526" a="1"/>
  <c r="K192" i="526" s="1"/>
  <c r="M192" i="526" s="1"/>
  <c r="H192" i="526"/>
  <c r="V191" i="526"/>
  <c r="W191" i="526" s="1"/>
  <c r="N191" i="526"/>
  <c r="K191" i="526" a="1"/>
  <c r="K191" i="526" s="1"/>
  <c r="M191" i="526" s="1"/>
  <c r="J191" i="526" a="1"/>
  <c r="J191" i="526" s="1"/>
  <c r="H191" i="526"/>
  <c r="V190" i="526"/>
  <c r="W190" i="526" s="1"/>
  <c r="N190" i="526"/>
  <c r="K190" i="526" a="1"/>
  <c r="K190" i="526" s="1"/>
  <c r="M190" i="526" s="1"/>
  <c r="J190" i="526" a="1"/>
  <c r="J190" i="526" s="1"/>
  <c r="H190" i="526"/>
  <c r="V189" i="526"/>
  <c r="W189" i="526" s="1"/>
  <c r="N189" i="526"/>
  <c r="K189" i="526" a="1"/>
  <c r="K189" i="526" s="1"/>
  <c r="M189" i="526" s="1"/>
  <c r="J189" i="526" a="1"/>
  <c r="J189" i="526" s="1"/>
  <c r="H189" i="526"/>
  <c r="N188" i="526"/>
  <c r="K188" i="526" a="1"/>
  <c r="K188" i="526" s="1"/>
  <c r="M188" i="526" s="1"/>
  <c r="J188" i="526" a="1"/>
  <c r="J188" i="526" s="1"/>
  <c r="H188" i="526"/>
  <c r="N187" i="526"/>
  <c r="K187" i="526" a="1"/>
  <c r="K187" i="526" s="1"/>
  <c r="M187" i="526" s="1"/>
  <c r="J187" i="526" a="1"/>
  <c r="J187" i="526" s="1"/>
  <c r="H187" i="526"/>
  <c r="W186" i="526"/>
  <c r="V186" i="526"/>
  <c r="N186" i="526"/>
  <c r="K186" i="526" a="1"/>
  <c r="K186" i="526" s="1"/>
  <c r="M186" i="526" s="1"/>
  <c r="J186" i="526" a="1"/>
  <c r="J186" i="526" s="1"/>
  <c r="H186" i="526"/>
  <c r="V185" i="526"/>
  <c r="W185" i="526" s="1"/>
  <c r="N185" i="526"/>
  <c r="K185" i="526" a="1"/>
  <c r="K185" i="526" s="1"/>
  <c r="M185" i="526" s="1"/>
  <c r="J185" i="526" a="1"/>
  <c r="J185" i="526" s="1"/>
  <c r="H185" i="526"/>
  <c r="N184" i="526"/>
  <c r="K184" i="526"/>
  <c r="M184" i="526" s="1"/>
  <c r="K184" i="526" a="1"/>
  <c r="H184" i="526"/>
  <c r="N183" i="526"/>
  <c r="K183" i="526" a="1"/>
  <c r="K183" i="526" s="1"/>
  <c r="M183" i="526" s="1"/>
  <c r="H183" i="526"/>
  <c r="V182" i="526"/>
  <c r="W182" i="526" s="1"/>
  <c r="N182" i="526"/>
  <c r="K182" i="526"/>
  <c r="M182" i="526" s="1"/>
  <c r="K182" i="526" a="1"/>
  <c r="J182" i="526"/>
  <c r="J182" i="526" a="1"/>
  <c r="H182" i="526"/>
  <c r="V181" i="526"/>
  <c r="W181" i="526" s="1"/>
  <c r="N181" i="526"/>
  <c r="K181" i="526" a="1"/>
  <c r="K181" i="526" s="1"/>
  <c r="M181" i="526" s="1"/>
  <c r="J181" i="526" a="1"/>
  <c r="J181" i="526" s="1"/>
  <c r="H181" i="526"/>
  <c r="V180" i="526"/>
  <c r="W180" i="526" s="1"/>
  <c r="N180" i="526"/>
  <c r="K180" i="526"/>
  <c r="M180" i="526" s="1"/>
  <c r="K180" i="526" a="1"/>
  <c r="J180" i="526"/>
  <c r="J180" i="526" a="1"/>
  <c r="H180" i="526"/>
  <c r="V179" i="526"/>
  <c r="W179" i="526" s="1"/>
  <c r="N179" i="526"/>
  <c r="K179" i="526" a="1"/>
  <c r="K179" i="526" s="1"/>
  <c r="M179" i="526" s="1"/>
  <c r="J179" i="526" a="1"/>
  <c r="J179" i="526" s="1"/>
  <c r="H179" i="526"/>
  <c r="V178" i="526"/>
  <c r="W178" i="526" s="1"/>
  <c r="N178" i="526"/>
  <c r="K178" i="526"/>
  <c r="M178" i="526" s="1"/>
  <c r="K178" i="526" a="1"/>
  <c r="J178" i="526"/>
  <c r="J178" i="526" a="1"/>
  <c r="H178" i="526"/>
  <c r="V177" i="526"/>
  <c r="N177" i="526"/>
  <c r="N198" i="526" s="1"/>
  <c r="K177" i="526" a="1"/>
  <c r="K177" i="526" s="1"/>
  <c r="J177" i="526" a="1"/>
  <c r="J177" i="526" s="1"/>
  <c r="H177" i="526"/>
  <c r="H198" i="526" s="1"/>
  <c r="X170" i="526"/>
  <c r="Q526" i="526" s="1"/>
  <c r="X169" i="526"/>
  <c r="Q525" i="526" s="1"/>
  <c r="G169" i="526"/>
  <c r="C169" i="526"/>
  <c r="X168" i="526"/>
  <c r="Q524" i="526" s="1"/>
  <c r="I168" i="526"/>
  <c r="E168" i="526"/>
  <c r="K168" i="526" s="1"/>
  <c r="M168" i="526" s="1"/>
  <c r="I167" i="526"/>
  <c r="E167" i="526"/>
  <c r="K167" i="526" s="1"/>
  <c r="M167" i="526" s="1"/>
  <c r="I166" i="526"/>
  <c r="E166" i="526"/>
  <c r="K166" i="526" s="1"/>
  <c r="M166" i="526" s="1"/>
  <c r="X165" i="526"/>
  <c r="Q521" i="526" s="1"/>
  <c r="I165" i="526"/>
  <c r="I169" i="526" s="1"/>
  <c r="E165" i="526"/>
  <c r="E169" i="526" s="1"/>
  <c r="AA162" i="526"/>
  <c r="Z162" i="526"/>
  <c r="Y162" i="526"/>
  <c r="X162" i="526"/>
  <c r="U162" i="526"/>
  <c r="T162" i="526"/>
  <c r="S162" i="526"/>
  <c r="R162" i="526"/>
  <c r="Q162" i="526"/>
  <c r="P162" i="526"/>
  <c r="O162" i="526"/>
  <c r="R170" i="526" s="1"/>
  <c r="I162" i="526"/>
  <c r="G162" i="526"/>
  <c r="C526" i="526" s="1"/>
  <c r="H161" i="526"/>
  <c r="H160" i="526"/>
  <c r="H159" i="526"/>
  <c r="V158" i="526"/>
  <c r="W158" i="526" s="1"/>
  <c r="N158" i="526"/>
  <c r="K158" i="526"/>
  <c r="K158" i="526" a="1"/>
  <c r="J158" i="526" a="1"/>
  <c r="J158" i="526" s="1"/>
  <c r="H158" i="526"/>
  <c r="D158" i="526"/>
  <c r="V157" i="526"/>
  <c r="W157" i="526" s="1"/>
  <c r="N157" i="526"/>
  <c r="K157" i="526" a="1"/>
  <c r="K157" i="526" s="1"/>
  <c r="M157" i="526" s="1"/>
  <c r="J157" i="526" a="1"/>
  <c r="J157" i="526" s="1"/>
  <c r="H157" i="526"/>
  <c r="H156" i="526"/>
  <c r="H155" i="526"/>
  <c r="V154" i="526"/>
  <c r="W154" i="526" s="1"/>
  <c r="N154" i="526"/>
  <c r="K154" i="526" a="1"/>
  <c r="K154" i="526" s="1"/>
  <c r="M154" i="526" s="1"/>
  <c r="J154" i="526" a="1"/>
  <c r="J154" i="526" s="1"/>
  <c r="H154" i="526"/>
  <c r="V153" i="526"/>
  <c r="W153" i="526" s="1"/>
  <c r="N153" i="526"/>
  <c r="K153" i="526" a="1"/>
  <c r="K153" i="526" s="1"/>
  <c r="M153" i="526" s="1"/>
  <c r="J153" i="526" a="1"/>
  <c r="J153" i="526" s="1"/>
  <c r="H153" i="526"/>
  <c r="H152" i="526"/>
  <c r="V151" i="526"/>
  <c r="W151" i="526" s="1"/>
  <c r="N151" i="526"/>
  <c r="K151" i="526" a="1"/>
  <c r="K151" i="526" s="1"/>
  <c r="M151" i="526" s="1"/>
  <c r="J151" i="526" a="1"/>
  <c r="J151" i="526" s="1"/>
  <c r="H151" i="526"/>
  <c r="V150" i="526"/>
  <c r="W150" i="526" s="1"/>
  <c r="N150" i="526"/>
  <c r="K150" i="526" a="1"/>
  <c r="K150" i="526" s="1"/>
  <c r="M150" i="526" s="1"/>
  <c r="J150" i="526" a="1"/>
  <c r="J150" i="526" s="1"/>
  <c r="H150" i="526"/>
  <c r="V149" i="526"/>
  <c r="W149" i="526" s="1"/>
  <c r="N149" i="526"/>
  <c r="K149" i="526" a="1"/>
  <c r="K149" i="526" s="1"/>
  <c r="M149" i="526" s="1"/>
  <c r="J149" i="526" a="1"/>
  <c r="J149" i="526" s="1"/>
  <c r="H149" i="526"/>
  <c r="V148" i="526"/>
  <c r="W148" i="526" s="1"/>
  <c r="N148" i="526"/>
  <c r="K148" i="526" a="1"/>
  <c r="K148" i="526" s="1"/>
  <c r="J148" i="526" a="1"/>
  <c r="J148" i="526" s="1"/>
  <c r="H148" i="526"/>
  <c r="H162" i="526" s="1"/>
  <c r="AA147" i="526"/>
  <c r="Z147" i="526"/>
  <c r="Y147" i="526"/>
  <c r="X147" i="526"/>
  <c r="U147" i="526"/>
  <c r="T147" i="526"/>
  <c r="S147" i="526"/>
  <c r="Q147" i="526"/>
  <c r="P147" i="526"/>
  <c r="O147" i="526"/>
  <c r="R169" i="526" s="1"/>
  <c r="I147" i="526"/>
  <c r="G147" i="526"/>
  <c r="C525" i="526" s="1"/>
  <c r="V146" i="526"/>
  <c r="W146" i="526" s="1"/>
  <c r="N146" i="526"/>
  <c r="K146" i="526" a="1"/>
  <c r="K146" i="526" s="1"/>
  <c r="M146" i="526" s="1"/>
  <c r="J146" i="526" a="1"/>
  <c r="J146" i="526" s="1"/>
  <c r="H146" i="526"/>
  <c r="H143" i="526"/>
  <c r="V142" i="526"/>
  <c r="W142" i="526" s="1"/>
  <c r="N142" i="526"/>
  <c r="K142" i="526" a="1"/>
  <c r="K142" i="526" s="1"/>
  <c r="M142" i="526" s="1"/>
  <c r="J142" i="526" a="1"/>
  <c r="J142" i="526" s="1"/>
  <c r="H142" i="526"/>
  <c r="V141" i="526"/>
  <c r="W141" i="526" s="1"/>
  <c r="N141" i="526"/>
  <c r="K141" i="526" a="1"/>
  <c r="K141" i="526" s="1"/>
  <c r="M141" i="526" s="1"/>
  <c r="J141" i="526" a="1"/>
  <c r="J141" i="526" s="1"/>
  <c r="H141" i="526"/>
  <c r="V140" i="526"/>
  <c r="W140" i="526" s="1"/>
  <c r="N140" i="526"/>
  <c r="K140" i="526" a="1"/>
  <c r="K140" i="526" s="1"/>
  <c r="M140" i="526" s="1"/>
  <c r="J140" i="526" a="1"/>
  <c r="J140" i="526" s="1"/>
  <c r="H140" i="526"/>
  <c r="V139" i="526"/>
  <c r="W139" i="526" s="1"/>
  <c r="N139" i="526"/>
  <c r="K139" i="526" a="1"/>
  <c r="K139" i="526" s="1"/>
  <c r="M139" i="526" s="1"/>
  <c r="J139" i="526" a="1"/>
  <c r="J139" i="526" s="1"/>
  <c r="H139" i="526"/>
  <c r="V138" i="526"/>
  <c r="N138" i="526"/>
  <c r="K138" i="526" a="1"/>
  <c r="K138" i="526" s="1"/>
  <c r="M138" i="526" s="1"/>
  <c r="J138" i="526" a="1"/>
  <c r="J138" i="526" s="1"/>
  <c r="H138" i="526"/>
  <c r="AA137" i="526"/>
  <c r="Z137" i="526"/>
  <c r="Y137" i="526"/>
  <c r="X137" i="526"/>
  <c r="U137" i="526"/>
  <c r="T137" i="526"/>
  <c r="S137" i="526"/>
  <c r="Q137" i="526"/>
  <c r="P137" i="526"/>
  <c r="O137" i="526"/>
  <c r="I137" i="526"/>
  <c r="G137" i="526"/>
  <c r="C524" i="526" s="1"/>
  <c r="V136" i="526"/>
  <c r="W136" i="526" s="1"/>
  <c r="N136" i="526"/>
  <c r="K136" i="526" a="1"/>
  <c r="K136" i="526" s="1"/>
  <c r="M136" i="526" s="1"/>
  <c r="J136" i="526" a="1"/>
  <c r="J136" i="526" s="1"/>
  <c r="H136" i="526"/>
  <c r="V135" i="526"/>
  <c r="W135" i="526" s="1"/>
  <c r="N135" i="526"/>
  <c r="K135" i="526" a="1"/>
  <c r="K135" i="526" s="1"/>
  <c r="M135" i="526" s="1"/>
  <c r="J135" i="526" a="1"/>
  <c r="J135" i="526" s="1"/>
  <c r="H135" i="526"/>
  <c r="V134" i="526"/>
  <c r="W134" i="526" s="1"/>
  <c r="N134" i="526"/>
  <c r="K134" i="526" a="1"/>
  <c r="K134" i="526" s="1"/>
  <c r="M134" i="526" s="1"/>
  <c r="J134" i="526" a="1"/>
  <c r="J134" i="526" s="1"/>
  <c r="H134" i="526"/>
  <c r="V133" i="526"/>
  <c r="W133" i="526" s="1"/>
  <c r="N133" i="526"/>
  <c r="K133" i="526" a="1"/>
  <c r="K133" i="526" s="1"/>
  <c r="M133" i="526" s="1"/>
  <c r="J133" i="526" a="1"/>
  <c r="J133" i="526" s="1"/>
  <c r="H133" i="526"/>
  <c r="V132" i="526"/>
  <c r="W132" i="526" s="1"/>
  <c r="N132" i="526"/>
  <c r="K132" i="526" a="1"/>
  <c r="K132" i="526" s="1"/>
  <c r="M132" i="526" s="1"/>
  <c r="J132" i="526" a="1"/>
  <c r="J132" i="526" s="1"/>
  <c r="H132" i="526"/>
  <c r="V131" i="526"/>
  <c r="W131" i="526" s="1"/>
  <c r="N131" i="526"/>
  <c r="K131" i="526" a="1"/>
  <c r="K131" i="526" s="1"/>
  <c r="M131" i="526" s="1"/>
  <c r="J131" i="526" a="1"/>
  <c r="J131" i="526" s="1"/>
  <c r="H131" i="526"/>
  <c r="V130" i="526"/>
  <c r="W130" i="526" s="1"/>
  <c r="N130" i="526"/>
  <c r="K130" i="526" a="1"/>
  <c r="K130" i="526" s="1"/>
  <c r="M130" i="526" s="1"/>
  <c r="J130" i="526" a="1"/>
  <c r="J130" i="526" s="1"/>
  <c r="H130" i="526"/>
  <c r="V129" i="526"/>
  <c r="W129" i="526" s="1"/>
  <c r="N129" i="526"/>
  <c r="K129" i="526" a="1"/>
  <c r="K129" i="526" s="1"/>
  <c r="M129" i="526" s="1"/>
  <c r="J129" i="526" a="1"/>
  <c r="J129" i="526" s="1"/>
  <c r="H129" i="526"/>
  <c r="V128" i="526"/>
  <c r="W128" i="526" s="1"/>
  <c r="N128" i="526"/>
  <c r="K128" i="526" a="1"/>
  <c r="K128" i="526" s="1"/>
  <c r="M128" i="526" s="1"/>
  <c r="J128" i="526" a="1"/>
  <c r="J128" i="526" s="1"/>
  <c r="H128" i="526"/>
  <c r="V127" i="526"/>
  <c r="W127" i="526" s="1"/>
  <c r="N127" i="526"/>
  <c r="K127" i="526" a="1"/>
  <c r="K127" i="526" s="1"/>
  <c r="M127" i="526" s="1"/>
  <c r="J127" i="526" a="1"/>
  <c r="J127" i="526" s="1"/>
  <c r="H127" i="526"/>
  <c r="V126" i="526"/>
  <c r="W126" i="526" s="1"/>
  <c r="N126" i="526"/>
  <c r="K126" i="526" a="1"/>
  <c r="K126" i="526" s="1"/>
  <c r="M126" i="526" s="1"/>
  <c r="J126" i="526" a="1"/>
  <c r="J126" i="526" s="1"/>
  <c r="H126" i="526"/>
  <c r="V125" i="526"/>
  <c r="W125" i="526" s="1"/>
  <c r="N125" i="526"/>
  <c r="K125" i="526" a="1"/>
  <c r="K125" i="526" s="1"/>
  <c r="M125" i="526" s="1"/>
  <c r="J125" i="526" a="1"/>
  <c r="J125" i="526" s="1"/>
  <c r="H125" i="526"/>
  <c r="V124" i="526"/>
  <c r="W124" i="526" s="1"/>
  <c r="N124" i="526"/>
  <c r="K124" i="526" a="1"/>
  <c r="K124" i="526" s="1"/>
  <c r="M124" i="526" s="1"/>
  <c r="J124" i="526" a="1"/>
  <c r="J124" i="526" s="1"/>
  <c r="H124" i="526"/>
  <c r="V123" i="526"/>
  <c r="W123" i="526" s="1"/>
  <c r="N123" i="526"/>
  <c r="K123" i="526" a="1"/>
  <c r="K123" i="526" s="1"/>
  <c r="M123" i="526" s="1"/>
  <c r="J123" i="526" a="1"/>
  <c r="J123" i="526" s="1"/>
  <c r="H123" i="526"/>
  <c r="V122" i="526"/>
  <c r="W122" i="526" s="1"/>
  <c r="N122" i="526"/>
  <c r="K122" i="526" a="1"/>
  <c r="K122" i="526" s="1"/>
  <c r="J122" i="526" a="1"/>
  <c r="J122" i="526" s="1"/>
  <c r="H122" i="526"/>
  <c r="H137" i="526" s="1"/>
  <c r="AA121" i="526"/>
  <c r="Z121" i="526"/>
  <c r="Y121" i="526"/>
  <c r="X121" i="526"/>
  <c r="U121" i="526"/>
  <c r="T121" i="526"/>
  <c r="S121" i="526"/>
  <c r="R121" i="526"/>
  <c r="Q121" i="526"/>
  <c r="P121" i="526"/>
  <c r="O121" i="526"/>
  <c r="R167" i="526" s="1"/>
  <c r="I121" i="526"/>
  <c r="G121" i="526"/>
  <c r="C523" i="526" s="1"/>
  <c r="V120" i="526"/>
  <c r="W120" i="526" s="1"/>
  <c r="N120" i="526"/>
  <c r="K120" i="526" a="1"/>
  <c r="K120" i="526" s="1"/>
  <c r="M120" i="526" s="1"/>
  <c r="J120" i="526" a="1"/>
  <c r="J120" i="526" s="1"/>
  <c r="H120" i="526"/>
  <c r="V119" i="526"/>
  <c r="W119" i="526" s="1"/>
  <c r="N119" i="526"/>
  <c r="K119" i="526" a="1"/>
  <c r="K119" i="526" s="1"/>
  <c r="M119" i="526" s="1"/>
  <c r="J119" i="526" a="1"/>
  <c r="J119" i="526" s="1"/>
  <c r="H119" i="526"/>
  <c r="V118" i="526"/>
  <c r="W118" i="526" s="1"/>
  <c r="N118" i="526"/>
  <c r="K118" i="526" a="1"/>
  <c r="K118" i="526" s="1"/>
  <c r="M118" i="526" s="1"/>
  <c r="J118" i="526" a="1"/>
  <c r="J118" i="526" s="1"/>
  <c r="H118" i="526"/>
  <c r="K117" i="526" a="1"/>
  <c r="K117" i="526" s="1"/>
  <c r="H117" i="526"/>
  <c r="K116" i="526" a="1"/>
  <c r="K116" i="526" s="1"/>
  <c r="H116" i="526"/>
  <c r="K115" i="526"/>
  <c r="K115" i="526" a="1"/>
  <c r="H115" i="526"/>
  <c r="V114" i="526"/>
  <c r="W114" i="526" s="1"/>
  <c r="N114" i="526"/>
  <c r="K114" i="526" a="1"/>
  <c r="K114" i="526" s="1"/>
  <c r="M114" i="526" s="1"/>
  <c r="J114" i="526" a="1"/>
  <c r="J114" i="526" s="1"/>
  <c r="H114" i="526"/>
  <c r="V113" i="526"/>
  <c r="W113" i="526" s="1"/>
  <c r="N113" i="526"/>
  <c r="K113" i="526" a="1"/>
  <c r="K113" i="526" s="1"/>
  <c r="M113" i="526" s="1"/>
  <c r="J113" i="526"/>
  <c r="J113" i="526" a="1"/>
  <c r="H113" i="526"/>
  <c r="N112" i="526"/>
  <c r="K112" i="526" a="1"/>
  <c r="K112" i="526" s="1"/>
  <c r="M112" i="526" s="1"/>
  <c r="H112" i="526"/>
  <c r="N111" i="526"/>
  <c r="K111" i="526" a="1"/>
  <c r="K111" i="526" s="1"/>
  <c r="M111" i="526" s="1"/>
  <c r="H111" i="526"/>
  <c r="N110" i="526"/>
  <c r="K110" i="526" a="1"/>
  <c r="K110" i="526" s="1"/>
  <c r="M110" i="526" s="1"/>
  <c r="H110" i="526"/>
  <c r="N109" i="526"/>
  <c r="K109" i="526" a="1"/>
  <c r="K109" i="526" s="1"/>
  <c r="M109" i="526" s="1"/>
  <c r="H109" i="526"/>
  <c r="N108" i="526"/>
  <c r="K108" i="526" a="1"/>
  <c r="K108" i="526" s="1"/>
  <c r="M108" i="526" s="1"/>
  <c r="H108" i="526"/>
  <c r="N107" i="526"/>
  <c r="K107" i="526" a="1"/>
  <c r="K107" i="526" s="1"/>
  <c r="M107" i="526" s="1"/>
  <c r="H107" i="526"/>
  <c r="V106" i="526"/>
  <c r="W106" i="526" s="1"/>
  <c r="N106" i="526"/>
  <c r="K106" i="526" a="1"/>
  <c r="K106" i="526" s="1"/>
  <c r="M106" i="526" s="1"/>
  <c r="J106" i="526" a="1"/>
  <c r="J106" i="526" s="1"/>
  <c r="H106" i="526"/>
  <c r="V105" i="526"/>
  <c r="W105" i="526" s="1"/>
  <c r="N105" i="526"/>
  <c r="K105" i="526" a="1"/>
  <c r="K105" i="526" s="1"/>
  <c r="M105" i="526" s="1"/>
  <c r="J105" i="526" a="1"/>
  <c r="J105" i="526" s="1"/>
  <c r="H105" i="526"/>
  <c r="V104" i="526"/>
  <c r="W104" i="526" s="1"/>
  <c r="N104" i="526"/>
  <c r="K104" i="526" a="1"/>
  <c r="K104" i="526" s="1"/>
  <c r="M104" i="526" s="1"/>
  <c r="J104" i="526" a="1"/>
  <c r="J104" i="526" s="1"/>
  <c r="H104" i="526"/>
  <c r="V103" i="526"/>
  <c r="W103" i="526" s="1"/>
  <c r="N103" i="526"/>
  <c r="K103" i="526" a="1"/>
  <c r="K103" i="526" s="1"/>
  <c r="M103" i="526" s="1"/>
  <c r="J103" i="526" a="1"/>
  <c r="J103" i="526" s="1"/>
  <c r="H103" i="526"/>
  <c r="V102" i="526"/>
  <c r="W102" i="526" s="1"/>
  <c r="N102" i="526"/>
  <c r="K102" i="526" a="1"/>
  <c r="K102" i="526" s="1"/>
  <c r="M102" i="526" s="1"/>
  <c r="J102" i="526" a="1"/>
  <c r="J102" i="526" s="1"/>
  <c r="H102" i="526"/>
  <c r="V101" i="526"/>
  <c r="W101" i="526" s="1"/>
  <c r="N101" i="526"/>
  <c r="K101" i="526" a="1"/>
  <c r="K101" i="526" s="1"/>
  <c r="M101" i="526" s="1"/>
  <c r="J101" i="526" a="1"/>
  <c r="J101" i="526" s="1"/>
  <c r="H101" i="526"/>
  <c r="V100" i="526"/>
  <c r="W100" i="526" s="1"/>
  <c r="N100" i="526"/>
  <c r="K100" i="526" a="1"/>
  <c r="K100" i="526" s="1"/>
  <c r="M100" i="526" s="1"/>
  <c r="J100" i="526" a="1"/>
  <c r="J100" i="526" s="1"/>
  <c r="H100" i="526"/>
  <c r="V99" i="526"/>
  <c r="W99" i="526" s="1"/>
  <c r="N99" i="526"/>
  <c r="K99" i="526" a="1"/>
  <c r="K99" i="526" s="1"/>
  <c r="M99" i="526" s="1"/>
  <c r="J99" i="526" a="1"/>
  <c r="J99" i="526" s="1"/>
  <c r="H99" i="526"/>
  <c r="V98" i="526"/>
  <c r="W98" i="526" s="1"/>
  <c r="N98" i="526"/>
  <c r="K98" i="526" a="1"/>
  <c r="K98" i="526" s="1"/>
  <c r="M98" i="526" s="1"/>
  <c r="J98" i="526" a="1"/>
  <c r="J98" i="526" s="1"/>
  <c r="H98" i="526"/>
  <c r="V97" i="526"/>
  <c r="W97" i="526" s="1"/>
  <c r="N97" i="526"/>
  <c r="K97" i="526" a="1"/>
  <c r="K97" i="526" s="1"/>
  <c r="M97" i="526" s="1"/>
  <c r="J97" i="526" a="1"/>
  <c r="J97" i="526" s="1"/>
  <c r="H97" i="526"/>
  <c r="V96" i="526"/>
  <c r="W96" i="526" s="1"/>
  <c r="N96" i="526"/>
  <c r="K96" i="526" a="1"/>
  <c r="K96" i="526" s="1"/>
  <c r="M96" i="526" s="1"/>
  <c r="J96" i="526" a="1"/>
  <c r="J96" i="526" s="1"/>
  <c r="H96" i="526"/>
  <c r="V95" i="526"/>
  <c r="W95" i="526" s="1"/>
  <c r="N95" i="526"/>
  <c r="K95" i="526" a="1"/>
  <c r="K95" i="526" s="1"/>
  <c r="M95" i="526" s="1"/>
  <c r="J95" i="526" a="1"/>
  <c r="J95" i="526" s="1"/>
  <c r="H95" i="526"/>
  <c r="K94" i="526"/>
  <c r="M94" i="526" s="1"/>
  <c r="K94" i="526" a="1"/>
  <c r="H94" i="526"/>
  <c r="V93" i="526"/>
  <c r="W93" i="526" s="1"/>
  <c r="N93" i="526"/>
  <c r="K93" i="526" a="1"/>
  <c r="K93" i="526" s="1"/>
  <c r="M93" i="526" s="1"/>
  <c r="J93" i="526" a="1"/>
  <c r="J93" i="526" s="1"/>
  <c r="H93" i="526"/>
  <c r="V92" i="526"/>
  <c r="W92" i="526" s="1"/>
  <c r="N92" i="526"/>
  <c r="K92" i="526"/>
  <c r="M92" i="526" s="1"/>
  <c r="K92" i="526" a="1"/>
  <c r="J92" i="526"/>
  <c r="J92" i="526" a="1"/>
  <c r="H92" i="526"/>
  <c r="V91" i="526"/>
  <c r="W91" i="526" s="1"/>
  <c r="N91" i="526"/>
  <c r="K91" i="526" a="1"/>
  <c r="K91" i="526" s="1"/>
  <c r="M91" i="526" s="1"/>
  <c r="J91" i="526" a="1"/>
  <c r="J91" i="526" s="1"/>
  <c r="H91" i="526"/>
  <c r="V90" i="526"/>
  <c r="W90" i="526" s="1"/>
  <c r="N90" i="526"/>
  <c r="K90" i="526"/>
  <c r="M90" i="526" s="1"/>
  <c r="K90" i="526" a="1"/>
  <c r="J90" i="526"/>
  <c r="J90" i="526" a="1"/>
  <c r="H90" i="526"/>
  <c r="V89" i="526"/>
  <c r="W89" i="526" s="1"/>
  <c r="N89" i="526"/>
  <c r="K89" i="526" a="1"/>
  <c r="K89" i="526" s="1"/>
  <c r="M89" i="526" s="1"/>
  <c r="J89" i="526" a="1"/>
  <c r="J89" i="526" s="1"/>
  <c r="H89" i="526"/>
  <c r="V88" i="526"/>
  <c r="W88" i="526" s="1"/>
  <c r="N88" i="526"/>
  <c r="K88" i="526"/>
  <c r="M88" i="526" s="1"/>
  <c r="K88" i="526" a="1"/>
  <c r="J88" i="526"/>
  <c r="J88" i="526" a="1"/>
  <c r="H88" i="526"/>
  <c r="V87" i="526"/>
  <c r="N87" i="526"/>
  <c r="N121" i="526" s="1"/>
  <c r="K87" i="526" a="1"/>
  <c r="K87" i="526" s="1"/>
  <c r="J87" i="526" a="1"/>
  <c r="J87" i="526" s="1"/>
  <c r="H87" i="526"/>
  <c r="AA86" i="526"/>
  <c r="Z86" i="526"/>
  <c r="Y86" i="526"/>
  <c r="X86" i="526"/>
  <c r="U86" i="526"/>
  <c r="T86" i="526"/>
  <c r="S86" i="526"/>
  <c r="R86" i="526"/>
  <c r="Q86" i="526"/>
  <c r="P86" i="526"/>
  <c r="O86" i="526"/>
  <c r="R166" i="526" s="1"/>
  <c r="I86" i="526"/>
  <c r="G86" i="526"/>
  <c r="C522" i="526" s="1"/>
  <c r="K85" i="526" a="1"/>
  <c r="K85" i="526" s="1"/>
  <c r="H85" i="526"/>
  <c r="K84" i="526"/>
  <c r="K84" i="526" a="1"/>
  <c r="H84" i="526"/>
  <c r="K83" i="526" a="1"/>
  <c r="K83" i="526" s="1"/>
  <c r="H83" i="526"/>
  <c r="K82" i="526" a="1"/>
  <c r="K82" i="526" s="1"/>
  <c r="H82" i="526"/>
  <c r="K81" i="526" a="1"/>
  <c r="K81" i="526" s="1"/>
  <c r="H81" i="526"/>
  <c r="K80" i="526" a="1"/>
  <c r="K80" i="526" s="1"/>
  <c r="H80" i="526"/>
  <c r="K79" i="526" a="1"/>
  <c r="K79" i="526" s="1"/>
  <c r="M79" i="526" s="1"/>
  <c r="H79" i="526"/>
  <c r="K78" i="526" a="1"/>
  <c r="K78" i="526" s="1"/>
  <c r="M78" i="526" s="1"/>
  <c r="H78" i="526"/>
  <c r="K77" i="526" a="1"/>
  <c r="K77" i="526" s="1"/>
  <c r="M77" i="526" s="1"/>
  <c r="H77" i="526"/>
  <c r="K76" i="526" a="1"/>
  <c r="K76" i="526" s="1"/>
  <c r="M76" i="526" s="1"/>
  <c r="H76" i="526"/>
  <c r="V75" i="526"/>
  <c r="W75" i="526" s="1"/>
  <c r="N75" i="526"/>
  <c r="K75" i="526"/>
  <c r="M75" i="526" s="1"/>
  <c r="K75" i="526" a="1"/>
  <c r="J75" i="526" a="1"/>
  <c r="J75" i="526" s="1"/>
  <c r="H75" i="526"/>
  <c r="V74" i="526"/>
  <c r="W74" i="526" s="1"/>
  <c r="N74" i="526"/>
  <c r="K74" i="526" a="1"/>
  <c r="K74" i="526" s="1"/>
  <c r="M74" i="526" s="1"/>
  <c r="J74" i="526" a="1"/>
  <c r="J74" i="526" s="1"/>
  <c r="H74" i="526"/>
  <c r="V73" i="526"/>
  <c r="W73" i="526" s="1"/>
  <c r="N73" i="526"/>
  <c r="K73" i="526" a="1"/>
  <c r="K73" i="526" s="1"/>
  <c r="M73" i="526" s="1"/>
  <c r="J73" i="526" a="1"/>
  <c r="J73" i="526" s="1"/>
  <c r="H73" i="526"/>
  <c r="V72" i="526"/>
  <c r="W72" i="526" s="1"/>
  <c r="N72" i="526"/>
  <c r="K72" i="526" a="1"/>
  <c r="K72" i="526" s="1"/>
  <c r="M72" i="526" s="1"/>
  <c r="J72" i="526" a="1"/>
  <c r="J72" i="526" s="1"/>
  <c r="H72" i="526"/>
  <c r="H71" i="526"/>
  <c r="V70" i="526"/>
  <c r="W70" i="526" s="1"/>
  <c r="N70" i="526"/>
  <c r="K70" i="526" a="1"/>
  <c r="K70" i="526" s="1"/>
  <c r="M70" i="526" s="1"/>
  <c r="J70" i="526" a="1"/>
  <c r="J70" i="526" s="1"/>
  <c r="H70" i="526"/>
  <c r="V69" i="526"/>
  <c r="W69" i="526" s="1"/>
  <c r="N69" i="526"/>
  <c r="K69" i="526" a="1"/>
  <c r="K69" i="526" s="1"/>
  <c r="M69" i="526" s="1"/>
  <c r="J69" i="526" a="1"/>
  <c r="J69" i="526" s="1"/>
  <c r="H69" i="526"/>
  <c r="K68" i="526" a="1"/>
  <c r="K68" i="526" s="1"/>
  <c r="H68" i="526"/>
  <c r="K67" i="526" a="1"/>
  <c r="K67" i="526" s="1"/>
  <c r="H67" i="526"/>
  <c r="V66" i="526"/>
  <c r="W66" i="526" s="1"/>
  <c r="N66" i="526"/>
  <c r="K66" i="526" a="1"/>
  <c r="K66" i="526" s="1"/>
  <c r="M66" i="526" s="1"/>
  <c r="H66" i="526"/>
  <c r="V65" i="526"/>
  <c r="W65" i="526" s="1"/>
  <c r="N65" i="526"/>
  <c r="K65" i="526" a="1"/>
  <c r="K65" i="526" s="1"/>
  <c r="M65" i="526" s="1"/>
  <c r="H65" i="526"/>
  <c r="V64" i="526"/>
  <c r="W64" i="526" s="1"/>
  <c r="N64" i="526"/>
  <c r="K64" i="526" a="1"/>
  <c r="K64" i="526" s="1"/>
  <c r="M64" i="526" s="1"/>
  <c r="H64" i="526"/>
  <c r="V63" i="526"/>
  <c r="W63" i="526" s="1"/>
  <c r="N63" i="526"/>
  <c r="K63" i="526" a="1"/>
  <c r="K63" i="526" s="1"/>
  <c r="M63" i="526" s="1"/>
  <c r="H63" i="526"/>
  <c r="V62" i="526"/>
  <c r="W62" i="526" s="1"/>
  <c r="N62" i="526"/>
  <c r="K62" i="526" a="1"/>
  <c r="K62" i="526" s="1"/>
  <c r="M62" i="526" s="1"/>
  <c r="H62" i="526"/>
  <c r="V61" i="526"/>
  <c r="W61" i="526" s="1"/>
  <c r="N61" i="526"/>
  <c r="K61" i="526" a="1"/>
  <c r="K61" i="526" s="1"/>
  <c r="M61" i="526" s="1"/>
  <c r="H61" i="526"/>
  <c r="V60" i="526"/>
  <c r="W60" i="526" s="1"/>
  <c r="N60" i="526"/>
  <c r="K60" i="526"/>
  <c r="M60" i="526" s="1"/>
  <c r="K60" i="526" a="1"/>
  <c r="H60" i="526"/>
  <c r="V59" i="526"/>
  <c r="W59" i="526" s="1"/>
  <c r="N59" i="526"/>
  <c r="K59" i="526" a="1"/>
  <c r="K59" i="526" s="1"/>
  <c r="M59" i="526" s="1"/>
  <c r="H59" i="526"/>
  <c r="V58" i="526"/>
  <c r="W58" i="526" s="1"/>
  <c r="N58" i="526"/>
  <c r="K58" i="526"/>
  <c r="M58" i="526" s="1"/>
  <c r="K58" i="526" a="1"/>
  <c r="H58" i="526"/>
  <c r="V57" i="526"/>
  <c r="W57" i="526" s="1"/>
  <c r="N57" i="526"/>
  <c r="K57" i="526" a="1"/>
  <c r="K57" i="526" s="1"/>
  <c r="M57" i="526" s="1"/>
  <c r="H57" i="526"/>
  <c r="K56" i="526" a="1"/>
  <c r="K56" i="526" s="1"/>
  <c r="M56" i="526" s="1"/>
  <c r="H56" i="526"/>
  <c r="K55" i="526" a="1"/>
  <c r="K55" i="526" s="1"/>
  <c r="M55" i="526" s="1"/>
  <c r="H55" i="526"/>
  <c r="K54" i="526" a="1"/>
  <c r="K54" i="526" s="1"/>
  <c r="M54" i="526" s="1"/>
  <c r="H54" i="526"/>
  <c r="K53" i="526" a="1"/>
  <c r="K53" i="526" s="1"/>
  <c r="M53" i="526" s="1"/>
  <c r="H53" i="526"/>
  <c r="N52" i="526"/>
  <c r="K52" i="526" a="1"/>
  <c r="K52" i="526" s="1"/>
  <c r="M52" i="526" s="1"/>
  <c r="H52" i="526"/>
  <c r="N51" i="526"/>
  <c r="K51" i="526" a="1"/>
  <c r="K51" i="526" s="1"/>
  <c r="M51" i="526" s="1"/>
  <c r="H51" i="526"/>
  <c r="N50" i="526"/>
  <c r="K50" i="526"/>
  <c r="M50" i="526" s="1"/>
  <c r="K50" i="526" a="1"/>
  <c r="H50" i="526"/>
  <c r="N49" i="526"/>
  <c r="K49" i="526" a="1"/>
  <c r="K49" i="526" s="1"/>
  <c r="M49" i="526" s="1"/>
  <c r="H49" i="526"/>
  <c r="V48" i="526"/>
  <c r="W48" i="526" s="1"/>
  <c r="N48" i="526"/>
  <c r="K48" i="526"/>
  <c r="M48" i="526" s="1"/>
  <c r="K48" i="526" a="1"/>
  <c r="J48" i="526"/>
  <c r="J48" i="526" a="1"/>
  <c r="H48" i="526"/>
  <c r="V47" i="526"/>
  <c r="W47" i="526" s="1"/>
  <c r="N47" i="526"/>
  <c r="K47" i="526" a="1"/>
  <c r="K47" i="526" s="1"/>
  <c r="M47" i="526" s="1"/>
  <c r="J47" i="526" a="1"/>
  <c r="J47" i="526" s="1"/>
  <c r="H47" i="526"/>
  <c r="V46" i="526"/>
  <c r="W46" i="526" s="1"/>
  <c r="N46" i="526"/>
  <c r="K46" i="526"/>
  <c r="M46" i="526" s="1"/>
  <c r="K46" i="526" a="1"/>
  <c r="J46" i="526"/>
  <c r="J46" i="526" a="1"/>
  <c r="H46" i="526"/>
  <c r="V45" i="526"/>
  <c r="W45" i="526" s="1"/>
  <c r="N45" i="526"/>
  <c r="K45" i="526" a="1"/>
  <c r="K45" i="526" s="1"/>
  <c r="M45" i="526" s="1"/>
  <c r="J45" i="526" a="1"/>
  <c r="J45" i="526" s="1"/>
  <c r="H45" i="526"/>
  <c r="V44" i="526"/>
  <c r="W44" i="526" s="1"/>
  <c r="N44" i="526"/>
  <c r="K44" i="526"/>
  <c r="M44" i="526" s="1"/>
  <c r="K44" i="526" a="1"/>
  <c r="J44" i="526"/>
  <c r="J44" i="526" a="1"/>
  <c r="H44" i="526"/>
  <c r="V43" i="526"/>
  <c r="W43" i="526" s="1"/>
  <c r="N43" i="526"/>
  <c r="K43" i="526" a="1"/>
  <c r="K43" i="526" s="1"/>
  <c r="M43" i="526" s="1"/>
  <c r="J43" i="526" a="1"/>
  <c r="J43" i="526" s="1"/>
  <c r="H43" i="526"/>
  <c r="V42" i="526"/>
  <c r="W42" i="526" s="1"/>
  <c r="N42" i="526"/>
  <c r="K42" i="526" a="1"/>
  <c r="K42" i="526" s="1"/>
  <c r="M42" i="526" s="1"/>
  <c r="J42" i="526" a="1"/>
  <c r="J42" i="526" s="1"/>
  <c r="H42" i="526"/>
  <c r="V41" i="526"/>
  <c r="W41" i="526" s="1"/>
  <c r="N41" i="526"/>
  <c r="K41" i="526" a="1"/>
  <c r="K41" i="526" s="1"/>
  <c r="M41" i="526" s="1"/>
  <c r="J41" i="526" a="1"/>
  <c r="J41" i="526" s="1"/>
  <c r="H41" i="526"/>
  <c r="V40" i="526"/>
  <c r="W40" i="526" s="1"/>
  <c r="N40" i="526"/>
  <c r="K40" i="526" a="1"/>
  <c r="K40" i="526" s="1"/>
  <c r="M40" i="526" s="1"/>
  <c r="J40" i="526" a="1"/>
  <c r="J40" i="526" s="1"/>
  <c r="H40" i="526"/>
  <c r="V39" i="526"/>
  <c r="W39" i="526" s="1"/>
  <c r="N39" i="526"/>
  <c r="K39" i="526" a="1"/>
  <c r="K39" i="526" s="1"/>
  <c r="M39" i="526" s="1"/>
  <c r="J39" i="526" a="1"/>
  <c r="J39" i="526" s="1"/>
  <c r="H39" i="526"/>
  <c r="V38" i="526"/>
  <c r="W38" i="526" s="1"/>
  <c r="N38" i="526"/>
  <c r="K38" i="526" a="1"/>
  <c r="K38" i="526" s="1"/>
  <c r="M38" i="526" s="1"/>
  <c r="J38" i="526" a="1"/>
  <c r="J38" i="526" s="1"/>
  <c r="H38" i="526"/>
  <c r="V37" i="526"/>
  <c r="W37" i="526" s="1"/>
  <c r="N37" i="526"/>
  <c r="K37" i="526" a="1"/>
  <c r="K37" i="526" s="1"/>
  <c r="M37" i="526" s="1"/>
  <c r="J37" i="526" a="1"/>
  <c r="J37" i="526" s="1"/>
  <c r="H37" i="526"/>
  <c r="H36" i="526"/>
  <c r="H35" i="526"/>
  <c r="H34" i="526"/>
  <c r="V33" i="526"/>
  <c r="W33" i="526" s="1"/>
  <c r="N33" i="526"/>
  <c r="M33" i="526"/>
  <c r="K33" i="526" a="1"/>
  <c r="K33" i="526" s="1"/>
  <c r="J33" i="526" a="1"/>
  <c r="J33" i="526" s="1"/>
  <c r="H33" i="526"/>
  <c r="W32" i="526"/>
  <c r="V32" i="526"/>
  <c r="N32" i="526"/>
  <c r="K32" i="526" a="1"/>
  <c r="K32" i="526" s="1"/>
  <c r="M32" i="526" s="1"/>
  <c r="J32" i="526" a="1"/>
  <c r="J32" i="526" s="1"/>
  <c r="H32" i="526"/>
  <c r="V31" i="526"/>
  <c r="W31" i="526" s="1"/>
  <c r="N31" i="526"/>
  <c r="K31" i="526" a="1"/>
  <c r="K31" i="526" s="1"/>
  <c r="M31" i="526" s="1"/>
  <c r="J31" i="526" a="1"/>
  <c r="J31" i="526" s="1"/>
  <c r="H31" i="526"/>
  <c r="K30" i="526" a="1"/>
  <c r="K30" i="526" s="1"/>
  <c r="H30" i="526"/>
  <c r="V29" i="526"/>
  <c r="N29" i="526"/>
  <c r="K29" i="526" a="1"/>
  <c r="K29" i="526" s="1"/>
  <c r="J29" i="526" a="1"/>
  <c r="J29" i="526" s="1"/>
  <c r="H29" i="526"/>
  <c r="AA28" i="526"/>
  <c r="AA163" i="526" s="1"/>
  <c r="Z28" i="526"/>
  <c r="Z163" i="526" s="1"/>
  <c r="Y28" i="526"/>
  <c r="Y163" i="526" s="1"/>
  <c r="X28" i="526"/>
  <c r="X163" i="526" s="1"/>
  <c r="U28" i="526"/>
  <c r="U163" i="526" s="1"/>
  <c r="T28" i="526"/>
  <c r="T163" i="526" s="1"/>
  <c r="S28" i="526"/>
  <c r="S163" i="526" s="1"/>
  <c r="R28" i="526"/>
  <c r="R163" i="526" s="1"/>
  <c r="Q28" i="526"/>
  <c r="Q163" i="526" s="1"/>
  <c r="P28" i="526"/>
  <c r="O28" i="526"/>
  <c r="I28" i="526"/>
  <c r="I163" i="526" s="1"/>
  <c r="B171" i="526" s="1"/>
  <c r="G28" i="526"/>
  <c r="V27" i="526"/>
  <c r="W27" i="526" s="1"/>
  <c r="N27" i="526"/>
  <c r="K27" i="526" a="1"/>
  <c r="K27" i="526" s="1"/>
  <c r="M27" i="526" s="1"/>
  <c r="J27" i="526" a="1"/>
  <c r="J27" i="526" s="1"/>
  <c r="H27" i="526"/>
  <c r="V26" i="526"/>
  <c r="W26" i="526" s="1"/>
  <c r="N26" i="526"/>
  <c r="K26" i="526" a="1"/>
  <c r="K26" i="526" s="1"/>
  <c r="M26" i="526" s="1"/>
  <c r="J26" i="526" a="1"/>
  <c r="J26" i="526" s="1"/>
  <c r="H26" i="526"/>
  <c r="K25" i="526"/>
  <c r="M25" i="526" s="1"/>
  <c r="K25" i="526" a="1"/>
  <c r="J25" i="526"/>
  <c r="J25" i="526" a="1"/>
  <c r="H25" i="526"/>
  <c r="K24" i="526" a="1"/>
  <c r="K24" i="526" s="1"/>
  <c r="M24" i="526" s="1"/>
  <c r="J24" i="526" a="1"/>
  <c r="J24" i="526" s="1"/>
  <c r="H24" i="526"/>
  <c r="K23" i="526"/>
  <c r="M23" i="526" s="1"/>
  <c r="K23" i="526" a="1"/>
  <c r="J23" i="526"/>
  <c r="J23" i="526" a="1"/>
  <c r="H23" i="526"/>
  <c r="K22" i="526" a="1"/>
  <c r="K22" i="526" s="1"/>
  <c r="M22" i="526" s="1"/>
  <c r="J22" i="526" a="1"/>
  <c r="J22" i="526" s="1"/>
  <c r="H22" i="526"/>
  <c r="V21" i="526"/>
  <c r="W21" i="526" s="1"/>
  <c r="N21" i="526"/>
  <c r="K21" i="526" a="1"/>
  <c r="K21" i="526" s="1"/>
  <c r="M21" i="526" s="1"/>
  <c r="J21" i="526" a="1"/>
  <c r="J21" i="526" s="1"/>
  <c r="H21" i="526"/>
  <c r="V20" i="526"/>
  <c r="W20" i="526" s="1"/>
  <c r="N20" i="526"/>
  <c r="K20" i="526"/>
  <c r="M20" i="526" s="1"/>
  <c r="K20" i="526" a="1"/>
  <c r="J20" i="526" a="1"/>
  <c r="J20" i="526" s="1"/>
  <c r="H20" i="526"/>
  <c r="V19" i="526"/>
  <c r="W19" i="526" s="1"/>
  <c r="N19" i="526"/>
  <c r="K19" i="526" a="1"/>
  <c r="K19" i="526" s="1"/>
  <c r="M19" i="526" s="1"/>
  <c r="J19" i="526" a="1"/>
  <c r="J19" i="526" s="1"/>
  <c r="H19" i="526"/>
  <c r="N18" i="526"/>
  <c r="K18" i="526" a="1"/>
  <c r="K18" i="526" s="1"/>
  <c r="M18" i="526" s="1"/>
  <c r="J18" i="526" a="1"/>
  <c r="J18" i="526" s="1"/>
  <c r="H18" i="526"/>
  <c r="N17" i="526"/>
  <c r="K17" i="526" a="1"/>
  <c r="K17" i="526" s="1"/>
  <c r="M17" i="526" s="1"/>
  <c r="J17" i="526" a="1"/>
  <c r="J17" i="526" s="1"/>
  <c r="H17" i="526"/>
  <c r="W16" i="526"/>
  <c r="V16" i="526"/>
  <c r="N16" i="526"/>
  <c r="K16" i="526" a="1"/>
  <c r="K16" i="526" s="1"/>
  <c r="M16" i="526" s="1"/>
  <c r="J16" i="526" a="1"/>
  <c r="J16" i="526" s="1"/>
  <c r="H16" i="526"/>
  <c r="V15" i="526"/>
  <c r="W15" i="526" s="1"/>
  <c r="N15" i="526"/>
  <c r="K15" i="526" a="1"/>
  <c r="K15" i="526" s="1"/>
  <c r="M15" i="526" s="1"/>
  <c r="J15" i="526" a="1"/>
  <c r="J15" i="526" s="1"/>
  <c r="H15" i="526"/>
  <c r="N14" i="526"/>
  <c r="K14" i="526"/>
  <c r="M14" i="526" s="1"/>
  <c r="K14" i="526" a="1"/>
  <c r="H14" i="526"/>
  <c r="N13" i="526"/>
  <c r="K13" i="526" a="1"/>
  <c r="K13" i="526" s="1"/>
  <c r="M13" i="526" s="1"/>
  <c r="H13" i="526"/>
  <c r="V12" i="526"/>
  <c r="W12" i="526" s="1"/>
  <c r="N12" i="526"/>
  <c r="K12" i="526"/>
  <c r="M12" i="526" s="1"/>
  <c r="K12" i="526" a="1"/>
  <c r="J12" i="526"/>
  <c r="J12" i="526" a="1"/>
  <c r="H12" i="526"/>
  <c r="V11" i="526"/>
  <c r="W11" i="526" s="1"/>
  <c r="N11" i="526"/>
  <c r="K11" i="526" a="1"/>
  <c r="K11" i="526" s="1"/>
  <c r="M11" i="526" s="1"/>
  <c r="J11" i="526" a="1"/>
  <c r="J11" i="526" s="1"/>
  <c r="H11" i="526"/>
  <c r="V10" i="526"/>
  <c r="W10" i="526" s="1"/>
  <c r="N10" i="526"/>
  <c r="K10" i="526"/>
  <c r="M10" i="526" s="1"/>
  <c r="K10" i="526" a="1"/>
  <c r="J10" i="526"/>
  <c r="J10" i="526" a="1"/>
  <c r="H10" i="526"/>
  <c r="V9" i="526"/>
  <c r="W9" i="526" s="1"/>
  <c r="N9" i="526"/>
  <c r="K9" i="526" a="1"/>
  <c r="K9" i="526" s="1"/>
  <c r="M9" i="526" s="1"/>
  <c r="J9" i="526" a="1"/>
  <c r="J9" i="526" s="1"/>
  <c r="H9" i="526"/>
  <c r="V8" i="526"/>
  <c r="W8" i="526" s="1"/>
  <c r="N8" i="526"/>
  <c r="K8" i="526"/>
  <c r="M8" i="526" s="1"/>
  <c r="K8" i="526" a="1"/>
  <c r="J8" i="526"/>
  <c r="J8" i="526" a="1"/>
  <c r="H8" i="526"/>
  <c r="V7" i="526"/>
  <c r="N7" i="526"/>
  <c r="K7" i="526" a="1"/>
  <c r="K7" i="526" s="1"/>
  <c r="J7" i="526" a="1"/>
  <c r="J7" i="526" s="1"/>
  <c r="H7" i="526"/>
  <c r="H28" i="526" s="1"/>
  <c r="H461" i="526" l="1"/>
  <c r="V461" i="526"/>
  <c r="W461" i="526" s="1"/>
  <c r="H477" i="526"/>
  <c r="V477" i="526"/>
  <c r="W477" i="526" s="1"/>
  <c r="N147" i="526"/>
  <c r="S527" i="527"/>
  <c r="J291" i="526" a="1"/>
  <c r="J291" i="526" s="1"/>
  <c r="J317" i="526" a="1"/>
  <c r="J317" i="526" s="1"/>
  <c r="J256" i="526" a="1"/>
  <c r="J256" i="526" s="1"/>
  <c r="J28" i="526" a="1"/>
  <c r="J28" i="526" s="1"/>
  <c r="N368" i="526"/>
  <c r="J368" i="526" a="1"/>
  <c r="J368" i="526" s="1"/>
  <c r="H426" i="526"/>
  <c r="J461" i="526" a="1"/>
  <c r="J461" i="526" s="1"/>
  <c r="N477" i="526"/>
  <c r="W503" i="526"/>
  <c r="M368" i="526"/>
  <c r="M477" i="526"/>
  <c r="H487" i="526"/>
  <c r="H504" i="526" s="1"/>
  <c r="E511" i="526" s="1"/>
  <c r="J487" i="526" a="1"/>
  <c r="J487" i="526" s="1"/>
  <c r="R510" i="526"/>
  <c r="N332" i="526"/>
  <c r="N307" i="526"/>
  <c r="M307" i="526"/>
  <c r="N291" i="526"/>
  <c r="V198" i="526"/>
  <c r="J162" i="526" a="1"/>
  <c r="J162" i="526" s="1"/>
  <c r="N162" i="526"/>
  <c r="M147" i="526"/>
  <c r="N137" i="526"/>
  <c r="R168" i="526"/>
  <c r="H147" i="526"/>
  <c r="V147" i="526"/>
  <c r="H121" i="526"/>
  <c r="V121" i="526"/>
  <c r="W121" i="526" s="1"/>
  <c r="V86" i="526"/>
  <c r="W86" i="526" s="1"/>
  <c r="V28" i="526"/>
  <c r="W147" i="526"/>
  <c r="J147" i="526" a="1"/>
  <c r="J147" i="526" s="1"/>
  <c r="W332" i="526"/>
  <c r="H291" i="526"/>
  <c r="V291" i="526"/>
  <c r="W291" i="526" s="1"/>
  <c r="W347" i="526"/>
  <c r="W462" i="526"/>
  <c r="N487" i="526"/>
  <c r="N504" i="526" s="1"/>
  <c r="B513" i="526" s="1"/>
  <c r="E513" i="526" s="1"/>
  <c r="W292" i="526"/>
  <c r="N317" i="526"/>
  <c r="N28" i="526"/>
  <c r="W257" i="526"/>
  <c r="W138" i="526"/>
  <c r="K86" i="526"/>
  <c r="M29" i="526"/>
  <c r="M86" i="526" s="1"/>
  <c r="M7" i="526"/>
  <c r="M28" i="526" s="1"/>
  <c r="K28" i="526"/>
  <c r="W28" i="526"/>
  <c r="W7" i="526"/>
  <c r="X166" i="526"/>
  <c r="P163" i="526"/>
  <c r="X167" i="526" s="1"/>
  <c r="H86" i="526"/>
  <c r="H163" i="526" s="1"/>
  <c r="E170" i="526" s="1"/>
  <c r="N86" i="526"/>
  <c r="N163" i="526" s="1"/>
  <c r="B172" i="526" s="1"/>
  <c r="W29" i="526"/>
  <c r="K522" i="526"/>
  <c r="K523" i="526"/>
  <c r="K198" i="526"/>
  <c r="M177" i="526"/>
  <c r="M198" i="526" s="1"/>
  <c r="C521" i="526"/>
  <c r="G163" i="526"/>
  <c r="C517" i="526"/>
  <c r="O163" i="526"/>
  <c r="R165" i="526"/>
  <c r="K121" i="526"/>
  <c r="M87" i="526"/>
  <c r="M121" i="526" s="1"/>
  <c r="K137" i="526"/>
  <c r="M122" i="526"/>
  <c r="M137" i="526" s="1"/>
  <c r="K524" i="526"/>
  <c r="K525" i="526"/>
  <c r="K162" i="526"/>
  <c r="M148" i="526"/>
  <c r="M162" i="526" s="1"/>
  <c r="K526" i="526"/>
  <c r="K256" i="526"/>
  <c r="M199" i="526"/>
  <c r="M256" i="526" s="1"/>
  <c r="V137" i="526"/>
  <c r="W137" i="526" s="1"/>
  <c r="K147" i="526"/>
  <c r="V162" i="526"/>
  <c r="W162" i="526" s="1"/>
  <c r="K165" i="526"/>
  <c r="X172" i="526"/>
  <c r="Z168" i="526" s="1"/>
  <c r="J333" i="526" a="1"/>
  <c r="J333" i="526" s="1"/>
  <c r="M340" i="526" s="1"/>
  <c r="B340" i="526"/>
  <c r="O333" i="526"/>
  <c r="R335" i="526"/>
  <c r="K317" i="526"/>
  <c r="M308" i="526"/>
  <c r="M317" i="526" s="1"/>
  <c r="K332" i="526"/>
  <c r="M318" i="526"/>
  <c r="M332" i="526" s="1"/>
  <c r="J86" i="526" a="1"/>
  <c r="J86" i="526" s="1"/>
  <c r="W87" i="526"/>
  <c r="J121" i="526" a="1"/>
  <c r="J121" i="526" s="1"/>
  <c r="J137" i="526" a="1"/>
  <c r="J137" i="526" s="1"/>
  <c r="W177" i="526"/>
  <c r="W198" i="526" s="1"/>
  <c r="W333" i="526" s="1"/>
  <c r="J198" i="526" a="1"/>
  <c r="J198" i="526" s="1"/>
  <c r="X336" i="526"/>
  <c r="P333" i="526"/>
  <c r="X337" i="526" s="1"/>
  <c r="H256" i="526"/>
  <c r="H333" i="526" s="1"/>
  <c r="E340" i="526" s="1"/>
  <c r="N256" i="526"/>
  <c r="N333" i="526" s="1"/>
  <c r="B342" i="526" s="1"/>
  <c r="E342" i="526" s="1"/>
  <c r="W199" i="526"/>
  <c r="K291" i="526"/>
  <c r="X342" i="526"/>
  <c r="Z340" i="526" s="1"/>
  <c r="W368" i="526"/>
  <c r="M257" i="526"/>
  <c r="M291" i="526" s="1"/>
  <c r="K307" i="526"/>
  <c r="V332" i="526"/>
  <c r="V333" i="526" s="1"/>
  <c r="I342" i="526" s="1"/>
  <c r="M342" i="526" s="1" a="1"/>
  <c r="M342" i="526" s="1"/>
  <c r="K335" i="526"/>
  <c r="K368" i="526"/>
  <c r="K426" i="526"/>
  <c r="M427" i="526"/>
  <c r="M461" i="526" s="1"/>
  <c r="K461" i="526"/>
  <c r="K487" i="526"/>
  <c r="M478" i="526"/>
  <c r="M487" i="526" s="1"/>
  <c r="W308" i="526"/>
  <c r="B511" i="526"/>
  <c r="J504" i="526" a="1"/>
  <c r="J504" i="526" s="1"/>
  <c r="M511" i="526" s="1"/>
  <c r="R506" i="526"/>
  <c r="X506" i="526"/>
  <c r="O504" i="526"/>
  <c r="X507" i="526" s="1"/>
  <c r="M369" i="526"/>
  <c r="M426" i="526" s="1"/>
  <c r="V426" i="526"/>
  <c r="W426" i="526" s="1"/>
  <c r="W427" i="526"/>
  <c r="K477" i="526"/>
  <c r="V487" i="526"/>
  <c r="W487" i="526" s="1"/>
  <c r="R508" i="526"/>
  <c r="R509" i="526"/>
  <c r="M488" i="526"/>
  <c r="M503" i="526" s="1"/>
  <c r="V503" i="526"/>
  <c r="J279" i="525" a="1"/>
  <c r="J279" i="525" s="1"/>
  <c r="J278" i="525" a="1"/>
  <c r="J278" i="525" s="1"/>
  <c r="M206" i="525"/>
  <c r="K206" i="525" a="1"/>
  <c r="K206" i="525" s="1"/>
  <c r="J239" i="525" a="1"/>
  <c r="J239" i="525" s="1"/>
  <c r="J238" i="525" a="1"/>
  <c r="J238" i="525" s="1"/>
  <c r="J237" i="525" a="1"/>
  <c r="J237" i="525" s="1"/>
  <c r="J236" i="525" a="1"/>
  <c r="J236" i="525" s="1"/>
  <c r="J235" i="525" a="1"/>
  <c r="J235" i="525" s="1"/>
  <c r="J234" i="525" a="1"/>
  <c r="J234" i="525" s="1"/>
  <c r="J233" i="525" a="1"/>
  <c r="J233" i="525" s="1"/>
  <c r="J232" i="525" a="1"/>
  <c r="J232" i="525" s="1"/>
  <c r="J231" i="525" a="1"/>
  <c r="J231" i="525" s="1"/>
  <c r="J230" i="525" a="1"/>
  <c r="J230" i="525" s="1"/>
  <c r="J229" i="525" a="1"/>
  <c r="J229" i="525" s="1"/>
  <c r="J228" i="525" a="1"/>
  <c r="J228" i="525" s="1"/>
  <c r="J227" i="525" a="1"/>
  <c r="J227" i="525" s="1"/>
  <c r="J206" i="525" a="1"/>
  <c r="J206" i="525" s="1"/>
  <c r="I190" i="525"/>
  <c r="I197" i="525"/>
  <c r="I238" i="525"/>
  <c r="G216" i="525"/>
  <c r="I279" i="525"/>
  <c r="I278" i="525"/>
  <c r="I206" i="525"/>
  <c r="I189" i="525"/>
  <c r="J109" i="525" a="1"/>
  <c r="J109" i="525" s="1"/>
  <c r="J107" i="525" a="1"/>
  <c r="J107" i="525" s="1"/>
  <c r="M35" i="525"/>
  <c r="M34" i="525"/>
  <c r="K35" i="525" a="1"/>
  <c r="K35" i="525" s="1"/>
  <c r="K34" i="525" a="1"/>
  <c r="K34" i="525" s="1"/>
  <c r="J35" i="525" a="1"/>
  <c r="J35" i="525" s="1"/>
  <c r="J34" i="525" a="1"/>
  <c r="J34" i="525" s="1"/>
  <c r="I19" i="525"/>
  <c r="I69" i="525"/>
  <c r="I107" i="525"/>
  <c r="I57" i="525"/>
  <c r="I26" i="525"/>
  <c r="I109" i="525"/>
  <c r="I12" i="525"/>
  <c r="G279" i="525"/>
  <c r="G217" i="525"/>
  <c r="G206" i="525"/>
  <c r="G239" i="525"/>
  <c r="G227" i="525"/>
  <c r="G190" i="525"/>
  <c r="G238" i="525"/>
  <c r="G197" i="525"/>
  <c r="G189" i="525"/>
  <c r="G57" i="525"/>
  <c r="G107" i="525"/>
  <c r="G35" i="525"/>
  <c r="G34" i="525"/>
  <c r="G69" i="525"/>
  <c r="G46" i="525"/>
  <c r="G26" i="525"/>
  <c r="G19" i="525"/>
  <c r="G12" i="525"/>
  <c r="M504" i="526" l="1"/>
  <c r="Z169" i="526"/>
  <c r="Z170" i="526"/>
  <c r="C518" i="526"/>
  <c r="G518" i="526" s="1"/>
  <c r="E172" i="526"/>
  <c r="G516" i="526"/>
  <c r="X513" i="526"/>
  <c r="Z506" i="526" s="1" a="1"/>
  <c r="Z506" i="526" s="1"/>
  <c r="K504" i="526"/>
  <c r="Z339" i="526"/>
  <c r="Z336" i="526"/>
  <c r="V504" i="526"/>
  <c r="R342" i="526"/>
  <c r="T335" i="526" s="1" a="1"/>
  <c r="T335" i="526" s="1"/>
  <c r="Z171" i="526"/>
  <c r="Z165" i="526" a="1"/>
  <c r="Z165" i="526" s="1"/>
  <c r="M165" i="526"/>
  <c r="K169" i="526"/>
  <c r="M169" i="526" s="1"/>
  <c r="K521" i="526"/>
  <c r="R172" i="526"/>
  <c r="T165" i="526" s="1" a="1"/>
  <c r="T165" i="526" s="1"/>
  <c r="J163" i="526" a="1"/>
  <c r="J163" i="526" s="1"/>
  <c r="M170" i="526" s="1"/>
  <c r="B170" i="526"/>
  <c r="C516" i="526" s="1"/>
  <c r="K333" i="526"/>
  <c r="Q522" i="526"/>
  <c r="Z166" i="526"/>
  <c r="W163" i="526"/>
  <c r="K163" i="526"/>
  <c r="E171" i="526" s="1"/>
  <c r="R513" i="526"/>
  <c r="T506" i="526" s="1" a="1"/>
  <c r="T506" i="526" s="1"/>
  <c r="M335" i="526"/>
  <c r="K339" i="526"/>
  <c r="M339" i="526" s="1"/>
  <c r="Z341" i="526"/>
  <c r="Z335" i="526" a="1"/>
  <c r="Z335" i="526" s="1"/>
  <c r="Z337" i="526"/>
  <c r="Z338" i="526"/>
  <c r="C527" i="526"/>
  <c r="E521" i="526" s="1"/>
  <c r="M333" i="526"/>
  <c r="Q523" i="526"/>
  <c r="Z167" i="526"/>
  <c r="V163" i="526"/>
  <c r="I172" i="526" s="1"/>
  <c r="M163" i="526"/>
  <c r="H313" i="505"/>
  <c r="P533" i="525"/>
  <c r="O533" i="525"/>
  <c r="N533" i="525"/>
  <c r="M533" i="525"/>
  <c r="L533" i="525"/>
  <c r="K533" i="525"/>
  <c r="I533" i="525"/>
  <c r="H533" i="525"/>
  <c r="G533" i="525"/>
  <c r="F533" i="525"/>
  <c r="E533" i="525"/>
  <c r="G514" i="525"/>
  <c r="N514" i="525" s="1"/>
  <c r="X512" i="525"/>
  <c r="X511" i="525"/>
  <c r="X510" i="525"/>
  <c r="G510" i="525"/>
  <c r="C510" i="525"/>
  <c r="X509" i="525"/>
  <c r="I509" i="525"/>
  <c r="E509" i="525"/>
  <c r="K509" i="525" s="1"/>
  <c r="M509" i="525" s="1"/>
  <c r="X508" i="525"/>
  <c r="I508" i="525"/>
  <c r="E508" i="525"/>
  <c r="K508" i="525" s="1"/>
  <c r="M508" i="525" s="1"/>
  <c r="I507" i="525"/>
  <c r="E507" i="525"/>
  <c r="K507" i="525" s="1"/>
  <c r="M507" i="525" s="1"/>
  <c r="I506" i="525"/>
  <c r="I510" i="525" s="1"/>
  <c r="E506" i="525"/>
  <c r="K506" i="525" s="1"/>
  <c r="AA503" i="525"/>
  <c r="Z503" i="525"/>
  <c r="Y503" i="525"/>
  <c r="X503" i="525"/>
  <c r="U503" i="525"/>
  <c r="T503" i="525"/>
  <c r="S503" i="525"/>
  <c r="R503" i="525"/>
  <c r="Q503" i="525"/>
  <c r="P503" i="525"/>
  <c r="O503" i="525"/>
  <c r="R511" i="525" s="1"/>
  <c r="I503" i="525"/>
  <c r="G503" i="525"/>
  <c r="J503" i="525" s="1" a="1"/>
  <c r="J503" i="525" s="1"/>
  <c r="H502" i="525"/>
  <c r="H501" i="525"/>
  <c r="H500" i="525"/>
  <c r="D499" i="525"/>
  <c r="H499" i="525" s="1"/>
  <c r="V498" i="525"/>
  <c r="W498" i="525" s="1"/>
  <c r="N498" i="525"/>
  <c r="K498" i="525" a="1"/>
  <c r="K498" i="525" s="1"/>
  <c r="M498" i="525" s="1"/>
  <c r="J498" i="525" a="1"/>
  <c r="J498" i="525" s="1"/>
  <c r="H498" i="525"/>
  <c r="H497" i="525"/>
  <c r="H496" i="525"/>
  <c r="V495" i="525"/>
  <c r="W495" i="525" s="1"/>
  <c r="N495" i="525"/>
  <c r="K495" i="525"/>
  <c r="M495" i="525" s="1"/>
  <c r="K495" i="525" a="1"/>
  <c r="J495" i="525"/>
  <c r="J495" i="525" a="1"/>
  <c r="H495" i="525"/>
  <c r="V494" i="525"/>
  <c r="W494" i="525" s="1"/>
  <c r="N494" i="525"/>
  <c r="K494" i="525" a="1"/>
  <c r="K494" i="525" s="1"/>
  <c r="M494" i="525" s="1"/>
  <c r="J494" i="525" a="1"/>
  <c r="J494" i="525" s="1"/>
  <c r="H494" i="525"/>
  <c r="H493" i="525"/>
  <c r="H492" i="525"/>
  <c r="V491" i="525"/>
  <c r="W491" i="525" s="1"/>
  <c r="N491" i="525"/>
  <c r="K491" i="525" a="1"/>
  <c r="K491" i="525" s="1"/>
  <c r="M491" i="525" s="1"/>
  <c r="J491" i="525" a="1"/>
  <c r="J491" i="525" s="1"/>
  <c r="H491" i="525"/>
  <c r="V490" i="525"/>
  <c r="W490" i="525" s="1"/>
  <c r="N490" i="525"/>
  <c r="K490" i="525" a="1"/>
  <c r="K490" i="525" s="1"/>
  <c r="M490" i="525" s="1"/>
  <c r="J490" i="525" a="1"/>
  <c r="J490" i="525" s="1"/>
  <c r="H490" i="525"/>
  <c r="V489" i="525"/>
  <c r="W489" i="525" s="1"/>
  <c r="N489" i="525"/>
  <c r="K489" i="525"/>
  <c r="M489" i="525" s="1"/>
  <c r="K489" i="525" a="1"/>
  <c r="J489" i="525"/>
  <c r="J489" i="525" a="1"/>
  <c r="H489" i="525"/>
  <c r="V488" i="525"/>
  <c r="V503" i="525" s="1"/>
  <c r="N488" i="525"/>
  <c r="N503" i="525" s="1"/>
  <c r="K488" i="525" a="1"/>
  <c r="K488" i="525" s="1"/>
  <c r="J488" i="525" a="1"/>
  <c r="J488" i="525" s="1"/>
  <c r="H488" i="525"/>
  <c r="H503" i="525" s="1"/>
  <c r="AA487" i="525"/>
  <c r="Z487" i="525"/>
  <c r="Y487" i="525"/>
  <c r="X487" i="525"/>
  <c r="U487" i="525"/>
  <c r="T487" i="525"/>
  <c r="S487" i="525"/>
  <c r="Q487" i="525"/>
  <c r="P487" i="525"/>
  <c r="O487" i="525"/>
  <c r="I487" i="525"/>
  <c r="G487" i="525"/>
  <c r="J487" i="525" s="1" a="1"/>
  <c r="J487" i="525" s="1"/>
  <c r="V486" i="525"/>
  <c r="W486" i="525" s="1"/>
  <c r="N486" i="525"/>
  <c r="K486" i="525" a="1"/>
  <c r="K486" i="525" s="1"/>
  <c r="M486" i="525" s="1"/>
  <c r="J486" i="525" a="1"/>
  <c r="J486" i="525" s="1"/>
  <c r="H486" i="525"/>
  <c r="H483" i="525"/>
  <c r="V482" i="525"/>
  <c r="W482" i="525" s="1"/>
  <c r="N482" i="525"/>
  <c r="K482" i="525"/>
  <c r="M482" i="525" s="1"/>
  <c r="K482" i="525" a="1"/>
  <c r="J482" i="525"/>
  <c r="J482" i="525" a="1"/>
  <c r="H482" i="525"/>
  <c r="V481" i="525"/>
  <c r="W481" i="525" s="1"/>
  <c r="N481" i="525"/>
  <c r="K481" i="525" a="1"/>
  <c r="K481" i="525" s="1"/>
  <c r="M481" i="525" s="1"/>
  <c r="J481" i="525" a="1"/>
  <c r="J481" i="525" s="1"/>
  <c r="H481" i="525"/>
  <c r="V480" i="525"/>
  <c r="W480" i="525" s="1"/>
  <c r="N480" i="525"/>
  <c r="K480" i="525" a="1"/>
  <c r="K480" i="525" s="1"/>
  <c r="M480" i="525" s="1"/>
  <c r="J480" i="525" a="1"/>
  <c r="J480" i="525" s="1"/>
  <c r="H480" i="525"/>
  <c r="V479" i="525"/>
  <c r="W479" i="525" s="1"/>
  <c r="N479" i="525"/>
  <c r="K479" i="525" a="1"/>
  <c r="K479" i="525" s="1"/>
  <c r="M479" i="525" s="1"/>
  <c r="J479" i="525" a="1"/>
  <c r="J479" i="525" s="1"/>
  <c r="H479" i="525"/>
  <c r="V478" i="525"/>
  <c r="V487" i="525" s="1"/>
  <c r="W487" i="525" s="1"/>
  <c r="N478" i="525"/>
  <c r="N487" i="525" s="1"/>
  <c r="K478" i="525"/>
  <c r="M478" i="525" s="1"/>
  <c r="K478" i="525" a="1"/>
  <c r="J478" i="525"/>
  <c r="J478" i="525" a="1"/>
  <c r="H478" i="525"/>
  <c r="H487" i="525" s="1"/>
  <c r="AA477" i="525"/>
  <c r="Z477" i="525"/>
  <c r="Y477" i="525"/>
  <c r="X477" i="525"/>
  <c r="U477" i="525"/>
  <c r="T477" i="525"/>
  <c r="S477" i="525"/>
  <c r="Q477" i="525"/>
  <c r="P477" i="525"/>
  <c r="O477" i="525"/>
  <c r="R509" i="525" s="1"/>
  <c r="I477" i="525"/>
  <c r="G477" i="525"/>
  <c r="J477" i="525" s="1" a="1"/>
  <c r="J477" i="525" s="1"/>
  <c r="V476" i="525"/>
  <c r="W476" i="525" s="1"/>
  <c r="N476" i="525"/>
  <c r="K476" i="525" a="1"/>
  <c r="K476" i="525" s="1"/>
  <c r="M476" i="525" s="1"/>
  <c r="J476" i="525" a="1"/>
  <c r="J476" i="525" s="1"/>
  <c r="H476" i="525"/>
  <c r="V475" i="525"/>
  <c r="W475" i="525" s="1"/>
  <c r="N475" i="525"/>
  <c r="K475" i="525" a="1"/>
  <c r="K475" i="525" s="1"/>
  <c r="M475" i="525" s="1"/>
  <c r="J475" i="525" a="1"/>
  <c r="J475" i="525" s="1"/>
  <c r="H475" i="525"/>
  <c r="V474" i="525"/>
  <c r="W474" i="525" s="1"/>
  <c r="N474" i="525"/>
  <c r="K474" i="525" a="1"/>
  <c r="K474" i="525" s="1"/>
  <c r="M474" i="525" s="1"/>
  <c r="J474" i="525" a="1"/>
  <c r="J474" i="525" s="1"/>
  <c r="H474" i="525"/>
  <c r="V473" i="525"/>
  <c r="W473" i="525" s="1"/>
  <c r="N473" i="525"/>
  <c r="K473" i="525"/>
  <c r="M473" i="525" s="1"/>
  <c r="K473" i="525" a="1"/>
  <c r="J473" i="525"/>
  <c r="J473" i="525" a="1"/>
  <c r="H473" i="525"/>
  <c r="V472" i="525"/>
  <c r="W472" i="525" s="1"/>
  <c r="N472" i="525"/>
  <c r="K472" i="525" a="1"/>
  <c r="K472" i="525" s="1"/>
  <c r="M472" i="525" s="1"/>
  <c r="J472" i="525" a="1"/>
  <c r="J472" i="525" s="1"/>
  <c r="H472" i="525"/>
  <c r="V471" i="525"/>
  <c r="W471" i="525" s="1"/>
  <c r="N471" i="525"/>
  <c r="K471" i="525" a="1"/>
  <c r="K471" i="525" s="1"/>
  <c r="M471" i="525" s="1"/>
  <c r="J471" i="525" a="1"/>
  <c r="J471" i="525" s="1"/>
  <c r="H471" i="525"/>
  <c r="V470" i="525"/>
  <c r="W470" i="525" s="1"/>
  <c r="N470" i="525"/>
  <c r="K470" i="525" a="1"/>
  <c r="K470" i="525" s="1"/>
  <c r="M470" i="525" s="1"/>
  <c r="J470" i="525" a="1"/>
  <c r="J470" i="525" s="1"/>
  <c r="H470" i="525"/>
  <c r="V469" i="525"/>
  <c r="W469" i="525" s="1"/>
  <c r="N469" i="525"/>
  <c r="K469" i="525"/>
  <c r="M469" i="525" s="1"/>
  <c r="K469" i="525" a="1"/>
  <c r="J469" i="525"/>
  <c r="J469" i="525" a="1"/>
  <c r="H469" i="525"/>
  <c r="V468" i="525"/>
  <c r="W468" i="525" s="1"/>
  <c r="N468" i="525"/>
  <c r="K468" i="525" a="1"/>
  <c r="K468" i="525" s="1"/>
  <c r="M468" i="525" s="1"/>
  <c r="J468" i="525" a="1"/>
  <c r="J468" i="525" s="1"/>
  <c r="H468" i="525"/>
  <c r="V467" i="525"/>
  <c r="W467" i="525" s="1"/>
  <c r="N467" i="525"/>
  <c r="K467" i="525" a="1"/>
  <c r="K467" i="525" s="1"/>
  <c r="M467" i="525" s="1"/>
  <c r="J467" i="525" a="1"/>
  <c r="J467" i="525" s="1"/>
  <c r="H467" i="525"/>
  <c r="V466" i="525"/>
  <c r="W466" i="525" s="1"/>
  <c r="N466" i="525"/>
  <c r="K466" i="525" a="1"/>
  <c r="K466" i="525" s="1"/>
  <c r="M466" i="525" s="1"/>
  <c r="J466" i="525" a="1"/>
  <c r="J466" i="525" s="1"/>
  <c r="H466" i="525"/>
  <c r="V465" i="525"/>
  <c r="W465" i="525" s="1"/>
  <c r="N465" i="525"/>
  <c r="K465" i="525"/>
  <c r="M465" i="525" s="1"/>
  <c r="K465" i="525" a="1"/>
  <c r="J465" i="525"/>
  <c r="J465" i="525" a="1"/>
  <c r="H465" i="525"/>
  <c r="V464" i="525"/>
  <c r="W464" i="525" s="1"/>
  <c r="N464" i="525"/>
  <c r="K464" i="525" a="1"/>
  <c r="K464" i="525" s="1"/>
  <c r="M464" i="525" s="1"/>
  <c r="J464" i="525" a="1"/>
  <c r="J464" i="525" s="1"/>
  <c r="H464" i="525"/>
  <c r="V463" i="525"/>
  <c r="W463" i="525" s="1"/>
  <c r="N463" i="525"/>
  <c r="K463" i="525" a="1"/>
  <c r="K463" i="525" s="1"/>
  <c r="M463" i="525" s="1"/>
  <c r="J463" i="525" a="1"/>
  <c r="J463" i="525" s="1"/>
  <c r="H463" i="525"/>
  <c r="V462" i="525"/>
  <c r="N462" i="525"/>
  <c r="K462" i="525" a="1"/>
  <c r="K462" i="525" s="1"/>
  <c r="J462" i="525" a="1"/>
  <c r="J462" i="525" s="1"/>
  <c r="H462" i="525"/>
  <c r="AA461" i="525"/>
  <c r="Z461" i="525"/>
  <c r="Y461" i="525"/>
  <c r="X461" i="525"/>
  <c r="U461" i="525"/>
  <c r="T461" i="525"/>
  <c r="S461" i="525"/>
  <c r="R461" i="525"/>
  <c r="Q461" i="525"/>
  <c r="P461" i="525"/>
  <c r="O461" i="525"/>
  <c r="I461" i="525"/>
  <c r="G461" i="525"/>
  <c r="V460" i="525"/>
  <c r="W460" i="525" s="1"/>
  <c r="N460" i="525"/>
  <c r="K460" i="525" a="1"/>
  <c r="K460" i="525" s="1"/>
  <c r="M460" i="525" s="1"/>
  <c r="J460" i="525" a="1"/>
  <c r="J460" i="525" s="1"/>
  <c r="H460" i="525"/>
  <c r="V459" i="525"/>
  <c r="W459" i="525" s="1"/>
  <c r="N459" i="525"/>
  <c r="K459" i="525"/>
  <c r="M459" i="525" s="1"/>
  <c r="K459" i="525" a="1"/>
  <c r="J459" i="525"/>
  <c r="J459" i="525" a="1"/>
  <c r="H459" i="525"/>
  <c r="V458" i="525"/>
  <c r="W458" i="525" s="1"/>
  <c r="N458" i="525"/>
  <c r="K458" i="525" a="1"/>
  <c r="K458" i="525" s="1"/>
  <c r="M458" i="525" s="1"/>
  <c r="J458" i="525" a="1"/>
  <c r="J458" i="525" s="1"/>
  <c r="H458" i="525"/>
  <c r="K457" i="525" a="1"/>
  <c r="K457" i="525" s="1"/>
  <c r="M457" i="525" s="1"/>
  <c r="H457" i="525"/>
  <c r="K456" i="525" a="1"/>
  <c r="K456" i="525" s="1"/>
  <c r="M456" i="525" s="1"/>
  <c r="H456" i="525"/>
  <c r="K455" i="525" a="1"/>
  <c r="K455" i="525" s="1"/>
  <c r="M455" i="525" s="1"/>
  <c r="H455" i="525"/>
  <c r="W454" i="525"/>
  <c r="V454" i="525"/>
  <c r="N454" i="525"/>
  <c r="K454" i="525" a="1"/>
  <c r="K454" i="525" s="1"/>
  <c r="M454" i="525" s="1"/>
  <c r="J454" i="525" a="1"/>
  <c r="J454" i="525" s="1"/>
  <c r="H454" i="525"/>
  <c r="V453" i="525"/>
  <c r="W453" i="525" s="1"/>
  <c r="N453" i="525"/>
  <c r="K453" i="525"/>
  <c r="M453" i="525" s="1"/>
  <c r="K453" i="525" a="1"/>
  <c r="J453" i="525" a="1"/>
  <c r="J453" i="525" s="1"/>
  <c r="H453" i="525"/>
  <c r="N452" i="525"/>
  <c r="K452" i="525" a="1"/>
  <c r="K452" i="525" s="1"/>
  <c r="M452" i="525" s="1"/>
  <c r="H452" i="525"/>
  <c r="N451" i="525"/>
  <c r="K451" i="525" a="1"/>
  <c r="K451" i="525" s="1"/>
  <c r="M451" i="525" s="1"/>
  <c r="H451" i="525"/>
  <c r="N450" i="525"/>
  <c r="K450" i="525" a="1"/>
  <c r="K450" i="525" s="1"/>
  <c r="M450" i="525" s="1"/>
  <c r="H450" i="525"/>
  <c r="N449" i="525"/>
  <c r="K449" i="525" a="1"/>
  <c r="K449" i="525" s="1"/>
  <c r="M449" i="525" s="1"/>
  <c r="H449" i="525"/>
  <c r="N448" i="525"/>
  <c r="K448" i="525" a="1"/>
  <c r="K448" i="525" s="1"/>
  <c r="M448" i="525" s="1"/>
  <c r="H448" i="525"/>
  <c r="N447" i="525"/>
  <c r="K447" i="525" a="1"/>
  <c r="K447" i="525" s="1"/>
  <c r="M447" i="525" s="1"/>
  <c r="H447" i="525"/>
  <c r="V446" i="525"/>
  <c r="W446" i="525" s="1"/>
  <c r="N446" i="525"/>
  <c r="K446" i="525" a="1"/>
  <c r="K446" i="525" s="1"/>
  <c r="M446" i="525" s="1"/>
  <c r="J446" i="525" a="1"/>
  <c r="J446" i="525" s="1"/>
  <c r="H446" i="525"/>
  <c r="V445" i="525"/>
  <c r="W445" i="525" s="1"/>
  <c r="N445" i="525"/>
  <c r="K445" i="525"/>
  <c r="M445" i="525" s="1"/>
  <c r="K445" i="525" a="1"/>
  <c r="J445" i="525" a="1"/>
  <c r="J445" i="525" s="1"/>
  <c r="H445" i="525"/>
  <c r="V444" i="525"/>
  <c r="W444" i="525" s="1"/>
  <c r="N444" i="525"/>
  <c r="K444" i="525" a="1"/>
  <c r="K444" i="525" s="1"/>
  <c r="M444" i="525" s="1"/>
  <c r="J444" i="525" a="1"/>
  <c r="J444" i="525" s="1"/>
  <c r="H444" i="525"/>
  <c r="V443" i="525"/>
  <c r="W443" i="525" s="1"/>
  <c r="N443" i="525"/>
  <c r="K443" i="525"/>
  <c r="M443" i="525" s="1"/>
  <c r="K443" i="525" a="1"/>
  <c r="J443" i="525" a="1"/>
  <c r="J443" i="525" s="1"/>
  <c r="H443" i="525"/>
  <c r="V442" i="525"/>
  <c r="W442" i="525" s="1"/>
  <c r="N442" i="525"/>
  <c r="K442" i="525" a="1"/>
  <c r="K442" i="525" s="1"/>
  <c r="M442" i="525" s="1"/>
  <c r="J442" i="525" a="1"/>
  <c r="J442" i="525" s="1"/>
  <c r="H442" i="525"/>
  <c r="V441" i="525"/>
  <c r="W441" i="525" s="1"/>
  <c r="N441" i="525"/>
  <c r="K441" i="525"/>
  <c r="M441" i="525" s="1"/>
  <c r="K441" i="525" a="1"/>
  <c r="J441" i="525" a="1"/>
  <c r="J441" i="525" s="1"/>
  <c r="H441" i="525"/>
  <c r="W440" i="525"/>
  <c r="V440" i="525"/>
  <c r="N440" i="525"/>
  <c r="K440" i="525" a="1"/>
  <c r="K440" i="525" s="1"/>
  <c r="M440" i="525" s="1"/>
  <c r="J440" i="525" a="1"/>
  <c r="J440" i="525" s="1"/>
  <c r="H440" i="525"/>
  <c r="V439" i="525"/>
  <c r="W439" i="525" s="1"/>
  <c r="N439" i="525"/>
  <c r="K439" i="525"/>
  <c r="M439" i="525" s="1"/>
  <c r="K439" i="525" a="1"/>
  <c r="J439" i="525" a="1"/>
  <c r="J439" i="525" s="1"/>
  <c r="H439" i="525"/>
  <c r="W438" i="525"/>
  <c r="V438" i="525"/>
  <c r="N438" i="525"/>
  <c r="K438" i="525" a="1"/>
  <c r="K438" i="525" s="1"/>
  <c r="M438" i="525" s="1"/>
  <c r="J438" i="525" a="1"/>
  <c r="J438" i="525" s="1"/>
  <c r="H438" i="525"/>
  <c r="V437" i="525"/>
  <c r="W437" i="525" s="1"/>
  <c r="N437" i="525"/>
  <c r="K437" i="525"/>
  <c r="M437" i="525" s="1"/>
  <c r="K437" i="525" a="1"/>
  <c r="J437" i="525" a="1"/>
  <c r="J437" i="525" s="1"/>
  <c r="H437" i="525"/>
  <c r="W436" i="525"/>
  <c r="V436" i="525"/>
  <c r="N436" i="525"/>
  <c r="K436" i="525" a="1"/>
  <c r="K436" i="525" s="1"/>
  <c r="M436" i="525" s="1"/>
  <c r="J436" i="525" a="1"/>
  <c r="J436" i="525" s="1"/>
  <c r="H436" i="525"/>
  <c r="V435" i="525"/>
  <c r="W435" i="525" s="1"/>
  <c r="N435" i="525"/>
  <c r="K435" i="525"/>
  <c r="M435" i="525" s="1"/>
  <c r="K435" i="525" a="1"/>
  <c r="J435" i="525" a="1"/>
  <c r="J435" i="525" s="1"/>
  <c r="H435" i="525"/>
  <c r="N434" i="525"/>
  <c r="K434" i="525" a="1"/>
  <c r="K434" i="525" s="1"/>
  <c r="M434" i="525" s="1"/>
  <c r="H434" i="525"/>
  <c r="V433" i="525"/>
  <c r="W433" i="525" s="1"/>
  <c r="N433" i="525"/>
  <c r="K433" i="525"/>
  <c r="M433" i="525" s="1"/>
  <c r="K433" i="525" a="1"/>
  <c r="J433" i="525" a="1"/>
  <c r="J433" i="525" s="1"/>
  <c r="H433" i="525"/>
  <c r="W432" i="525"/>
  <c r="V432" i="525"/>
  <c r="N432" i="525"/>
  <c r="K432" i="525" a="1"/>
  <c r="K432" i="525" s="1"/>
  <c r="M432" i="525" s="1"/>
  <c r="J432" i="525" a="1"/>
  <c r="J432" i="525" s="1"/>
  <c r="H432" i="525"/>
  <c r="V431" i="525"/>
  <c r="W431" i="525" s="1"/>
  <c r="N431" i="525"/>
  <c r="K431" i="525"/>
  <c r="M431" i="525" s="1"/>
  <c r="K431" i="525" a="1"/>
  <c r="J431" i="525" a="1"/>
  <c r="J431" i="525" s="1"/>
  <c r="H431" i="525"/>
  <c r="W430" i="525"/>
  <c r="V430" i="525"/>
  <c r="N430" i="525"/>
  <c r="K430" i="525" a="1"/>
  <c r="K430" i="525" s="1"/>
  <c r="M430" i="525" s="1"/>
  <c r="J430" i="525" a="1"/>
  <c r="J430" i="525" s="1"/>
  <c r="H430" i="525"/>
  <c r="V429" i="525"/>
  <c r="W429" i="525" s="1"/>
  <c r="N429" i="525"/>
  <c r="K429" i="525"/>
  <c r="M429" i="525" s="1"/>
  <c r="K429" i="525" a="1"/>
  <c r="J429" i="525" a="1"/>
  <c r="J429" i="525" s="1"/>
  <c r="H429" i="525"/>
  <c r="W428" i="525"/>
  <c r="V428" i="525"/>
  <c r="N428" i="525"/>
  <c r="K428" i="525" a="1"/>
  <c r="K428" i="525" s="1"/>
  <c r="M428" i="525" s="1"/>
  <c r="J428" i="525" a="1"/>
  <c r="J428" i="525" s="1"/>
  <c r="H428" i="525"/>
  <c r="V427" i="525"/>
  <c r="V461" i="525" s="1"/>
  <c r="W461" i="525" s="1"/>
  <c r="N427" i="525"/>
  <c r="K427" i="525"/>
  <c r="M427" i="525" s="1"/>
  <c r="K427" i="525" a="1"/>
  <c r="J427" i="525"/>
  <c r="J427" i="525" a="1"/>
  <c r="H427" i="525"/>
  <c r="H461" i="525" s="1"/>
  <c r="AA426" i="525"/>
  <c r="Z426" i="525"/>
  <c r="Y426" i="525"/>
  <c r="X426" i="525"/>
  <c r="U426" i="525"/>
  <c r="T426" i="525"/>
  <c r="S426" i="525"/>
  <c r="R426" i="525"/>
  <c r="Q426" i="525"/>
  <c r="P426" i="525"/>
  <c r="O426" i="525"/>
  <c r="I426" i="525"/>
  <c r="G426" i="525"/>
  <c r="K425" i="525"/>
  <c r="M425" i="525" s="1"/>
  <c r="K425" i="525" a="1"/>
  <c r="H425" i="525"/>
  <c r="K424" i="525" a="1"/>
  <c r="K424" i="525" s="1"/>
  <c r="M424" i="525" s="1"/>
  <c r="H424" i="525"/>
  <c r="K423" i="525"/>
  <c r="M423" i="525" s="1"/>
  <c r="K423" i="525" a="1"/>
  <c r="H423" i="525"/>
  <c r="K422" i="525" a="1"/>
  <c r="K422" i="525" s="1"/>
  <c r="M422" i="525" s="1"/>
  <c r="H422" i="525"/>
  <c r="K421" i="525" a="1"/>
  <c r="K421" i="525" s="1"/>
  <c r="M421" i="525" s="1"/>
  <c r="H421" i="525"/>
  <c r="K420" i="525" a="1"/>
  <c r="K420" i="525" s="1"/>
  <c r="M420" i="525" s="1"/>
  <c r="H420" i="525"/>
  <c r="K419" i="525" a="1"/>
  <c r="K419" i="525" s="1"/>
  <c r="M419" i="525" s="1"/>
  <c r="H419" i="525"/>
  <c r="K418" i="525" a="1"/>
  <c r="K418" i="525" s="1"/>
  <c r="M418" i="525" s="1"/>
  <c r="H418" i="525"/>
  <c r="K417" i="525" a="1"/>
  <c r="K417" i="525" s="1"/>
  <c r="M417" i="525" s="1"/>
  <c r="H417" i="525"/>
  <c r="K416" i="525" a="1"/>
  <c r="K416" i="525" s="1"/>
  <c r="M416" i="525" s="1"/>
  <c r="H416" i="525"/>
  <c r="V415" i="525"/>
  <c r="W415" i="525" s="1"/>
  <c r="N415" i="525"/>
  <c r="K415" i="525"/>
  <c r="M415" i="525" s="1"/>
  <c r="K415" i="525" a="1"/>
  <c r="J415" i="525" a="1"/>
  <c r="J415" i="525" s="1"/>
  <c r="H415" i="525"/>
  <c r="V414" i="525"/>
  <c r="W414" i="525" s="1"/>
  <c r="N414" i="525"/>
  <c r="K414" i="525" a="1"/>
  <c r="K414" i="525" s="1"/>
  <c r="M414" i="525" s="1"/>
  <c r="J414" i="525" a="1"/>
  <c r="J414" i="525" s="1"/>
  <c r="H414" i="525"/>
  <c r="V413" i="525"/>
  <c r="W413" i="525" s="1"/>
  <c r="N413" i="525"/>
  <c r="K413" i="525"/>
  <c r="M413" i="525" s="1"/>
  <c r="K413" i="525" a="1"/>
  <c r="J413" i="525"/>
  <c r="J413" i="525" a="1"/>
  <c r="H413" i="525"/>
  <c r="V412" i="525"/>
  <c r="W412" i="525" s="1"/>
  <c r="N412" i="525"/>
  <c r="K412" i="525" a="1"/>
  <c r="K412" i="525" s="1"/>
  <c r="M412" i="525" s="1"/>
  <c r="J412" i="525" a="1"/>
  <c r="J412" i="525" s="1"/>
  <c r="H412" i="525"/>
  <c r="H411" i="525"/>
  <c r="V410" i="525"/>
  <c r="W410" i="525" s="1"/>
  <c r="N410" i="525"/>
  <c r="K410" i="525" a="1"/>
  <c r="K410" i="525" s="1"/>
  <c r="M410" i="525" s="1"/>
  <c r="J410" i="525" a="1"/>
  <c r="J410" i="525" s="1"/>
  <c r="H410" i="525"/>
  <c r="V409" i="525"/>
  <c r="W409" i="525" s="1"/>
  <c r="N409" i="525"/>
  <c r="K409" i="525" a="1"/>
  <c r="K409" i="525" s="1"/>
  <c r="M409" i="525" s="1"/>
  <c r="J409" i="525" a="1"/>
  <c r="J409" i="525" s="1"/>
  <c r="H409" i="525"/>
  <c r="H408" i="525"/>
  <c r="K407" i="525" a="1"/>
  <c r="K407" i="525" s="1"/>
  <c r="H407" i="525"/>
  <c r="V406" i="525"/>
  <c r="W406" i="525" s="1"/>
  <c r="N406" i="525"/>
  <c r="K406" i="525" a="1"/>
  <c r="K406" i="525" s="1"/>
  <c r="M406" i="525" s="1"/>
  <c r="J406" i="525" a="1"/>
  <c r="J406" i="525" s="1"/>
  <c r="H406" i="525"/>
  <c r="V405" i="525"/>
  <c r="W405" i="525" s="1"/>
  <c r="N405" i="525"/>
  <c r="K405" i="525"/>
  <c r="M405" i="525" s="1"/>
  <c r="K405" i="525" a="1"/>
  <c r="J405" i="525"/>
  <c r="J405" i="525" a="1"/>
  <c r="H405" i="525"/>
  <c r="V404" i="525"/>
  <c r="W404" i="525" s="1"/>
  <c r="N404" i="525"/>
  <c r="K404" i="525" a="1"/>
  <c r="K404" i="525" s="1"/>
  <c r="M404" i="525" s="1"/>
  <c r="J404" i="525" a="1"/>
  <c r="J404" i="525" s="1"/>
  <c r="H404" i="525"/>
  <c r="V403" i="525"/>
  <c r="W403" i="525" s="1"/>
  <c r="N403" i="525"/>
  <c r="K403" i="525" a="1"/>
  <c r="K403" i="525" s="1"/>
  <c r="M403" i="525" s="1"/>
  <c r="J403" i="525" a="1"/>
  <c r="J403" i="525" s="1"/>
  <c r="H403" i="525"/>
  <c r="V402" i="525"/>
  <c r="W402" i="525" s="1"/>
  <c r="N402" i="525"/>
  <c r="K402" i="525" a="1"/>
  <c r="K402" i="525" s="1"/>
  <c r="M402" i="525" s="1"/>
  <c r="J402" i="525" a="1"/>
  <c r="J402" i="525" s="1"/>
  <c r="H402" i="525"/>
  <c r="V401" i="525"/>
  <c r="W401" i="525" s="1"/>
  <c r="N401" i="525"/>
  <c r="K401" i="525"/>
  <c r="M401" i="525" s="1"/>
  <c r="K401" i="525" a="1"/>
  <c r="J401" i="525"/>
  <c r="J401" i="525" a="1"/>
  <c r="H401" i="525"/>
  <c r="V400" i="525"/>
  <c r="W400" i="525" s="1"/>
  <c r="N400" i="525"/>
  <c r="K400" i="525" a="1"/>
  <c r="K400" i="525" s="1"/>
  <c r="M400" i="525" s="1"/>
  <c r="J400" i="525" a="1"/>
  <c r="J400" i="525" s="1"/>
  <c r="H400" i="525"/>
  <c r="W399" i="525"/>
  <c r="V399" i="525"/>
  <c r="N399" i="525"/>
  <c r="K399" i="525" a="1"/>
  <c r="K399" i="525" s="1"/>
  <c r="M399" i="525" s="1"/>
  <c r="J399" i="525" a="1"/>
  <c r="J399" i="525" s="1"/>
  <c r="H399" i="525"/>
  <c r="V398" i="525"/>
  <c r="W398" i="525" s="1"/>
  <c r="N398" i="525"/>
  <c r="K398" i="525" a="1"/>
  <c r="K398" i="525" s="1"/>
  <c r="M398" i="525" s="1"/>
  <c r="J398" i="525" a="1"/>
  <c r="J398" i="525" s="1"/>
  <c r="H398" i="525"/>
  <c r="V397" i="525"/>
  <c r="W397" i="525" s="1"/>
  <c r="N397" i="525"/>
  <c r="K397" i="525"/>
  <c r="M397" i="525" s="1"/>
  <c r="K397" i="525" a="1"/>
  <c r="J397" i="525"/>
  <c r="J397" i="525" a="1"/>
  <c r="H397" i="525"/>
  <c r="K396" i="525" a="1"/>
  <c r="K396" i="525" s="1"/>
  <c r="M396" i="525" s="1"/>
  <c r="H396" i="525"/>
  <c r="K395" i="525"/>
  <c r="M395" i="525" s="1"/>
  <c r="K395" i="525" a="1"/>
  <c r="H395" i="525"/>
  <c r="K394" i="525" a="1"/>
  <c r="K394" i="525" s="1"/>
  <c r="M394" i="525" s="1"/>
  <c r="H394" i="525"/>
  <c r="K393" i="525" a="1"/>
  <c r="K393" i="525" s="1"/>
  <c r="M393" i="525" s="1"/>
  <c r="H393" i="525"/>
  <c r="N392" i="525"/>
  <c r="K392" i="525" a="1"/>
  <c r="K392" i="525" s="1"/>
  <c r="M392" i="525" s="1"/>
  <c r="H392" i="525"/>
  <c r="N391" i="525"/>
  <c r="K391" i="525" a="1"/>
  <c r="K391" i="525" s="1"/>
  <c r="M391" i="525" s="1"/>
  <c r="H391" i="525"/>
  <c r="N390" i="525"/>
  <c r="K390" i="525" a="1"/>
  <c r="K390" i="525" s="1"/>
  <c r="M390" i="525" s="1"/>
  <c r="H390" i="525"/>
  <c r="N389" i="525"/>
  <c r="K389" i="525" a="1"/>
  <c r="K389" i="525" s="1"/>
  <c r="M389" i="525" s="1"/>
  <c r="H389" i="525"/>
  <c r="V388" i="525"/>
  <c r="W388" i="525" s="1"/>
  <c r="N388" i="525"/>
  <c r="K388" i="525" a="1"/>
  <c r="K388" i="525" s="1"/>
  <c r="M388" i="525" s="1"/>
  <c r="J388" i="525" a="1"/>
  <c r="J388" i="525" s="1"/>
  <c r="H388" i="525"/>
  <c r="V387" i="525"/>
  <c r="W387" i="525" s="1"/>
  <c r="N387" i="525"/>
  <c r="K387" i="525" a="1"/>
  <c r="K387" i="525" s="1"/>
  <c r="M387" i="525" s="1"/>
  <c r="J387" i="525" a="1"/>
  <c r="J387" i="525" s="1"/>
  <c r="H387" i="525"/>
  <c r="V386" i="525"/>
  <c r="W386" i="525" s="1"/>
  <c r="N386" i="525"/>
  <c r="K386" i="525"/>
  <c r="M386" i="525" s="1"/>
  <c r="K386" i="525" a="1"/>
  <c r="J386" i="525"/>
  <c r="J386" i="525" a="1"/>
  <c r="H386" i="525"/>
  <c r="V385" i="525"/>
  <c r="W385" i="525" s="1"/>
  <c r="N385" i="525"/>
  <c r="K385" i="525" a="1"/>
  <c r="K385" i="525" s="1"/>
  <c r="M385" i="525" s="1"/>
  <c r="J385" i="525" a="1"/>
  <c r="J385" i="525" s="1"/>
  <c r="H385" i="525"/>
  <c r="V384" i="525"/>
  <c r="W384" i="525" s="1"/>
  <c r="N384" i="525"/>
  <c r="K384" i="525" a="1"/>
  <c r="K384" i="525" s="1"/>
  <c r="M384" i="525" s="1"/>
  <c r="J384" i="525" a="1"/>
  <c r="J384" i="525" s="1"/>
  <c r="H384" i="525"/>
  <c r="V383" i="525"/>
  <c r="W383" i="525" s="1"/>
  <c r="N383" i="525"/>
  <c r="K383" i="525" a="1"/>
  <c r="K383" i="525" s="1"/>
  <c r="M383" i="525" s="1"/>
  <c r="J383" i="525" a="1"/>
  <c r="J383" i="525" s="1"/>
  <c r="H383" i="525"/>
  <c r="V382" i="525"/>
  <c r="W382" i="525" s="1"/>
  <c r="N382" i="525"/>
  <c r="K382" i="525"/>
  <c r="M382" i="525" s="1"/>
  <c r="K382" i="525" a="1"/>
  <c r="J382" i="525"/>
  <c r="J382" i="525" a="1"/>
  <c r="H382" i="525"/>
  <c r="V381" i="525"/>
  <c r="W381" i="525" s="1"/>
  <c r="N381" i="525"/>
  <c r="K381" i="525" a="1"/>
  <c r="K381" i="525" s="1"/>
  <c r="M381" i="525" s="1"/>
  <c r="J381" i="525" a="1"/>
  <c r="J381" i="525" s="1"/>
  <c r="H381" i="525"/>
  <c r="V380" i="525"/>
  <c r="W380" i="525" s="1"/>
  <c r="N380" i="525"/>
  <c r="K380" i="525" a="1"/>
  <c r="K380" i="525" s="1"/>
  <c r="M380" i="525" s="1"/>
  <c r="J380" i="525" a="1"/>
  <c r="J380" i="525" s="1"/>
  <c r="H380" i="525"/>
  <c r="V379" i="525"/>
  <c r="W379" i="525" s="1"/>
  <c r="N379" i="525"/>
  <c r="K379" i="525" a="1"/>
  <c r="K379" i="525" s="1"/>
  <c r="M379" i="525" s="1"/>
  <c r="J379" i="525" a="1"/>
  <c r="J379" i="525" s="1"/>
  <c r="H379" i="525"/>
  <c r="V378" i="525"/>
  <c r="W378" i="525" s="1"/>
  <c r="N378" i="525"/>
  <c r="K378" i="525"/>
  <c r="M378" i="525" s="1"/>
  <c r="K378" i="525" a="1"/>
  <c r="J378" i="525"/>
  <c r="J378" i="525" a="1"/>
  <c r="H378" i="525"/>
  <c r="V377" i="525"/>
  <c r="W377" i="525" s="1"/>
  <c r="N377" i="525"/>
  <c r="K377" i="525" a="1"/>
  <c r="K377" i="525" s="1"/>
  <c r="M377" i="525" s="1"/>
  <c r="J377" i="525" a="1"/>
  <c r="J377" i="525" s="1"/>
  <c r="H377" i="525"/>
  <c r="K376" i="525" a="1"/>
  <c r="K376" i="525" s="1"/>
  <c r="M376" i="525" s="1"/>
  <c r="H376" i="525"/>
  <c r="K375" i="525" a="1"/>
  <c r="K375" i="525" s="1"/>
  <c r="M375" i="525" s="1"/>
  <c r="H375" i="525"/>
  <c r="K374" i="525" a="1"/>
  <c r="K374" i="525" s="1"/>
  <c r="M374" i="525" s="1"/>
  <c r="H374" i="525"/>
  <c r="W373" i="525"/>
  <c r="V373" i="525"/>
  <c r="N373" i="525"/>
  <c r="K373" i="525" a="1"/>
  <c r="K373" i="525" s="1"/>
  <c r="M373" i="525" s="1"/>
  <c r="J373" i="525" a="1"/>
  <c r="J373" i="525" s="1"/>
  <c r="H373" i="525"/>
  <c r="V372" i="525"/>
  <c r="W372" i="525" s="1"/>
  <c r="N372" i="525"/>
  <c r="K372" i="525" a="1"/>
  <c r="K372" i="525" s="1"/>
  <c r="M372" i="525" s="1"/>
  <c r="J372" i="525" a="1"/>
  <c r="J372" i="525" s="1"/>
  <c r="H372" i="525"/>
  <c r="V371" i="525"/>
  <c r="W371" i="525" s="1"/>
  <c r="N371" i="525"/>
  <c r="K371" i="525"/>
  <c r="M371" i="525" s="1"/>
  <c r="K371" i="525" a="1"/>
  <c r="J371" i="525"/>
  <c r="J371" i="525" a="1"/>
  <c r="H371" i="525"/>
  <c r="K370" i="525" a="1"/>
  <c r="K370" i="525" s="1"/>
  <c r="H370" i="525"/>
  <c r="V369" i="525"/>
  <c r="V426" i="525" s="1"/>
  <c r="W426" i="525" s="1"/>
  <c r="N369" i="525"/>
  <c r="K369" i="525"/>
  <c r="K369" i="525" a="1"/>
  <c r="J369" i="525"/>
  <c r="J369" i="525" a="1"/>
  <c r="H369" i="525"/>
  <c r="H426" i="525" s="1"/>
  <c r="AA368" i="525"/>
  <c r="AA504" i="525" s="1"/>
  <c r="Z368" i="525"/>
  <c r="Z504" i="525" s="1"/>
  <c r="Y368" i="525"/>
  <c r="Y504" i="525" s="1"/>
  <c r="X368" i="525"/>
  <c r="X504" i="525" s="1"/>
  <c r="U368" i="525"/>
  <c r="U504" i="525" s="1"/>
  <c r="T368" i="525"/>
  <c r="T504" i="525" s="1"/>
  <c r="S368" i="525"/>
  <c r="S504" i="525" s="1"/>
  <c r="R368" i="525"/>
  <c r="R504" i="525" s="1"/>
  <c r="Q368" i="525"/>
  <c r="Q504" i="525" s="1"/>
  <c r="P368" i="525"/>
  <c r="P504" i="525" s="1"/>
  <c r="O368" i="525"/>
  <c r="I368" i="525"/>
  <c r="I504" i="525" s="1"/>
  <c r="B512" i="525" s="1"/>
  <c r="G368" i="525"/>
  <c r="G504" i="525" s="1"/>
  <c r="V367" i="525"/>
  <c r="W367" i="525" s="1"/>
  <c r="N367" i="525"/>
  <c r="K367" i="525"/>
  <c r="M367" i="525" s="1"/>
  <c r="K367" i="525" a="1"/>
  <c r="J367" i="525"/>
  <c r="J367" i="525" a="1"/>
  <c r="H367" i="525"/>
  <c r="V366" i="525"/>
  <c r="W366" i="525" s="1"/>
  <c r="N366" i="525"/>
  <c r="K366" i="525" a="1"/>
  <c r="K366" i="525" s="1"/>
  <c r="M366" i="525" s="1"/>
  <c r="J366" i="525" a="1"/>
  <c r="J366" i="525" s="1"/>
  <c r="H366" i="525"/>
  <c r="K365" i="525" a="1"/>
  <c r="K365" i="525" s="1"/>
  <c r="M365" i="525" s="1"/>
  <c r="H365" i="525"/>
  <c r="K364" i="525" a="1"/>
  <c r="K364" i="525" s="1"/>
  <c r="M364" i="525" s="1"/>
  <c r="H364" i="525"/>
  <c r="K363" i="525" a="1"/>
  <c r="K363" i="525" s="1"/>
  <c r="M363" i="525" s="1"/>
  <c r="H363" i="525"/>
  <c r="K362" i="525" a="1"/>
  <c r="K362" i="525" s="1"/>
  <c r="M362" i="525" s="1"/>
  <c r="H362" i="525"/>
  <c r="W361" i="525"/>
  <c r="V361" i="525"/>
  <c r="N361" i="525"/>
  <c r="K361" i="525" a="1"/>
  <c r="K361" i="525" s="1"/>
  <c r="M361" i="525" s="1"/>
  <c r="J361" i="525" a="1"/>
  <c r="J361" i="525" s="1"/>
  <c r="H361" i="525"/>
  <c r="V360" i="525"/>
  <c r="W360" i="525" s="1"/>
  <c r="N360" i="525"/>
  <c r="K360" i="525" a="1"/>
  <c r="K360" i="525" s="1"/>
  <c r="M360" i="525" s="1"/>
  <c r="J360" i="525" a="1"/>
  <c r="J360" i="525" s="1"/>
  <c r="H360" i="525"/>
  <c r="V359" i="525"/>
  <c r="W359" i="525" s="1"/>
  <c r="N359" i="525"/>
  <c r="K359" i="525"/>
  <c r="M359" i="525" s="1"/>
  <c r="K359" i="525" a="1"/>
  <c r="J359" i="525"/>
  <c r="J359" i="525" a="1"/>
  <c r="H359" i="525"/>
  <c r="H358" i="525"/>
  <c r="H357" i="525"/>
  <c r="V356" i="525"/>
  <c r="W356" i="525" s="1"/>
  <c r="N356" i="525"/>
  <c r="K356" i="525" a="1"/>
  <c r="K356" i="525" s="1"/>
  <c r="M356" i="525" s="1"/>
  <c r="J356" i="525" a="1"/>
  <c r="J356" i="525" s="1"/>
  <c r="H356" i="525"/>
  <c r="W355" i="525"/>
  <c r="V355" i="525"/>
  <c r="N355" i="525"/>
  <c r="K355" i="525" a="1"/>
  <c r="K355" i="525" s="1"/>
  <c r="M355" i="525" s="1"/>
  <c r="J355" i="525" a="1"/>
  <c r="J355" i="525" s="1"/>
  <c r="H355" i="525"/>
  <c r="K354" i="525"/>
  <c r="M354" i="525" s="1"/>
  <c r="K354" i="525" a="1"/>
  <c r="H354" i="525"/>
  <c r="K353" i="525" a="1"/>
  <c r="K353" i="525" s="1"/>
  <c r="M353" i="525" s="1"/>
  <c r="H353" i="525"/>
  <c r="V352" i="525"/>
  <c r="W352" i="525" s="1"/>
  <c r="N352" i="525"/>
  <c r="K352" i="525" a="1"/>
  <c r="K352" i="525" s="1"/>
  <c r="M352" i="525" s="1"/>
  <c r="J352" i="525" a="1"/>
  <c r="J352" i="525" s="1"/>
  <c r="H352" i="525"/>
  <c r="V351" i="525"/>
  <c r="W351" i="525" s="1"/>
  <c r="N351" i="525"/>
  <c r="K351" i="525"/>
  <c r="M351" i="525" s="1"/>
  <c r="K351" i="525" a="1"/>
  <c r="J351" i="525"/>
  <c r="J351" i="525" a="1"/>
  <c r="H351" i="525"/>
  <c r="V350" i="525"/>
  <c r="W350" i="525" s="1"/>
  <c r="N350" i="525"/>
  <c r="K350" i="525" a="1"/>
  <c r="K350" i="525" s="1"/>
  <c r="M350" i="525" s="1"/>
  <c r="J350" i="525" a="1"/>
  <c r="J350" i="525" s="1"/>
  <c r="H350" i="525"/>
  <c r="V349" i="525"/>
  <c r="W349" i="525" s="1"/>
  <c r="N349" i="525"/>
  <c r="K349" i="525" a="1"/>
  <c r="K349" i="525" s="1"/>
  <c r="M349" i="525" s="1"/>
  <c r="J349" i="525" a="1"/>
  <c r="J349" i="525" s="1"/>
  <c r="H349" i="525"/>
  <c r="V348" i="525"/>
  <c r="W348" i="525" s="1"/>
  <c r="N348" i="525"/>
  <c r="K348" i="525" a="1"/>
  <c r="K348" i="525" s="1"/>
  <c r="M348" i="525" s="1"/>
  <c r="J348" i="525" a="1"/>
  <c r="J348" i="525" s="1"/>
  <c r="H348" i="525"/>
  <c r="V347" i="525"/>
  <c r="N347" i="525"/>
  <c r="K347" i="525"/>
  <c r="M347" i="525" s="1"/>
  <c r="K347" i="525" a="1"/>
  <c r="J347" i="525"/>
  <c r="J347" i="525" a="1"/>
  <c r="H347" i="525"/>
  <c r="X341" i="525"/>
  <c r="X340" i="525"/>
  <c r="X339" i="525"/>
  <c r="G339" i="525"/>
  <c r="C339" i="525"/>
  <c r="X338" i="525"/>
  <c r="I338" i="525"/>
  <c r="E338" i="525"/>
  <c r="K338" i="525" s="1"/>
  <c r="M338" i="525" s="1"/>
  <c r="I337" i="525"/>
  <c r="E337" i="525"/>
  <c r="K337" i="525" s="1"/>
  <c r="M337" i="525" s="1"/>
  <c r="I336" i="525"/>
  <c r="E336" i="525"/>
  <c r="K336" i="525" s="1"/>
  <c r="M336" i="525" s="1"/>
  <c r="X335" i="525"/>
  <c r="I335" i="525"/>
  <c r="I339" i="525" s="1"/>
  <c r="E335" i="525"/>
  <c r="E339" i="525" s="1"/>
  <c r="AA332" i="525"/>
  <c r="Z332" i="525"/>
  <c r="Y332" i="525"/>
  <c r="X332" i="525"/>
  <c r="U332" i="525"/>
  <c r="T332" i="525"/>
  <c r="S332" i="525"/>
  <c r="R332" i="525"/>
  <c r="Q332" i="525"/>
  <c r="P332" i="525"/>
  <c r="O332" i="525"/>
  <c r="I332" i="525"/>
  <c r="G332" i="525"/>
  <c r="K331" i="525" a="1"/>
  <c r="K331" i="525" s="1"/>
  <c r="H331" i="525"/>
  <c r="K330" i="525" a="1"/>
  <c r="K330" i="525" s="1"/>
  <c r="H330" i="525"/>
  <c r="K329" i="525"/>
  <c r="K329" i="525" a="1"/>
  <c r="H329" i="525"/>
  <c r="V328" i="525"/>
  <c r="W328" i="525" s="1"/>
  <c r="N328" i="525"/>
  <c r="K328" i="525" a="1"/>
  <c r="K328" i="525" s="1"/>
  <c r="H328" i="525"/>
  <c r="D328" i="525"/>
  <c r="H327" i="525"/>
  <c r="K326" i="525" a="1"/>
  <c r="K326" i="525" s="1"/>
  <c r="H326" i="525"/>
  <c r="H325" i="525"/>
  <c r="V324" i="525"/>
  <c r="W324" i="525" s="1"/>
  <c r="N324" i="525"/>
  <c r="K324" i="525" a="1"/>
  <c r="K324" i="525" s="1"/>
  <c r="M324" i="525" s="1"/>
  <c r="J324" i="525" a="1"/>
  <c r="J324" i="525" s="1"/>
  <c r="H324" i="525"/>
  <c r="V323" i="525"/>
  <c r="W323" i="525" s="1"/>
  <c r="N323" i="525"/>
  <c r="K323" i="525" a="1"/>
  <c r="K323" i="525" s="1"/>
  <c r="M323" i="525" s="1"/>
  <c r="J323" i="525" a="1"/>
  <c r="J323" i="525" s="1"/>
  <c r="H323" i="525"/>
  <c r="H322" i="525"/>
  <c r="V321" i="525"/>
  <c r="W321" i="525" s="1"/>
  <c r="N321" i="525"/>
  <c r="K321" i="525"/>
  <c r="M321" i="525" s="1"/>
  <c r="K321" i="525" a="1"/>
  <c r="J321" i="525"/>
  <c r="J321" i="525" a="1"/>
  <c r="H321" i="525"/>
  <c r="V320" i="525"/>
  <c r="W320" i="525" s="1"/>
  <c r="N320" i="525"/>
  <c r="K320" i="525" a="1"/>
  <c r="K320" i="525" s="1"/>
  <c r="M320" i="525" s="1"/>
  <c r="J320" i="525" a="1"/>
  <c r="J320" i="525" s="1"/>
  <c r="H320" i="525"/>
  <c r="V319" i="525"/>
  <c r="W319" i="525" s="1"/>
  <c r="N319" i="525"/>
  <c r="K319" i="525" a="1"/>
  <c r="K319" i="525" s="1"/>
  <c r="M319" i="525" s="1"/>
  <c r="J319" i="525" a="1"/>
  <c r="J319" i="525" s="1"/>
  <c r="H319" i="525"/>
  <c r="V318" i="525"/>
  <c r="W318" i="525" s="1"/>
  <c r="N318" i="525"/>
  <c r="K318" i="525" a="1"/>
  <c r="K318" i="525" s="1"/>
  <c r="J318" i="525" a="1"/>
  <c r="J318" i="525" s="1"/>
  <c r="H318" i="525"/>
  <c r="AA317" i="525"/>
  <c r="Z317" i="525"/>
  <c r="Y317" i="525"/>
  <c r="X317" i="525"/>
  <c r="U317" i="525"/>
  <c r="T317" i="525"/>
  <c r="S317" i="525"/>
  <c r="Q317" i="525"/>
  <c r="P317" i="525"/>
  <c r="O317" i="525"/>
  <c r="I317" i="525"/>
  <c r="G317" i="525"/>
  <c r="J317" i="525" s="1" a="1"/>
  <c r="J317" i="525" s="1"/>
  <c r="W316" i="525"/>
  <c r="V316" i="525"/>
  <c r="N316" i="525"/>
  <c r="K316" i="525" a="1"/>
  <c r="K316" i="525" s="1"/>
  <c r="M316" i="525" s="1"/>
  <c r="J316" i="525" a="1"/>
  <c r="J316" i="525" s="1"/>
  <c r="H316" i="525"/>
  <c r="V312" i="525"/>
  <c r="W312" i="525" s="1"/>
  <c r="N312" i="525"/>
  <c r="K312" i="525" a="1"/>
  <c r="K312" i="525" s="1"/>
  <c r="M312" i="525" s="1"/>
  <c r="J312" i="525" a="1"/>
  <c r="J312" i="525" s="1"/>
  <c r="H312" i="525"/>
  <c r="V311" i="525"/>
  <c r="W311" i="525" s="1"/>
  <c r="N311" i="525"/>
  <c r="K311" i="525"/>
  <c r="M311" i="525" s="1"/>
  <c r="K311" i="525" a="1"/>
  <c r="J311" i="525"/>
  <c r="J311" i="525" a="1"/>
  <c r="H311" i="525"/>
  <c r="V310" i="525"/>
  <c r="W310" i="525" s="1"/>
  <c r="N310" i="525"/>
  <c r="K310" i="525" a="1"/>
  <c r="K310" i="525" s="1"/>
  <c r="M310" i="525" s="1"/>
  <c r="J310" i="525" a="1"/>
  <c r="J310" i="525" s="1"/>
  <c r="H310" i="525"/>
  <c r="V309" i="525"/>
  <c r="W309" i="525" s="1"/>
  <c r="N309" i="525"/>
  <c r="K309" i="525" a="1"/>
  <c r="K309" i="525" s="1"/>
  <c r="M309" i="525" s="1"/>
  <c r="J309" i="525" a="1"/>
  <c r="J309" i="525" s="1"/>
  <c r="H309" i="525"/>
  <c r="V308" i="525"/>
  <c r="N308" i="525"/>
  <c r="N317" i="525" s="1"/>
  <c r="K308" i="525" a="1"/>
  <c r="K308" i="525" s="1"/>
  <c r="J308" i="525" a="1"/>
  <c r="J308" i="525" s="1"/>
  <c r="H308" i="525"/>
  <c r="AA307" i="525"/>
  <c r="Z307" i="525"/>
  <c r="Y307" i="525"/>
  <c r="X307" i="525"/>
  <c r="U307" i="525"/>
  <c r="T307" i="525"/>
  <c r="S307" i="525"/>
  <c r="Q307" i="525"/>
  <c r="P307" i="525"/>
  <c r="O307" i="525"/>
  <c r="I307" i="525"/>
  <c r="G307" i="525"/>
  <c r="J307" i="525" s="1" a="1"/>
  <c r="J307" i="525" s="1"/>
  <c r="V306" i="525"/>
  <c r="W306" i="525" s="1"/>
  <c r="N306" i="525"/>
  <c r="K306" i="525" a="1"/>
  <c r="K306" i="525" s="1"/>
  <c r="M306" i="525" s="1"/>
  <c r="J306" i="525" a="1"/>
  <c r="J306" i="525" s="1"/>
  <c r="H306" i="525"/>
  <c r="V305" i="525"/>
  <c r="W305" i="525" s="1"/>
  <c r="N305" i="525"/>
  <c r="K305" i="525" a="1"/>
  <c r="K305" i="525" s="1"/>
  <c r="M305" i="525" s="1"/>
  <c r="J305" i="525" a="1"/>
  <c r="J305" i="525" s="1"/>
  <c r="H305" i="525"/>
  <c r="V304" i="525"/>
  <c r="W304" i="525" s="1"/>
  <c r="N304" i="525"/>
  <c r="K304" i="525"/>
  <c r="M304" i="525" s="1"/>
  <c r="K304" i="525" a="1"/>
  <c r="J304" i="525"/>
  <c r="J304" i="525" a="1"/>
  <c r="H304" i="525"/>
  <c r="V303" i="525"/>
  <c r="W303" i="525" s="1"/>
  <c r="N303" i="525"/>
  <c r="K303" i="525" a="1"/>
  <c r="K303" i="525" s="1"/>
  <c r="M303" i="525" s="1"/>
  <c r="J303" i="525" a="1"/>
  <c r="J303" i="525" s="1"/>
  <c r="H303" i="525"/>
  <c r="V302" i="525"/>
  <c r="W302" i="525" s="1"/>
  <c r="N302" i="525"/>
  <c r="K302" i="525" a="1"/>
  <c r="K302" i="525" s="1"/>
  <c r="M302" i="525" s="1"/>
  <c r="J302" i="525" a="1"/>
  <c r="J302" i="525" s="1"/>
  <c r="H302" i="525"/>
  <c r="V301" i="525"/>
  <c r="W301" i="525" s="1"/>
  <c r="N301" i="525"/>
  <c r="K301" i="525" a="1"/>
  <c r="K301" i="525" s="1"/>
  <c r="M301" i="525" s="1"/>
  <c r="J301" i="525" a="1"/>
  <c r="J301" i="525" s="1"/>
  <c r="H301" i="525"/>
  <c r="V300" i="525"/>
  <c r="W300" i="525" s="1"/>
  <c r="N300" i="525"/>
  <c r="K300" i="525"/>
  <c r="M300" i="525" s="1"/>
  <c r="K300" i="525" a="1"/>
  <c r="J300" i="525"/>
  <c r="J300" i="525" a="1"/>
  <c r="H300" i="525"/>
  <c r="V299" i="525"/>
  <c r="W299" i="525" s="1"/>
  <c r="N299" i="525"/>
  <c r="K299" i="525" a="1"/>
  <c r="K299" i="525" s="1"/>
  <c r="M299" i="525" s="1"/>
  <c r="J299" i="525" a="1"/>
  <c r="J299" i="525" s="1"/>
  <c r="H299" i="525"/>
  <c r="W298" i="525"/>
  <c r="V298" i="525"/>
  <c r="N298" i="525"/>
  <c r="K298" i="525" a="1"/>
  <c r="K298" i="525" s="1"/>
  <c r="M298" i="525" s="1"/>
  <c r="J298" i="525" a="1"/>
  <c r="J298" i="525" s="1"/>
  <c r="H298" i="525"/>
  <c r="V297" i="525"/>
  <c r="W297" i="525" s="1"/>
  <c r="N297" i="525"/>
  <c r="K297" i="525" a="1"/>
  <c r="K297" i="525" s="1"/>
  <c r="M297" i="525" s="1"/>
  <c r="J297" i="525" a="1"/>
  <c r="J297" i="525" s="1"/>
  <c r="H297" i="525"/>
  <c r="V296" i="525"/>
  <c r="W296" i="525" s="1"/>
  <c r="N296" i="525"/>
  <c r="K296" i="525"/>
  <c r="M296" i="525" s="1"/>
  <c r="K296" i="525" a="1"/>
  <c r="J296" i="525"/>
  <c r="J296" i="525" a="1"/>
  <c r="H296" i="525"/>
  <c r="V295" i="525"/>
  <c r="W295" i="525" s="1"/>
  <c r="N295" i="525"/>
  <c r="K295" i="525" a="1"/>
  <c r="K295" i="525" s="1"/>
  <c r="M295" i="525" s="1"/>
  <c r="J295" i="525" a="1"/>
  <c r="J295" i="525" s="1"/>
  <c r="H295" i="525"/>
  <c r="V294" i="525"/>
  <c r="W294" i="525" s="1"/>
  <c r="N294" i="525"/>
  <c r="K294" i="525" a="1"/>
  <c r="K294" i="525" s="1"/>
  <c r="M294" i="525" s="1"/>
  <c r="J294" i="525" a="1"/>
  <c r="J294" i="525" s="1"/>
  <c r="H294" i="525"/>
  <c r="V293" i="525"/>
  <c r="W293" i="525" s="1"/>
  <c r="N293" i="525"/>
  <c r="K293" i="525" a="1"/>
  <c r="K293" i="525" s="1"/>
  <c r="M293" i="525" s="1"/>
  <c r="J293" i="525" a="1"/>
  <c r="J293" i="525" s="1"/>
  <c r="H293" i="525"/>
  <c r="V292" i="525"/>
  <c r="N292" i="525"/>
  <c r="K292" i="525"/>
  <c r="M292" i="525" s="1"/>
  <c r="K292" i="525" a="1"/>
  <c r="J292" i="525"/>
  <c r="J292" i="525" a="1"/>
  <c r="H292" i="525"/>
  <c r="AA291" i="525"/>
  <c r="Z291" i="525"/>
  <c r="Y291" i="525"/>
  <c r="X291" i="525"/>
  <c r="U291" i="525"/>
  <c r="T291" i="525"/>
  <c r="S291" i="525"/>
  <c r="R291" i="525"/>
  <c r="Q291" i="525"/>
  <c r="P291" i="525"/>
  <c r="O291" i="525"/>
  <c r="I291" i="525"/>
  <c r="G291" i="525"/>
  <c r="V290" i="525"/>
  <c r="W290" i="525" s="1"/>
  <c r="N290" i="525"/>
  <c r="K290" i="525"/>
  <c r="M290" i="525" s="1"/>
  <c r="K290" i="525" a="1"/>
  <c r="J290" i="525"/>
  <c r="J290" i="525" a="1"/>
  <c r="H290" i="525"/>
  <c r="V289" i="525"/>
  <c r="W289" i="525" s="1"/>
  <c r="N289" i="525"/>
  <c r="K289" i="525" a="1"/>
  <c r="K289" i="525" s="1"/>
  <c r="M289" i="525" s="1"/>
  <c r="J289" i="525" a="1"/>
  <c r="J289" i="525" s="1"/>
  <c r="H289" i="525"/>
  <c r="V288" i="525"/>
  <c r="W288" i="525" s="1"/>
  <c r="N288" i="525"/>
  <c r="K288" i="525" a="1"/>
  <c r="K288" i="525" s="1"/>
  <c r="M288" i="525" s="1"/>
  <c r="J288" i="525" a="1"/>
  <c r="J288" i="525" s="1"/>
  <c r="H288" i="525"/>
  <c r="H287" i="525"/>
  <c r="H286" i="525"/>
  <c r="H285" i="525"/>
  <c r="V284" i="525"/>
  <c r="W284" i="525" s="1"/>
  <c r="N284" i="525"/>
  <c r="K284" i="525"/>
  <c r="M284" i="525" s="1"/>
  <c r="K284" i="525" a="1"/>
  <c r="J284" i="525"/>
  <c r="J284" i="525" a="1"/>
  <c r="H284" i="525"/>
  <c r="V283" i="525"/>
  <c r="W283" i="525" s="1"/>
  <c r="N283" i="525"/>
  <c r="K283" i="525" a="1"/>
  <c r="K283" i="525" s="1"/>
  <c r="M283" i="525" s="1"/>
  <c r="J283" i="525" a="1"/>
  <c r="J283" i="525" s="1"/>
  <c r="H283" i="525"/>
  <c r="N282" i="525"/>
  <c r="K282" i="525" a="1"/>
  <c r="K282" i="525" s="1"/>
  <c r="M282" i="525" s="1"/>
  <c r="H282" i="525"/>
  <c r="N281" i="525"/>
  <c r="K281" i="525" a="1"/>
  <c r="K281" i="525" s="1"/>
  <c r="M281" i="525" s="1"/>
  <c r="H281" i="525"/>
  <c r="N280" i="525"/>
  <c r="K280" i="525" a="1"/>
  <c r="K280" i="525" s="1"/>
  <c r="M280" i="525" s="1"/>
  <c r="H280" i="525"/>
  <c r="N279" i="525"/>
  <c r="K279" i="525" a="1"/>
  <c r="K279" i="525" s="1"/>
  <c r="M279" i="525" s="1"/>
  <c r="H279" i="525"/>
  <c r="N278" i="525"/>
  <c r="K278" i="525" a="1"/>
  <c r="K278" i="525" s="1"/>
  <c r="M278" i="525" s="1"/>
  <c r="H278" i="525"/>
  <c r="N277" i="525"/>
  <c r="K277" i="525" a="1"/>
  <c r="K277" i="525" s="1"/>
  <c r="M277" i="525" s="1"/>
  <c r="H277" i="525"/>
  <c r="V276" i="525"/>
  <c r="W276" i="525" s="1"/>
  <c r="N276" i="525"/>
  <c r="K276" i="525" a="1"/>
  <c r="K276" i="525" s="1"/>
  <c r="M276" i="525" s="1"/>
  <c r="J276" i="525" a="1"/>
  <c r="J276" i="525" s="1"/>
  <c r="H276" i="525"/>
  <c r="V275" i="525"/>
  <c r="W275" i="525" s="1"/>
  <c r="N275" i="525"/>
  <c r="K275" i="525" a="1"/>
  <c r="K275" i="525" s="1"/>
  <c r="M275" i="525" s="1"/>
  <c r="J275" i="525" a="1"/>
  <c r="J275" i="525" s="1"/>
  <c r="H275" i="525"/>
  <c r="V274" i="525"/>
  <c r="W274" i="525" s="1"/>
  <c r="N274" i="525"/>
  <c r="K274" i="525"/>
  <c r="M274" i="525" s="1"/>
  <c r="K274" i="525" a="1"/>
  <c r="J274" i="525"/>
  <c r="J274" i="525" a="1"/>
  <c r="H274" i="525"/>
  <c r="V273" i="525"/>
  <c r="W273" i="525" s="1"/>
  <c r="N273" i="525"/>
  <c r="K273" i="525" a="1"/>
  <c r="K273" i="525" s="1"/>
  <c r="M273" i="525" s="1"/>
  <c r="J273" i="525" a="1"/>
  <c r="J273" i="525" s="1"/>
  <c r="H273" i="525"/>
  <c r="V272" i="525"/>
  <c r="W272" i="525" s="1"/>
  <c r="N272" i="525"/>
  <c r="K272" i="525" a="1"/>
  <c r="K272" i="525" s="1"/>
  <c r="M272" i="525" s="1"/>
  <c r="J272" i="525" a="1"/>
  <c r="J272" i="525" s="1"/>
  <c r="H272" i="525"/>
  <c r="V271" i="525"/>
  <c r="W271" i="525" s="1"/>
  <c r="N271" i="525"/>
  <c r="K271" i="525" a="1"/>
  <c r="K271" i="525" s="1"/>
  <c r="M271" i="525" s="1"/>
  <c r="J271" i="525" a="1"/>
  <c r="J271" i="525" s="1"/>
  <c r="H271" i="525"/>
  <c r="V270" i="525"/>
  <c r="W270" i="525" s="1"/>
  <c r="N270" i="525"/>
  <c r="K270" i="525"/>
  <c r="M270" i="525" s="1"/>
  <c r="K270" i="525" a="1"/>
  <c r="J270" i="525"/>
  <c r="J270" i="525" a="1"/>
  <c r="H270" i="525"/>
  <c r="V269" i="525"/>
  <c r="W269" i="525" s="1"/>
  <c r="N269" i="525"/>
  <c r="K269" i="525" a="1"/>
  <c r="K269" i="525" s="1"/>
  <c r="M269" i="525" s="1"/>
  <c r="J269" i="525" a="1"/>
  <c r="J269" i="525" s="1"/>
  <c r="H269" i="525"/>
  <c r="W268" i="525"/>
  <c r="V268" i="525"/>
  <c r="N268" i="525"/>
  <c r="K268" i="525" a="1"/>
  <c r="K268" i="525" s="1"/>
  <c r="M268" i="525" s="1"/>
  <c r="J268" i="525" a="1"/>
  <c r="J268" i="525" s="1"/>
  <c r="H268" i="525"/>
  <c r="V267" i="525"/>
  <c r="W267" i="525" s="1"/>
  <c r="N267" i="525"/>
  <c r="K267" i="525" a="1"/>
  <c r="K267" i="525" s="1"/>
  <c r="M267" i="525" s="1"/>
  <c r="J267" i="525" a="1"/>
  <c r="J267" i="525" s="1"/>
  <c r="H267" i="525"/>
  <c r="V266" i="525"/>
  <c r="W266" i="525" s="1"/>
  <c r="N266" i="525"/>
  <c r="K266" i="525"/>
  <c r="M266" i="525" s="1"/>
  <c r="K266" i="525" a="1"/>
  <c r="J266" i="525"/>
  <c r="J266" i="525" a="1"/>
  <c r="H266" i="525"/>
  <c r="V265" i="525"/>
  <c r="W265" i="525" s="1"/>
  <c r="N265" i="525"/>
  <c r="K265" i="525" a="1"/>
  <c r="K265" i="525" s="1"/>
  <c r="M265" i="525" s="1"/>
  <c r="J265" i="525" a="1"/>
  <c r="J265" i="525" s="1"/>
  <c r="H265" i="525"/>
  <c r="N264" i="525"/>
  <c r="K264" i="525" a="1"/>
  <c r="K264" i="525" s="1"/>
  <c r="M264" i="525" s="1"/>
  <c r="H264" i="525"/>
  <c r="V263" i="525"/>
  <c r="W263" i="525" s="1"/>
  <c r="N263" i="525"/>
  <c r="K263" i="525" a="1"/>
  <c r="K263" i="525" s="1"/>
  <c r="M263" i="525" s="1"/>
  <c r="J263" i="525" a="1"/>
  <c r="J263" i="525" s="1"/>
  <c r="H263" i="525"/>
  <c r="V262" i="525"/>
  <c r="W262" i="525" s="1"/>
  <c r="N262" i="525"/>
  <c r="K262" i="525"/>
  <c r="M262" i="525" s="1"/>
  <c r="K262" i="525" a="1"/>
  <c r="J262" i="525"/>
  <c r="J262" i="525" a="1"/>
  <c r="H262" i="525"/>
  <c r="V261" i="525"/>
  <c r="W261" i="525" s="1"/>
  <c r="N261" i="525"/>
  <c r="K261" i="525" a="1"/>
  <c r="K261" i="525" s="1"/>
  <c r="M261" i="525" s="1"/>
  <c r="J261" i="525" a="1"/>
  <c r="J261" i="525" s="1"/>
  <c r="H261" i="525"/>
  <c r="V260" i="525"/>
  <c r="W260" i="525" s="1"/>
  <c r="N260" i="525"/>
  <c r="K260" i="525" a="1"/>
  <c r="K260" i="525" s="1"/>
  <c r="M260" i="525" s="1"/>
  <c r="J260" i="525" a="1"/>
  <c r="J260" i="525" s="1"/>
  <c r="H260" i="525"/>
  <c r="V259" i="525"/>
  <c r="W259" i="525" s="1"/>
  <c r="N259" i="525"/>
  <c r="K259" i="525" a="1"/>
  <c r="K259" i="525" s="1"/>
  <c r="M259" i="525" s="1"/>
  <c r="J259" i="525" a="1"/>
  <c r="J259" i="525" s="1"/>
  <c r="H259" i="525"/>
  <c r="V258" i="525"/>
  <c r="W258" i="525" s="1"/>
  <c r="N258" i="525"/>
  <c r="K258" i="525"/>
  <c r="M258" i="525" s="1"/>
  <c r="K258" i="525" a="1"/>
  <c r="J258" i="525"/>
  <c r="J258" i="525" a="1"/>
  <c r="H258" i="525"/>
  <c r="V257" i="525"/>
  <c r="W257" i="525" s="1"/>
  <c r="N257" i="525"/>
  <c r="K257" i="525" a="1"/>
  <c r="K257" i="525" s="1"/>
  <c r="J257" i="525" a="1"/>
  <c r="J257" i="525" s="1"/>
  <c r="H257" i="525"/>
  <c r="AA256" i="525"/>
  <c r="Z256" i="525"/>
  <c r="Y256" i="525"/>
  <c r="X256" i="525"/>
  <c r="U256" i="525"/>
  <c r="T256" i="525"/>
  <c r="S256" i="525"/>
  <c r="R256" i="525"/>
  <c r="Q256" i="525"/>
  <c r="P256" i="525"/>
  <c r="O256" i="525"/>
  <c r="R336" i="525" s="1"/>
  <c r="I256" i="525"/>
  <c r="G256" i="525"/>
  <c r="H255" i="525"/>
  <c r="H254" i="525"/>
  <c r="H253" i="525"/>
  <c r="H252" i="525"/>
  <c r="H251" i="525"/>
  <c r="H250" i="525"/>
  <c r="K249" i="525" a="1"/>
  <c r="K249" i="525" s="1"/>
  <c r="M249" i="525" s="1"/>
  <c r="H249" i="525"/>
  <c r="K248" i="525"/>
  <c r="M248" i="525" s="1"/>
  <c r="K248" i="525" a="1"/>
  <c r="H248" i="525"/>
  <c r="K247" i="525" a="1"/>
  <c r="K247" i="525" s="1"/>
  <c r="M247" i="525" s="1"/>
  <c r="H247" i="525"/>
  <c r="K246" i="525"/>
  <c r="M246" i="525" s="1"/>
  <c r="K246" i="525" a="1"/>
  <c r="H246" i="525"/>
  <c r="V245" i="525"/>
  <c r="W245" i="525" s="1"/>
  <c r="N245" i="525"/>
  <c r="K245" i="525" a="1"/>
  <c r="K245" i="525" s="1"/>
  <c r="M245" i="525" s="1"/>
  <c r="J245" i="525" a="1"/>
  <c r="J245" i="525" s="1"/>
  <c r="H245" i="525"/>
  <c r="V244" i="525"/>
  <c r="W244" i="525" s="1"/>
  <c r="N244" i="525"/>
  <c r="K244" i="525"/>
  <c r="M244" i="525" s="1"/>
  <c r="K244" i="525" a="1"/>
  <c r="J244" i="525"/>
  <c r="J244" i="525" a="1"/>
  <c r="H244" i="525"/>
  <c r="V243" i="525"/>
  <c r="W243" i="525" s="1"/>
  <c r="N243" i="525"/>
  <c r="K243" i="525" a="1"/>
  <c r="K243" i="525" s="1"/>
  <c r="M243" i="525" s="1"/>
  <c r="J243" i="525" a="1"/>
  <c r="J243" i="525" s="1"/>
  <c r="H243" i="525"/>
  <c r="V242" i="525"/>
  <c r="W242" i="525" s="1"/>
  <c r="N242" i="525"/>
  <c r="K242" i="525" a="1"/>
  <c r="K242" i="525" s="1"/>
  <c r="M242" i="525" s="1"/>
  <c r="J242" i="525" a="1"/>
  <c r="J242" i="525" s="1"/>
  <c r="H242" i="525"/>
  <c r="M241" i="525"/>
  <c r="H241" i="525"/>
  <c r="V240" i="525"/>
  <c r="W240" i="525" s="1"/>
  <c r="N240" i="525"/>
  <c r="K240" i="525" a="1"/>
  <c r="K240" i="525" s="1"/>
  <c r="M240" i="525" s="1"/>
  <c r="J240" i="525" a="1"/>
  <c r="J240" i="525" s="1"/>
  <c r="H240" i="525"/>
  <c r="V239" i="525"/>
  <c r="W239" i="525" s="1"/>
  <c r="N239" i="525"/>
  <c r="K239" i="525" a="1"/>
  <c r="K239" i="525" s="1"/>
  <c r="M239" i="525" s="1"/>
  <c r="H239" i="525"/>
  <c r="K238" i="525"/>
  <c r="M238" i="525" s="1"/>
  <c r="K238" i="525" a="1"/>
  <c r="H238" i="525"/>
  <c r="H237" i="525"/>
  <c r="V236" i="525"/>
  <c r="W236" i="525" s="1"/>
  <c r="N236" i="525"/>
  <c r="K236" i="525" a="1"/>
  <c r="K236" i="525" s="1"/>
  <c r="M236" i="525" s="1"/>
  <c r="H236" i="525"/>
  <c r="V235" i="525"/>
  <c r="W235" i="525" s="1"/>
  <c r="N235" i="525"/>
  <c r="K235" i="525" a="1"/>
  <c r="K235" i="525" s="1"/>
  <c r="M235" i="525" s="1"/>
  <c r="H235" i="525"/>
  <c r="V234" i="525"/>
  <c r="W234" i="525" s="1"/>
  <c r="N234" i="525"/>
  <c r="K234" i="525"/>
  <c r="M234" i="525" s="1"/>
  <c r="K234" i="525" a="1"/>
  <c r="H234" i="525"/>
  <c r="V233" i="525"/>
  <c r="W233" i="525" s="1"/>
  <c r="N233" i="525"/>
  <c r="K233" i="525" a="1"/>
  <c r="K233" i="525" s="1"/>
  <c r="M233" i="525" s="1"/>
  <c r="H233" i="525"/>
  <c r="V232" i="525"/>
  <c r="W232" i="525" s="1"/>
  <c r="N232" i="525"/>
  <c r="K232" i="525" a="1"/>
  <c r="K232" i="525" s="1"/>
  <c r="M232" i="525" s="1"/>
  <c r="H232" i="525"/>
  <c r="V231" i="525"/>
  <c r="W231" i="525" s="1"/>
  <c r="N231" i="525"/>
  <c r="K231" i="525" a="1"/>
  <c r="K231" i="525" s="1"/>
  <c r="M231" i="525" s="1"/>
  <c r="H231" i="525"/>
  <c r="V230" i="525"/>
  <c r="W230" i="525" s="1"/>
  <c r="N230" i="525"/>
  <c r="K230" i="525"/>
  <c r="M230" i="525" s="1"/>
  <c r="K230" i="525" a="1"/>
  <c r="H230" i="525"/>
  <c r="V229" i="525"/>
  <c r="W229" i="525" s="1"/>
  <c r="N229" i="525"/>
  <c r="K229" i="525" a="1"/>
  <c r="K229" i="525" s="1"/>
  <c r="M229" i="525" s="1"/>
  <c r="H229" i="525"/>
  <c r="V228" i="525"/>
  <c r="W228" i="525" s="1"/>
  <c r="N228" i="525"/>
  <c r="K228" i="525" a="1"/>
  <c r="K228" i="525" s="1"/>
  <c r="M228" i="525" s="1"/>
  <c r="H228" i="525"/>
  <c r="V227" i="525"/>
  <c r="W227" i="525" s="1"/>
  <c r="N227" i="525"/>
  <c r="K227" i="525" a="1"/>
  <c r="K227" i="525" s="1"/>
  <c r="M227" i="525" s="1"/>
  <c r="H227" i="525"/>
  <c r="N226" i="525"/>
  <c r="K226" i="525"/>
  <c r="M226" i="525" s="1"/>
  <c r="K226" i="525" a="1"/>
  <c r="H226" i="525"/>
  <c r="N225" i="525"/>
  <c r="K225" i="525" a="1"/>
  <c r="K225" i="525" s="1"/>
  <c r="M225" i="525" s="1"/>
  <c r="H225" i="525"/>
  <c r="N224" i="525"/>
  <c r="K224" i="525" a="1"/>
  <c r="K224" i="525" s="1"/>
  <c r="M224" i="525" s="1"/>
  <c r="H224" i="525"/>
  <c r="N223" i="525"/>
  <c r="K223" i="525" a="1"/>
  <c r="K223" i="525" s="1"/>
  <c r="M223" i="525" s="1"/>
  <c r="H223" i="525"/>
  <c r="N222" i="525"/>
  <c r="K222" i="525"/>
  <c r="M222" i="525" s="1"/>
  <c r="K222" i="525" a="1"/>
  <c r="H222" i="525"/>
  <c r="N221" i="525"/>
  <c r="K221" i="525" a="1"/>
  <c r="K221" i="525" s="1"/>
  <c r="M221" i="525" s="1"/>
  <c r="H221" i="525"/>
  <c r="N220" i="525"/>
  <c r="K220" i="525" a="1"/>
  <c r="K220" i="525" s="1"/>
  <c r="M220" i="525" s="1"/>
  <c r="H220" i="525"/>
  <c r="N219" i="525"/>
  <c r="K219" i="525" a="1"/>
  <c r="K219" i="525" s="1"/>
  <c r="M219" i="525" s="1"/>
  <c r="H219" i="525"/>
  <c r="V218" i="525"/>
  <c r="W218" i="525" s="1"/>
  <c r="N218" i="525"/>
  <c r="K218" i="525"/>
  <c r="M218" i="525" s="1"/>
  <c r="K218" i="525" a="1"/>
  <c r="J218" i="525"/>
  <c r="J218" i="525" a="1"/>
  <c r="H218" i="525"/>
  <c r="V217" i="525"/>
  <c r="W217" i="525" s="1"/>
  <c r="N217" i="525"/>
  <c r="K217" i="525" a="1"/>
  <c r="K217" i="525" s="1"/>
  <c r="M217" i="525" s="1"/>
  <c r="J217" i="525" a="1"/>
  <c r="J217" i="525" s="1"/>
  <c r="H217" i="525"/>
  <c r="W216" i="525"/>
  <c r="V216" i="525"/>
  <c r="N216" i="525"/>
  <c r="K216" i="525" a="1"/>
  <c r="K216" i="525" s="1"/>
  <c r="M216" i="525" s="1"/>
  <c r="J216" i="525" a="1"/>
  <c r="J216" i="525" s="1"/>
  <c r="H216" i="525"/>
  <c r="V215" i="525"/>
  <c r="W215" i="525" s="1"/>
  <c r="N215" i="525"/>
  <c r="K215" i="525" a="1"/>
  <c r="K215" i="525" s="1"/>
  <c r="M215" i="525" s="1"/>
  <c r="J215" i="525" a="1"/>
  <c r="J215" i="525" s="1"/>
  <c r="H215" i="525"/>
  <c r="V214" i="525"/>
  <c r="W214" i="525" s="1"/>
  <c r="N214" i="525"/>
  <c r="K214" i="525" a="1"/>
  <c r="K214" i="525" s="1"/>
  <c r="M214" i="525" s="1"/>
  <c r="J214" i="525" a="1"/>
  <c r="J214" i="525" s="1"/>
  <c r="H214" i="525"/>
  <c r="V213" i="525"/>
  <c r="W213" i="525" s="1"/>
  <c r="N213" i="525"/>
  <c r="K213" i="525" a="1"/>
  <c r="K213" i="525" s="1"/>
  <c r="M213" i="525" s="1"/>
  <c r="J213" i="525" a="1"/>
  <c r="J213" i="525" s="1"/>
  <c r="H213" i="525"/>
  <c r="V212" i="525"/>
  <c r="W212" i="525" s="1"/>
  <c r="N212" i="525"/>
  <c r="K212" i="525" a="1"/>
  <c r="K212" i="525" s="1"/>
  <c r="M212" i="525" s="1"/>
  <c r="J212" i="525" a="1"/>
  <c r="J212" i="525" s="1"/>
  <c r="H212" i="525"/>
  <c r="V211" i="525"/>
  <c r="W211" i="525" s="1"/>
  <c r="N211" i="525"/>
  <c r="K211" i="525" a="1"/>
  <c r="K211" i="525" s="1"/>
  <c r="M211" i="525" s="1"/>
  <c r="J211" i="525" a="1"/>
  <c r="J211" i="525" s="1"/>
  <c r="H211" i="525"/>
  <c r="V210" i="525"/>
  <c r="W210" i="525" s="1"/>
  <c r="N210" i="525"/>
  <c r="K210" i="525" a="1"/>
  <c r="K210" i="525" s="1"/>
  <c r="M210" i="525" s="1"/>
  <c r="J210" i="525" a="1"/>
  <c r="J210" i="525" s="1"/>
  <c r="H210" i="525"/>
  <c r="V209" i="525"/>
  <c r="W209" i="525" s="1"/>
  <c r="N209" i="525"/>
  <c r="K209" i="525" a="1"/>
  <c r="K209" i="525" s="1"/>
  <c r="M209" i="525" s="1"/>
  <c r="J209" i="525" a="1"/>
  <c r="J209" i="525" s="1"/>
  <c r="H209" i="525"/>
  <c r="V208" i="525"/>
  <c r="W208" i="525" s="1"/>
  <c r="N208" i="525"/>
  <c r="K208" i="525" a="1"/>
  <c r="K208" i="525" s="1"/>
  <c r="M208" i="525" s="1"/>
  <c r="J208" i="525" a="1"/>
  <c r="J208" i="525" s="1"/>
  <c r="H208" i="525"/>
  <c r="V207" i="525"/>
  <c r="W207" i="525" s="1"/>
  <c r="N207" i="525"/>
  <c r="K207" i="525" a="1"/>
  <c r="K207" i="525" s="1"/>
  <c r="M207" i="525" s="1"/>
  <c r="J207" i="525" a="1"/>
  <c r="J207" i="525" s="1"/>
  <c r="H207" i="525"/>
  <c r="H206" i="525"/>
  <c r="H205" i="525"/>
  <c r="H204" i="525"/>
  <c r="V203" i="525"/>
  <c r="W203" i="525" s="1"/>
  <c r="N203" i="525"/>
  <c r="K203" i="525" a="1"/>
  <c r="K203" i="525" s="1"/>
  <c r="M203" i="525" s="1"/>
  <c r="J203" i="525" a="1"/>
  <c r="J203" i="525" s="1"/>
  <c r="H203" i="525"/>
  <c r="V202" i="525"/>
  <c r="W202" i="525" s="1"/>
  <c r="N202" i="525"/>
  <c r="K202" i="525"/>
  <c r="M202" i="525" s="1"/>
  <c r="K202" i="525" a="1"/>
  <c r="J202" i="525" a="1"/>
  <c r="J202" i="525" s="1"/>
  <c r="H202" i="525"/>
  <c r="V201" i="525"/>
  <c r="W201" i="525" s="1"/>
  <c r="N201" i="525"/>
  <c r="K201" i="525" a="1"/>
  <c r="K201" i="525" s="1"/>
  <c r="M201" i="525" s="1"/>
  <c r="J201" i="525" a="1"/>
  <c r="J201" i="525" s="1"/>
  <c r="H201" i="525"/>
  <c r="H200" i="525"/>
  <c r="V199" i="525"/>
  <c r="N199" i="525"/>
  <c r="N256" i="525" s="1"/>
  <c r="K199" i="525" a="1"/>
  <c r="K199" i="525" s="1"/>
  <c r="J199" i="525" a="1"/>
  <c r="J199" i="525" s="1"/>
  <c r="H199" i="525"/>
  <c r="AA198" i="525"/>
  <c r="AA333" i="525" s="1"/>
  <c r="Z198" i="525"/>
  <c r="Z333" i="525" s="1"/>
  <c r="Y198" i="525"/>
  <c r="Y333" i="525" s="1"/>
  <c r="X198" i="525"/>
  <c r="X333" i="525" s="1"/>
  <c r="U198" i="525"/>
  <c r="U333" i="525" s="1"/>
  <c r="T198" i="525"/>
  <c r="T333" i="525" s="1"/>
  <c r="S198" i="525"/>
  <c r="S333" i="525" s="1"/>
  <c r="R198" i="525"/>
  <c r="R333" i="525" s="1"/>
  <c r="Q198" i="525"/>
  <c r="Q333" i="525" s="1"/>
  <c r="P198" i="525"/>
  <c r="X336" i="525" s="1"/>
  <c r="O198" i="525"/>
  <c r="I198" i="525"/>
  <c r="I333" i="525" s="1"/>
  <c r="B341" i="525" s="1"/>
  <c r="G198" i="525"/>
  <c r="G333" i="525" s="1"/>
  <c r="V197" i="525"/>
  <c r="W197" i="525" s="1"/>
  <c r="N197" i="525"/>
  <c r="K197" i="525" a="1"/>
  <c r="K197" i="525" s="1"/>
  <c r="M197" i="525" s="1"/>
  <c r="J197" i="525" a="1"/>
  <c r="J197" i="525" s="1"/>
  <c r="H197" i="525"/>
  <c r="V196" i="525"/>
  <c r="W196" i="525" s="1"/>
  <c r="N196" i="525"/>
  <c r="K196" i="525" a="1"/>
  <c r="K196" i="525" s="1"/>
  <c r="M196" i="525" s="1"/>
  <c r="J196" i="525" a="1"/>
  <c r="J196" i="525" s="1"/>
  <c r="H196" i="525"/>
  <c r="K195" i="525"/>
  <c r="M195" i="525" s="1"/>
  <c r="K195" i="525" a="1"/>
  <c r="H195" i="525"/>
  <c r="K194" i="525" a="1"/>
  <c r="K194" i="525" s="1"/>
  <c r="M194" i="525" s="1"/>
  <c r="H194" i="525"/>
  <c r="K193" i="525"/>
  <c r="M193" i="525" s="1"/>
  <c r="K193" i="525" a="1"/>
  <c r="H193" i="525"/>
  <c r="K192" i="525" a="1"/>
  <c r="K192" i="525" s="1"/>
  <c r="M192" i="525" s="1"/>
  <c r="H192" i="525"/>
  <c r="V191" i="525"/>
  <c r="W191" i="525" s="1"/>
  <c r="N191" i="525"/>
  <c r="K191" i="525" a="1"/>
  <c r="K191" i="525" s="1"/>
  <c r="M191" i="525" s="1"/>
  <c r="J191" i="525" a="1"/>
  <c r="J191" i="525" s="1"/>
  <c r="H191" i="525"/>
  <c r="V190" i="525"/>
  <c r="W190" i="525" s="1"/>
  <c r="N190" i="525"/>
  <c r="K190" i="525" a="1"/>
  <c r="K190" i="525" s="1"/>
  <c r="M190" i="525" s="1"/>
  <c r="J190" i="525" a="1"/>
  <c r="J190" i="525" s="1"/>
  <c r="H190" i="525"/>
  <c r="V189" i="525"/>
  <c r="W189" i="525" s="1"/>
  <c r="N189" i="525"/>
  <c r="K189" i="525" a="1"/>
  <c r="K189" i="525" s="1"/>
  <c r="M189" i="525" s="1"/>
  <c r="J189" i="525" a="1"/>
  <c r="J189" i="525" s="1"/>
  <c r="H189" i="525"/>
  <c r="N188" i="525"/>
  <c r="K188" i="525" a="1"/>
  <c r="K188" i="525" s="1"/>
  <c r="M188" i="525" s="1"/>
  <c r="J188" i="525" a="1"/>
  <c r="J188" i="525" s="1"/>
  <c r="H188" i="525"/>
  <c r="N187" i="525"/>
  <c r="K187" i="525" a="1"/>
  <c r="K187" i="525" s="1"/>
  <c r="M187" i="525" s="1"/>
  <c r="J187" i="525" a="1"/>
  <c r="J187" i="525" s="1"/>
  <c r="H187" i="525"/>
  <c r="W186" i="525"/>
  <c r="V186" i="525"/>
  <c r="N186" i="525"/>
  <c r="K186" i="525" a="1"/>
  <c r="K186" i="525" s="1"/>
  <c r="M186" i="525" s="1"/>
  <c r="J186" i="525" a="1"/>
  <c r="J186" i="525" s="1"/>
  <c r="H186" i="525"/>
  <c r="V185" i="525"/>
  <c r="W185" i="525" s="1"/>
  <c r="N185" i="525"/>
  <c r="K185" i="525" a="1"/>
  <c r="K185" i="525" s="1"/>
  <c r="M185" i="525" s="1"/>
  <c r="J185" i="525" a="1"/>
  <c r="J185" i="525" s="1"/>
  <c r="H185" i="525"/>
  <c r="N184" i="525"/>
  <c r="K184" i="525"/>
  <c r="M184" i="525" s="1"/>
  <c r="K184" i="525" a="1"/>
  <c r="H184" i="525"/>
  <c r="N183" i="525"/>
  <c r="K183" i="525" a="1"/>
  <c r="K183" i="525" s="1"/>
  <c r="M183" i="525" s="1"/>
  <c r="H183" i="525"/>
  <c r="V182" i="525"/>
  <c r="W182" i="525" s="1"/>
  <c r="N182" i="525"/>
  <c r="K182" i="525" a="1"/>
  <c r="K182" i="525" s="1"/>
  <c r="M182" i="525" s="1"/>
  <c r="J182" i="525" a="1"/>
  <c r="J182" i="525" s="1"/>
  <c r="H182" i="525"/>
  <c r="V181" i="525"/>
  <c r="W181" i="525" s="1"/>
  <c r="N181" i="525"/>
  <c r="K181" i="525" a="1"/>
  <c r="K181" i="525" s="1"/>
  <c r="M181" i="525" s="1"/>
  <c r="J181" i="525" a="1"/>
  <c r="J181" i="525" s="1"/>
  <c r="H181" i="525"/>
  <c r="V180" i="525"/>
  <c r="W180" i="525" s="1"/>
  <c r="N180" i="525"/>
  <c r="K180" i="525"/>
  <c r="M180" i="525" s="1"/>
  <c r="K180" i="525" a="1"/>
  <c r="J180" i="525" a="1"/>
  <c r="J180" i="525" s="1"/>
  <c r="H180" i="525"/>
  <c r="V179" i="525"/>
  <c r="W179" i="525" s="1"/>
  <c r="N179" i="525"/>
  <c r="K179" i="525" a="1"/>
  <c r="K179" i="525" s="1"/>
  <c r="M179" i="525" s="1"/>
  <c r="J179" i="525" a="1"/>
  <c r="J179" i="525" s="1"/>
  <c r="H179" i="525"/>
  <c r="V178" i="525"/>
  <c r="W178" i="525" s="1"/>
  <c r="N178" i="525"/>
  <c r="K178" i="525" a="1"/>
  <c r="K178" i="525" s="1"/>
  <c r="M178" i="525" s="1"/>
  <c r="J178" i="525" a="1"/>
  <c r="J178" i="525" s="1"/>
  <c r="H178" i="525"/>
  <c r="V177" i="525"/>
  <c r="V198" i="525" s="1"/>
  <c r="N177" i="525"/>
  <c r="K177" i="525" a="1"/>
  <c r="K177" i="525" s="1"/>
  <c r="J177" i="525" a="1"/>
  <c r="J177" i="525" s="1"/>
  <c r="H177" i="525"/>
  <c r="X170" i="525"/>
  <c r="Q526" i="525" s="1"/>
  <c r="X169" i="525"/>
  <c r="Q525" i="525" s="1"/>
  <c r="G169" i="525"/>
  <c r="C169" i="525"/>
  <c r="X168" i="525"/>
  <c r="Q524" i="525" s="1"/>
  <c r="I168" i="525"/>
  <c r="E168" i="525"/>
  <c r="K168" i="525" s="1"/>
  <c r="M168" i="525" s="1"/>
  <c r="I167" i="525"/>
  <c r="E167" i="525"/>
  <c r="K167" i="525" s="1"/>
  <c r="M167" i="525" s="1"/>
  <c r="I166" i="525"/>
  <c r="E166" i="525"/>
  <c r="K166" i="525" s="1"/>
  <c r="M166" i="525" s="1"/>
  <c r="X165" i="525"/>
  <c r="Q521" i="525" s="1"/>
  <c r="I165" i="525"/>
  <c r="I169" i="525" s="1"/>
  <c r="E165" i="525"/>
  <c r="E169" i="525" s="1"/>
  <c r="AA162" i="525"/>
  <c r="Z162" i="525"/>
  <c r="Y162" i="525"/>
  <c r="X162" i="525"/>
  <c r="U162" i="525"/>
  <c r="T162" i="525"/>
  <c r="S162" i="525"/>
  <c r="R162" i="525"/>
  <c r="Q162" i="525"/>
  <c r="P162" i="525"/>
  <c r="O162" i="525"/>
  <c r="R170" i="525" s="1"/>
  <c r="I162" i="525"/>
  <c r="G162" i="525"/>
  <c r="C526" i="525" s="1"/>
  <c r="H161" i="525"/>
  <c r="H160" i="525"/>
  <c r="H159" i="525"/>
  <c r="V158" i="525"/>
  <c r="W158" i="525" s="1"/>
  <c r="N158" i="525"/>
  <c r="K158" i="525"/>
  <c r="K158" i="525" a="1"/>
  <c r="J158" i="525" a="1"/>
  <c r="J158" i="525" s="1"/>
  <c r="H158" i="525"/>
  <c r="D158" i="525"/>
  <c r="V157" i="525"/>
  <c r="W157" i="525" s="1"/>
  <c r="N157" i="525"/>
  <c r="K157" i="525" a="1"/>
  <c r="K157" i="525" s="1"/>
  <c r="M157" i="525" s="1"/>
  <c r="J157" i="525" a="1"/>
  <c r="J157" i="525" s="1"/>
  <c r="H157" i="525"/>
  <c r="H156" i="525"/>
  <c r="H155" i="525"/>
  <c r="V154" i="525"/>
  <c r="W154" i="525" s="1"/>
  <c r="N154" i="525"/>
  <c r="K154" i="525" a="1"/>
  <c r="K154" i="525" s="1"/>
  <c r="M154" i="525" s="1"/>
  <c r="J154" i="525" a="1"/>
  <c r="J154" i="525" s="1"/>
  <c r="H154" i="525"/>
  <c r="V153" i="525"/>
  <c r="W153" i="525" s="1"/>
  <c r="N153" i="525"/>
  <c r="K153" i="525"/>
  <c r="M153" i="525" s="1"/>
  <c r="K153" i="525" a="1"/>
  <c r="J153" i="525"/>
  <c r="J153" i="525" a="1"/>
  <c r="H153" i="525"/>
  <c r="H152" i="525"/>
  <c r="V151" i="525"/>
  <c r="W151" i="525" s="1"/>
  <c r="N151" i="525"/>
  <c r="K151" i="525" a="1"/>
  <c r="K151" i="525" s="1"/>
  <c r="M151" i="525" s="1"/>
  <c r="J151" i="525" a="1"/>
  <c r="J151" i="525" s="1"/>
  <c r="H151" i="525"/>
  <c r="V150" i="525"/>
  <c r="W150" i="525" s="1"/>
  <c r="N150" i="525"/>
  <c r="K150" i="525" a="1"/>
  <c r="K150" i="525" s="1"/>
  <c r="M150" i="525" s="1"/>
  <c r="J150" i="525" a="1"/>
  <c r="J150" i="525" s="1"/>
  <c r="H150" i="525"/>
  <c r="V149" i="525"/>
  <c r="W149" i="525" s="1"/>
  <c r="N149" i="525"/>
  <c r="K149" i="525"/>
  <c r="M149" i="525" s="1"/>
  <c r="K149" i="525" a="1"/>
  <c r="J149" i="525"/>
  <c r="J149" i="525" a="1"/>
  <c r="H149" i="525"/>
  <c r="V148" i="525"/>
  <c r="W148" i="525" s="1"/>
  <c r="N148" i="525"/>
  <c r="K148" i="525" a="1"/>
  <c r="K148" i="525" s="1"/>
  <c r="J148" i="525" a="1"/>
  <c r="J148" i="525" s="1"/>
  <c r="H148" i="525"/>
  <c r="H162" i="525" s="1"/>
  <c r="AA147" i="525"/>
  <c r="Z147" i="525"/>
  <c r="Y147" i="525"/>
  <c r="X147" i="525"/>
  <c r="U147" i="525"/>
  <c r="T147" i="525"/>
  <c r="S147" i="525"/>
  <c r="Q147" i="525"/>
  <c r="P147" i="525"/>
  <c r="O147" i="525"/>
  <c r="I147" i="525"/>
  <c r="G147" i="525"/>
  <c r="C525" i="525" s="1"/>
  <c r="V146" i="525"/>
  <c r="W146" i="525" s="1"/>
  <c r="N146" i="525"/>
  <c r="K146" i="525"/>
  <c r="M146" i="525" s="1"/>
  <c r="K146" i="525" a="1"/>
  <c r="J146" i="525"/>
  <c r="J146" i="525" a="1"/>
  <c r="H146" i="525"/>
  <c r="H143" i="525"/>
  <c r="V142" i="525"/>
  <c r="W142" i="525" s="1"/>
  <c r="N142" i="525"/>
  <c r="K142" i="525" a="1"/>
  <c r="K142" i="525" s="1"/>
  <c r="M142" i="525" s="1"/>
  <c r="J142" i="525" a="1"/>
  <c r="J142" i="525" s="1"/>
  <c r="H142" i="525"/>
  <c r="V141" i="525"/>
  <c r="W141" i="525" s="1"/>
  <c r="N141" i="525"/>
  <c r="K141" i="525" a="1"/>
  <c r="K141" i="525" s="1"/>
  <c r="M141" i="525" s="1"/>
  <c r="J141" i="525" a="1"/>
  <c r="J141" i="525" s="1"/>
  <c r="H141" i="525"/>
  <c r="V140" i="525"/>
  <c r="W140" i="525" s="1"/>
  <c r="N140" i="525"/>
  <c r="K140" i="525" a="1"/>
  <c r="K140" i="525" s="1"/>
  <c r="M140" i="525" s="1"/>
  <c r="J140" i="525" a="1"/>
  <c r="J140" i="525" s="1"/>
  <c r="H140" i="525"/>
  <c r="V139" i="525"/>
  <c r="W139" i="525" s="1"/>
  <c r="N139" i="525"/>
  <c r="K139" i="525" a="1"/>
  <c r="K139" i="525" s="1"/>
  <c r="M139" i="525" s="1"/>
  <c r="J139" i="525" a="1"/>
  <c r="J139" i="525" s="1"/>
  <c r="H139" i="525"/>
  <c r="V138" i="525"/>
  <c r="N138" i="525"/>
  <c r="K138" i="525" a="1"/>
  <c r="K138" i="525" s="1"/>
  <c r="M138" i="525" s="1"/>
  <c r="J138" i="525" a="1"/>
  <c r="J138" i="525" s="1"/>
  <c r="H138" i="525"/>
  <c r="AA137" i="525"/>
  <c r="Z137" i="525"/>
  <c r="Y137" i="525"/>
  <c r="X137" i="525"/>
  <c r="U137" i="525"/>
  <c r="T137" i="525"/>
  <c r="S137" i="525"/>
  <c r="Q137" i="525"/>
  <c r="P137" i="525"/>
  <c r="O137" i="525"/>
  <c r="I137" i="525"/>
  <c r="G137" i="525"/>
  <c r="C524" i="525" s="1"/>
  <c r="V136" i="525"/>
  <c r="W136" i="525" s="1"/>
  <c r="N136" i="525"/>
  <c r="K136" i="525" a="1"/>
  <c r="K136" i="525" s="1"/>
  <c r="M136" i="525" s="1"/>
  <c r="J136" i="525" a="1"/>
  <c r="J136" i="525" s="1"/>
  <c r="H136" i="525"/>
  <c r="V135" i="525"/>
  <c r="W135" i="525" s="1"/>
  <c r="N135" i="525"/>
  <c r="K135" i="525"/>
  <c r="M135" i="525" s="1"/>
  <c r="K135" i="525" a="1"/>
  <c r="J135" i="525" a="1"/>
  <c r="J135" i="525" s="1"/>
  <c r="H135" i="525"/>
  <c r="V134" i="525"/>
  <c r="W134" i="525" s="1"/>
  <c r="N134" i="525"/>
  <c r="K134" i="525" a="1"/>
  <c r="K134" i="525" s="1"/>
  <c r="M134" i="525" s="1"/>
  <c r="J134" i="525" a="1"/>
  <c r="J134" i="525" s="1"/>
  <c r="H134" i="525"/>
  <c r="V133" i="525"/>
  <c r="W133" i="525" s="1"/>
  <c r="N133" i="525"/>
  <c r="K133" i="525"/>
  <c r="M133" i="525" s="1"/>
  <c r="K133" i="525" a="1"/>
  <c r="J133" i="525"/>
  <c r="J133" i="525" a="1"/>
  <c r="H133" i="525"/>
  <c r="V132" i="525"/>
  <c r="W132" i="525" s="1"/>
  <c r="N132" i="525"/>
  <c r="K132" i="525" a="1"/>
  <c r="K132" i="525" s="1"/>
  <c r="M132" i="525" s="1"/>
  <c r="J132" i="525" a="1"/>
  <c r="J132" i="525" s="1"/>
  <c r="H132" i="525"/>
  <c r="V131" i="525"/>
  <c r="W131" i="525" s="1"/>
  <c r="N131" i="525"/>
  <c r="K131" i="525" a="1"/>
  <c r="K131" i="525" s="1"/>
  <c r="M131" i="525" s="1"/>
  <c r="J131" i="525" a="1"/>
  <c r="J131" i="525" s="1"/>
  <c r="H131" i="525"/>
  <c r="V130" i="525"/>
  <c r="W130" i="525" s="1"/>
  <c r="N130" i="525"/>
  <c r="K130" i="525" a="1"/>
  <c r="K130" i="525" s="1"/>
  <c r="M130" i="525" s="1"/>
  <c r="J130" i="525" a="1"/>
  <c r="J130" i="525" s="1"/>
  <c r="H130" i="525"/>
  <c r="V129" i="525"/>
  <c r="W129" i="525" s="1"/>
  <c r="N129" i="525"/>
  <c r="K129" i="525" a="1"/>
  <c r="K129" i="525" s="1"/>
  <c r="M129" i="525" s="1"/>
  <c r="J129" i="525" a="1"/>
  <c r="J129" i="525" s="1"/>
  <c r="H129" i="525"/>
  <c r="V128" i="525"/>
  <c r="W128" i="525" s="1"/>
  <c r="N128" i="525"/>
  <c r="K128" i="525"/>
  <c r="M128" i="525" s="1"/>
  <c r="K128" i="525" a="1"/>
  <c r="J128" i="525"/>
  <c r="J128" i="525" a="1"/>
  <c r="H128" i="525"/>
  <c r="V127" i="525"/>
  <c r="W127" i="525" s="1"/>
  <c r="N127" i="525"/>
  <c r="K127" i="525" a="1"/>
  <c r="K127" i="525" s="1"/>
  <c r="M127" i="525" s="1"/>
  <c r="J127" i="525" a="1"/>
  <c r="J127" i="525" s="1"/>
  <c r="H127" i="525"/>
  <c r="W126" i="525"/>
  <c r="V126" i="525"/>
  <c r="N126" i="525"/>
  <c r="K126" i="525" a="1"/>
  <c r="K126" i="525" s="1"/>
  <c r="M126" i="525" s="1"/>
  <c r="J126" i="525" a="1"/>
  <c r="J126" i="525" s="1"/>
  <c r="H126" i="525"/>
  <c r="V125" i="525"/>
  <c r="W125" i="525" s="1"/>
  <c r="N125" i="525"/>
  <c r="K125" i="525" a="1"/>
  <c r="K125" i="525" s="1"/>
  <c r="M125" i="525" s="1"/>
  <c r="J125" i="525" a="1"/>
  <c r="J125" i="525" s="1"/>
  <c r="H125" i="525"/>
  <c r="V124" i="525"/>
  <c r="W124" i="525" s="1"/>
  <c r="N124" i="525"/>
  <c r="K124" i="525"/>
  <c r="M124" i="525" s="1"/>
  <c r="K124" i="525" a="1"/>
  <c r="J124" i="525"/>
  <c r="J124" i="525" a="1"/>
  <c r="H124" i="525"/>
  <c r="V123" i="525"/>
  <c r="W123" i="525" s="1"/>
  <c r="N123" i="525"/>
  <c r="K123" i="525" a="1"/>
  <c r="K123" i="525" s="1"/>
  <c r="M123" i="525" s="1"/>
  <c r="J123" i="525" a="1"/>
  <c r="J123" i="525" s="1"/>
  <c r="H123" i="525"/>
  <c r="V122" i="525"/>
  <c r="W122" i="525" s="1"/>
  <c r="N122" i="525"/>
  <c r="K122" i="525" a="1"/>
  <c r="K122" i="525" s="1"/>
  <c r="J122" i="525" a="1"/>
  <c r="J122" i="525" s="1"/>
  <c r="H122" i="525"/>
  <c r="AA121" i="525"/>
  <c r="Z121" i="525"/>
  <c r="Y121" i="525"/>
  <c r="X121" i="525"/>
  <c r="U121" i="525"/>
  <c r="T121" i="525"/>
  <c r="S121" i="525"/>
  <c r="R121" i="525"/>
  <c r="Q121" i="525"/>
  <c r="P121" i="525"/>
  <c r="O121" i="525"/>
  <c r="I121" i="525"/>
  <c r="G121" i="525"/>
  <c r="C523" i="525" s="1"/>
  <c r="V120" i="525"/>
  <c r="W120" i="525" s="1"/>
  <c r="N120" i="525"/>
  <c r="K120" i="525" a="1"/>
  <c r="K120" i="525" s="1"/>
  <c r="M120" i="525" s="1"/>
  <c r="J120" i="525" a="1"/>
  <c r="J120" i="525" s="1"/>
  <c r="H120" i="525"/>
  <c r="V119" i="525"/>
  <c r="W119" i="525" s="1"/>
  <c r="N119" i="525"/>
  <c r="K119" i="525" a="1"/>
  <c r="K119" i="525" s="1"/>
  <c r="M119" i="525" s="1"/>
  <c r="J119" i="525" a="1"/>
  <c r="J119" i="525" s="1"/>
  <c r="H119" i="525"/>
  <c r="V118" i="525"/>
  <c r="W118" i="525" s="1"/>
  <c r="N118" i="525"/>
  <c r="K118" i="525"/>
  <c r="M118" i="525" s="1"/>
  <c r="K118" i="525" a="1"/>
  <c r="J118" i="525"/>
  <c r="J118" i="525" a="1"/>
  <c r="H118" i="525"/>
  <c r="K117" i="525" a="1"/>
  <c r="K117" i="525" s="1"/>
  <c r="H117" i="525"/>
  <c r="K116" i="525" a="1"/>
  <c r="K116" i="525" s="1"/>
  <c r="H116" i="525"/>
  <c r="K115" i="525" a="1"/>
  <c r="K115" i="525" s="1"/>
  <c r="H115" i="525"/>
  <c r="V114" i="525"/>
  <c r="W114" i="525" s="1"/>
  <c r="N114" i="525"/>
  <c r="K114" i="525" a="1"/>
  <c r="K114" i="525" s="1"/>
  <c r="M114" i="525" s="1"/>
  <c r="J114" i="525" a="1"/>
  <c r="J114" i="525" s="1"/>
  <c r="H114" i="525"/>
  <c r="V113" i="525"/>
  <c r="W113" i="525" s="1"/>
  <c r="N113" i="525"/>
  <c r="K113" i="525" a="1"/>
  <c r="K113" i="525" s="1"/>
  <c r="M113" i="525" s="1"/>
  <c r="J113" i="525" a="1"/>
  <c r="J113" i="525" s="1"/>
  <c r="H113" i="525"/>
  <c r="N112" i="525"/>
  <c r="K112" i="525"/>
  <c r="M112" i="525" s="1"/>
  <c r="K112" i="525" a="1"/>
  <c r="H112" i="525"/>
  <c r="N111" i="525"/>
  <c r="K111" i="525" a="1"/>
  <c r="K111" i="525" s="1"/>
  <c r="M111" i="525" s="1"/>
  <c r="H111" i="525"/>
  <c r="N110" i="525"/>
  <c r="K110" i="525" a="1"/>
  <c r="K110" i="525" s="1"/>
  <c r="M110" i="525" s="1"/>
  <c r="H110" i="525"/>
  <c r="N109" i="525"/>
  <c r="K109" i="525" a="1"/>
  <c r="K109" i="525" s="1"/>
  <c r="M109" i="525" s="1"/>
  <c r="H109" i="525"/>
  <c r="N108" i="525"/>
  <c r="K108" i="525" a="1"/>
  <c r="K108" i="525" s="1"/>
  <c r="M108" i="525" s="1"/>
  <c r="H108" i="525"/>
  <c r="N107" i="525"/>
  <c r="K107" i="525" a="1"/>
  <c r="K107" i="525" s="1"/>
  <c r="M107" i="525" s="1"/>
  <c r="H107" i="525"/>
  <c r="V106" i="525"/>
  <c r="W106" i="525" s="1"/>
  <c r="N106" i="525"/>
  <c r="K106" i="525" a="1"/>
  <c r="K106" i="525" s="1"/>
  <c r="M106" i="525" s="1"/>
  <c r="J106" i="525" a="1"/>
  <c r="J106" i="525" s="1"/>
  <c r="H106" i="525"/>
  <c r="V105" i="525"/>
  <c r="W105" i="525" s="1"/>
  <c r="N105" i="525"/>
  <c r="K105" i="525" a="1"/>
  <c r="K105" i="525" s="1"/>
  <c r="M105" i="525" s="1"/>
  <c r="J105" i="525" a="1"/>
  <c r="J105" i="525" s="1"/>
  <c r="H105" i="525"/>
  <c r="V104" i="525"/>
  <c r="W104" i="525" s="1"/>
  <c r="N104" i="525"/>
  <c r="K104" i="525"/>
  <c r="M104" i="525" s="1"/>
  <c r="K104" i="525" a="1"/>
  <c r="J104" i="525"/>
  <c r="J104" i="525" a="1"/>
  <c r="H104" i="525"/>
  <c r="V103" i="525"/>
  <c r="W103" i="525" s="1"/>
  <c r="N103" i="525"/>
  <c r="K103" i="525" a="1"/>
  <c r="K103" i="525" s="1"/>
  <c r="M103" i="525" s="1"/>
  <c r="J103" i="525" a="1"/>
  <c r="J103" i="525" s="1"/>
  <c r="H103" i="525"/>
  <c r="V102" i="525"/>
  <c r="W102" i="525" s="1"/>
  <c r="N102" i="525"/>
  <c r="K102" i="525" a="1"/>
  <c r="K102" i="525" s="1"/>
  <c r="M102" i="525" s="1"/>
  <c r="J102" i="525" a="1"/>
  <c r="J102" i="525" s="1"/>
  <c r="H102" i="525"/>
  <c r="V101" i="525"/>
  <c r="W101" i="525" s="1"/>
  <c r="N101" i="525"/>
  <c r="K101" i="525" a="1"/>
  <c r="K101" i="525" s="1"/>
  <c r="M101" i="525" s="1"/>
  <c r="J101" i="525" a="1"/>
  <c r="J101" i="525" s="1"/>
  <c r="H101" i="525"/>
  <c r="V100" i="525"/>
  <c r="W100" i="525" s="1"/>
  <c r="N100" i="525"/>
  <c r="K100" i="525"/>
  <c r="M100" i="525" s="1"/>
  <c r="K100" i="525" a="1"/>
  <c r="J100" i="525"/>
  <c r="J100" i="525" a="1"/>
  <c r="H100" i="525"/>
  <c r="V99" i="525"/>
  <c r="W99" i="525" s="1"/>
  <c r="N99" i="525"/>
  <c r="K99" i="525" a="1"/>
  <c r="K99" i="525" s="1"/>
  <c r="M99" i="525" s="1"/>
  <c r="J99" i="525" a="1"/>
  <c r="J99" i="525" s="1"/>
  <c r="H99" i="525"/>
  <c r="W98" i="525"/>
  <c r="V98" i="525"/>
  <c r="N98" i="525"/>
  <c r="K98" i="525" a="1"/>
  <c r="K98" i="525" s="1"/>
  <c r="M98" i="525" s="1"/>
  <c r="J98" i="525" a="1"/>
  <c r="J98" i="525" s="1"/>
  <c r="H98" i="525"/>
  <c r="V97" i="525"/>
  <c r="W97" i="525" s="1"/>
  <c r="N97" i="525"/>
  <c r="K97" i="525" a="1"/>
  <c r="K97" i="525" s="1"/>
  <c r="M97" i="525" s="1"/>
  <c r="J97" i="525" a="1"/>
  <c r="J97" i="525" s="1"/>
  <c r="H97" i="525"/>
  <c r="V96" i="525"/>
  <c r="W96" i="525" s="1"/>
  <c r="N96" i="525"/>
  <c r="K96" i="525"/>
  <c r="M96" i="525" s="1"/>
  <c r="K96" i="525" a="1"/>
  <c r="J96" i="525"/>
  <c r="J96" i="525" a="1"/>
  <c r="H96" i="525"/>
  <c r="V95" i="525"/>
  <c r="W95" i="525" s="1"/>
  <c r="N95" i="525"/>
  <c r="K95" i="525" a="1"/>
  <c r="K95" i="525" s="1"/>
  <c r="M95" i="525" s="1"/>
  <c r="J95" i="525" a="1"/>
  <c r="J95" i="525" s="1"/>
  <c r="H95" i="525"/>
  <c r="K94" i="525" a="1"/>
  <c r="K94" i="525" s="1"/>
  <c r="M94" i="525" s="1"/>
  <c r="H94" i="525"/>
  <c r="V93" i="525"/>
  <c r="W93" i="525" s="1"/>
  <c r="N93" i="525"/>
  <c r="K93" i="525" a="1"/>
  <c r="K93" i="525" s="1"/>
  <c r="M93" i="525" s="1"/>
  <c r="J93" i="525" a="1"/>
  <c r="J93" i="525" s="1"/>
  <c r="H93" i="525"/>
  <c r="V92" i="525"/>
  <c r="W92" i="525" s="1"/>
  <c r="N92" i="525"/>
  <c r="K92" i="525" a="1"/>
  <c r="K92" i="525" s="1"/>
  <c r="M92" i="525" s="1"/>
  <c r="J92" i="525" a="1"/>
  <c r="J92" i="525" s="1"/>
  <c r="H92" i="525"/>
  <c r="V91" i="525"/>
  <c r="W91" i="525" s="1"/>
  <c r="N91" i="525"/>
  <c r="K91" i="525"/>
  <c r="M91" i="525" s="1"/>
  <c r="K91" i="525" a="1"/>
  <c r="J91" i="525"/>
  <c r="J91" i="525" a="1"/>
  <c r="H91" i="525"/>
  <c r="V90" i="525"/>
  <c r="W90" i="525" s="1"/>
  <c r="N90" i="525"/>
  <c r="K90" i="525" a="1"/>
  <c r="K90" i="525" s="1"/>
  <c r="M90" i="525" s="1"/>
  <c r="J90" i="525" a="1"/>
  <c r="J90" i="525" s="1"/>
  <c r="H90" i="525"/>
  <c r="V89" i="525"/>
  <c r="W89" i="525" s="1"/>
  <c r="N89" i="525"/>
  <c r="K89" i="525" a="1"/>
  <c r="K89" i="525" s="1"/>
  <c r="M89" i="525" s="1"/>
  <c r="J89" i="525" a="1"/>
  <c r="J89" i="525" s="1"/>
  <c r="H89" i="525"/>
  <c r="V88" i="525"/>
  <c r="W88" i="525" s="1"/>
  <c r="N88" i="525"/>
  <c r="K88" i="525" a="1"/>
  <c r="K88" i="525" s="1"/>
  <c r="M88" i="525" s="1"/>
  <c r="J88" i="525" a="1"/>
  <c r="J88" i="525" s="1"/>
  <c r="H88" i="525"/>
  <c r="V87" i="525"/>
  <c r="N87" i="525"/>
  <c r="K87" i="525"/>
  <c r="M87" i="525" s="1"/>
  <c r="K87" i="525" a="1"/>
  <c r="J87" i="525"/>
  <c r="J87" i="525" a="1"/>
  <c r="H87" i="525"/>
  <c r="AA86" i="525"/>
  <c r="Z86" i="525"/>
  <c r="Y86" i="525"/>
  <c r="X86" i="525"/>
  <c r="U86" i="525"/>
  <c r="T86" i="525"/>
  <c r="S86" i="525"/>
  <c r="R86" i="525"/>
  <c r="Q86" i="525"/>
  <c r="P86" i="525"/>
  <c r="O86" i="525"/>
  <c r="R166" i="525" s="1"/>
  <c r="I86" i="525"/>
  <c r="G86" i="525"/>
  <c r="C522" i="525" s="1"/>
  <c r="K85" i="525" a="1"/>
  <c r="K85" i="525" s="1"/>
  <c r="H85" i="525"/>
  <c r="K84" i="525"/>
  <c r="K84" i="525" a="1"/>
  <c r="H84" i="525"/>
  <c r="K83" i="525" a="1"/>
  <c r="K83" i="525" s="1"/>
  <c r="H83" i="525"/>
  <c r="K82" i="525" a="1"/>
  <c r="K82" i="525" s="1"/>
  <c r="H82" i="525"/>
  <c r="K81" i="525" a="1"/>
  <c r="K81" i="525" s="1"/>
  <c r="H81" i="525"/>
  <c r="K80" i="525"/>
  <c r="K80" i="525" a="1"/>
  <c r="H80" i="525"/>
  <c r="K79" i="525" a="1"/>
  <c r="K79" i="525" s="1"/>
  <c r="M79" i="525" s="1"/>
  <c r="H79" i="525"/>
  <c r="K78" i="525" a="1"/>
  <c r="K78" i="525" s="1"/>
  <c r="M78" i="525" s="1"/>
  <c r="H78" i="525"/>
  <c r="K77" i="525" a="1"/>
  <c r="K77" i="525" s="1"/>
  <c r="M77" i="525" s="1"/>
  <c r="H77" i="525"/>
  <c r="K76" i="525" a="1"/>
  <c r="K76" i="525" s="1"/>
  <c r="M76" i="525" s="1"/>
  <c r="H76" i="525"/>
  <c r="V75" i="525"/>
  <c r="W75" i="525" s="1"/>
  <c r="N75" i="525"/>
  <c r="K75" i="525" a="1"/>
  <c r="K75" i="525" s="1"/>
  <c r="M75" i="525" s="1"/>
  <c r="J75" i="525" a="1"/>
  <c r="J75" i="525" s="1"/>
  <c r="H75" i="525"/>
  <c r="V74" i="525"/>
  <c r="W74" i="525" s="1"/>
  <c r="N74" i="525"/>
  <c r="K74" i="525"/>
  <c r="M74" i="525" s="1"/>
  <c r="K74" i="525" a="1"/>
  <c r="J74" i="525" a="1"/>
  <c r="J74" i="525" s="1"/>
  <c r="H74" i="525"/>
  <c r="V73" i="525"/>
  <c r="W73" i="525" s="1"/>
  <c r="N73" i="525"/>
  <c r="K73" i="525" a="1"/>
  <c r="K73" i="525" s="1"/>
  <c r="M73" i="525" s="1"/>
  <c r="J73" i="525" a="1"/>
  <c r="J73" i="525" s="1"/>
  <c r="H73" i="525"/>
  <c r="V72" i="525"/>
  <c r="W72" i="525" s="1"/>
  <c r="N72" i="525"/>
  <c r="K72" i="525"/>
  <c r="M72" i="525" s="1"/>
  <c r="K72" i="525" a="1"/>
  <c r="J72" i="525" a="1"/>
  <c r="J72" i="525" s="1"/>
  <c r="H72" i="525"/>
  <c r="H71" i="525"/>
  <c r="V70" i="525"/>
  <c r="W70" i="525" s="1"/>
  <c r="N70" i="525"/>
  <c r="K70" i="525" a="1"/>
  <c r="K70" i="525" s="1"/>
  <c r="M70" i="525" s="1"/>
  <c r="J70" i="525" a="1"/>
  <c r="J70" i="525" s="1"/>
  <c r="H70" i="525"/>
  <c r="V69" i="525"/>
  <c r="W69" i="525" s="1"/>
  <c r="N69" i="525"/>
  <c r="K69" i="525" a="1"/>
  <c r="K69" i="525" s="1"/>
  <c r="M69" i="525" s="1"/>
  <c r="J69" i="525" a="1"/>
  <c r="J69" i="525" s="1"/>
  <c r="H69" i="525"/>
  <c r="K68" i="525" a="1"/>
  <c r="K68" i="525" s="1"/>
  <c r="H68" i="525"/>
  <c r="K67" i="525"/>
  <c r="K67" i="525" a="1"/>
  <c r="H67" i="525"/>
  <c r="V66" i="525"/>
  <c r="W66" i="525" s="1"/>
  <c r="N66" i="525"/>
  <c r="K66" i="525" a="1"/>
  <c r="K66" i="525" s="1"/>
  <c r="M66" i="525" s="1"/>
  <c r="J66" i="525" a="1"/>
  <c r="J66" i="525" s="1"/>
  <c r="H66" i="525"/>
  <c r="V65" i="525"/>
  <c r="W65" i="525" s="1"/>
  <c r="N65" i="525"/>
  <c r="K65" i="525"/>
  <c r="M65" i="525" s="1"/>
  <c r="K65" i="525" a="1"/>
  <c r="J65" i="525"/>
  <c r="J65" i="525" a="1"/>
  <c r="H65" i="525"/>
  <c r="V64" i="525"/>
  <c r="W64" i="525" s="1"/>
  <c r="N64" i="525"/>
  <c r="K64" i="525" a="1"/>
  <c r="K64" i="525" s="1"/>
  <c r="M64" i="525" s="1"/>
  <c r="J64" i="525" a="1"/>
  <c r="J64" i="525" s="1"/>
  <c r="H64" i="525"/>
  <c r="V63" i="525"/>
  <c r="W63" i="525" s="1"/>
  <c r="N63" i="525"/>
  <c r="K63" i="525" a="1"/>
  <c r="K63" i="525" s="1"/>
  <c r="M63" i="525" s="1"/>
  <c r="J63" i="525" a="1"/>
  <c r="J63" i="525" s="1"/>
  <c r="H63" i="525"/>
  <c r="V62" i="525"/>
  <c r="W62" i="525" s="1"/>
  <c r="N62" i="525"/>
  <c r="K62" i="525" a="1"/>
  <c r="K62" i="525" s="1"/>
  <c r="M62" i="525" s="1"/>
  <c r="J62" i="525" a="1"/>
  <c r="J62" i="525" s="1"/>
  <c r="H62" i="525"/>
  <c r="V61" i="525"/>
  <c r="W61" i="525" s="1"/>
  <c r="N61" i="525"/>
  <c r="K61" i="525"/>
  <c r="M61" i="525" s="1"/>
  <c r="K61" i="525" a="1"/>
  <c r="J61" i="525"/>
  <c r="J61" i="525" a="1"/>
  <c r="H61" i="525"/>
  <c r="V60" i="525"/>
  <c r="W60" i="525" s="1"/>
  <c r="N60" i="525"/>
  <c r="K60" i="525" a="1"/>
  <c r="K60" i="525" s="1"/>
  <c r="M60" i="525" s="1"/>
  <c r="J60" i="525" a="1"/>
  <c r="J60" i="525" s="1"/>
  <c r="H60" i="525"/>
  <c r="V59" i="525"/>
  <c r="W59" i="525" s="1"/>
  <c r="N59" i="525"/>
  <c r="K59" i="525" a="1"/>
  <c r="K59" i="525" s="1"/>
  <c r="M59" i="525" s="1"/>
  <c r="J59" i="525" a="1"/>
  <c r="J59" i="525" s="1"/>
  <c r="H59" i="525"/>
  <c r="V58" i="525"/>
  <c r="W58" i="525" s="1"/>
  <c r="N58" i="525"/>
  <c r="K58" i="525" a="1"/>
  <c r="K58" i="525" s="1"/>
  <c r="M58" i="525" s="1"/>
  <c r="J58" i="525" a="1"/>
  <c r="J58" i="525" s="1"/>
  <c r="H58" i="525"/>
  <c r="V57" i="525"/>
  <c r="W57" i="525" s="1"/>
  <c r="N57" i="525"/>
  <c r="K57" i="525" a="1"/>
  <c r="K57" i="525" s="1"/>
  <c r="M57" i="525" s="1"/>
  <c r="J57" i="525" a="1"/>
  <c r="J57" i="525" s="1"/>
  <c r="H57" i="525"/>
  <c r="K56" i="525" a="1"/>
  <c r="K56" i="525" s="1"/>
  <c r="M56" i="525" s="1"/>
  <c r="H56" i="525"/>
  <c r="K55" i="525" a="1"/>
  <c r="K55" i="525" s="1"/>
  <c r="M55" i="525" s="1"/>
  <c r="H55" i="525"/>
  <c r="K54" i="525" a="1"/>
  <c r="K54" i="525" s="1"/>
  <c r="M54" i="525" s="1"/>
  <c r="H54" i="525"/>
  <c r="K53" i="525" a="1"/>
  <c r="K53" i="525" s="1"/>
  <c r="M53" i="525" s="1"/>
  <c r="H53" i="525"/>
  <c r="N52" i="525"/>
  <c r="K52" i="525" a="1"/>
  <c r="K52" i="525" s="1"/>
  <c r="M52" i="525" s="1"/>
  <c r="H52" i="525"/>
  <c r="N51" i="525"/>
  <c r="K51" i="525" a="1"/>
  <c r="K51" i="525" s="1"/>
  <c r="M51" i="525" s="1"/>
  <c r="H51" i="525"/>
  <c r="N50" i="525"/>
  <c r="K50" i="525"/>
  <c r="M50" i="525" s="1"/>
  <c r="K50" i="525" a="1"/>
  <c r="H50" i="525"/>
  <c r="N49" i="525"/>
  <c r="K49" i="525" a="1"/>
  <c r="K49" i="525" s="1"/>
  <c r="M49" i="525" s="1"/>
  <c r="H49" i="525"/>
  <c r="V48" i="525"/>
  <c r="W48" i="525" s="1"/>
  <c r="N48" i="525"/>
  <c r="K48" i="525" a="1"/>
  <c r="K48" i="525" s="1"/>
  <c r="M48" i="525" s="1"/>
  <c r="J48" i="525" a="1"/>
  <c r="J48" i="525" s="1"/>
  <c r="H48" i="525"/>
  <c r="V47" i="525"/>
  <c r="W47" i="525" s="1"/>
  <c r="N47" i="525"/>
  <c r="K47" i="525" a="1"/>
  <c r="K47" i="525" s="1"/>
  <c r="M47" i="525" s="1"/>
  <c r="J47" i="525" a="1"/>
  <c r="J47" i="525" s="1"/>
  <c r="H47" i="525"/>
  <c r="V46" i="525"/>
  <c r="W46" i="525" s="1"/>
  <c r="N46" i="525"/>
  <c r="K46" i="525" a="1"/>
  <c r="K46" i="525" s="1"/>
  <c r="M46" i="525" s="1"/>
  <c r="J46" i="525" a="1"/>
  <c r="J46" i="525" s="1"/>
  <c r="H46" i="525"/>
  <c r="V45" i="525"/>
  <c r="W45" i="525" s="1"/>
  <c r="N45" i="525"/>
  <c r="K45" i="525" a="1"/>
  <c r="K45" i="525" s="1"/>
  <c r="M45" i="525" s="1"/>
  <c r="J45" i="525" a="1"/>
  <c r="J45" i="525" s="1"/>
  <c r="H45" i="525"/>
  <c r="V44" i="525"/>
  <c r="W44" i="525" s="1"/>
  <c r="N44" i="525"/>
  <c r="K44" i="525" a="1"/>
  <c r="K44" i="525" s="1"/>
  <c r="M44" i="525" s="1"/>
  <c r="J44" i="525" a="1"/>
  <c r="J44" i="525" s="1"/>
  <c r="H44" i="525"/>
  <c r="V43" i="525"/>
  <c r="W43" i="525" s="1"/>
  <c r="N43" i="525"/>
  <c r="K43" i="525" a="1"/>
  <c r="K43" i="525" s="1"/>
  <c r="M43" i="525" s="1"/>
  <c r="J43" i="525" a="1"/>
  <c r="J43" i="525" s="1"/>
  <c r="H43" i="525"/>
  <c r="V42" i="525"/>
  <c r="W42" i="525" s="1"/>
  <c r="N42" i="525"/>
  <c r="K42" i="525" a="1"/>
  <c r="K42" i="525" s="1"/>
  <c r="M42" i="525" s="1"/>
  <c r="J42" i="525" a="1"/>
  <c r="J42" i="525" s="1"/>
  <c r="H42" i="525"/>
  <c r="V41" i="525"/>
  <c r="W41" i="525" s="1"/>
  <c r="N41" i="525"/>
  <c r="K41" i="525" a="1"/>
  <c r="K41" i="525" s="1"/>
  <c r="M41" i="525" s="1"/>
  <c r="J41" i="525" a="1"/>
  <c r="J41" i="525" s="1"/>
  <c r="H41" i="525"/>
  <c r="V40" i="525"/>
  <c r="W40" i="525" s="1"/>
  <c r="N40" i="525"/>
  <c r="K40" i="525" a="1"/>
  <c r="K40" i="525" s="1"/>
  <c r="M40" i="525" s="1"/>
  <c r="J40" i="525" a="1"/>
  <c r="J40" i="525" s="1"/>
  <c r="H40" i="525"/>
  <c r="V39" i="525"/>
  <c r="W39" i="525" s="1"/>
  <c r="N39" i="525"/>
  <c r="K39" i="525"/>
  <c r="M39" i="525" s="1"/>
  <c r="K39" i="525" a="1"/>
  <c r="J39" i="525"/>
  <c r="J39" i="525" a="1"/>
  <c r="H39" i="525"/>
  <c r="V38" i="525"/>
  <c r="W38" i="525" s="1"/>
  <c r="N38" i="525"/>
  <c r="K38" i="525" a="1"/>
  <c r="K38" i="525" s="1"/>
  <c r="M38" i="525" s="1"/>
  <c r="J38" i="525" a="1"/>
  <c r="J38" i="525" s="1"/>
  <c r="H38" i="525"/>
  <c r="V37" i="525"/>
  <c r="W37" i="525" s="1"/>
  <c r="N37" i="525"/>
  <c r="K37" i="525" a="1"/>
  <c r="K37" i="525" s="1"/>
  <c r="M37" i="525" s="1"/>
  <c r="J37" i="525" a="1"/>
  <c r="J37" i="525" s="1"/>
  <c r="H37" i="525"/>
  <c r="H36" i="525"/>
  <c r="H35" i="525"/>
  <c r="H34" i="525"/>
  <c r="V33" i="525"/>
  <c r="W33" i="525" s="1"/>
  <c r="N33" i="525"/>
  <c r="K33" i="525" a="1"/>
  <c r="K33" i="525" s="1"/>
  <c r="M33" i="525" s="1"/>
  <c r="J33" i="525" a="1"/>
  <c r="J33" i="525" s="1"/>
  <c r="H33" i="525"/>
  <c r="V32" i="525"/>
  <c r="W32" i="525" s="1"/>
  <c r="N32" i="525"/>
  <c r="K32" i="525" a="1"/>
  <c r="K32" i="525" s="1"/>
  <c r="M32" i="525" s="1"/>
  <c r="J32" i="525" a="1"/>
  <c r="J32" i="525" s="1"/>
  <c r="H32" i="525"/>
  <c r="V31" i="525"/>
  <c r="W31" i="525" s="1"/>
  <c r="N31" i="525"/>
  <c r="K31" i="525"/>
  <c r="M31" i="525" s="1"/>
  <c r="K31" i="525" a="1"/>
  <c r="J31" i="525" a="1"/>
  <c r="J31" i="525" s="1"/>
  <c r="H31" i="525"/>
  <c r="K30" i="525" a="1"/>
  <c r="K30" i="525" s="1"/>
  <c r="H30" i="525"/>
  <c r="W29" i="525"/>
  <c r="V29" i="525"/>
  <c r="N29" i="525"/>
  <c r="K29" i="525" a="1"/>
  <c r="K29" i="525" s="1"/>
  <c r="M29" i="525" s="1"/>
  <c r="J29" i="525" a="1"/>
  <c r="J29" i="525" s="1"/>
  <c r="H29" i="525"/>
  <c r="AA28" i="525"/>
  <c r="AA163" i="525" s="1"/>
  <c r="Z28" i="525"/>
  <c r="Z163" i="525" s="1"/>
  <c r="Y28" i="525"/>
  <c r="Y163" i="525" s="1"/>
  <c r="X28" i="525"/>
  <c r="X163" i="525" s="1"/>
  <c r="U28" i="525"/>
  <c r="U163" i="525" s="1"/>
  <c r="T28" i="525"/>
  <c r="T163" i="525" s="1"/>
  <c r="S28" i="525"/>
  <c r="S163" i="525" s="1"/>
  <c r="R28" i="525"/>
  <c r="R163" i="525" s="1"/>
  <c r="Q28" i="525"/>
  <c r="Q163" i="525" s="1"/>
  <c r="P28" i="525"/>
  <c r="O28" i="525"/>
  <c r="I28" i="525"/>
  <c r="I163" i="525" s="1"/>
  <c r="B171" i="525" s="1"/>
  <c r="G28" i="525"/>
  <c r="V27" i="525"/>
  <c r="W27" i="525" s="1"/>
  <c r="N27" i="525"/>
  <c r="K27" i="525" a="1"/>
  <c r="K27" i="525" s="1"/>
  <c r="M27" i="525" s="1"/>
  <c r="J27" i="525" a="1"/>
  <c r="J27" i="525" s="1"/>
  <c r="H27" i="525"/>
  <c r="V26" i="525"/>
  <c r="W26" i="525" s="1"/>
  <c r="N26" i="525"/>
  <c r="K26" i="525" a="1"/>
  <c r="K26" i="525" s="1"/>
  <c r="M26" i="525" s="1"/>
  <c r="J26" i="525" a="1"/>
  <c r="J26" i="525" s="1"/>
  <c r="H26" i="525"/>
  <c r="K25" i="525"/>
  <c r="M25" i="525" s="1"/>
  <c r="K25" i="525" a="1"/>
  <c r="J25" i="525" a="1"/>
  <c r="J25" i="525" s="1"/>
  <c r="H25" i="525"/>
  <c r="K24" i="525" a="1"/>
  <c r="K24" i="525" s="1"/>
  <c r="M24" i="525" s="1"/>
  <c r="J24" i="525" a="1"/>
  <c r="J24" i="525" s="1"/>
  <c r="H24" i="525"/>
  <c r="K23" i="525" a="1"/>
  <c r="K23" i="525" s="1"/>
  <c r="M23" i="525" s="1"/>
  <c r="J23" i="525" a="1"/>
  <c r="J23" i="525" s="1"/>
  <c r="H23" i="525"/>
  <c r="K22" i="525" a="1"/>
  <c r="K22" i="525" s="1"/>
  <c r="M22" i="525" s="1"/>
  <c r="J22" i="525" a="1"/>
  <c r="J22" i="525" s="1"/>
  <c r="H22" i="525"/>
  <c r="V21" i="525"/>
  <c r="W21" i="525" s="1"/>
  <c r="N21" i="525"/>
  <c r="K21" i="525"/>
  <c r="M21" i="525" s="1"/>
  <c r="K21" i="525" a="1"/>
  <c r="J21" i="525"/>
  <c r="J21" i="525" a="1"/>
  <c r="H21" i="525"/>
  <c r="V20" i="525"/>
  <c r="W20" i="525" s="1"/>
  <c r="N20" i="525"/>
  <c r="K20" i="525" a="1"/>
  <c r="K20" i="525" s="1"/>
  <c r="M20" i="525" s="1"/>
  <c r="J20" i="525" a="1"/>
  <c r="J20" i="525" s="1"/>
  <c r="H20" i="525"/>
  <c r="V19" i="525"/>
  <c r="W19" i="525" s="1"/>
  <c r="N19" i="525"/>
  <c r="K19" i="525" a="1"/>
  <c r="K19" i="525" s="1"/>
  <c r="M19" i="525" s="1"/>
  <c r="J19" i="525" a="1"/>
  <c r="J19" i="525" s="1"/>
  <c r="H19" i="525"/>
  <c r="N18" i="525"/>
  <c r="K18" i="525" a="1"/>
  <c r="K18" i="525" s="1"/>
  <c r="M18" i="525" s="1"/>
  <c r="J18" i="525" a="1"/>
  <c r="J18" i="525" s="1"/>
  <c r="H18" i="525"/>
  <c r="N17" i="525"/>
  <c r="K17" i="525" a="1"/>
  <c r="K17" i="525" s="1"/>
  <c r="M17" i="525" s="1"/>
  <c r="J17" i="525" a="1"/>
  <c r="J17" i="525" s="1"/>
  <c r="H17" i="525"/>
  <c r="V16" i="525"/>
  <c r="W16" i="525" s="1"/>
  <c r="N16" i="525"/>
  <c r="K16" i="525" a="1"/>
  <c r="K16" i="525" s="1"/>
  <c r="M16" i="525" s="1"/>
  <c r="J16" i="525" a="1"/>
  <c r="J16" i="525" s="1"/>
  <c r="H16" i="525"/>
  <c r="V15" i="525"/>
  <c r="W15" i="525" s="1"/>
  <c r="N15" i="525"/>
  <c r="K15" i="525"/>
  <c r="M15" i="525" s="1"/>
  <c r="K15" i="525" a="1"/>
  <c r="J15" i="525"/>
  <c r="J15" i="525" a="1"/>
  <c r="H15" i="525"/>
  <c r="N14" i="525"/>
  <c r="K14" i="525" a="1"/>
  <c r="K14" i="525" s="1"/>
  <c r="M14" i="525" s="1"/>
  <c r="H14" i="525"/>
  <c r="N13" i="525"/>
  <c r="K13" i="525" a="1"/>
  <c r="K13" i="525" s="1"/>
  <c r="M13" i="525" s="1"/>
  <c r="H13" i="525"/>
  <c r="V12" i="525"/>
  <c r="W12" i="525" s="1"/>
  <c r="N12" i="525"/>
  <c r="K12" i="525" a="1"/>
  <c r="K12" i="525" s="1"/>
  <c r="M12" i="525" s="1"/>
  <c r="J12" i="525" a="1"/>
  <c r="J12" i="525" s="1"/>
  <c r="H12" i="525"/>
  <c r="V11" i="525"/>
  <c r="W11" i="525" s="1"/>
  <c r="N11" i="525"/>
  <c r="K11" i="525"/>
  <c r="M11" i="525" s="1"/>
  <c r="K11" i="525" a="1"/>
  <c r="J11" i="525"/>
  <c r="J11" i="525" a="1"/>
  <c r="H11" i="525"/>
  <c r="V10" i="525"/>
  <c r="W10" i="525" s="1"/>
  <c r="N10" i="525"/>
  <c r="K10" i="525" a="1"/>
  <c r="K10" i="525" s="1"/>
  <c r="M10" i="525" s="1"/>
  <c r="J10" i="525" a="1"/>
  <c r="J10" i="525" s="1"/>
  <c r="H10" i="525"/>
  <c r="V9" i="525"/>
  <c r="W9" i="525" s="1"/>
  <c r="N9" i="525"/>
  <c r="K9" i="525" a="1"/>
  <c r="K9" i="525" s="1"/>
  <c r="M9" i="525" s="1"/>
  <c r="J9" i="525" a="1"/>
  <c r="J9" i="525" s="1"/>
  <c r="H9" i="525"/>
  <c r="V8" i="525"/>
  <c r="W8" i="525" s="1"/>
  <c r="N8" i="525"/>
  <c r="K8" i="525" a="1"/>
  <c r="K8" i="525" s="1"/>
  <c r="M8" i="525" s="1"/>
  <c r="J8" i="525" a="1"/>
  <c r="J8" i="525" s="1"/>
  <c r="H8" i="525"/>
  <c r="V7" i="525"/>
  <c r="N7" i="525"/>
  <c r="K7" i="525"/>
  <c r="M7" i="525" s="1"/>
  <c r="K7" i="525" a="1"/>
  <c r="J7" i="525"/>
  <c r="J7" i="525" a="1"/>
  <c r="H7" i="525"/>
  <c r="H332" i="525" l="1"/>
  <c r="H368" i="525"/>
  <c r="V368" i="525"/>
  <c r="H307" i="525"/>
  <c r="V307" i="525"/>
  <c r="W307" i="525" s="1"/>
  <c r="Z507" i="526"/>
  <c r="H147" i="525"/>
  <c r="V147" i="525"/>
  <c r="W147" i="525" s="1"/>
  <c r="N332" i="525"/>
  <c r="N426" i="525"/>
  <c r="H477" i="525"/>
  <c r="H504" i="525" s="1"/>
  <c r="E511" i="525" s="1"/>
  <c r="N147" i="525"/>
  <c r="N162" i="525"/>
  <c r="N198" i="525"/>
  <c r="H256" i="525"/>
  <c r="V256" i="525"/>
  <c r="W256" i="525" s="1"/>
  <c r="N291" i="525"/>
  <c r="H317" i="525"/>
  <c r="V317" i="525"/>
  <c r="W317" i="525" s="1"/>
  <c r="H28" i="525"/>
  <c r="V28" i="525"/>
  <c r="H86" i="525"/>
  <c r="H121" i="525"/>
  <c r="V121" i="525"/>
  <c r="W121" i="525" s="1"/>
  <c r="W138" i="525"/>
  <c r="E523" i="526"/>
  <c r="E525" i="526"/>
  <c r="E522" i="526"/>
  <c r="E524" i="526"/>
  <c r="E526" i="526"/>
  <c r="T512" i="526"/>
  <c r="T511" i="526"/>
  <c r="T510" i="526"/>
  <c r="T507" i="526"/>
  <c r="T508" i="526"/>
  <c r="Q527" i="526"/>
  <c r="L163" i="526"/>
  <c r="I170" i="526" s="1"/>
  <c r="K527" i="526"/>
  <c r="T171" i="526"/>
  <c r="T166" i="526"/>
  <c r="T167" i="526"/>
  <c r="T168" i="526"/>
  <c r="T169" i="526"/>
  <c r="T170" i="526"/>
  <c r="T341" i="526"/>
  <c r="T336" i="526"/>
  <c r="T339" i="526"/>
  <c r="T338" i="526"/>
  <c r="T340" i="526"/>
  <c r="T337" i="526"/>
  <c r="I513" i="526"/>
  <c r="M513" i="526" s="1" a="1"/>
  <c r="M513" i="526" s="1"/>
  <c r="W504" i="526"/>
  <c r="Z512" i="526"/>
  <c r="Z511" i="526"/>
  <c r="Z510" i="526"/>
  <c r="Z509" i="526"/>
  <c r="Z508" i="526"/>
  <c r="T509" i="526"/>
  <c r="K518" i="526"/>
  <c r="O518" i="526" s="1" a="1"/>
  <c r="O518" i="526" s="1"/>
  <c r="M172" i="526" a="1"/>
  <c r="M172" i="526" s="1"/>
  <c r="S523" i="526"/>
  <c r="I171" i="526"/>
  <c r="M171" i="526" s="1"/>
  <c r="E341" i="526"/>
  <c r="I341" i="526" s="1"/>
  <c r="M341" i="526" s="1"/>
  <c r="L333" i="526"/>
  <c r="I340" i="526" s="1"/>
  <c r="O516" i="526" a="1"/>
  <c r="O516" i="526" s="1"/>
  <c r="M521" i="526" a="1"/>
  <c r="M521" i="526" s="1"/>
  <c r="E512" i="526"/>
  <c r="I512" i="526" s="1"/>
  <c r="M512" i="526" s="1"/>
  <c r="L504" i="526"/>
  <c r="I511" i="526" s="1"/>
  <c r="J291" i="525" a="1"/>
  <c r="J291" i="525" s="1"/>
  <c r="J256" i="525" a="1"/>
  <c r="J256" i="525" s="1"/>
  <c r="J28" i="525" a="1"/>
  <c r="J28" i="525" s="1"/>
  <c r="N368" i="525"/>
  <c r="W347" i="525"/>
  <c r="W369" i="525"/>
  <c r="K477" i="525"/>
  <c r="M487" i="525"/>
  <c r="M368" i="525"/>
  <c r="J368" i="525" a="1"/>
  <c r="J368" i="525" s="1"/>
  <c r="K426" i="525"/>
  <c r="J426" i="525" a="1"/>
  <c r="J426" i="525" s="1"/>
  <c r="R507" i="525"/>
  <c r="N461" i="525"/>
  <c r="W427" i="525"/>
  <c r="J461" i="525" a="1"/>
  <c r="J461" i="525" s="1"/>
  <c r="R508" i="525"/>
  <c r="N477" i="525"/>
  <c r="W478" i="525"/>
  <c r="N307" i="525"/>
  <c r="W292" i="525"/>
  <c r="N333" i="525"/>
  <c r="B342" i="525" s="1"/>
  <c r="E342" i="525" s="1"/>
  <c r="M307" i="525"/>
  <c r="H291" i="525"/>
  <c r="H198" i="525"/>
  <c r="M147" i="525"/>
  <c r="N137" i="525"/>
  <c r="H137" i="525"/>
  <c r="J147" i="525" a="1"/>
  <c r="J147" i="525" s="1"/>
  <c r="J162" i="525" a="1"/>
  <c r="J162" i="525" s="1"/>
  <c r="R168" i="525"/>
  <c r="R169" i="525"/>
  <c r="M121" i="525"/>
  <c r="N121" i="525"/>
  <c r="W87" i="525"/>
  <c r="N86" i="525"/>
  <c r="V86" i="525"/>
  <c r="W86" i="525" s="1"/>
  <c r="N28" i="525"/>
  <c r="W7" i="525"/>
  <c r="J121" i="525" a="1"/>
  <c r="J121" i="525" s="1"/>
  <c r="M86" i="525"/>
  <c r="M28" i="525"/>
  <c r="W28" i="525"/>
  <c r="K28" i="525"/>
  <c r="X166" i="525"/>
  <c r="P163" i="525"/>
  <c r="X167" i="525" s="1"/>
  <c r="J86" i="525" a="1"/>
  <c r="J86" i="525" s="1"/>
  <c r="K86" i="525"/>
  <c r="K121" i="525"/>
  <c r="K137" i="525"/>
  <c r="K524" i="525"/>
  <c r="K525" i="525"/>
  <c r="K162" i="525"/>
  <c r="M148" i="525"/>
  <c r="M162" i="525" s="1"/>
  <c r="K526" i="525"/>
  <c r="K256" i="525"/>
  <c r="M199" i="525"/>
  <c r="M256" i="525" s="1"/>
  <c r="K291" i="525"/>
  <c r="M257" i="525"/>
  <c r="M291" i="525" s="1"/>
  <c r="K317" i="525"/>
  <c r="M308" i="525"/>
  <c r="M317" i="525" s="1"/>
  <c r="K332" i="525"/>
  <c r="M318" i="525"/>
  <c r="M332" i="525" s="1"/>
  <c r="W332" i="525"/>
  <c r="C521" i="525"/>
  <c r="G163" i="525"/>
  <c r="C517" i="525"/>
  <c r="O163" i="525"/>
  <c r="R165" i="525"/>
  <c r="K522" i="525"/>
  <c r="R167" i="525"/>
  <c r="M122" i="525"/>
  <c r="M137" i="525" s="1"/>
  <c r="V137" i="525"/>
  <c r="W137" i="525" s="1"/>
  <c r="K198" i="525"/>
  <c r="M177" i="525"/>
  <c r="M198" i="525" s="1"/>
  <c r="M333" i="525" s="1"/>
  <c r="J333" i="525" a="1"/>
  <c r="J333" i="525" s="1"/>
  <c r="M340" i="525" s="1"/>
  <c r="B340" i="525"/>
  <c r="K147" i="525"/>
  <c r="V162" i="525"/>
  <c r="W162" i="525" s="1"/>
  <c r="K165" i="525"/>
  <c r="O333" i="525"/>
  <c r="R335" i="525"/>
  <c r="V291" i="525"/>
  <c r="W291" i="525" s="1"/>
  <c r="K307" i="525"/>
  <c r="V332" i="525"/>
  <c r="P333" i="525"/>
  <c r="X337" i="525" s="1"/>
  <c r="J137" i="525" a="1"/>
  <c r="J137" i="525" s="1"/>
  <c r="W177" i="525"/>
  <c r="W198" i="525" s="1"/>
  <c r="J198" i="525" a="1"/>
  <c r="J198" i="525" s="1"/>
  <c r="W199" i="525"/>
  <c r="R337" i="525"/>
  <c r="R338" i="525"/>
  <c r="W308" i="525"/>
  <c r="R339" i="525"/>
  <c r="R340" i="525"/>
  <c r="X342" i="525"/>
  <c r="Z339" i="525" s="1"/>
  <c r="W368" i="525"/>
  <c r="M461" i="525"/>
  <c r="K335" i="525"/>
  <c r="K368" i="525"/>
  <c r="M462" i="525"/>
  <c r="M477" i="525" s="1"/>
  <c r="W462" i="525"/>
  <c r="V477" i="525"/>
  <c r="W477" i="525" s="1"/>
  <c r="B511" i="525"/>
  <c r="J504" i="525" a="1"/>
  <c r="J504" i="525" s="1"/>
  <c r="M511" i="525" s="1"/>
  <c r="R506" i="525"/>
  <c r="X506" i="525"/>
  <c r="O504" i="525"/>
  <c r="X507" i="525" s="1"/>
  <c r="M369" i="525"/>
  <c r="M426" i="525" s="1"/>
  <c r="M504" i="525" s="1"/>
  <c r="K461" i="525"/>
  <c r="K503" i="525"/>
  <c r="M488" i="525"/>
  <c r="M503" i="525" s="1"/>
  <c r="K487" i="525"/>
  <c r="R510" i="525"/>
  <c r="W488" i="525"/>
  <c r="W503" i="525" s="1"/>
  <c r="K510" i="525"/>
  <c r="M506" i="525"/>
  <c r="E510" i="525"/>
  <c r="G240" i="524"/>
  <c r="H333" i="525" l="1"/>
  <c r="E340" i="525" s="1"/>
  <c r="G516" i="525" s="1"/>
  <c r="H163" i="525"/>
  <c r="E170" i="525" s="1"/>
  <c r="E527" i="526"/>
  <c r="M525" i="526"/>
  <c r="M523" i="526"/>
  <c r="M526" i="526"/>
  <c r="M524" i="526"/>
  <c r="M522" i="526"/>
  <c r="S524" i="526"/>
  <c r="S526" i="526"/>
  <c r="S521" i="526" a="1"/>
  <c r="S521" i="526" s="1"/>
  <c r="S525" i="526"/>
  <c r="G517" i="526"/>
  <c r="S522" i="526"/>
  <c r="M163" i="525"/>
  <c r="N504" i="525"/>
  <c r="B513" i="525" s="1"/>
  <c r="E513" i="525" s="1"/>
  <c r="W333" i="525"/>
  <c r="N163" i="525"/>
  <c r="B172" i="525" s="1"/>
  <c r="C518" i="525" s="1"/>
  <c r="G518" i="525" s="1"/>
  <c r="X172" i="525"/>
  <c r="Z169" i="525" s="1"/>
  <c r="E172" i="525"/>
  <c r="R513" i="525"/>
  <c r="T506" i="525" s="1" a="1"/>
  <c r="T506" i="525" s="1"/>
  <c r="M335" i="525"/>
  <c r="K339" i="525"/>
  <c r="M339" i="525" s="1"/>
  <c r="Z341" i="525"/>
  <c r="Z335" i="525" a="1"/>
  <c r="Z335" i="525" s="1"/>
  <c r="V504" i="525"/>
  <c r="Z340" i="525"/>
  <c r="Z337" i="525"/>
  <c r="V333" i="525"/>
  <c r="I342" i="525" s="1"/>
  <c r="M342" i="525" s="1" a="1"/>
  <c r="M342" i="525" s="1"/>
  <c r="K333" i="525"/>
  <c r="K521" i="525"/>
  <c r="R172" i="525"/>
  <c r="J163" i="525" a="1"/>
  <c r="J163" i="525" s="1"/>
  <c r="M170" i="525" s="1"/>
  <c r="B170" i="525"/>
  <c r="C516" i="525" s="1"/>
  <c r="Q523" i="525"/>
  <c r="Z167" i="525"/>
  <c r="K163" i="525"/>
  <c r="E171" i="525" s="1"/>
  <c r="W163" i="525"/>
  <c r="M510" i="525"/>
  <c r="T510" i="525"/>
  <c r="X513" i="525"/>
  <c r="Z507" i="525" s="1"/>
  <c r="K504" i="525"/>
  <c r="Z336" i="525"/>
  <c r="Z338" i="525"/>
  <c r="R342" i="525"/>
  <c r="Z165" i="525" a="1"/>
  <c r="Z165" i="525" s="1"/>
  <c r="M165" i="525"/>
  <c r="K169" i="525"/>
  <c r="M169" i="525" s="1"/>
  <c r="K523" i="525"/>
  <c r="T167" i="525"/>
  <c r="C527" i="525"/>
  <c r="Q522" i="525"/>
  <c r="V163" i="525"/>
  <c r="I172" i="525" s="1"/>
  <c r="I124" i="524"/>
  <c r="I19" i="524"/>
  <c r="I15" i="524"/>
  <c r="I69" i="524"/>
  <c r="I70" i="524"/>
  <c r="M206" i="524"/>
  <c r="M205" i="524"/>
  <c r="M204" i="524"/>
  <c r="K206" i="524" a="1"/>
  <c r="K206" i="524" s="1"/>
  <c r="K205" i="524" a="1"/>
  <c r="K205" i="524" s="1"/>
  <c r="K204" i="524" a="1"/>
  <c r="K204" i="524" s="1"/>
  <c r="J206" i="524" a="1"/>
  <c r="J206" i="524" s="1"/>
  <c r="J205" i="524" a="1"/>
  <c r="J205" i="524" s="1"/>
  <c r="J204" i="524" a="1"/>
  <c r="J204" i="524" s="1"/>
  <c r="J185" i="524" a="1"/>
  <c r="J185" i="524" s="1"/>
  <c r="I189" i="524"/>
  <c r="I239" i="524"/>
  <c r="I206" i="524"/>
  <c r="I258" i="524"/>
  <c r="I294" i="524"/>
  <c r="I204" i="524"/>
  <c r="I182" i="524"/>
  <c r="I428" i="524"/>
  <c r="I432" i="523"/>
  <c r="I428" i="523"/>
  <c r="I427" i="523"/>
  <c r="I431" i="523"/>
  <c r="I430" i="523"/>
  <c r="M325" i="523"/>
  <c r="K325" i="523" a="1"/>
  <c r="K325" i="523" s="1"/>
  <c r="J325" i="523" a="1"/>
  <c r="J325" i="523" s="1"/>
  <c r="I284" i="523"/>
  <c r="I260" i="523"/>
  <c r="I294" i="523"/>
  <c r="I229" i="523"/>
  <c r="I325" i="523"/>
  <c r="I186" i="523"/>
  <c r="I240" i="523"/>
  <c r="M156" i="523"/>
  <c r="M155" i="523"/>
  <c r="K156" i="523" a="1"/>
  <c r="K156" i="523" s="1"/>
  <c r="K155" i="523" a="1"/>
  <c r="K155" i="523" s="1"/>
  <c r="J156" i="523" a="1"/>
  <c r="J156" i="523" s="1"/>
  <c r="J155" i="523" a="1"/>
  <c r="J155" i="523" s="1"/>
  <c r="I155" i="523"/>
  <c r="I114" i="523"/>
  <c r="I124" i="523"/>
  <c r="I70" i="523"/>
  <c r="I16" i="523"/>
  <c r="I18" i="523"/>
  <c r="I17" i="523"/>
  <c r="K517" i="526" l="1"/>
  <c r="O517" i="526" s="1"/>
  <c r="K516" i="526"/>
  <c r="S527" i="526"/>
  <c r="Z166" i="525"/>
  <c r="Z171" i="525"/>
  <c r="Z170" i="525"/>
  <c r="Z168" i="525"/>
  <c r="E522" i="525"/>
  <c r="E526" i="525"/>
  <c r="E523" i="525"/>
  <c r="E524" i="525"/>
  <c r="E525" i="525"/>
  <c r="T341" i="525"/>
  <c r="T336" i="525"/>
  <c r="T337" i="525"/>
  <c r="E512" i="525"/>
  <c r="I512" i="525" s="1"/>
  <c r="M512" i="525" s="1"/>
  <c r="L504" i="525"/>
  <c r="I511" i="525" s="1"/>
  <c r="Z506" i="525" a="1"/>
  <c r="Z506" i="525" s="1"/>
  <c r="L163" i="525"/>
  <c r="I170" i="525" s="1"/>
  <c r="K527" i="525"/>
  <c r="T171" i="525"/>
  <c r="T166" i="525"/>
  <c r="T168" i="525"/>
  <c r="T169" i="525"/>
  <c r="T170" i="525"/>
  <c r="T338" i="525"/>
  <c r="M172" i="525" a="1"/>
  <c r="M172" i="525" s="1"/>
  <c r="Q527" i="525"/>
  <c r="S522" i="525" s="1"/>
  <c r="E521" i="525"/>
  <c r="M523" i="525"/>
  <c r="T335" i="525" a="1"/>
  <c r="T335" i="525" s="1"/>
  <c r="T340" i="525"/>
  <c r="Z512" i="525"/>
  <c r="Z509" i="525"/>
  <c r="Z508" i="525"/>
  <c r="Z511" i="525"/>
  <c r="Z510" i="525"/>
  <c r="I171" i="525"/>
  <c r="M171" i="525" s="1"/>
  <c r="O516" i="525" a="1"/>
  <c r="O516" i="525" s="1"/>
  <c r="T165" i="525" a="1"/>
  <c r="T165" i="525" s="1"/>
  <c r="M521" i="525" a="1"/>
  <c r="M521" i="525" s="1"/>
  <c r="E341" i="525"/>
  <c r="I341" i="525" s="1"/>
  <c r="M341" i="525" s="1"/>
  <c r="L333" i="525"/>
  <c r="I340" i="525" s="1"/>
  <c r="I513" i="525"/>
  <c r="M513" i="525" s="1" a="1"/>
  <c r="M513" i="525" s="1"/>
  <c r="W504" i="525"/>
  <c r="T339" i="525"/>
  <c r="T512" i="525"/>
  <c r="T508" i="525"/>
  <c r="T507" i="525"/>
  <c r="T509" i="525"/>
  <c r="T511" i="525"/>
  <c r="G70" i="524"/>
  <c r="G124" i="524"/>
  <c r="G294" i="523"/>
  <c r="G325" i="523"/>
  <c r="G155" i="523"/>
  <c r="G428" i="524"/>
  <c r="G204" i="524"/>
  <c r="G206" i="524"/>
  <c r="G239" i="524"/>
  <c r="G227" i="524"/>
  <c r="G182" i="524"/>
  <c r="G228" i="524"/>
  <c r="G189" i="524"/>
  <c r="G229" i="524"/>
  <c r="G69" i="524"/>
  <c r="G58" i="524"/>
  <c r="G15" i="524"/>
  <c r="G59" i="524"/>
  <c r="P533" i="524"/>
  <c r="O533" i="524"/>
  <c r="N533" i="524"/>
  <c r="M533" i="524"/>
  <c r="L533" i="524"/>
  <c r="K533" i="524"/>
  <c r="I533" i="524"/>
  <c r="H533" i="524"/>
  <c r="G533" i="524"/>
  <c r="F533" i="524"/>
  <c r="E533" i="524"/>
  <c r="G514" i="524"/>
  <c r="N514" i="524" s="1"/>
  <c r="X512" i="524"/>
  <c r="X511" i="524"/>
  <c r="X510" i="524"/>
  <c r="G510" i="524"/>
  <c r="C510" i="524"/>
  <c r="X509" i="524"/>
  <c r="I509" i="524"/>
  <c r="E509" i="524"/>
  <c r="K509" i="524" s="1"/>
  <c r="M509" i="524" s="1"/>
  <c r="X508" i="524"/>
  <c r="I508" i="524"/>
  <c r="E508" i="524"/>
  <c r="K508" i="524" s="1"/>
  <c r="M508" i="524" s="1"/>
  <c r="I507" i="524"/>
  <c r="E507" i="524"/>
  <c r="K507" i="524" s="1"/>
  <c r="M507" i="524" s="1"/>
  <c r="I506" i="524"/>
  <c r="I510" i="524" s="1"/>
  <c r="E506" i="524"/>
  <c r="K506" i="524" s="1"/>
  <c r="AA503" i="524"/>
  <c r="Z503" i="524"/>
  <c r="Y503" i="524"/>
  <c r="X503" i="524"/>
  <c r="U503" i="524"/>
  <c r="T503" i="524"/>
  <c r="S503" i="524"/>
  <c r="R503" i="524"/>
  <c r="Q503" i="524"/>
  <c r="P503" i="524"/>
  <c r="O503" i="524"/>
  <c r="I503" i="524"/>
  <c r="G503" i="524"/>
  <c r="J503" i="524" s="1" a="1"/>
  <c r="J503" i="524" s="1"/>
  <c r="H502" i="524"/>
  <c r="H501" i="524"/>
  <c r="H500" i="524"/>
  <c r="D499" i="524"/>
  <c r="H499" i="524" s="1"/>
  <c r="V498" i="524"/>
  <c r="W498" i="524" s="1"/>
  <c r="N498" i="524"/>
  <c r="K498" i="524" a="1"/>
  <c r="K498" i="524" s="1"/>
  <c r="M498" i="524" s="1"/>
  <c r="J498" i="524" a="1"/>
  <c r="J498" i="524" s="1"/>
  <c r="H498" i="524"/>
  <c r="H497" i="524"/>
  <c r="H496" i="524"/>
  <c r="V495" i="524"/>
  <c r="W495" i="524" s="1"/>
  <c r="N495" i="524"/>
  <c r="K495" i="524" a="1"/>
  <c r="K495" i="524" s="1"/>
  <c r="M495" i="524" s="1"/>
  <c r="J495" i="524" a="1"/>
  <c r="J495" i="524" s="1"/>
  <c r="H495" i="524"/>
  <c r="V494" i="524"/>
  <c r="W494" i="524" s="1"/>
  <c r="N494" i="524"/>
  <c r="K494" i="524"/>
  <c r="M494" i="524" s="1"/>
  <c r="K494" i="524" a="1"/>
  <c r="J494" i="524"/>
  <c r="J494" i="524" a="1"/>
  <c r="H494" i="524"/>
  <c r="H493" i="524"/>
  <c r="H492" i="524"/>
  <c r="V491" i="524"/>
  <c r="W491" i="524" s="1"/>
  <c r="N491" i="524"/>
  <c r="K491" i="524" a="1"/>
  <c r="K491" i="524" s="1"/>
  <c r="M491" i="524" s="1"/>
  <c r="J491" i="524" a="1"/>
  <c r="J491" i="524" s="1"/>
  <c r="H491" i="524"/>
  <c r="V490" i="524"/>
  <c r="W490" i="524" s="1"/>
  <c r="N490" i="524"/>
  <c r="K490" i="524" a="1"/>
  <c r="K490" i="524" s="1"/>
  <c r="M490" i="524" s="1"/>
  <c r="J490" i="524" a="1"/>
  <c r="J490" i="524" s="1"/>
  <c r="H490" i="524"/>
  <c r="V489" i="524"/>
  <c r="W489" i="524" s="1"/>
  <c r="N489" i="524"/>
  <c r="K489" i="524" a="1"/>
  <c r="K489" i="524" s="1"/>
  <c r="M489" i="524" s="1"/>
  <c r="J489" i="524" a="1"/>
  <c r="J489" i="524" s="1"/>
  <c r="H489" i="524"/>
  <c r="V488" i="524"/>
  <c r="W488" i="524" s="1"/>
  <c r="N488" i="524"/>
  <c r="N503" i="524" s="1"/>
  <c r="K488" i="524"/>
  <c r="K488" i="524" a="1"/>
  <c r="J488" i="524"/>
  <c r="J488" i="524" a="1"/>
  <c r="H488" i="524"/>
  <c r="H503" i="524" s="1"/>
  <c r="AA487" i="524"/>
  <c r="Z487" i="524"/>
  <c r="Y487" i="524"/>
  <c r="X487" i="524"/>
  <c r="U487" i="524"/>
  <c r="T487" i="524"/>
  <c r="S487" i="524"/>
  <c r="Q487" i="524"/>
  <c r="P487" i="524"/>
  <c r="O487" i="524"/>
  <c r="R510" i="524" s="1"/>
  <c r="I487" i="524"/>
  <c r="G487" i="524"/>
  <c r="J487" i="524" s="1" a="1"/>
  <c r="J487" i="524" s="1"/>
  <c r="V486" i="524"/>
  <c r="W486" i="524" s="1"/>
  <c r="N486" i="524"/>
  <c r="K486" i="524" a="1"/>
  <c r="K486" i="524" s="1"/>
  <c r="M486" i="524" s="1"/>
  <c r="J486" i="524" a="1"/>
  <c r="J486" i="524" s="1"/>
  <c r="H486" i="524"/>
  <c r="H483" i="524"/>
  <c r="V482" i="524"/>
  <c r="W482" i="524" s="1"/>
  <c r="N482" i="524"/>
  <c r="K482" i="524" a="1"/>
  <c r="K482" i="524" s="1"/>
  <c r="M482" i="524" s="1"/>
  <c r="J482" i="524" a="1"/>
  <c r="J482" i="524" s="1"/>
  <c r="H482" i="524"/>
  <c r="V481" i="524"/>
  <c r="W481" i="524" s="1"/>
  <c r="N481" i="524"/>
  <c r="K481" i="524" a="1"/>
  <c r="K481" i="524" s="1"/>
  <c r="M481" i="524" s="1"/>
  <c r="J481" i="524" a="1"/>
  <c r="J481" i="524" s="1"/>
  <c r="H481" i="524"/>
  <c r="V480" i="524"/>
  <c r="W480" i="524" s="1"/>
  <c r="N480" i="524"/>
  <c r="K480" i="524" a="1"/>
  <c r="K480" i="524" s="1"/>
  <c r="M480" i="524" s="1"/>
  <c r="J480" i="524" a="1"/>
  <c r="J480" i="524" s="1"/>
  <c r="H480" i="524"/>
  <c r="V479" i="524"/>
  <c r="W479" i="524" s="1"/>
  <c r="N479" i="524"/>
  <c r="K479" i="524"/>
  <c r="M479" i="524" s="1"/>
  <c r="K479" i="524" a="1"/>
  <c r="J479" i="524"/>
  <c r="J479" i="524" a="1"/>
  <c r="H479" i="524"/>
  <c r="V478" i="524"/>
  <c r="W478" i="524" s="1"/>
  <c r="N478" i="524"/>
  <c r="N487" i="524" s="1"/>
  <c r="K478" i="524" a="1"/>
  <c r="K478" i="524" s="1"/>
  <c r="J478" i="524" a="1"/>
  <c r="J478" i="524" s="1"/>
  <c r="H478" i="524"/>
  <c r="H487" i="524" s="1"/>
  <c r="AA477" i="524"/>
  <c r="Z477" i="524"/>
  <c r="Y477" i="524"/>
  <c r="X477" i="524"/>
  <c r="U477" i="524"/>
  <c r="T477" i="524"/>
  <c r="S477" i="524"/>
  <c r="Q477" i="524"/>
  <c r="P477" i="524"/>
  <c r="O477" i="524"/>
  <c r="I477" i="524"/>
  <c r="G477" i="524"/>
  <c r="J477" i="524" s="1" a="1"/>
  <c r="J477" i="524" s="1"/>
  <c r="V476" i="524"/>
  <c r="W476" i="524" s="1"/>
  <c r="N476" i="524"/>
  <c r="K476" i="524" a="1"/>
  <c r="K476" i="524" s="1"/>
  <c r="M476" i="524" s="1"/>
  <c r="J476" i="524" a="1"/>
  <c r="J476" i="524" s="1"/>
  <c r="H476" i="524"/>
  <c r="V475" i="524"/>
  <c r="W475" i="524" s="1"/>
  <c r="N475" i="524"/>
  <c r="K475" i="524" a="1"/>
  <c r="K475" i="524" s="1"/>
  <c r="M475" i="524" s="1"/>
  <c r="J475" i="524" a="1"/>
  <c r="J475" i="524" s="1"/>
  <c r="H475" i="524"/>
  <c r="V474" i="524"/>
  <c r="W474" i="524" s="1"/>
  <c r="N474" i="524"/>
  <c r="K474" i="524"/>
  <c r="M474" i="524" s="1"/>
  <c r="K474" i="524" a="1"/>
  <c r="J474" i="524"/>
  <c r="J474" i="524" a="1"/>
  <c r="H474" i="524"/>
  <c r="V473" i="524"/>
  <c r="W473" i="524" s="1"/>
  <c r="N473" i="524"/>
  <c r="K473" i="524" a="1"/>
  <c r="K473" i="524" s="1"/>
  <c r="M473" i="524" s="1"/>
  <c r="J473" i="524" a="1"/>
  <c r="J473" i="524" s="1"/>
  <c r="H473" i="524"/>
  <c r="W472" i="524"/>
  <c r="V472" i="524"/>
  <c r="N472" i="524"/>
  <c r="K472" i="524" a="1"/>
  <c r="K472" i="524" s="1"/>
  <c r="M472" i="524" s="1"/>
  <c r="J472" i="524" a="1"/>
  <c r="J472" i="524" s="1"/>
  <c r="H472" i="524"/>
  <c r="V471" i="524"/>
  <c r="W471" i="524" s="1"/>
  <c r="N471" i="524"/>
  <c r="K471" i="524" a="1"/>
  <c r="K471" i="524" s="1"/>
  <c r="M471" i="524" s="1"/>
  <c r="J471" i="524" a="1"/>
  <c r="J471" i="524" s="1"/>
  <c r="H471" i="524"/>
  <c r="V470" i="524"/>
  <c r="W470" i="524" s="1"/>
  <c r="N470" i="524"/>
  <c r="K470" i="524"/>
  <c r="M470" i="524" s="1"/>
  <c r="K470" i="524" a="1"/>
  <c r="J470" i="524"/>
  <c r="J470" i="524" a="1"/>
  <c r="H470" i="524"/>
  <c r="V469" i="524"/>
  <c r="W469" i="524" s="1"/>
  <c r="N469" i="524"/>
  <c r="K469" i="524" a="1"/>
  <c r="K469" i="524" s="1"/>
  <c r="M469" i="524" s="1"/>
  <c r="J469" i="524" a="1"/>
  <c r="J469" i="524" s="1"/>
  <c r="H469" i="524"/>
  <c r="V468" i="524"/>
  <c r="W468" i="524" s="1"/>
  <c r="N468" i="524"/>
  <c r="K468" i="524" a="1"/>
  <c r="K468" i="524" s="1"/>
  <c r="M468" i="524" s="1"/>
  <c r="J468" i="524" a="1"/>
  <c r="J468" i="524" s="1"/>
  <c r="H468" i="524"/>
  <c r="V467" i="524"/>
  <c r="W467" i="524" s="1"/>
  <c r="N467" i="524"/>
  <c r="K467" i="524" a="1"/>
  <c r="K467" i="524" s="1"/>
  <c r="M467" i="524" s="1"/>
  <c r="J467" i="524" a="1"/>
  <c r="J467" i="524" s="1"/>
  <c r="H467" i="524"/>
  <c r="V466" i="524"/>
  <c r="W466" i="524" s="1"/>
  <c r="N466" i="524"/>
  <c r="K466" i="524"/>
  <c r="M466" i="524" s="1"/>
  <c r="K466" i="524" a="1"/>
  <c r="J466" i="524"/>
  <c r="J466" i="524" a="1"/>
  <c r="H466" i="524"/>
  <c r="V465" i="524"/>
  <c r="W465" i="524" s="1"/>
  <c r="N465" i="524"/>
  <c r="K465" i="524" a="1"/>
  <c r="K465" i="524" s="1"/>
  <c r="M465" i="524" s="1"/>
  <c r="J465" i="524" a="1"/>
  <c r="J465" i="524" s="1"/>
  <c r="H465" i="524"/>
  <c r="V464" i="524"/>
  <c r="W464" i="524" s="1"/>
  <c r="N464" i="524"/>
  <c r="K464" i="524" a="1"/>
  <c r="K464" i="524" s="1"/>
  <c r="M464" i="524" s="1"/>
  <c r="J464" i="524" a="1"/>
  <c r="J464" i="524" s="1"/>
  <c r="H464" i="524"/>
  <c r="V463" i="524"/>
  <c r="W463" i="524" s="1"/>
  <c r="N463" i="524"/>
  <c r="K463" i="524" a="1"/>
  <c r="K463" i="524" s="1"/>
  <c r="M463" i="524" s="1"/>
  <c r="J463" i="524" a="1"/>
  <c r="J463" i="524" s="1"/>
  <c r="H463" i="524"/>
  <c r="V462" i="524"/>
  <c r="V477" i="524" s="1"/>
  <c r="W477" i="524" s="1"/>
  <c r="N462" i="524"/>
  <c r="K462" i="524"/>
  <c r="K462" i="524" a="1"/>
  <c r="J462" i="524"/>
  <c r="J462" i="524" a="1"/>
  <c r="H462" i="524"/>
  <c r="H477" i="524" s="1"/>
  <c r="AA461" i="524"/>
  <c r="Z461" i="524"/>
  <c r="Y461" i="524"/>
  <c r="X461" i="524"/>
  <c r="U461" i="524"/>
  <c r="T461" i="524"/>
  <c r="S461" i="524"/>
  <c r="R461" i="524"/>
  <c r="Q461" i="524"/>
  <c r="P461" i="524"/>
  <c r="O461" i="524"/>
  <c r="I461" i="524"/>
  <c r="G461" i="524"/>
  <c r="V460" i="524"/>
  <c r="W460" i="524" s="1"/>
  <c r="N460" i="524"/>
  <c r="K460" i="524"/>
  <c r="M460" i="524" s="1"/>
  <c r="K460" i="524" a="1"/>
  <c r="J460" i="524"/>
  <c r="J460" i="524" a="1"/>
  <c r="H460" i="524"/>
  <c r="V459" i="524"/>
  <c r="W459" i="524" s="1"/>
  <c r="N459" i="524"/>
  <c r="K459" i="524" a="1"/>
  <c r="K459" i="524" s="1"/>
  <c r="M459" i="524" s="1"/>
  <c r="J459" i="524" a="1"/>
  <c r="J459" i="524" s="1"/>
  <c r="H459" i="524"/>
  <c r="W458" i="524"/>
  <c r="V458" i="524"/>
  <c r="N458" i="524"/>
  <c r="K458" i="524" a="1"/>
  <c r="K458" i="524" s="1"/>
  <c r="M458" i="524" s="1"/>
  <c r="J458" i="524" a="1"/>
  <c r="J458" i="524" s="1"/>
  <c r="H458" i="524"/>
  <c r="K457" i="524"/>
  <c r="M457" i="524" s="1"/>
  <c r="K457" i="524" a="1"/>
  <c r="H457" i="524"/>
  <c r="K456" i="524" a="1"/>
  <c r="K456" i="524" s="1"/>
  <c r="M456" i="524" s="1"/>
  <c r="H456" i="524"/>
  <c r="K455" i="524"/>
  <c r="M455" i="524" s="1"/>
  <c r="K455" i="524" a="1"/>
  <c r="H455" i="524"/>
  <c r="V454" i="524"/>
  <c r="W454" i="524" s="1"/>
  <c r="N454" i="524"/>
  <c r="K454" i="524" a="1"/>
  <c r="K454" i="524" s="1"/>
  <c r="M454" i="524" s="1"/>
  <c r="J454" i="524" a="1"/>
  <c r="J454" i="524" s="1"/>
  <c r="H454" i="524"/>
  <c r="V453" i="524"/>
  <c r="W453" i="524" s="1"/>
  <c r="N453" i="524"/>
  <c r="K453" i="524"/>
  <c r="M453" i="524" s="1"/>
  <c r="K453" i="524" a="1"/>
  <c r="J453" i="524" a="1"/>
  <c r="J453" i="524" s="1"/>
  <c r="H453" i="524"/>
  <c r="N452" i="524"/>
  <c r="K452" i="524" a="1"/>
  <c r="K452" i="524" s="1"/>
  <c r="M452" i="524" s="1"/>
  <c r="H452" i="524"/>
  <c r="N451" i="524"/>
  <c r="K451" i="524" a="1"/>
  <c r="K451" i="524" s="1"/>
  <c r="M451" i="524" s="1"/>
  <c r="H451" i="524"/>
  <c r="N450" i="524"/>
  <c r="K450" i="524" a="1"/>
  <c r="K450" i="524" s="1"/>
  <c r="M450" i="524" s="1"/>
  <c r="H450" i="524"/>
  <c r="N449" i="524"/>
  <c r="K449" i="524" a="1"/>
  <c r="K449" i="524" s="1"/>
  <c r="M449" i="524" s="1"/>
  <c r="H449" i="524"/>
  <c r="N448" i="524"/>
  <c r="K448" i="524" a="1"/>
  <c r="K448" i="524" s="1"/>
  <c r="M448" i="524" s="1"/>
  <c r="H448" i="524"/>
  <c r="N447" i="524"/>
  <c r="K447" i="524" a="1"/>
  <c r="K447" i="524" s="1"/>
  <c r="M447" i="524" s="1"/>
  <c r="H447" i="524"/>
  <c r="V446" i="524"/>
  <c r="W446" i="524" s="1"/>
  <c r="N446" i="524"/>
  <c r="K446" i="524" a="1"/>
  <c r="K446" i="524" s="1"/>
  <c r="M446" i="524" s="1"/>
  <c r="J446" i="524" a="1"/>
  <c r="J446" i="524" s="1"/>
  <c r="H446" i="524"/>
  <c r="V445" i="524"/>
  <c r="W445" i="524" s="1"/>
  <c r="N445" i="524"/>
  <c r="K445" i="524"/>
  <c r="M445" i="524" s="1"/>
  <c r="K445" i="524" a="1"/>
  <c r="J445" i="524"/>
  <c r="J445" i="524" a="1"/>
  <c r="H445" i="524"/>
  <c r="V444" i="524"/>
  <c r="W444" i="524" s="1"/>
  <c r="N444" i="524"/>
  <c r="K444" i="524" a="1"/>
  <c r="K444" i="524" s="1"/>
  <c r="M444" i="524" s="1"/>
  <c r="J444" i="524" a="1"/>
  <c r="J444" i="524" s="1"/>
  <c r="H444" i="524"/>
  <c r="V443" i="524"/>
  <c r="W443" i="524" s="1"/>
  <c r="N443" i="524"/>
  <c r="K443" i="524" a="1"/>
  <c r="K443" i="524" s="1"/>
  <c r="M443" i="524" s="1"/>
  <c r="J443" i="524" a="1"/>
  <c r="J443" i="524" s="1"/>
  <c r="H443" i="524"/>
  <c r="V442" i="524"/>
  <c r="W442" i="524" s="1"/>
  <c r="N442" i="524"/>
  <c r="K442" i="524" a="1"/>
  <c r="K442" i="524" s="1"/>
  <c r="M442" i="524" s="1"/>
  <c r="J442" i="524" a="1"/>
  <c r="J442" i="524" s="1"/>
  <c r="H442" i="524"/>
  <c r="V441" i="524"/>
  <c r="W441" i="524" s="1"/>
  <c r="N441" i="524"/>
  <c r="K441" i="524"/>
  <c r="M441" i="524" s="1"/>
  <c r="K441" i="524" a="1"/>
  <c r="J441" i="524"/>
  <c r="J441" i="524" a="1"/>
  <c r="H441" i="524"/>
  <c r="V440" i="524"/>
  <c r="W440" i="524" s="1"/>
  <c r="N440" i="524"/>
  <c r="K440" i="524" a="1"/>
  <c r="K440" i="524" s="1"/>
  <c r="M440" i="524" s="1"/>
  <c r="J440" i="524" a="1"/>
  <c r="J440" i="524" s="1"/>
  <c r="H440" i="524"/>
  <c r="V439" i="524"/>
  <c r="W439" i="524" s="1"/>
  <c r="N439" i="524"/>
  <c r="K439" i="524" a="1"/>
  <c r="K439" i="524" s="1"/>
  <c r="M439" i="524" s="1"/>
  <c r="J439" i="524" a="1"/>
  <c r="J439" i="524" s="1"/>
  <c r="H439" i="524"/>
  <c r="V438" i="524"/>
  <c r="W438" i="524" s="1"/>
  <c r="N438" i="524"/>
  <c r="K438" i="524" a="1"/>
  <c r="K438" i="524" s="1"/>
  <c r="M438" i="524" s="1"/>
  <c r="J438" i="524" a="1"/>
  <c r="J438" i="524" s="1"/>
  <c r="H438" i="524"/>
  <c r="V437" i="524"/>
  <c r="W437" i="524" s="1"/>
  <c r="N437" i="524"/>
  <c r="K437" i="524"/>
  <c r="M437" i="524" s="1"/>
  <c r="K437" i="524" a="1"/>
  <c r="J437" i="524"/>
  <c r="J437" i="524" a="1"/>
  <c r="H437" i="524"/>
  <c r="V436" i="524"/>
  <c r="W436" i="524" s="1"/>
  <c r="N436" i="524"/>
  <c r="K436" i="524" a="1"/>
  <c r="K436" i="524" s="1"/>
  <c r="M436" i="524" s="1"/>
  <c r="J436" i="524" a="1"/>
  <c r="J436" i="524" s="1"/>
  <c r="H436" i="524"/>
  <c r="W435" i="524"/>
  <c r="V435" i="524"/>
  <c r="N435" i="524"/>
  <c r="K435" i="524" a="1"/>
  <c r="K435" i="524" s="1"/>
  <c r="M435" i="524" s="1"/>
  <c r="J435" i="524" a="1"/>
  <c r="J435" i="524" s="1"/>
  <c r="H435" i="524"/>
  <c r="N434" i="524"/>
  <c r="K434" i="524" a="1"/>
  <c r="K434" i="524" s="1"/>
  <c r="M434" i="524" s="1"/>
  <c r="H434" i="524"/>
  <c r="V433" i="524"/>
  <c r="W433" i="524" s="1"/>
  <c r="N433" i="524"/>
  <c r="K433" i="524"/>
  <c r="M433" i="524" s="1"/>
  <c r="K433" i="524" a="1"/>
  <c r="J433" i="524"/>
  <c r="J433" i="524" a="1"/>
  <c r="H433" i="524"/>
  <c r="V432" i="524"/>
  <c r="W432" i="524" s="1"/>
  <c r="N432" i="524"/>
  <c r="K432" i="524" a="1"/>
  <c r="K432" i="524" s="1"/>
  <c r="M432" i="524" s="1"/>
  <c r="J432" i="524" a="1"/>
  <c r="J432" i="524" s="1"/>
  <c r="H432" i="524"/>
  <c r="V431" i="524"/>
  <c r="W431" i="524" s="1"/>
  <c r="N431" i="524"/>
  <c r="K431" i="524" a="1"/>
  <c r="K431" i="524" s="1"/>
  <c r="M431" i="524" s="1"/>
  <c r="J431" i="524" a="1"/>
  <c r="J431" i="524" s="1"/>
  <c r="H431" i="524"/>
  <c r="V430" i="524"/>
  <c r="W430" i="524" s="1"/>
  <c r="N430" i="524"/>
  <c r="K430" i="524" a="1"/>
  <c r="K430" i="524" s="1"/>
  <c r="M430" i="524" s="1"/>
  <c r="J430" i="524" a="1"/>
  <c r="J430" i="524" s="1"/>
  <c r="H430" i="524"/>
  <c r="V429" i="524"/>
  <c r="W429" i="524" s="1"/>
  <c r="N429" i="524"/>
  <c r="K429" i="524"/>
  <c r="M429" i="524" s="1"/>
  <c r="K429" i="524" a="1"/>
  <c r="J429" i="524"/>
  <c r="J429" i="524" a="1"/>
  <c r="H429" i="524"/>
  <c r="V428" i="524"/>
  <c r="W428" i="524" s="1"/>
  <c r="N428" i="524"/>
  <c r="K428" i="524" a="1"/>
  <c r="K428" i="524" s="1"/>
  <c r="M428" i="524" s="1"/>
  <c r="J428" i="524" a="1"/>
  <c r="J428" i="524" s="1"/>
  <c r="H428" i="524"/>
  <c r="V427" i="524"/>
  <c r="W427" i="524" s="1"/>
  <c r="N427" i="524"/>
  <c r="K427" i="524" a="1"/>
  <c r="K427" i="524" s="1"/>
  <c r="J427" i="524" a="1"/>
  <c r="J427" i="524" s="1"/>
  <c r="H427" i="524"/>
  <c r="AA426" i="524"/>
  <c r="Z426" i="524"/>
  <c r="Y426" i="524"/>
  <c r="X426" i="524"/>
  <c r="U426" i="524"/>
  <c r="T426" i="524"/>
  <c r="S426" i="524"/>
  <c r="R426" i="524"/>
  <c r="Q426" i="524"/>
  <c r="P426" i="524"/>
  <c r="O426" i="524"/>
  <c r="R507" i="524" s="1"/>
  <c r="I426" i="524"/>
  <c r="G426" i="524"/>
  <c r="J426" i="524" s="1" a="1"/>
  <c r="J426" i="524" s="1"/>
  <c r="K425" i="524" a="1"/>
  <c r="K425" i="524" s="1"/>
  <c r="M425" i="524" s="1"/>
  <c r="H425" i="524"/>
  <c r="K424" i="524" a="1"/>
  <c r="K424" i="524" s="1"/>
  <c r="M424" i="524" s="1"/>
  <c r="H424" i="524"/>
  <c r="K423" i="524" a="1"/>
  <c r="K423" i="524" s="1"/>
  <c r="M423" i="524" s="1"/>
  <c r="H423" i="524"/>
  <c r="K422" i="524" a="1"/>
  <c r="K422" i="524" s="1"/>
  <c r="M422" i="524" s="1"/>
  <c r="H422" i="524"/>
  <c r="K421" i="524" a="1"/>
  <c r="K421" i="524" s="1"/>
  <c r="M421" i="524" s="1"/>
  <c r="H421" i="524"/>
  <c r="K420" i="524" a="1"/>
  <c r="K420" i="524" s="1"/>
  <c r="M420" i="524" s="1"/>
  <c r="H420" i="524"/>
  <c r="K419" i="524" a="1"/>
  <c r="K419" i="524" s="1"/>
  <c r="M419" i="524" s="1"/>
  <c r="H419" i="524"/>
  <c r="K418" i="524" a="1"/>
  <c r="K418" i="524" s="1"/>
  <c r="M418" i="524" s="1"/>
  <c r="H418" i="524"/>
  <c r="K417" i="524" a="1"/>
  <c r="K417" i="524" s="1"/>
  <c r="M417" i="524" s="1"/>
  <c r="H417" i="524"/>
  <c r="K416" i="524" a="1"/>
  <c r="K416" i="524" s="1"/>
  <c r="M416" i="524" s="1"/>
  <c r="H416" i="524"/>
  <c r="W415" i="524"/>
  <c r="V415" i="524"/>
  <c r="N415" i="524"/>
  <c r="K415" i="524" a="1"/>
  <c r="K415" i="524" s="1"/>
  <c r="M415" i="524" s="1"/>
  <c r="J415" i="524" a="1"/>
  <c r="J415" i="524" s="1"/>
  <c r="H415" i="524"/>
  <c r="V414" i="524"/>
  <c r="W414" i="524" s="1"/>
  <c r="N414" i="524"/>
  <c r="K414" i="524" a="1"/>
  <c r="K414" i="524" s="1"/>
  <c r="M414" i="524" s="1"/>
  <c r="J414" i="524" a="1"/>
  <c r="J414" i="524" s="1"/>
  <c r="H414" i="524"/>
  <c r="V413" i="524"/>
  <c r="W413" i="524" s="1"/>
  <c r="N413" i="524"/>
  <c r="K413" i="524"/>
  <c r="M413" i="524" s="1"/>
  <c r="K413" i="524" a="1"/>
  <c r="J413" i="524"/>
  <c r="J413" i="524" a="1"/>
  <c r="H413" i="524"/>
  <c r="V412" i="524"/>
  <c r="W412" i="524" s="1"/>
  <c r="N412" i="524"/>
  <c r="K412" i="524" a="1"/>
  <c r="K412" i="524" s="1"/>
  <c r="M412" i="524" s="1"/>
  <c r="J412" i="524" a="1"/>
  <c r="J412" i="524" s="1"/>
  <c r="H412" i="524"/>
  <c r="H411" i="524"/>
  <c r="V410" i="524"/>
  <c r="W410" i="524" s="1"/>
  <c r="N410" i="524"/>
  <c r="K410" i="524" a="1"/>
  <c r="K410" i="524" s="1"/>
  <c r="M410" i="524" s="1"/>
  <c r="J410" i="524" a="1"/>
  <c r="J410" i="524" s="1"/>
  <c r="H410" i="524"/>
  <c r="V409" i="524"/>
  <c r="W409" i="524" s="1"/>
  <c r="N409" i="524"/>
  <c r="K409" i="524" a="1"/>
  <c r="K409" i="524" s="1"/>
  <c r="M409" i="524" s="1"/>
  <c r="J409" i="524" a="1"/>
  <c r="J409" i="524" s="1"/>
  <c r="H409" i="524"/>
  <c r="H408" i="524"/>
  <c r="K407" i="524" a="1"/>
  <c r="K407" i="524" s="1"/>
  <c r="H407" i="524"/>
  <c r="V406" i="524"/>
  <c r="W406" i="524" s="1"/>
  <c r="N406" i="524"/>
  <c r="K406" i="524" a="1"/>
  <c r="K406" i="524" s="1"/>
  <c r="M406" i="524" s="1"/>
  <c r="J406" i="524" a="1"/>
  <c r="J406" i="524" s="1"/>
  <c r="H406" i="524"/>
  <c r="V405" i="524"/>
  <c r="W405" i="524" s="1"/>
  <c r="N405" i="524"/>
  <c r="K405" i="524"/>
  <c r="M405" i="524" s="1"/>
  <c r="K405" i="524" a="1"/>
  <c r="J405" i="524"/>
  <c r="J405" i="524" a="1"/>
  <c r="H405" i="524"/>
  <c r="V404" i="524"/>
  <c r="W404" i="524" s="1"/>
  <c r="N404" i="524"/>
  <c r="K404" i="524" a="1"/>
  <c r="K404" i="524" s="1"/>
  <c r="M404" i="524" s="1"/>
  <c r="J404" i="524" a="1"/>
  <c r="J404" i="524" s="1"/>
  <c r="H404" i="524"/>
  <c r="V403" i="524"/>
  <c r="W403" i="524" s="1"/>
  <c r="N403" i="524"/>
  <c r="K403" i="524" a="1"/>
  <c r="K403" i="524" s="1"/>
  <c r="M403" i="524" s="1"/>
  <c r="J403" i="524" a="1"/>
  <c r="J403" i="524" s="1"/>
  <c r="H403" i="524"/>
  <c r="V402" i="524"/>
  <c r="W402" i="524" s="1"/>
  <c r="N402" i="524"/>
  <c r="K402" i="524" a="1"/>
  <c r="K402" i="524" s="1"/>
  <c r="M402" i="524" s="1"/>
  <c r="J402" i="524" a="1"/>
  <c r="J402" i="524" s="1"/>
  <c r="H402" i="524"/>
  <c r="V401" i="524"/>
  <c r="W401" i="524" s="1"/>
  <c r="N401" i="524"/>
  <c r="K401" i="524"/>
  <c r="M401" i="524" s="1"/>
  <c r="K401" i="524" a="1"/>
  <c r="J401" i="524"/>
  <c r="J401" i="524" a="1"/>
  <c r="H401" i="524"/>
  <c r="V400" i="524"/>
  <c r="W400" i="524" s="1"/>
  <c r="N400" i="524"/>
  <c r="K400" i="524" a="1"/>
  <c r="K400" i="524" s="1"/>
  <c r="M400" i="524" s="1"/>
  <c r="J400" i="524" a="1"/>
  <c r="J400" i="524" s="1"/>
  <c r="H400" i="524"/>
  <c r="V399" i="524"/>
  <c r="W399" i="524" s="1"/>
  <c r="N399" i="524"/>
  <c r="K399" i="524" a="1"/>
  <c r="K399" i="524" s="1"/>
  <c r="M399" i="524" s="1"/>
  <c r="J399" i="524" a="1"/>
  <c r="J399" i="524" s="1"/>
  <c r="H399" i="524"/>
  <c r="V398" i="524"/>
  <c r="W398" i="524" s="1"/>
  <c r="N398" i="524"/>
  <c r="K398" i="524" a="1"/>
  <c r="K398" i="524" s="1"/>
  <c r="M398" i="524" s="1"/>
  <c r="J398" i="524" a="1"/>
  <c r="J398" i="524" s="1"/>
  <c r="H398" i="524"/>
  <c r="V397" i="524"/>
  <c r="W397" i="524" s="1"/>
  <c r="N397" i="524"/>
  <c r="K397" i="524"/>
  <c r="M397" i="524" s="1"/>
  <c r="K397" i="524" a="1"/>
  <c r="J397" i="524"/>
  <c r="J397" i="524" a="1"/>
  <c r="H397" i="524"/>
  <c r="K396" i="524" a="1"/>
  <c r="K396" i="524" s="1"/>
  <c r="M396" i="524" s="1"/>
  <c r="H396" i="524"/>
  <c r="K395" i="524"/>
  <c r="M395" i="524" s="1"/>
  <c r="K395" i="524" a="1"/>
  <c r="H395" i="524"/>
  <c r="K394" i="524" a="1"/>
  <c r="K394" i="524" s="1"/>
  <c r="M394" i="524" s="1"/>
  <c r="H394" i="524"/>
  <c r="K393" i="524" a="1"/>
  <c r="K393" i="524" s="1"/>
  <c r="M393" i="524" s="1"/>
  <c r="H393" i="524"/>
  <c r="N392" i="524"/>
  <c r="K392" i="524" a="1"/>
  <c r="K392" i="524" s="1"/>
  <c r="M392" i="524" s="1"/>
  <c r="H392" i="524"/>
  <c r="N391" i="524"/>
  <c r="K391" i="524" a="1"/>
  <c r="K391" i="524" s="1"/>
  <c r="M391" i="524" s="1"/>
  <c r="H391" i="524"/>
  <c r="N390" i="524"/>
  <c r="K390" i="524" a="1"/>
  <c r="K390" i="524" s="1"/>
  <c r="M390" i="524" s="1"/>
  <c r="H390" i="524"/>
  <c r="N389" i="524"/>
  <c r="K389" i="524" a="1"/>
  <c r="K389" i="524" s="1"/>
  <c r="M389" i="524" s="1"/>
  <c r="H389" i="524"/>
  <c r="V388" i="524"/>
  <c r="W388" i="524" s="1"/>
  <c r="N388" i="524"/>
  <c r="K388" i="524"/>
  <c r="M388" i="524" s="1"/>
  <c r="K388" i="524" a="1"/>
  <c r="J388" i="524" a="1"/>
  <c r="J388" i="524" s="1"/>
  <c r="H388" i="524"/>
  <c r="W387" i="524"/>
  <c r="V387" i="524"/>
  <c r="N387" i="524"/>
  <c r="K387" i="524" a="1"/>
  <c r="K387" i="524" s="1"/>
  <c r="M387" i="524" s="1"/>
  <c r="J387" i="524" a="1"/>
  <c r="J387" i="524" s="1"/>
  <c r="H387" i="524"/>
  <c r="V386" i="524"/>
  <c r="W386" i="524" s="1"/>
  <c r="N386" i="524"/>
  <c r="K386" i="524"/>
  <c r="M386" i="524" s="1"/>
  <c r="K386" i="524" a="1"/>
  <c r="J386" i="524" a="1"/>
  <c r="J386" i="524" s="1"/>
  <c r="H386" i="524"/>
  <c r="W385" i="524"/>
  <c r="V385" i="524"/>
  <c r="N385" i="524"/>
  <c r="K385" i="524" a="1"/>
  <c r="K385" i="524" s="1"/>
  <c r="M385" i="524" s="1"/>
  <c r="J385" i="524" a="1"/>
  <c r="J385" i="524" s="1"/>
  <c r="H385" i="524"/>
  <c r="V384" i="524"/>
  <c r="W384" i="524" s="1"/>
  <c r="N384" i="524"/>
  <c r="K384" i="524"/>
  <c r="M384" i="524" s="1"/>
  <c r="K384" i="524" a="1"/>
  <c r="J384" i="524" a="1"/>
  <c r="J384" i="524" s="1"/>
  <c r="H384" i="524"/>
  <c r="W383" i="524"/>
  <c r="V383" i="524"/>
  <c r="N383" i="524"/>
  <c r="K383" i="524" a="1"/>
  <c r="K383" i="524" s="1"/>
  <c r="M383" i="524" s="1"/>
  <c r="J383" i="524" a="1"/>
  <c r="J383" i="524" s="1"/>
  <c r="H383" i="524"/>
  <c r="V382" i="524"/>
  <c r="W382" i="524" s="1"/>
  <c r="N382" i="524"/>
  <c r="K382" i="524"/>
  <c r="M382" i="524" s="1"/>
  <c r="K382" i="524" a="1"/>
  <c r="J382" i="524"/>
  <c r="J382" i="524" a="1"/>
  <c r="H382" i="524"/>
  <c r="V381" i="524"/>
  <c r="W381" i="524" s="1"/>
  <c r="N381" i="524"/>
  <c r="K381" i="524" a="1"/>
  <c r="K381" i="524" s="1"/>
  <c r="M381" i="524" s="1"/>
  <c r="J381" i="524" a="1"/>
  <c r="J381" i="524" s="1"/>
  <c r="H381" i="524"/>
  <c r="W380" i="524"/>
  <c r="V380" i="524"/>
  <c r="N380" i="524"/>
  <c r="K380" i="524" a="1"/>
  <c r="K380" i="524" s="1"/>
  <c r="M380" i="524" s="1"/>
  <c r="J380" i="524" a="1"/>
  <c r="J380" i="524" s="1"/>
  <c r="H380" i="524"/>
  <c r="V379" i="524"/>
  <c r="W379" i="524" s="1"/>
  <c r="N379" i="524"/>
  <c r="K379" i="524" a="1"/>
  <c r="K379" i="524" s="1"/>
  <c r="M379" i="524" s="1"/>
  <c r="J379" i="524" a="1"/>
  <c r="J379" i="524" s="1"/>
  <c r="H379" i="524"/>
  <c r="V378" i="524"/>
  <c r="W378" i="524" s="1"/>
  <c r="N378" i="524"/>
  <c r="K378" i="524"/>
  <c r="M378" i="524" s="1"/>
  <c r="K378" i="524" a="1"/>
  <c r="J378" i="524"/>
  <c r="J378" i="524" a="1"/>
  <c r="H378" i="524"/>
  <c r="V377" i="524"/>
  <c r="W377" i="524" s="1"/>
  <c r="N377" i="524"/>
  <c r="K377" i="524" a="1"/>
  <c r="K377" i="524" s="1"/>
  <c r="M377" i="524" s="1"/>
  <c r="J377" i="524" a="1"/>
  <c r="J377" i="524" s="1"/>
  <c r="H377" i="524"/>
  <c r="K376" i="524" a="1"/>
  <c r="K376" i="524" s="1"/>
  <c r="M376" i="524" s="1"/>
  <c r="H376" i="524"/>
  <c r="K375" i="524" a="1"/>
  <c r="K375" i="524" s="1"/>
  <c r="M375" i="524" s="1"/>
  <c r="H375" i="524"/>
  <c r="K374" i="524" a="1"/>
  <c r="K374" i="524" s="1"/>
  <c r="M374" i="524" s="1"/>
  <c r="H374" i="524"/>
  <c r="V373" i="524"/>
  <c r="W373" i="524" s="1"/>
  <c r="N373" i="524"/>
  <c r="K373" i="524" a="1"/>
  <c r="K373" i="524" s="1"/>
  <c r="M373" i="524" s="1"/>
  <c r="J373" i="524" a="1"/>
  <c r="J373" i="524" s="1"/>
  <c r="H373" i="524"/>
  <c r="V372" i="524"/>
  <c r="W372" i="524" s="1"/>
  <c r="N372" i="524"/>
  <c r="K372" i="524" a="1"/>
  <c r="K372" i="524" s="1"/>
  <c r="M372" i="524" s="1"/>
  <c r="J372" i="524" a="1"/>
  <c r="J372" i="524" s="1"/>
  <c r="H372" i="524"/>
  <c r="V371" i="524"/>
  <c r="W371" i="524" s="1"/>
  <c r="N371" i="524"/>
  <c r="K371" i="524"/>
  <c r="M371" i="524" s="1"/>
  <c r="K371" i="524" a="1"/>
  <c r="J371" i="524"/>
  <c r="J371" i="524" a="1"/>
  <c r="H371" i="524"/>
  <c r="K370" i="524" a="1"/>
  <c r="K370" i="524" s="1"/>
  <c r="H370" i="524"/>
  <c r="V369" i="524"/>
  <c r="V426" i="524" s="1"/>
  <c r="W426" i="524" s="1"/>
  <c r="N369" i="524"/>
  <c r="N426" i="524" s="1"/>
  <c r="K369" i="524"/>
  <c r="K369" i="524" a="1"/>
  <c r="J369" i="524"/>
  <c r="J369" i="524" a="1"/>
  <c r="H369" i="524"/>
  <c r="H426" i="524" s="1"/>
  <c r="AA368" i="524"/>
  <c r="AA504" i="524" s="1"/>
  <c r="Z368" i="524"/>
  <c r="Z504" i="524" s="1"/>
  <c r="Y368" i="524"/>
  <c r="Y504" i="524" s="1"/>
  <c r="X368" i="524"/>
  <c r="X504" i="524" s="1"/>
  <c r="U368" i="524"/>
  <c r="U504" i="524" s="1"/>
  <c r="T368" i="524"/>
  <c r="T504" i="524" s="1"/>
  <c r="S368" i="524"/>
  <c r="S504" i="524" s="1"/>
  <c r="R368" i="524"/>
  <c r="R504" i="524" s="1"/>
  <c r="Q368" i="524"/>
  <c r="Q504" i="524" s="1"/>
  <c r="P368" i="524"/>
  <c r="P504" i="524" s="1"/>
  <c r="O368" i="524"/>
  <c r="I368" i="524"/>
  <c r="I504" i="524" s="1"/>
  <c r="B512" i="524" s="1"/>
  <c r="G368" i="524"/>
  <c r="G504" i="524" s="1"/>
  <c r="V367" i="524"/>
  <c r="W367" i="524" s="1"/>
  <c r="N367" i="524"/>
  <c r="K367" i="524" a="1"/>
  <c r="K367" i="524" s="1"/>
  <c r="M367" i="524" s="1"/>
  <c r="J367" i="524" a="1"/>
  <c r="J367" i="524" s="1"/>
  <c r="H367" i="524"/>
  <c r="V366" i="524"/>
  <c r="W366" i="524" s="1"/>
  <c r="N366" i="524"/>
  <c r="K366" i="524"/>
  <c r="M366" i="524" s="1"/>
  <c r="K366" i="524" a="1"/>
  <c r="J366" i="524"/>
  <c r="J366" i="524" a="1"/>
  <c r="H366" i="524"/>
  <c r="K365" i="524" a="1"/>
  <c r="K365" i="524" s="1"/>
  <c r="M365" i="524" s="1"/>
  <c r="H365" i="524"/>
  <c r="K364" i="524" a="1"/>
  <c r="K364" i="524" s="1"/>
  <c r="M364" i="524" s="1"/>
  <c r="H364" i="524"/>
  <c r="K363" i="524" a="1"/>
  <c r="K363" i="524" s="1"/>
  <c r="M363" i="524" s="1"/>
  <c r="H363" i="524"/>
  <c r="K362" i="524" a="1"/>
  <c r="K362" i="524" s="1"/>
  <c r="M362" i="524" s="1"/>
  <c r="H362" i="524"/>
  <c r="W361" i="524"/>
  <c r="V361" i="524"/>
  <c r="N361" i="524"/>
  <c r="K361" i="524" a="1"/>
  <c r="K361" i="524" s="1"/>
  <c r="M361" i="524" s="1"/>
  <c r="J361" i="524" a="1"/>
  <c r="J361" i="524" s="1"/>
  <c r="H361" i="524"/>
  <c r="V360" i="524"/>
  <c r="W360" i="524" s="1"/>
  <c r="N360" i="524"/>
  <c r="K360" i="524" a="1"/>
  <c r="K360" i="524" s="1"/>
  <c r="M360" i="524" s="1"/>
  <c r="J360" i="524" a="1"/>
  <c r="J360" i="524" s="1"/>
  <c r="H360" i="524"/>
  <c r="V359" i="524"/>
  <c r="W359" i="524" s="1"/>
  <c r="N359" i="524"/>
  <c r="K359" i="524"/>
  <c r="M359" i="524" s="1"/>
  <c r="K359" i="524" a="1"/>
  <c r="J359" i="524"/>
  <c r="J359" i="524" a="1"/>
  <c r="H359" i="524"/>
  <c r="H358" i="524"/>
  <c r="H357" i="524"/>
  <c r="V356" i="524"/>
  <c r="W356" i="524" s="1"/>
  <c r="N356" i="524"/>
  <c r="K356" i="524" a="1"/>
  <c r="K356" i="524" s="1"/>
  <c r="M356" i="524" s="1"/>
  <c r="J356" i="524" a="1"/>
  <c r="J356" i="524" s="1"/>
  <c r="H356" i="524"/>
  <c r="W355" i="524"/>
  <c r="V355" i="524"/>
  <c r="N355" i="524"/>
  <c r="K355" i="524" a="1"/>
  <c r="K355" i="524" s="1"/>
  <c r="M355" i="524" s="1"/>
  <c r="J355" i="524" a="1"/>
  <c r="J355" i="524" s="1"/>
  <c r="H355" i="524"/>
  <c r="K354" i="524" a="1"/>
  <c r="K354" i="524" s="1"/>
  <c r="M354" i="524" s="1"/>
  <c r="H354" i="524"/>
  <c r="K353" i="524" a="1"/>
  <c r="K353" i="524" s="1"/>
  <c r="M353" i="524" s="1"/>
  <c r="H353" i="524"/>
  <c r="V352" i="524"/>
  <c r="W352" i="524" s="1"/>
  <c r="N352" i="524"/>
  <c r="K352" i="524" a="1"/>
  <c r="K352" i="524" s="1"/>
  <c r="M352" i="524" s="1"/>
  <c r="J352" i="524" a="1"/>
  <c r="J352" i="524" s="1"/>
  <c r="H352" i="524"/>
  <c r="V351" i="524"/>
  <c r="W351" i="524" s="1"/>
  <c r="N351" i="524"/>
  <c r="K351" i="524"/>
  <c r="M351" i="524" s="1"/>
  <c r="K351" i="524" a="1"/>
  <c r="J351" i="524" a="1"/>
  <c r="J351" i="524" s="1"/>
  <c r="H351" i="524"/>
  <c r="V350" i="524"/>
  <c r="W350" i="524" s="1"/>
  <c r="N350" i="524"/>
  <c r="K350" i="524" a="1"/>
  <c r="K350" i="524" s="1"/>
  <c r="M350" i="524" s="1"/>
  <c r="J350" i="524" a="1"/>
  <c r="J350" i="524" s="1"/>
  <c r="H350" i="524"/>
  <c r="V349" i="524"/>
  <c r="W349" i="524" s="1"/>
  <c r="N349" i="524"/>
  <c r="K349" i="524"/>
  <c r="M349" i="524" s="1"/>
  <c r="K349" i="524" a="1"/>
  <c r="J349" i="524" a="1"/>
  <c r="J349" i="524" s="1"/>
  <c r="H349" i="524"/>
  <c r="V348" i="524"/>
  <c r="W348" i="524" s="1"/>
  <c r="N348" i="524"/>
  <c r="K348" i="524" a="1"/>
  <c r="K348" i="524" s="1"/>
  <c r="M348" i="524" s="1"/>
  <c r="J348" i="524" a="1"/>
  <c r="J348" i="524" s="1"/>
  <c r="H348" i="524"/>
  <c r="V347" i="524"/>
  <c r="V368" i="524" s="1"/>
  <c r="N347" i="524"/>
  <c r="K347" i="524"/>
  <c r="M347" i="524" s="1"/>
  <c r="K347" i="524" a="1"/>
  <c r="J347" i="524" a="1"/>
  <c r="J347" i="524" s="1"/>
  <c r="H347" i="524"/>
  <c r="X341" i="524"/>
  <c r="X340" i="524"/>
  <c r="X339" i="524"/>
  <c r="G339" i="524"/>
  <c r="C339" i="524"/>
  <c r="X338" i="524"/>
  <c r="I338" i="524"/>
  <c r="E338" i="524"/>
  <c r="K338" i="524" s="1"/>
  <c r="M338" i="524" s="1"/>
  <c r="I337" i="524"/>
  <c r="E337" i="524"/>
  <c r="K337" i="524" s="1"/>
  <c r="M337" i="524" s="1"/>
  <c r="I336" i="524"/>
  <c r="E336" i="524"/>
  <c r="K336" i="524" s="1"/>
  <c r="M336" i="524" s="1"/>
  <c r="X335" i="524"/>
  <c r="I335" i="524"/>
  <c r="I339" i="524" s="1"/>
  <c r="E335" i="524"/>
  <c r="E339" i="524" s="1"/>
  <c r="AA332" i="524"/>
  <c r="Z332" i="524"/>
  <c r="Y332" i="524"/>
  <c r="X332" i="524"/>
  <c r="U332" i="524"/>
  <c r="T332" i="524"/>
  <c r="S332" i="524"/>
  <c r="R332" i="524"/>
  <c r="Q332" i="524"/>
  <c r="P332" i="524"/>
  <c r="O332" i="524"/>
  <c r="I332" i="524"/>
  <c r="G332" i="524"/>
  <c r="K331" i="524" a="1"/>
  <c r="K331" i="524" s="1"/>
  <c r="H331" i="524"/>
  <c r="K330" i="524" a="1"/>
  <c r="K330" i="524" s="1"/>
  <c r="H330" i="524"/>
  <c r="K329" i="524"/>
  <c r="K329" i="524" a="1"/>
  <c r="H329" i="524"/>
  <c r="V328" i="524"/>
  <c r="W328" i="524" s="1"/>
  <c r="N328" i="524"/>
  <c r="K328" i="524" a="1"/>
  <c r="K328" i="524" s="1"/>
  <c r="H328" i="524"/>
  <c r="D328" i="524"/>
  <c r="H327" i="524"/>
  <c r="K326" i="524" a="1"/>
  <c r="K326" i="524" s="1"/>
  <c r="H326" i="524"/>
  <c r="H325" i="524"/>
  <c r="V324" i="524"/>
  <c r="W324" i="524" s="1"/>
  <c r="N324" i="524"/>
  <c r="K324" i="524" a="1"/>
  <c r="K324" i="524" s="1"/>
  <c r="M324" i="524" s="1"/>
  <c r="J324" i="524" a="1"/>
  <c r="J324" i="524" s="1"/>
  <c r="H324" i="524"/>
  <c r="V323" i="524"/>
  <c r="W323" i="524" s="1"/>
  <c r="N323" i="524"/>
  <c r="K323" i="524" a="1"/>
  <c r="K323" i="524" s="1"/>
  <c r="M323" i="524" s="1"/>
  <c r="J323" i="524" a="1"/>
  <c r="J323" i="524" s="1"/>
  <c r="H323" i="524"/>
  <c r="H322" i="524"/>
  <c r="V321" i="524"/>
  <c r="W321" i="524" s="1"/>
  <c r="N321" i="524"/>
  <c r="K321" i="524"/>
  <c r="M321" i="524" s="1"/>
  <c r="K321" i="524" a="1"/>
  <c r="J321" i="524"/>
  <c r="J321" i="524" a="1"/>
  <c r="H321" i="524"/>
  <c r="V320" i="524"/>
  <c r="W320" i="524" s="1"/>
  <c r="N320" i="524"/>
  <c r="K320" i="524" a="1"/>
  <c r="K320" i="524" s="1"/>
  <c r="M320" i="524" s="1"/>
  <c r="J320" i="524" a="1"/>
  <c r="J320" i="524" s="1"/>
  <c r="H320" i="524"/>
  <c r="V319" i="524"/>
  <c r="W319" i="524" s="1"/>
  <c r="N319" i="524"/>
  <c r="K319" i="524" a="1"/>
  <c r="K319" i="524" s="1"/>
  <c r="M319" i="524" s="1"/>
  <c r="J319" i="524" a="1"/>
  <c r="J319" i="524" s="1"/>
  <c r="H319" i="524"/>
  <c r="V318" i="524"/>
  <c r="V332" i="524" s="1"/>
  <c r="N318" i="524"/>
  <c r="N332" i="524" s="1"/>
  <c r="K318" i="524" a="1"/>
  <c r="K318" i="524" s="1"/>
  <c r="J318" i="524" a="1"/>
  <c r="J318" i="524" s="1"/>
  <c r="H318" i="524"/>
  <c r="H332" i="524" s="1"/>
  <c r="AA317" i="524"/>
  <c r="Z317" i="524"/>
  <c r="Y317" i="524"/>
  <c r="X317" i="524"/>
  <c r="U317" i="524"/>
  <c r="T317" i="524"/>
  <c r="S317" i="524"/>
  <c r="Q317" i="524"/>
  <c r="P317" i="524"/>
  <c r="O317" i="524"/>
  <c r="I317" i="524"/>
  <c r="G317" i="524"/>
  <c r="J317" i="524" s="1" a="1"/>
  <c r="J317" i="524" s="1"/>
  <c r="V316" i="524"/>
  <c r="W316" i="524" s="1"/>
  <c r="N316" i="524"/>
  <c r="K316" i="524" a="1"/>
  <c r="K316" i="524" s="1"/>
  <c r="M316" i="524" s="1"/>
  <c r="J316" i="524" a="1"/>
  <c r="J316" i="524" s="1"/>
  <c r="H316" i="524"/>
  <c r="V312" i="524"/>
  <c r="W312" i="524" s="1"/>
  <c r="N312" i="524"/>
  <c r="K312" i="524" a="1"/>
  <c r="K312" i="524" s="1"/>
  <c r="M312" i="524" s="1"/>
  <c r="J312" i="524" a="1"/>
  <c r="J312" i="524" s="1"/>
  <c r="H312" i="524"/>
  <c r="V311" i="524"/>
  <c r="W311" i="524" s="1"/>
  <c r="N311" i="524"/>
  <c r="K311" i="524"/>
  <c r="M311" i="524" s="1"/>
  <c r="K311" i="524" a="1"/>
  <c r="J311" i="524"/>
  <c r="J311" i="524" a="1"/>
  <c r="H311" i="524"/>
  <c r="V310" i="524"/>
  <c r="W310" i="524" s="1"/>
  <c r="N310" i="524"/>
  <c r="K310" i="524" a="1"/>
  <c r="K310" i="524" s="1"/>
  <c r="M310" i="524" s="1"/>
  <c r="J310" i="524" a="1"/>
  <c r="J310" i="524" s="1"/>
  <c r="H310" i="524"/>
  <c r="V309" i="524"/>
  <c r="W309" i="524" s="1"/>
  <c r="N309" i="524"/>
  <c r="K309" i="524" a="1"/>
  <c r="K309" i="524" s="1"/>
  <c r="M309" i="524" s="1"/>
  <c r="J309" i="524" a="1"/>
  <c r="J309" i="524" s="1"/>
  <c r="H309" i="524"/>
  <c r="V308" i="524"/>
  <c r="V317" i="524" s="1"/>
  <c r="W317" i="524" s="1"/>
  <c r="N308" i="524"/>
  <c r="N317" i="524" s="1"/>
  <c r="K308" i="524" a="1"/>
  <c r="K308" i="524" s="1"/>
  <c r="J308" i="524" a="1"/>
  <c r="J308" i="524" s="1"/>
  <c r="H308" i="524"/>
  <c r="H317" i="524" s="1"/>
  <c r="AA307" i="524"/>
  <c r="Z307" i="524"/>
  <c r="Y307" i="524"/>
  <c r="X307" i="524"/>
  <c r="U307" i="524"/>
  <c r="T307" i="524"/>
  <c r="S307" i="524"/>
  <c r="Q307" i="524"/>
  <c r="P307" i="524"/>
  <c r="O307" i="524"/>
  <c r="I307" i="524"/>
  <c r="G307" i="524"/>
  <c r="V306" i="524"/>
  <c r="W306" i="524" s="1"/>
  <c r="N306" i="524"/>
  <c r="K306" i="524" a="1"/>
  <c r="K306" i="524" s="1"/>
  <c r="M306" i="524" s="1"/>
  <c r="J306" i="524" a="1"/>
  <c r="J306" i="524" s="1"/>
  <c r="H306" i="524"/>
  <c r="V305" i="524"/>
  <c r="W305" i="524" s="1"/>
  <c r="N305" i="524"/>
  <c r="K305" i="524" a="1"/>
  <c r="K305" i="524" s="1"/>
  <c r="M305" i="524" s="1"/>
  <c r="J305" i="524" a="1"/>
  <c r="J305" i="524" s="1"/>
  <c r="H305" i="524"/>
  <c r="V304" i="524"/>
  <c r="W304" i="524" s="1"/>
  <c r="N304" i="524"/>
  <c r="K304" i="524" a="1"/>
  <c r="K304" i="524" s="1"/>
  <c r="M304" i="524" s="1"/>
  <c r="J304" i="524" a="1"/>
  <c r="J304" i="524" s="1"/>
  <c r="H304" i="524"/>
  <c r="V303" i="524"/>
  <c r="W303" i="524" s="1"/>
  <c r="N303" i="524"/>
  <c r="K303" i="524"/>
  <c r="M303" i="524" s="1"/>
  <c r="K303" i="524" a="1"/>
  <c r="J303" i="524"/>
  <c r="J303" i="524" a="1"/>
  <c r="H303" i="524"/>
  <c r="V302" i="524"/>
  <c r="W302" i="524" s="1"/>
  <c r="N302" i="524"/>
  <c r="K302" i="524" a="1"/>
  <c r="K302" i="524" s="1"/>
  <c r="M302" i="524" s="1"/>
  <c r="J302" i="524" a="1"/>
  <c r="J302" i="524" s="1"/>
  <c r="H302" i="524"/>
  <c r="V301" i="524"/>
  <c r="W301" i="524" s="1"/>
  <c r="N301" i="524"/>
  <c r="K301" i="524" a="1"/>
  <c r="K301" i="524" s="1"/>
  <c r="M301" i="524" s="1"/>
  <c r="J301" i="524" a="1"/>
  <c r="J301" i="524" s="1"/>
  <c r="H301" i="524"/>
  <c r="V300" i="524"/>
  <c r="W300" i="524" s="1"/>
  <c r="N300" i="524"/>
  <c r="K300" i="524" a="1"/>
  <c r="K300" i="524" s="1"/>
  <c r="M300" i="524" s="1"/>
  <c r="J300" i="524" a="1"/>
  <c r="J300" i="524" s="1"/>
  <c r="H300" i="524"/>
  <c r="V299" i="524"/>
  <c r="W299" i="524" s="1"/>
  <c r="N299" i="524"/>
  <c r="K299" i="524"/>
  <c r="M299" i="524" s="1"/>
  <c r="K299" i="524" a="1"/>
  <c r="J299" i="524"/>
  <c r="J299" i="524" a="1"/>
  <c r="H299" i="524"/>
  <c r="V298" i="524"/>
  <c r="W298" i="524" s="1"/>
  <c r="N298" i="524"/>
  <c r="K298" i="524" a="1"/>
  <c r="K298" i="524" s="1"/>
  <c r="M298" i="524" s="1"/>
  <c r="J298" i="524" a="1"/>
  <c r="J298" i="524" s="1"/>
  <c r="H298" i="524"/>
  <c r="V297" i="524"/>
  <c r="W297" i="524" s="1"/>
  <c r="N297" i="524"/>
  <c r="K297" i="524" a="1"/>
  <c r="K297" i="524" s="1"/>
  <c r="M297" i="524" s="1"/>
  <c r="J297" i="524" a="1"/>
  <c r="J297" i="524" s="1"/>
  <c r="H297" i="524"/>
  <c r="V296" i="524"/>
  <c r="W296" i="524" s="1"/>
  <c r="N296" i="524"/>
  <c r="K296" i="524" a="1"/>
  <c r="K296" i="524" s="1"/>
  <c r="M296" i="524" s="1"/>
  <c r="J296" i="524" a="1"/>
  <c r="J296" i="524" s="1"/>
  <c r="H296" i="524"/>
  <c r="V295" i="524"/>
  <c r="W295" i="524" s="1"/>
  <c r="N295" i="524"/>
  <c r="K295" i="524"/>
  <c r="M295" i="524" s="1"/>
  <c r="K295" i="524" a="1"/>
  <c r="J295" i="524"/>
  <c r="J295" i="524" a="1"/>
  <c r="H295" i="524"/>
  <c r="V294" i="524"/>
  <c r="W294" i="524" s="1"/>
  <c r="N294" i="524"/>
  <c r="K294" i="524" a="1"/>
  <c r="K294" i="524" s="1"/>
  <c r="M294" i="524" s="1"/>
  <c r="J294" i="524" a="1"/>
  <c r="J294" i="524" s="1"/>
  <c r="H294" i="524"/>
  <c r="V293" i="524"/>
  <c r="W293" i="524" s="1"/>
  <c r="N293" i="524"/>
  <c r="K293" i="524" a="1"/>
  <c r="K293" i="524" s="1"/>
  <c r="M293" i="524" s="1"/>
  <c r="J293" i="524" a="1"/>
  <c r="J293" i="524" s="1"/>
  <c r="H293" i="524"/>
  <c r="V292" i="524"/>
  <c r="W292" i="524" s="1"/>
  <c r="N292" i="524"/>
  <c r="K292" i="524" a="1"/>
  <c r="K292" i="524" s="1"/>
  <c r="J292" i="524" a="1"/>
  <c r="J292" i="524" s="1"/>
  <c r="H292" i="524"/>
  <c r="AA291" i="524"/>
  <c r="Z291" i="524"/>
  <c r="Y291" i="524"/>
  <c r="X291" i="524"/>
  <c r="U291" i="524"/>
  <c r="T291" i="524"/>
  <c r="S291" i="524"/>
  <c r="R291" i="524"/>
  <c r="Q291" i="524"/>
  <c r="P291" i="524"/>
  <c r="O291" i="524"/>
  <c r="R337" i="524" s="1"/>
  <c r="I291" i="524"/>
  <c r="G291" i="524"/>
  <c r="V290" i="524"/>
  <c r="W290" i="524" s="1"/>
  <c r="N290" i="524"/>
  <c r="K290" i="524" a="1"/>
  <c r="K290" i="524" s="1"/>
  <c r="M290" i="524" s="1"/>
  <c r="J290" i="524" a="1"/>
  <c r="J290" i="524" s="1"/>
  <c r="H290" i="524"/>
  <c r="V289" i="524"/>
  <c r="W289" i="524" s="1"/>
  <c r="N289" i="524"/>
  <c r="K289" i="524" a="1"/>
  <c r="K289" i="524" s="1"/>
  <c r="M289" i="524" s="1"/>
  <c r="J289" i="524" a="1"/>
  <c r="J289" i="524" s="1"/>
  <c r="H289" i="524"/>
  <c r="V288" i="524"/>
  <c r="W288" i="524" s="1"/>
  <c r="N288" i="524"/>
  <c r="K288" i="524" a="1"/>
  <c r="K288" i="524" s="1"/>
  <c r="M288" i="524" s="1"/>
  <c r="J288" i="524" a="1"/>
  <c r="J288" i="524" s="1"/>
  <c r="H288" i="524"/>
  <c r="H287" i="524"/>
  <c r="H286" i="524"/>
  <c r="H285" i="524"/>
  <c r="V284" i="524"/>
  <c r="W284" i="524" s="1"/>
  <c r="N284" i="524"/>
  <c r="K284" i="524" a="1"/>
  <c r="K284" i="524" s="1"/>
  <c r="M284" i="524" s="1"/>
  <c r="J284" i="524" a="1"/>
  <c r="J284" i="524" s="1"/>
  <c r="H284" i="524"/>
  <c r="V283" i="524"/>
  <c r="W283" i="524" s="1"/>
  <c r="N283" i="524"/>
  <c r="K283" i="524"/>
  <c r="M283" i="524" s="1"/>
  <c r="K283" i="524" a="1"/>
  <c r="J283" i="524"/>
  <c r="J283" i="524" a="1"/>
  <c r="H283" i="524"/>
  <c r="N282" i="524"/>
  <c r="K282" i="524" a="1"/>
  <c r="K282" i="524" s="1"/>
  <c r="M282" i="524" s="1"/>
  <c r="H282" i="524"/>
  <c r="N281" i="524"/>
  <c r="K281" i="524" a="1"/>
  <c r="K281" i="524" s="1"/>
  <c r="M281" i="524" s="1"/>
  <c r="H281" i="524"/>
  <c r="N280" i="524"/>
  <c r="K280" i="524" a="1"/>
  <c r="K280" i="524" s="1"/>
  <c r="M280" i="524" s="1"/>
  <c r="H280" i="524"/>
  <c r="N279" i="524"/>
  <c r="K279" i="524"/>
  <c r="M279" i="524" s="1"/>
  <c r="K279" i="524" a="1"/>
  <c r="H279" i="524"/>
  <c r="N278" i="524"/>
  <c r="K278" i="524" a="1"/>
  <c r="K278" i="524" s="1"/>
  <c r="M278" i="524" s="1"/>
  <c r="H278" i="524"/>
  <c r="N277" i="524"/>
  <c r="K277" i="524" a="1"/>
  <c r="K277" i="524" s="1"/>
  <c r="M277" i="524" s="1"/>
  <c r="H277" i="524"/>
  <c r="V276" i="524"/>
  <c r="W276" i="524" s="1"/>
  <c r="N276" i="524"/>
  <c r="K276" i="524" a="1"/>
  <c r="K276" i="524" s="1"/>
  <c r="M276" i="524" s="1"/>
  <c r="J276" i="524" a="1"/>
  <c r="J276" i="524" s="1"/>
  <c r="H276" i="524"/>
  <c r="V275" i="524"/>
  <c r="W275" i="524" s="1"/>
  <c r="N275" i="524"/>
  <c r="K275" i="524"/>
  <c r="M275" i="524" s="1"/>
  <c r="K275" i="524" a="1"/>
  <c r="J275" i="524"/>
  <c r="J275" i="524" a="1"/>
  <c r="H275" i="524"/>
  <c r="V274" i="524"/>
  <c r="W274" i="524" s="1"/>
  <c r="N274" i="524"/>
  <c r="K274" i="524" a="1"/>
  <c r="K274" i="524" s="1"/>
  <c r="M274" i="524" s="1"/>
  <c r="J274" i="524" a="1"/>
  <c r="J274" i="524" s="1"/>
  <c r="H274" i="524"/>
  <c r="V273" i="524"/>
  <c r="W273" i="524" s="1"/>
  <c r="N273" i="524"/>
  <c r="K273" i="524" a="1"/>
  <c r="K273" i="524" s="1"/>
  <c r="M273" i="524" s="1"/>
  <c r="J273" i="524" a="1"/>
  <c r="J273" i="524" s="1"/>
  <c r="H273" i="524"/>
  <c r="V272" i="524"/>
  <c r="W272" i="524" s="1"/>
  <c r="N272" i="524"/>
  <c r="K272" i="524" a="1"/>
  <c r="K272" i="524" s="1"/>
  <c r="M272" i="524" s="1"/>
  <c r="J272" i="524" a="1"/>
  <c r="J272" i="524" s="1"/>
  <c r="H272" i="524"/>
  <c r="V271" i="524"/>
  <c r="W271" i="524" s="1"/>
  <c r="N271" i="524"/>
  <c r="K271" i="524"/>
  <c r="M271" i="524" s="1"/>
  <c r="K271" i="524" a="1"/>
  <c r="J271" i="524"/>
  <c r="J271" i="524" a="1"/>
  <c r="H271" i="524"/>
  <c r="V270" i="524"/>
  <c r="W270" i="524" s="1"/>
  <c r="N270" i="524"/>
  <c r="K270" i="524" a="1"/>
  <c r="K270" i="524" s="1"/>
  <c r="M270" i="524" s="1"/>
  <c r="J270" i="524" a="1"/>
  <c r="J270" i="524" s="1"/>
  <c r="H270" i="524"/>
  <c r="V269" i="524"/>
  <c r="W269" i="524" s="1"/>
  <c r="N269" i="524"/>
  <c r="K269" i="524" a="1"/>
  <c r="K269" i="524" s="1"/>
  <c r="M269" i="524" s="1"/>
  <c r="J269" i="524" a="1"/>
  <c r="J269" i="524" s="1"/>
  <c r="H269" i="524"/>
  <c r="V268" i="524"/>
  <c r="W268" i="524" s="1"/>
  <c r="N268" i="524"/>
  <c r="K268" i="524" a="1"/>
  <c r="K268" i="524" s="1"/>
  <c r="M268" i="524" s="1"/>
  <c r="J268" i="524" a="1"/>
  <c r="J268" i="524" s="1"/>
  <c r="H268" i="524"/>
  <c r="V267" i="524"/>
  <c r="W267" i="524" s="1"/>
  <c r="N267" i="524"/>
  <c r="K267" i="524"/>
  <c r="M267" i="524" s="1"/>
  <c r="K267" i="524" a="1"/>
  <c r="J267" i="524"/>
  <c r="J267" i="524" a="1"/>
  <c r="H267" i="524"/>
  <c r="V266" i="524"/>
  <c r="W266" i="524" s="1"/>
  <c r="N266" i="524"/>
  <c r="K266" i="524" a="1"/>
  <c r="K266" i="524" s="1"/>
  <c r="M266" i="524" s="1"/>
  <c r="J266" i="524" a="1"/>
  <c r="J266" i="524" s="1"/>
  <c r="H266" i="524"/>
  <c r="W265" i="524"/>
  <c r="V265" i="524"/>
  <c r="N265" i="524"/>
  <c r="K265" i="524" a="1"/>
  <c r="K265" i="524" s="1"/>
  <c r="M265" i="524" s="1"/>
  <c r="J265" i="524" a="1"/>
  <c r="J265" i="524" s="1"/>
  <c r="H265" i="524"/>
  <c r="N264" i="524"/>
  <c r="K264" i="524" a="1"/>
  <c r="K264" i="524" s="1"/>
  <c r="M264" i="524" s="1"/>
  <c r="H264" i="524"/>
  <c r="V263" i="524"/>
  <c r="W263" i="524" s="1"/>
  <c r="N263" i="524"/>
  <c r="K263" i="524"/>
  <c r="M263" i="524" s="1"/>
  <c r="K263" i="524" a="1"/>
  <c r="J263" i="524"/>
  <c r="J263" i="524" a="1"/>
  <c r="H263" i="524"/>
  <c r="V262" i="524"/>
  <c r="W262" i="524" s="1"/>
  <c r="N262" i="524"/>
  <c r="K262" i="524" a="1"/>
  <c r="K262" i="524" s="1"/>
  <c r="M262" i="524" s="1"/>
  <c r="J262" i="524" a="1"/>
  <c r="J262" i="524" s="1"/>
  <c r="H262" i="524"/>
  <c r="V261" i="524"/>
  <c r="W261" i="524" s="1"/>
  <c r="N261" i="524"/>
  <c r="K261" i="524" a="1"/>
  <c r="K261" i="524" s="1"/>
  <c r="M261" i="524" s="1"/>
  <c r="J261" i="524" a="1"/>
  <c r="J261" i="524" s="1"/>
  <c r="H261" i="524"/>
  <c r="V260" i="524"/>
  <c r="W260" i="524" s="1"/>
  <c r="N260" i="524"/>
  <c r="K260" i="524" a="1"/>
  <c r="K260" i="524" s="1"/>
  <c r="M260" i="524" s="1"/>
  <c r="J260" i="524" a="1"/>
  <c r="J260" i="524" s="1"/>
  <c r="H260" i="524"/>
  <c r="V259" i="524"/>
  <c r="W259" i="524" s="1"/>
  <c r="N259" i="524"/>
  <c r="K259" i="524"/>
  <c r="M259" i="524" s="1"/>
  <c r="K259" i="524" a="1"/>
  <c r="J259" i="524"/>
  <c r="J259" i="524" a="1"/>
  <c r="H259" i="524"/>
  <c r="V258" i="524"/>
  <c r="W258" i="524" s="1"/>
  <c r="N258" i="524"/>
  <c r="K258" i="524" a="1"/>
  <c r="K258" i="524" s="1"/>
  <c r="M258" i="524" s="1"/>
  <c r="J258" i="524" a="1"/>
  <c r="J258" i="524" s="1"/>
  <c r="H258" i="524"/>
  <c r="V257" i="524"/>
  <c r="W257" i="524" s="1"/>
  <c r="N257" i="524"/>
  <c r="K257" i="524" a="1"/>
  <c r="K257" i="524" s="1"/>
  <c r="J257" i="524" a="1"/>
  <c r="J257" i="524" s="1"/>
  <c r="H257" i="524"/>
  <c r="AA256" i="524"/>
  <c r="Z256" i="524"/>
  <c r="Y256" i="524"/>
  <c r="X256" i="524"/>
  <c r="U256" i="524"/>
  <c r="T256" i="524"/>
  <c r="S256" i="524"/>
  <c r="R256" i="524"/>
  <c r="Q256" i="524"/>
  <c r="P256" i="524"/>
  <c r="O256" i="524"/>
  <c r="I256" i="524"/>
  <c r="G256" i="524"/>
  <c r="H255" i="524"/>
  <c r="H254" i="524"/>
  <c r="H253" i="524"/>
  <c r="H252" i="524"/>
  <c r="H251" i="524"/>
  <c r="H250" i="524"/>
  <c r="K249" i="524" a="1"/>
  <c r="K249" i="524" s="1"/>
  <c r="M249" i="524" s="1"/>
  <c r="H249" i="524"/>
  <c r="K248" i="524" a="1"/>
  <c r="K248" i="524" s="1"/>
  <c r="M248" i="524" s="1"/>
  <c r="H248" i="524"/>
  <c r="K247" i="524" a="1"/>
  <c r="K247" i="524" s="1"/>
  <c r="M247" i="524" s="1"/>
  <c r="H247" i="524"/>
  <c r="K246" i="524" a="1"/>
  <c r="K246" i="524" s="1"/>
  <c r="M246" i="524" s="1"/>
  <c r="H246" i="524"/>
  <c r="V245" i="524"/>
  <c r="W245" i="524" s="1"/>
  <c r="N245" i="524"/>
  <c r="K245" i="524" a="1"/>
  <c r="K245" i="524" s="1"/>
  <c r="M245" i="524" s="1"/>
  <c r="J245" i="524" a="1"/>
  <c r="J245" i="524" s="1"/>
  <c r="H245" i="524"/>
  <c r="V244" i="524"/>
  <c r="W244" i="524" s="1"/>
  <c r="N244" i="524"/>
  <c r="K244" i="524" a="1"/>
  <c r="K244" i="524" s="1"/>
  <c r="M244" i="524" s="1"/>
  <c r="J244" i="524" a="1"/>
  <c r="J244" i="524" s="1"/>
  <c r="H244" i="524"/>
  <c r="V243" i="524"/>
  <c r="W243" i="524" s="1"/>
  <c r="N243" i="524"/>
  <c r="K243" i="524"/>
  <c r="M243" i="524" s="1"/>
  <c r="K243" i="524" a="1"/>
  <c r="J243" i="524"/>
  <c r="J243" i="524" a="1"/>
  <c r="H243" i="524"/>
  <c r="V242" i="524"/>
  <c r="W242" i="524" s="1"/>
  <c r="N242" i="524"/>
  <c r="K242" i="524" a="1"/>
  <c r="K242" i="524" s="1"/>
  <c r="M242" i="524" s="1"/>
  <c r="J242" i="524" a="1"/>
  <c r="J242" i="524" s="1"/>
  <c r="H242" i="524"/>
  <c r="M241" i="524"/>
  <c r="H241" i="524"/>
  <c r="V240" i="524"/>
  <c r="W240" i="524" s="1"/>
  <c r="N240" i="524"/>
  <c r="K240" i="524" a="1"/>
  <c r="K240" i="524" s="1"/>
  <c r="M240" i="524" s="1"/>
  <c r="J240" i="524" a="1"/>
  <c r="J240" i="524" s="1"/>
  <c r="H240" i="524"/>
  <c r="V239" i="524"/>
  <c r="W239" i="524" s="1"/>
  <c r="N239" i="524"/>
  <c r="K239" i="524" a="1"/>
  <c r="K239" i="524" s="1"/>
  <c r="M239" i="524" s="1"/>
  <c r="J239" i="524" a="1"/>
  <c r="J239" i="524" s="1"/>
  <c r="H239" i="524"/>
  <c r="K238" i="524" a="1"/>
  <c r="K238" i="524" s="1"/>
  <c r="M238" i="524" s="1"/>
  <c r="H238" i="524"/>
  <c r="H237" i="524"/>
  <c r="V236" i="524"/>
  <c r="W236" i="524" s="1"/>
  <c r="N236" i="524"/>
  <c r="K236" i="524" a="1"/>
  <c r="K236" i="524" s="1"/>
  <c r="M236" i="524" s="1"/>
  <c r="J236" i="524" a="1"/>
  <c r="J236" i="524" s="1"/>
  <c r="H236" i="524"/>
  <c r="V235" i="524"/>
  <c r="W235" i="524" s="1"/>
  <c r="N235" i="524"/>
  <c r="K235" i="524" a="1"/>
  <c r="K235" i="524" s="1"/>
  <c r="M235" i="524" s="1"/>
  <c r="J235" i="524" a="1"/>
  <c r="J235" i="524" s="1"/>
  <c r="H235" i="524"/>
  <c r="V234" i="524"/>
  <c r="W234" i="524" s="1"/>
  <c r="N234" i="524"/>
  <c r="K234" i="524" a="1"/>
  <c r="K234" i="524" s="1"/>
  <c r="M234" i="524" s="1"/>
  <c r="J234" i="524" a="1"/>
  <c r="J234" i="524" s="1"/>
  <c r="H234" i="524"/>
  <c r="V233" i="524"/>
  <c r="W233" i="524" s="1"/>
  <c r="N233" i="524"/>
  <c r="K233" i="524"/>
  <c r="M233" i="524" s="1"/>
  <c r="K233" i="524" a="1"/>
  <c r="J233" i="524"/>
  <c r="J233" i="524" a="1"/>
  <c r="H233" i="524"/>
  <c r="V232" i="524"/>
  <c r="W232" i="524" s="1"/>
  <c r="N232" i="524"/>
  <c r="K232" i="524" a="1"/>
  <c r="K232" i="524" s="1"/>
  <c r="M232" i="524" s="1"/>
  <c r="J232" i="524" a="1"/>
  <c r="J232" i="524" s="1"/>
  <c r="H232" i="524"/>
  <c r="V231" i="524"/>
  <c r="W231" i="524" s="1"/>
  <c r="N231" i="524"/>
  <c r="K231" i="524" a="1"/>
  <c r="K231" i="524" s="1"/>
  <c r="M231" i="524" s="1"/>
  <c r="J231" i="524" a="1"/>
  <c r="J231" i="524" s="1"/>
  <c r="H231" i="524"/>
  <c r="V230" i="524"/>
  <c r="W230" i="524" s="1"/>
  <c r="N230" i="524"/>
  <c r="K230" i="524" a="1"/>
  <c r="K230" i="524" s="1"/>
  <c r="M230" i="524" s="1"/>
  <c r="J230" i="524" a="1"/>
  <c r="J230" i="524" s="1"/>
  <c r="H230" i="524"/>
  <c r="V229" i="524"/>
  <c r="W229" i="524" s="1"/>
  <c r="N229" i="524"/>
  <c r="K229" i="524"/>
  <c r="M229" i="524" s="1"/>
  <c r="K229" i="524" a="1"/>
  <c r="J229" i="524" a="1"/>
  <c r="J229" i="524" s="1"/>
  <c r="H229" i="524"/>
  <c r="V228" i="524"/>
  <c r="W228" i="524" s="1"/>
  <c r="N228" i="524"/>
  <c r="K228" i="524" a="1"/>
  <c r="K228" i="524" s="1"/>
  <c r="M228" i="524" s="1"/>
  <c r="J228" i="524" a="1"/>
  <c r="J228" i="524" s="1"/>
  <c r="H228" i="524"/>
  <c r="V227" i="524"/>
  <c r="W227" i="524" s="1"/>
  <c r="N227" i="524"/>
  <c r="K227" i="524" a="1"/>
  <c r="K227" i="524" s="1"/>
  <c r="M227" i="524" s="1"/>
  <c r="J227" i="524" a="1"/>
  <c r="J227" i="524" s="1"/>
  <c r="H227" i="524"/>
  <c r="N226" i="524"/>
  <c r="K226" i="524" a="1"/>
  <c r="K226" i="524" s="1"/>
  <c r="M226" i="524" s="1"/>
  <c r="H226" i="524"/>
  <c r="N225" i="524"/>
  <c r="K225" i="524"/>
  <c r="M225" i="524" s="1"/>
  <c r="K225" i="524" a="1"/>
  <c r="H225" i="524"/>
  <c r="N224" i="524"/>
  <c r="K224" i="524" a="1"/>
  <c r="K224" i="524" s="1"/>
  <c r="M224" i="524" s="1"/>
  <c r="H224" i="524"/>
  <c r="N223" i="524"/>
  <c r="K223" i="524" a="1"/>
  <c r="K223" i="524" s="1"/>
  <c r="M223" i="524" s="1"/>
  <c r="H223" i="524"/>
  <c r="N222" i="524"/>
  <c r="K222" i="524" a="1"/>
  <c r="K222" i="524" s="1"/>
  <c r="M222" i="524" s="1"/>
  <c r="H222" i="524"/>
  <c r="N221" i="524"/>
  <c r="K221" i="524" a="1"/>
  <c r="K221" i="524" s="1"/>
  <c r="M221" i="524" s="1"/>
  <c r="H221" i="524"/>
  <c r="N220" i="524"/>
  <c r="K220" i="524" a="1"/>
  <c r="K220" i="524" s="1"/>
  <c r="M220" i="524" s="1"/>
  <c r="H220" i="524"/>
  <c r="N219" i="524"/>
  <c r="K219" i="524" a="1"/>
  <c r="K219" i="524" s="1"/>
  <c r="M219" i="524" s="1"/>
  <c r="H219" i="524"/>
  <c r="V218" i="524"/>
  <c r="W218" i="524" s="1"/>
  <c r="N218" i="524"/>
  <c r="K218" i="524" a="1"/>
  <c r="K218" i="524" s="1"/>
  <c r="M218" i="524" s="1"/>
  <c r="J218" i="524" a="1"/>
  <c r="J218" i="524" s="1"/>
  <c r="H218" i="524"/>
  <c r="V217" i="524"/>
  <c r="W217" i="524" s="1"/>
  <c r="N217" i="524"/>
  <c r="K217" i="524" a="1"/>
  <c r="K217" i="524" s="1"/>
  <c r="M217" i="524" s="1"/>
  <c r="J217" i="524" a="1"/>
  <c r="J217" i="524" s="1"/>
  <c r="H217" i="524"/>
  <c r="V216" i="524"/>
  <c r="W216" i="524" s="1"/>
  <c r="N216" i="524"/>
  <c r="K216" i="524" a="1"/>
  <c r="K216" i="524" s="1"/>
  <c r="M216" i="524" s="1"/>
  <c r="J216" i="524" a="1"/>
  <c r="J216" i="524" s="1"/>
  <c r="H216" i="524"/>
  <c r="V215" i="524"/>
  <c r="W215" i="524" s="1"/>
  <c r="N215" i="524"/>
  <c r="K215" i="524" a="1"/>
  <c r="K215" i="524" s="1"/>
  <c r="M215" i="524" s="1"/>
  <c r="J215" i="524" a="1"/>
  <c r="J215" i="524" s="1"/>
  <c r="H215" i="524"/>
  <c r="V214" i="524"/>
  <c r="W214" i="524" s="1"/>
  <c r="N214" i="524"/>
  <c r="K214" i="524"/>
  <c r="M214" i="524" s="1"/>
  <c r="K214" i="524" a="1"/>
  <c r="J214" i="524"/>
  <c r="J214" i="524" a="1"/>
  <c r="H214" i="524"/>
  <c r="V213" i="524"/>
  <c r="W213" i="524" s="1"/>
  <c r="N213" i="524"/>
  <c r="K213" i="524" a="1"/>
  <c r="K213" i="524" s="1"/>
  <c r="M213" i="524" s="1"/>
  <c r="J213" i="524" a="1"/>
  <c r="J213" i="524" s="1"/>
  <c r="H213" i="524"/>
  <c r="V212" i="524"/>
  <c r="W212" i="524" s="1"/>
  <c r="N212" i="524"/>
  <c r="K212" i="524" a="1"/>
  <c r="K212" i="524" s="1"/>
  <c r="M212" i="524" s="1"/>
  <c r="J212" i="524" a="1"/>
  <c r="J212" i="524" s="1"/>
  <c r="H212" i="524"/>
  <c r="V211" i="524"/>
  <c r="W211" i="524" s="1"/>
  <c r="N211" i="524"/>
  <c r="K211" i="524" a="1"/>
  <c r="K211" i="524" s="1"/>
  <c r="M211" i="524" s="1"/>
  <c r="J211" i="524" a="1"/>
  <c r="J211" i="524" s="1"/>
  <c r="H211" i="524"/>
  <c r="V210" i="524"/>
  <c r="W210" i="524" s="1"/>
  <c r="N210" i="524"/>
  <c r="K210" i="524"/>
  <c r="M210" i="524" s="1"/>
  <c r="K210" i="524" a="1"/>
  <c r="J210" i="524"/>
  <c r="J210" i="524" a="1"/>
  <c r="H210" i="524"/>
  <c r="V209" i="524"/>
  <c r="W209" i="524" s="1"/>
  <c r="N209" i="524"/>
  <c r="K209" i="524" a="1"/>
  <c r="K209" i="524" s="1"/>
  <c r="M209" i="524" s="1"/>
  <c r="J209" i="524" a="1"/>
  <c r="J209" i="524" s="1"/>
  <c r="H209" i="524"/>
  <c r="V208" i="524"/>
  <c r="W208" i="524" s="1"/>
  <c r="N208" i="524"/>
  <c r="K208" i="524" a="1"/>
  <c r="K208" i="524" s="1"/>
  <c r="M208" i="524" s="1"/>
  <c r="J208" i="524" a="1"/>
  <c r="J208" i="524" s="1"/>
  <c r="H208" i="524"/>
  <c r="V207" i="524"/>
  <c r="W207" i="524" s="1"/>
  <c r="N207" i="524"/>
  <c r="K207" i="524" a="1"/>
  <c r="K207" i="524" s="1"/>
  <c r="M207" i="524" s="1"/>
  <c r="J207" i="524" a="1"/>
  <c r="J207" i="524" s="1"/>
  <c r="H207" i="524"/>
  <c r="H206" i="524"/>
  <c r="H205" i="524"/>
  <c r="H204" i="524"/>
  <c r="V203" i="524"/>
  <c r="W203" i="524" s="1"/>
  <c r="N203" i="524"/>
  <c r="K203" i="524" a="1"/>
  <c r="K203" i="524" s="1"/>
  <c r="M203" i="524" s="1"/>
  <c r="J203" i="524" a="1"/>
  <c r="J203" i="524" s="1"/>
  <c r="H203" i="524"/>
  <c r="V202" i="524"/>
  <c r="W202" i="524" s="1"/>
  <c r="N202" i="524"/>
  <c r="K202" i="524" a="1"/>
  <c r="K202" i="524" s="1"/>
  <c r="M202" i="524" s="1"/>
  <c r="J202" i="524" a="1"/>
  <c r="J202" i="524" s="1"/>
  <c r="H202" i="524"/>
  <c r="V201" i="524"/>
  <c r="W201" i="524" s="1"/>
  <c r="N201" i="524"/>
  <c r="K201" i="524" a="1"/>
  <c r="K201" i="524" s="1"/>
  <c r="M201" i="524" s="1"/>
  <c r="J201" i="524" a="1"/>
  <c r="J201" i="524" s="1"/>
  <c r="H201" i="524"/>
  <c r="H200" i="524"/>
  <c r="V199" i="524"/>
  <c r="V256" i="524" s="1"/>
  <c r="W256" i="524" s="1"/>
  <c r="N199" i="524"/>
  <c r="K199" i="524" a="1"/>
  <c r="K199" i="524" s="1"/>
  <c r="J199" i="524" a="1"/>
  <c r="J199" i="524" s="1"/>
  <c r="H199" i="524"/>
  <c r="AA198" i="524"/>
  <c r="AA333" i="524" s="1"/>
  <c r="Z198" i="524"/>
  <c r="Z333" i="524" s="1"/>
  <c r="Y198" i="524"/>
  <c r="Y333" i="524" s="1"/>
  <c r="X198" i="524"/>
  <c r="X333" i="524" s="1"/>
  <c r="U198" i="524"/>
  <c r="U333" i="524" s="1"/>
  <c r="T198" i="524"/>
  <c r="T333" i="524" s="1"/>
  <c r="S198" i="524"/>
  <c r="S333" i="524" s="1"/>
  <c r="R198" i="524"/>
  <c r="R333" i="524" s="1"/>
  <c r="Q198" i="524"/>
  <c r="Q333" i="524" s="1"/>
  <c r="P198" i="524"/>
  <c r="O198" i="524"/>
  <c r="I198" i="524"/>
  <c r="I333" i="524" s="1"/>
  <c r="B341" i="524" s="1"/>
  <c r="G198" i="524"/>
  <c r="G333" i="524" s="1"/>
  <c r="V197" i="524"/>
  <c r="W197" i="524" s="1"/>
  <c r="N197" i="524"/>
  <c r="K197" i="524" a="1"/>
  <c r="K197" i="524" s="1"/>
  <c r="M197" i="524" s="1"/>
  <c r="J197" i="524" a="1"/>
  <c r="J197" i="524" s="1"/>
  <c r="H197" i="524"/>
  <c r="V196" i="524"/>
  <c r="W196" i="524" s="1"/>
  <c r="N196" i="524"/>
  <c r="K196" i="524"/>
  <c r="M196" i="524" s="1"/>
  <c r="K196" i="524" a="1"/>
  <c r="J196" i="524" a="1"/>
  <c r="J196" i="524" s="1"/>
  <c r="H196" i="524"/>
  <c r="K195" i="524" a="1"/>
  <c r="K195" i="524" s="1"/>
  <c r="M195" i="524" s="1"/>
  <c r="H195" i="524"/>
  <c r="K194" i="524" a="1"/>
  <c r="K194" i="524" s="1"/>
  <c r="M194" i="524" s="1"/>
  <c r="H194" i="524"/>
  <c r="K193" i="524" a="1"/>
  <c r="K193" i="524" s="1"/>
  <c r="M193" i="524" s="1"/>
  <c r="H193" i="524"/>
  <c r="K192" i="524" a="1"/>
  <c r="K192" i="524" s="1"/>
  <c r="M192" i="524" s="1"/>
  <c r="H192" i="524"/>
  <c r="V191" i="524"/>
  <c r="W191" i="524" s="1"/>
  <c r="N191" i="524"/>
  <c r="K191" i="524" a="1"/>
  <c r="K191" i="524" s="1"/>
  <c r="M191" i="524" s="1"/>
  <c r="J191" i="524" a="1"/>
  <c r="J191" i="524" s="1"/>
  <c r="H191" i="524"/>
  <c r="V190" i="524"/>
  <c r="W190" i="524" s="1"/>
  <c r="N190" i="524"/>
  <c r="K190" i="524" a="1"/>
  <c r="K190" i="524" s="1"/>
  <c r="M190" i="524" s="1"/>
  <c r="J190" i="524" a="1"/>
  <c r="J190" i="524" s="1"/>
  <c r="H190" i="524"/>
  <c r="V189" i="524"/>
  <c r="W189" i="524" s="1"/>
  <c r="N189" i="524"/>
  <c r="K189" i="524" a="1"/>
  <c r="K189" i="524" s="1"/>
  <c r="M189" i="524" s="1"/>
  <c r="J189" i="524" a="1"/>
  <c r="J189" i="524" s="1"/>
  <c r="H189" i="524"/>
  <c r="N188" i="524"/>
  <c r="K188" i="524" a="1"/>
  <c r="K188" i="524" s="1"/>
  <c r="M188" i="524" s="1"/>
  <c r="J188" i="524" a="1"/>
  <c r="J188" i="524" s="1"/>
  <c r="H188" i="524"/>
  <c r="N187" i="524"/>
  <c r="K187" i="524" a="1"/>
  <c r="K187" i="524" s="1"/>
  <c r="M187" i="524" s="1"/>
  <c r="J187" i="524" a="1"/>
  <c r="J187" i="524" s="1"/>
  <c r="H187" i="524"/>
  <c r="W186" i="524"/>
  <c r="V186" i="524"/>
  <c r="N186" i="524"/>
  <c r="K186" i="524" a="1"/>
  <c r="K186" i="524" s="1"/>
  <c r="M186" i="524" s="1"/>
  <c r="J186" i="524" a="1"/>
  <c r="J186" i="524" s="1"/>
  <c r="H186" i="524"/>
  <c r="V185" i="524"/>
  <c r="W185" i="524" s="1"/>
  <c r="N185" i="524"/>
  <c r="K185" i="524" a="1"/>
  <c r="K185" i="524" s="1"/>
  <c r="M185" i="524" s="1"/>
  <c r="H185" i="524"/>
  <c r="N184" i="524"/>
  <c r="K184" i="524" a="1"/>
  <c r="K184" i="524" s="1"/>
  <c r="M184" i="524" s="1"/>
  <c r="H184" i="524"/>
  <c r="N183" i="524"/>
  <c r="K183" i="524" a="1"/>
  <c r="K183" i="524" s="1"/>
  <c r="M183" i="524" s="1"/>
  <c r="H183" i="524"/>
  <c r="V182" i="524"/>
  <c r="W182" i="524" s="1"/>
  <c r="N182" i="524"/>
  <c r="K182" i="524" a="1"/>
  <c r="K182" i="524" s="1"/>
  <c r="M182" i="524" s="1"/>
  <c r="J182" i="524" a="1"/>
  <c r="J182" i="524" s="1"/>
  <c r="H182" i="524"/>
  <c r="V181" i="524"/>
  <c r="W181" i="524" s="1"/>
  <c r="N181" i="524"/>
  <c r="K181" i="524" a="1"/>
  <c r="K181" i="524" s="1"/>
  <c r="M181" i="524" s="1"/>
  <c r="J181" i="524" a="1"/>
  <c r="J181" i="524" s="1"/>
  <c r="H181" i="524"/>
  <c r="V180" i="524"/>
  <c r="W180" i="524" s="1"/>
  <c r="N180" i="524"/>
  <c r="K180" i="524" a="1"/>
  <c r="K180" i="524" s="1"/>
  <c r="M180" i="524" s="1"/>
  <c r="J180" i="524" a="1"/>
  <c r="J180" i="524" s="1"/>
  <c r="H180" i="524"/>
  <c r="V179" i="524"/>
  <c r="W179" i="524" s="1"/>
  <c r="N179" i="524"/>
  <c r="K179" i="524" a="1"/>
  <c r="K179" i="524" s="1"/>
  <c r="M179" i="524" s="1"/>
  <c r="J179" i="524" a="1"/>
  <c r="J179" i="524" s="1"/>
  <c r="H179" i="524"/>
  <c r="V178" i="524"/>
  <c r="W178" i="524" s="1"/>
  <c r="N178" i="524"/>
  <c r="K178" i="524"/>
  <c r="M178" i="524" s="1"/>
  <c r="K178" i="524" a="1"/>
  <c r="J178" i="524" a="1"/>
  <c r="J178" i="524" s="1"/>
  <c r="H178" i="524"/>
  <c r="V177" i="524"/>
  <c r="V198" i="524" s="1"/>
  <c r="N177" i="524"/>
  <c r="K177" i="524" a="1"/>
  <c r="K177" i="524" s="1"/>
  <c r="J177" i="524" a="1"/>
  <c r="J177" i="524" s="1"/>
  <c r="H177" i="524"/>
  <c r="H198" i="524" s="1"/>
  <c r="X170" i="524"/>
  <c r="Q526" i="524" s="1"/>
  <c r="X169" i="524"/>
  <c r="Q525" i="524" s="1"/>
  <c r="G169" i="524"/>
  <c r="C169" i="524"/>
  <c r="X168" i="524"/>
  <c r="Q524" i="524" s="1"/>
  <c r="I168" i="524"/>
  <c r="E168" i="524"/>
  <c r="K168" i="524" s="1"/>
  <c r="M168" i="524" s="1"/>
  <c r="I167" i="524"/>
  <c r="E167" i="524"/>
  <c r="K167" i="524" s="1"/>
  <c r="M167" i="524" s="1"/>
  <c r="I166" i="524"/>
  <c r="E166" i="524"/>
  <c r="K166" i="524" s="1"/>
  <c r="M166" i="524" s="1"/>
  <c r="X165" i="524"/>
  <c r="Q521" i="524" s="1"/>
  <c r="I165" i="524"/>
  <c r="I169" i="524" s="1"/>
  <c r="E165" i="524"/>
  <c r="E169" i="524" s="1"/>
  <c r="AA162" i="524"/>
  <c r="Z162" i="524"/>
  <c r="Y162" i="524"/>
  <c r="X162" i="524"/>
  <c r="U162" i="524"/>
  <c r="T162" i="524"/>
  <c r="S162" i="524"/>
  <c r="R162" i="524"/>
  <c r="Q162" i="524"/>
  <c r="P162" i="524"/>
  <c r="O162" i="524"/>
  <c r="R170" i="524" s="1"/>
  <c r="I162" i="524"/>
  <c r="G162" i="524"/>
  <c r="C526" i="524" s="1"/>
  <c r="H161" i="524"/>
  <c r="H160" i="524"/>
  <c r="H159" i="524"/>
  <c r="V158" i="524"/>
  <c r="W158" i="524" s="1"/>
  <c r="N158" i="524"/>
  <c r="K158" i="524"/>
  <c r="K158" i="524" a="1"/>
  <c r="J158" i="524" a="1"/>
  <c r="J158" i="524" s="1"/>
  <c r="H158" i="524"/>
  <c r="D158" i="524"/>
  <c r="V157" i="524"/>
  <c r="W157" i="524" s="1"/>
  <c r="N157" i="524"/>
  <c r="K157" i="524" a="1"/>
  <c r="K157" i="524" s="1"/>
  <c r="M157" i="524" s="1"/>
  <c r="J157" i="524" a="1"/>
  <c r="J157" i="524" s="1"/>
  <c r="H157" i="524"/>
  <c r="H156" i="524"/>
  <c r="H155" i="524"/>
  <c r="V154" i="524"/>
  <c r="W154" i="524" s="1"/>
  <c r="N154" i="524"/>
  <c r="K154" i="524" a="1"/>
  <c r="K154" i="524" s="1"/>
  <c r="M154" i="524" s="1"/>
  <c r="J154" i="524" a="1"/>
  <c r="J154" i="524" s="1"/>
  <c r="H154" i="524"/>
  <c r="V153" i="524"/>
  <c r="W153" i="524" s="1"/>
  <c r="N153" i="524"/>
  <c r="K153" i="524"/>
  <c r="M153" i="524" s="1"/>
  <c r="K153" i="524" a="1"/>
  <c r="J153" i="524"/>
  <c r="J153" i="524" a="1"/>
  <c r="H153" i="524"/>
  <c r="H152" i="524"/>
  <c r="V151" i="524"/>
  <c r="W151" i="524" s="1"/>
  <c r="N151" i="524"/>
  <c r="K151" i="524" a="1"/>
  <c r="K151" i="524" s="1"/>
  <c r="M151" i="524" s="1"/>
  <c r="J151" i="524" a="1"/>
  <c r="J151" i="524" s="1"/>
  <c r="H151" i="524"/>
  <c r="V150" i="524"/>
  <c r="W150" i="524" s="1"/>
  <c r="N150" i="524"/>
  <c r="K150" i="524" a="1"/>
  <c r="K150" i="524" s="1"/>
  <c r="M150" i="524" s="1"/>
  <c r="J150" i="524" a="1"/>
  <c r="J150" i="524" s="1"/>
  <c r="H150" i="524"/>
  <c r="V149" i="524"/>
  <c r="W149" i="524" s="1"/>
  <c r="N149" i="524"/>
  <c r="K149" i="524"/>
  <c r="M149" i="524" s="1"/>
  <c r="K149" i="524" a="1"/>
  <c r="J149" i="524"/>
  <c r="J149" i="524" a="1"/>
  <c r="H149" i="524"/>
  <c r="V148" i="524"/>
  <c r="W148" i="524" s="1"/>
  <c r="N148" i="524"/>
  <c r="N162" i="524" s="1"/>
  <c r="K148" i="524" a="1"/>
  <c r="K148" i="524" s="1"/>
  <c r="J148" i="524" a="1"/>
  <c r="J148" i="524" s="1"/>
  <c r="H148" i="524"/>
  <c r="H162" i="524" s="1"/>
  <c r="AA147" i="524"/>
  <c r="Z147" i="524"/>
  <c r="Y147" i="524"/>
  <c r="X147" i="524"/>
  <c r="U147" i="524"/>
  <c r="T147" i="524"/>
  <c r="S147" i="524"/>
  <c r="Q147" i="524"/>
  <c r="P147" i="524"/>
  <c r="O147" i="524"/>
  <c r="I147" i="524"/>
  <c r="G147" i="524"/>
  <c r="C525" i="524" s="1"/>
  <c r="V146" i="524"/>
  <c r="W146" i="524" s="1"/>
  <c r="N146" i="524"/>
  <c r="K146" i="524"/>
  <c r="M146" i="524" s="1"/>
  <c r="K146" i="524" a="1"/>
  <c r="J146" i="524"/>
  <c r="J146" i="524" a="1"/>
  <c r="H146" i="524"/>
  <c r="H143" i="524"/>
  <c r="V142" i="524"/>
  <c r="W142" i="524" s="1"/>
  <c r="N142" i="524"/>
  <c r="K142" i="524" a="1"/>
  <c r="K142" i="524" s="1"/>
  <c r="M142" i="524" s="1"/>
  <c r="J142" i="524" a="1"/>
  <c r="J142" i="524" s="1"/>
  <c r="H142" i="524"/>
  <c r="V141" i="524"/>
  <c r="W141" i="524" s="1"/>
  <c r="N141" i="524"/>
  <c r="K141" i="524" a="1"/>
  <c r="K141" i="524" s="1"/>
  <c r="M141" i="524" s="1"/>
  <c r="J141" i="524" a="1"/>
  <c r="J141" i="524" s="1"/>
  <c r="H141" i="524"/>
  <c r="V140" i="524"/>
  <c r="W140" i="524" s="1"/>
  <c r="N140" i="524"/>
  <c r="K140" i="524"/>
  <c r="M140" i="524" s="1"/>
  <c r="K140" i="524" a="1"/>
  <c r="J140" i="524"/>
  <c r="J140" i="524" a="1"/>
  <c r="H140" i="524"/>
  <c r="V139" i="524"/>
  <c r="W139" i="524" s="1"/>
  <c r="N139" i="524"/>
  <c r="K139" i="524" a="1"/>
  <c r="K139" i="524" s="1"/>
  <c r="M139" i="524" s="1"/>
  <c r="J139" i="524" a="1"/>
  <c r="J139" i="524" s="1"/>
  <c r="H139" i="524"/>
  <c r="V138" i="524"/>
  <c r="V147" i="524" s="1"/>
  <c r="W147" i="524" s="1"/>
  <c r="N138" i="524"/>
  <c r="N147" i="524" s="1"/>
  <c r="K138" i="524"/>
  <c r="M138" i="524" s="1"/>
  <c r="K138" i="524" a="1"/>
  <c r="J138" i="524"/>
  <c r="J138" i="524" a="1"/>
  <c r="H138" i="524"/>
  <c r="H147" i="524" s="1"/>
  <c r="AA137" i="524"/>
  <c r="Z137" i="524"/>
  <c r="Y137" i="524"/>
  <c r="X137" i="524"/>
  <c r="U137" i="524"/>
  <c r="T137" i="524"/>
  <c r="S137" i="524"/>
  <c r="Q137" i="524"/>
  <c r="P137" i="524"/>
  <c r="O137" i="524"/>
  <c r="R168" i="524" s="1"/>
  <c r="I137" i="524"/>
  <c r="G137" i="524"/>
  <c r="C524" i="524" s="1"/>
  <c r="V136" i="524"/>
  <c r="W136" i="524" s="1"/>
  <c r="N136" i="524"/>
  <c r="K136" i="524" a="1"/>
  <c r="K136" i="524" s="1"/>
  <c r="M136" i="524" s="1"/>
  <c r="J136" i="524" a="1"/>
  <c r="J136" i="524" s="1"/>
  <c r="H136" i="524"/>
  <c r="V135" i="524"/>
  <c r="W135" i="524" s="1"/>
  <c r="N135" i="524"/>
  <c r="K135" i="524" a="1"/>
  <c r="K135" i="524" s="1"/>
  <c r="M135" i="524" s="1"/>
  <c r="J135" i="524" a="1"/>
  <c r="J135" i="524" s="1"/>
  <c r="H135" i="524"/>
  <c r="V134" i="524"/>
  <c r="W134" i="524" s="1"/>
  <c r="N134" i="524"/>
  <c r="K134" i="524" a="1"/>
  <c r="K134" i="524" s="1"/>
  <c r="M134" i="524" s="1"/>
  <c r="J134" i="524" a="1"/>
  <c r="J134" i="524" s="1"/>
  <c r="H134" i="524"/>
  <c r="V133" i="524"/>
  <c r="W133" i="524" s="1"/>
  <c r="N133" i="524"/>
  <c r="K133" i="524"/>
  <c r="M133" i="524" s="1"/>
  <c r="K133" i="524" a="1"/>
  <c r="J133" i="524"/>
  <c r="J133" i="524" a="1"/>
  <c r="H133" i="524"/>
  <c r="V132" i="524"/>
  <c r="W132" i="524" s="1"/>
  <c r="N132" i="524"/>
  <c r="K132" i="524" a="1"/>
  <c r="K132" i="524" s="1"/>
  <c r="M132" i="524" s="1"/>
  <c r="J132" i="524" a="1"/>
  <c r="J132" i="524" s="1"/>
  <c r="H132" i="524"/>
  <c r="V131" i="524"/>
  <c r="W131" i="524" s="1"/>
  <c r="N131" i="524"/>
  <c r="K131" i="524" a="1"/>
  <c r="K131" i="524" s="1"/>
  <c r="M131" i="524" s="1"/>
  <c r="J131" i="524" a="1"/>
  <c r="J131" i="524" s="1"/>
  <c r="H131" i="524"/>
  <c r="V130" i="524"/>
  <c r="W130" i="524" s="1"/>
  <c r="N130" i="524"/>
  <c r="K130" i="524" a="1"/>
  <c r="K130" i="524" s="1"/>
  <c r="M130" i="524" s="1"/>
  <c r="J130" i="524" a="1"/>
  <c r="J130" i="524" s="1"/>
  <c r="H130" i="524"/>
  <c r="V129" i="524"/>
  <c r="W129" i="524" s="1"/>
  <c r="N129" i="524"/>
  <c r="K129" i="524"/>
  <c r="M129" i="524" s="1"/>
  <c r="K129" i="524" a="1"/>
  <c r="J129" i="524"/>
  <c r="J129" i="524" a="1"/>
  <c r="H129" i="524"/>
  <c r="V128" i="524"/>
  <c r="W128" i="524" s="1"/>
  <c r="N128" i="524"/>
  <c r="K128" i="524" a="1"/>
  <c r="K128" i="524" s="1"/>
  <c r="M128" i="524" s="1"/>
  <c r="J128" i="524" a="1"/>
  <c r="J128" i="524" s="1"/>
  <c r="H128" i="524"/>
  <c r="V127" i="524"/>
  <c r="W127" i="524" s="1"/>
  <c r="N127" i="524"/>
  <c r="K127" i="524" a="1"/>
  <c r="K127" i="524" s="1"/>
  <c r="M127" i="524" s="1"/>
  <c r="J127" i="524" a="1"/>
  <c r="J127" i="524" s="1"/>
  <c r="H127" i="524"/>
  <c r="V126" i="524"/>
  <c r="W126" i="524" s="1"/>
  <c r="N126" i="524"/>
  <c r="K126" i="524" a="1"/>
  <c r="K126" i="524" s="1"/>
  <c r="M126" i="524" s="1"/>
  <c r="J126" i="524" a="1"/>
  <c r="J126" i="524" s="1"/>
  <c r="H126" i="524"/>
  <c r="V125" i="524"/>
  <c r="W125" i="524" s="1"/>
  <c r="N125" i="524"/>
  <c r="K125" i="524"/>
  <c r="M125" i="524" s="1"/>
  <c r="K125" i="524" a="1"/>
  <c r="J125" i="524"/>
  <c r="J125" i="524" a="1"/>
  <c r="H125" i="524"/>
  <c r="V124" i="524"/>
  <c r="W124" i="524" s="1"/>
  <c r="N124" i="524"/>
  <c r="K124" i="524" a="1"/>
  <c r="K124" i="524" s="1"/>
  <c r="M124" i="524" s="1"/>
  <c r="J124" i="524" a="1"/>
  <c r="J124" i="524" s="1"/>
  <c r="H124" i="524"/>
  <c r="V123" i="524"/>
  <c r="W123" i="524" s="1"/>
  <c r="N123" i="524"/>
  <c r="K123" i="524" a="1"/>
  <c r="K123" i="524" s="1"/>
  <c r="M123" i="524" s="1"/>
  <c r="J123" i="524" a="1"/>
  <c r="J123" i="524" s="1"/>
  <c r="H123" i="524"/>
  <c r="V122" i="524"/>
  <c r="W122" i="524" s="1"/>
  <c r="N122" i="524"/>
  <c r="K122" i="524" a="1"/>
  <c r="K122" i="524" s="1"/>
  <c r="J122" i="524" a="1"/>
  <c r="J122" i="524" s="1"/>
  <c r="H122" i="524"/>
  <c r="AA121" i="524"/>
  <c r="Z121" i="524"/>
  <c r="Y121" i="524"/>
  <c r="X121" i="524"/>
  <c r="U121" i="524"/>
  <c r="T121" i="524"/>
  <c r="S121" i="524"/>
  <c r="R121" i="524"/>
  <c r="Q121" i="524"/>
  <c r="P121" i="524"/>
  <c r="O121" i="524"/>
  <c r="R167" i="524" s="1"/>
  <c r="I121" i="524"/>
  <c r="G121" i="524"/>
  <c r="C523" i="524" s="1"/>
  <c r="V120" i="524"/>
  <c r="W120" i="524" s="1"/>
  <c r="N120" i="524"/>
  <c r="K120" i="524" a="1"/>
  <c r="K120" i="524" s="1"/>
  <c r="M120" i="524" s="1"/>
  <c r="J120" i="524" a="1"/>
  <c r="J120" i="524" s="1"/>
  <c r="H120" i="524"/>
  <c r="V119" i="524"/>
  <c r="W119" i="524" s="1"/>
  <c r="N119" i="524"/>
  <c r="K119" i="524" a="1"/>
  <c r="K119" i="524" s="1"/>
  <c r="M119" i="524" s="1"/>
  <c r="J119" i="524" a="1"/>
  <c r="J119" i="524" s="1"/>
  <c r="H119" i="524"/>
  <c r="V118" i="524"/>
  <c r="W118" i="524" s="1"/>
  <c r="N118" i="524"/>
  <c r="K118" i="524" a="1"/>
  <c r="K118" i="524" s="1"/>
  <c r="M118" i="524" s="1"/>
  <c r="J118" i="524" a="1"/>
  <c r="J118" i="524" s="1"/>
  <c r="H118" i="524"/>
  <c r="K117" i="524" a="1"/>
  <c r="K117" i="524" s="1"/>
  <c r="H117" i="524"/>
  <c r="K116" i="524" a="1"/>
  <c r="K116" i="524" s="1"/>
  <c r="H116" i="524"/>
  <c r="K115" i="524"/>
  <c r="K115" i="524" a="1"/>
  <c r="H115" i="524"/>
  <c r="V114" i="524"/>
  <c r="W114" i="524" s="1"/>
  <c r="N114" i="524"/>
  <c r="K114" i="524" a="1"/>
  <c r="K114" i="524" s="1"/>
  <c r="M114" i="524" s="1"/>
  <c r="J114" i="524" a="1"/>
  <c r="J114" i="524" s="1"/>
  <c r="H114" i="524"/>
  <c r="V113" i="524"/>
  <c r="W113" i="524" s="1"/>
  <c r="N113" i="524"/>
  <c r="K113" i="524" a="1"/>
  <c r="K113" i="524" s="1"/>
  <c r="M113" i="524" s="1"/>
  <c r="J113" i="524" a="1"/>
  <c r="J113" i="524" s="1"/>
  <c r="H113" i="524"/>
  <c r="N112" i="524"/>
  <c r="K112" i="524" a="1"/>
  <c r="K112" i="524" s="1"/>
  <c r="M112" i="524" s="1"/>
  <c r="H112" i="524"/>
  <c r="N111" i="524"/>
  <c r="K111" i="524"/>
  <c r="M111" i="524" s="1"/>
  <c r="K111" i="524" a="1"/>
  <c r="H111" i="524"/>
  <c r="N110" i="524"/>
  <c r="K110" i="524" a="1"/>
  <c r="K110" i="524" s="1"/>
  <c r="M110" i="524" s="1"/>
  <c r="H110" i="524"/>
  <c r="N109" i="524"/>
  <c r="K109" i="524" a="1"/>
  <c r="K109" i="524" s="1"/>
  <c r="M109" i="524" s="1"/>
  <c r="H109" i="524"/>
  <c r="N108" i="524"/>
  <c r="K108" i="524" a="1"/>
  <c r="K108" i="524" s="1"/>
  <c r="M108" i="524" s="1"/>
  <c r="H108" i="524"/>
  <c r="N107" i="524"/>
  <c r="K107" i="524"/>
  <c r="M107" i="524" s="1"/>
  <c r="K107" i="524" a="1"/>
  <c r="H107" i="524"/>
  <c r="V106" i="524"/>
  <c r="W106" i="524" s="1"/>
  <c r="N106" i="524"/>
  <c r="K106" i="524" a="1"/>
  <c r="K106" i="524" s="1"/>
  <c r="M106" i="524" s="1"/>
  <c r="J106" i="524" a="1"/>
  <c r="J106" i="524" s="1"/>
  <c r="H106" i="524"/>
  <c r="V105" i="524"/>
  <c r="W105" i="524" s="1"/>
  <c r="N105" i="524"/>
  <c r="K105" i="524" a="1"/>
  <c r="K105" i="524" s="1"/>
  <c r="M105" i="524" s="1"/>
  <c r="J105" i="524" a="1"/>
  <c r="J105" i="524" s="1"/>
  <c r="H105" i="524"/>
  <c r="V104" i="524"/>
  <c r="W104" i="524" s="1"/>
  <c r="N104" i="524"/>
  <c r="K104" i="524" a="1"/>
  <c r="K104" i="524" s="1"/>
  <c r="M104" i="524" s="1"/>
  <c r="J104" i="524" a="1"/>
  <c r="J104" i="524" s="1"/>
  <c r="H104" i="524"/>
  <c r="V103" i="524"/>
  <c r="W103" i="524" s="1"/>
  <c r="N103" i="524"/>
  <c r="K103" i="524"/>
  <c r="M103" i="524" s="1"/>
  <c r="K103" i="524" a="1"/>
  <c r="J103" i="524"/>
  <c r="J103" i="524" a="1"/>
  <c r="H103" i="524"/>
  <c r="V102" i="524"/>
  <c r="W102" i="524" s="1"/>
  <c r="N102" i="524"/>
  <c r="K102" i="524" a="1"/>
  <c r="K102" i="524" s="1"/>
  <c r="M102" i="524" s="1"/>
  <c r="J102" i="524" a="1"/>
  <c r="J102" i="524" s="1"/>
  <c r="H102" i="524"/>
  <c r="V101" i="524"/>
  <c r="W101" i="524" s="1"/>
  <c r="N101" i="524"/>
  <c r="K101" i="524"/>
  <c r="M101" i="524" s="1"/>
  <c r="K101" i="524" a="1"/>
  <c r="J101" i="524"/>
  <c r="J101" i="524" a="1"/>
  <c r="H101" i="524"/>
  <c r="V100" i="524"/>
  <c r="W100" i="524" s="1"/>
  <c r="N100" i="524"/>
  <c r="K100" i="524" a="1"/>
  <c r="K100" i="524" s="1"/>
  <c r="M100" i="524" s="1"/>
  <c r="J100" i="524" a="1"/>
  <c r="J100" i="524" s="1"/>
  <c r="H100" i="524"/>
  <c r="V99" i="524"/>
  <c r="W99" i="524" s="1"/>
  <c r="N99" i="524"/>
  <c r="K99" i="524" a="1"/>
  <c r="K99" i="524" s="1"/>
  <c r="M99" i="524" s="1"/>
  <c r="J99" i="524" a="1"/>
  <c r="J99" i="524" s="1"/>
  <c r="H99" i="524"/>
  <c r="V98" i="524"/>
  <c r="W98" i="524" s="1"/>
  <c r="N98" i="524"/>
  <c r="K98" i="524" a="1"/>
  <c r="K98" i="524" s="1"/>
  <c r="M98" i="524" s="1"/>
  <c r="J98" i="524" a="1"/>
  <c r="J98" i="524" s="1"/>
  <c r="H98" i="524"/>
  <c r="V97" i="524"/>
  <c r="W97" i="524" s="1"/>
  <c r="N97" i="524"/>
  <c r="K97" i="524"/>
  <c r="M97" i="524" s="1"/>
  <c r="K97" i="524" a="1"/>
  <c r="J97" i="524"/>
  <c r="J97" i="524" a="1"/>
  <c r="H97" i="524"/>
  <c r="V96" i="524"/>
  <c r="W96" i="524" s="1"/>
  <c r="N96" i="524"/>
  <c r="K96" i="524" a="1"/>
  <c r="K96" i="524" s="1"/>
  <c r="M96" i="524" s="1"/>
  <c r="J96" i="524" a="1"/>
  <c r="J96" i="524" s="1"/>
  <c r="H96" i="524"/>
  <c r="V95" i="524"/>
  <c r="W95" i="524" s="1"/>
  <c r="N95" i="524"/>
  <c r="K95" i="524" a="1"/>
  <c r="K95" i="524" s="1"/>
  <c r="M95" i="524" s="1"/>
  <c r="J95" i="524" a="1"/>
  <c r="J95" i="524" s="1"/>
  <c r="H95" i="524"/>
  <c r="K94" i="524"/>
  <c r="M94" i="524" s="1"/>
  <c r="K94" i="524" a="1"/>
  <c r="H94" i="524"/>
  <c r="V93" i="524"/>
  <c r="W93" i="524" s="1"/>
  <c r="N93" i="524"/>
  <c r="K93" i="524" a="1"/>
  <c r="K93" i="524" s="1"/>
  <c r="M93" i="524" s="1"/>
  <c r="J93" i="524" a="1"/>
  <c r="J93" i="524" s="1"/>
  <c r="H93" i="524"/>
  <c r="V92" i="524"/>
  <c r="W92" i="524" s="1"/>
  <c r="N92" i="524"/>
  <c r="K92" i="524" a="1"/>
  <c r="K92" i="524" s="1"/>
  <c r="M92" i="524" s="1"/>
  <c r="J92" i="524" a="1"/>
  <c r="J92" i="524" s="1"/>
  <c r="H92" i="524"/>
  <c r="V91" i="524"/>
  <c r="W91" i="524" s="1"/>
  <c r="N91" i="524"/>
  <c r="K91" i="524" a="1"/>
  <c r="K91" i="524" s="1"/>
  <c r="M91" i="524" s="1"/>
  <c r="J91" i="524" a="1"/>
  <c r="J91" i="524" s="1"/>
  <c r="H91" i="524"/>
  <c r="V90" i="524"/>
  <c r="W90" i="524" s="1"/>
  <c r="N90" i="524"/>
  <c r="K90" i="524"/>
  <c r="M90" i="524" s="1"/>
  <c r="K90" i="524" a="1"/>
  <c r="J90" i="524"/>
  <c r="J90" i="524" a="1"/>
  <c r="H90" i="524"/>
  <c r="V89" i="524"/>
  <c r="W89" i="524" s="1"/>
  <c r="N89" i="524"/>
  <c r="K89" i="524" a="1"/>
  <c r="K89" i="524" s="1"/>
  <c r="M89" i="524" s="1"/>
  <c r="J89" i="524" a="1"/>
  <c r="J89" i="524" s="1"/>
  <c r="H89" i="524"/>
  <c r="V88" i="524"/>
  <c r="W88" i="524" s="1"/>
  <c r="N88" i="524"/>
  <c r="K88" i="524" a="1"/>
  <c r="K88" i="524" s="1"/>
  <c r="M88" i="524" s="1"/>
  <c r="J88" i="524" a="1"/>
  <c r="J88" i="524" s="1"/>
  <c r="H88" i="524"/>
  <c r="V87" i="524"/>
  <c r="V121" i="524" s="1"/>
  <c r="W121" i="524" s="1"/>
  <c r="N87" i="524"/>
  <c r="K87" i="524" a="1"/>
  <c r="K87" i="524" s="1"/>
  <c r="J87" i="524" a="1"/>
  <c r="J87" i="524" s="1"/>
  <c r="H87" i="524"/>
  <c r="H121" i="524" s="1"/>
  <c r="AA86" i="524"/>
  <c r="Z86" i="524"/>
  <c r="Y86" i="524"/>
  <c r="X86" i="524"/>
  <c r="U86" i="524"/>
  <c r="T86" i="524"/>
  <c r="S86" i="524"/>
  <c r="R86" i="524"/>
  <c r="Q86" i="524"/>
  <c r="P86" i="524"/>
  <c r="O86" i="524"/>
  <c r="R166" i="524" s="1"/>
  <c r="I86" i="524"/>
  <c r="G86" i="524"/>
  <c r="C522" i="524" s="1"/>
  <c r="K85" i="524" a="1"/>
  <c r="K85" i="524" s="1"/>
  <c r="H85" i="524"/>
  <c r="K84" i="524"/>
  <c r="K84" i="524" a="1"/>
  <c r="H84" i="524"/>
  <c r="K83" i="524" a="1"/>
  <c r="K83" i="524" s="1"/>
  <c r="H83" i="524"/>
  <c r="K82" i="524" a="1"/>
  <c r="K82" i="524" s="1"/>
  <c r="H82" i="524"/>
  <c r="K81" i="524" a="1"/>
  <c r="K81" i="524" s="1"/>
  <c r="H81" i="524"/>
  <c r="K80" i="524" a="1"/>
  <c r="K80" i="524" s="1"/>
  <c r="H80" i="524"/>
  <c r="K79" i="524" a="1"/>
  <c r="K79" i="524" s="1"/>
  <c r="M79" i="524" s="1"/>
  <c r="H79" i="524"/>
  <c r="K78" i="524" a="1"/>
  <c r="K78" i="524" s="1"/>
  <c r="M78" i="524" s="1"/>
  <c r="H78" i="524"/>
  <c r="K77" i="524" a="1"/>
  <c r="K77" i="524" s="1"/>
  <c r="M77" i="524" s="1"/>
  <c r="H77" i="524"/>
  <c r="K76" i="524" a="1"/>
  <c r="K76" i="524" s="1"/>
  <c r="M76" i="524" s="1"/>
  <c r="H76" i="524"/>
  <c r="V75" i="524"/>
  <c r="W75" i="524" s="1"/>
  <c r="N75" i="524"/>
  <c r="K75" i="524" a="1"/>
  <c r="K75" i="524" s="1"/>
  <c r="M75" i="524" s="1"/>
  <c r="J75" i="524" a="1"/>
  <c r="J75" i="524" s="1"/>
  <c r="H75" i="524"/>
  <c r="V74" i="524"/>
  <c r="W74" i="524" s="1"/>
  <c r="N74" i="524"/>
  <c r="K74" i="524" a="1"/>
  <c r="K74" i="524" s="1"/>
  <c r="M74" i="524" s="1"/>
  <c r="J74" i="524" a="1"/>
  <c r="J74" i="524" s="1"/>
  <c r="H74" i="524"/>
  <c r="V73" i="524"/>
  <c r="W73" i="524" s="1"/>
  <c r="N73" i="524"/>
  <c r="K73" i="524"/>
  <c r="M73" i="524" s="1"/>
  <c r="K73" i="524" a="1"/>
  <c r="J73" i="524"/>
  <c r="J73" i="524" a="1"/>
  <c r="H73" i="524"/>
  <c r="V72" i="524"/>
  <c r="W72" i="524" s="1"/>
  <c r="N72" i="524"/>
  <c r="K72" i="524" a="1"/>
  <c r="K72" i="524" s="1"/>
  <c r="M72" i="524" s="1"/>
  <c r="J72" i="524" a="1"/>
  <c r="J72" i="524" s="1"/>
  <c r="H72" i="524"/>
  <c r="H71" i="524"/>
  <c r="V70" i="524"/>
  <c r="W70" i="524" s="1"/>
  <c r="N70" i="524"/>
  <c r="K70" i="524" a="1"/>
  <c r="K70" i="524" s="1"/>
  <c r="M70" i="524" s="1"/>
  <c r="J70" i="524" a="1"/>
  <c r="J70" i="524" s="1"/>
  <c r="H70" i="524"/>
  <c r="V69" i="524"/>
  <c r="W69" i="524" s="1"/>
  <c r="N69" i="524"/>
  <c r="K69" i="524" a="1"/>
  <c r="K69" i="524" s="1"/>
  <c r="M69" i="524" s="1"/>
  <c r="J69" i="524" a="1"/>
  <c r="J69" i="524" s="1"/>
  <c r="H69" i="524"/>
  <c r="K68" i="524" a="1"/>
  <c r="K68" i="524" s="1"/>
  <c r="H68" i="524"/>
  <c r="K67" i="524"/>
  <c r="K67" i="524" a="1"/>
  <c r="H67" i="524"/>
  <c r="V66" i="524"/>
  <c r="W66" i="524" s="1"/>
  <c r="N66" i="524"/>
  <c r="K66" i="524" a="1"/>
  <c r="K66" i="524" s="1"/>
  <c r="M66" i="524" s="1"/>
  <c r="J66" i="524" a="1"/>
  <c r="J66" i="524" s="1"/>
  <c r="H66" i="524"/>
  <c r="V65" i="524"/>
  <c r="W65" i="524" s="1"/>
  <c r="N65" i="524"/>
  <c r="K65" i="524" a="1"/>
  <c r="K65" i="524" s="1"/>
  <c r="M65" i="524" s="1"/>
  <c r="J65" i="524" a="1"/>
  <c r="J65" i="524" s="1"/>
  <c r="H65" i="524"/>
  <c r="V64" i="524"/>
  <c r="W64" i="524" s="1"/>
  <c r="N64" i="524"/>
  <c r="K64" i="524" a="1"/>
  <c r="K64" i="524" s="1"/>
  <c r="M64" i="524" s="1"/>
  <c r="J64" i="524" a="1"/>
  <c r="J64" i="524" s="1"/>
  <c r="H64" i="524"/>
  <c r="V63" i="524"/>
  <c r="W63" i="524" s="1"/>
  <c r="N63" i="524"/>
  <c r="K63" i="524"/>
  <c r="M63" i="524" s="1"/>
  <c r="K63" i="524" a="1"/>
  <c r="J63" i="524" a="1"/>
  <c r="J63" i="524" s="1"/>
  <c r="H63" i="524"/>
  <c r="V62" i="524"/>
  <c r="W62" i="524" s="1"/>
  <c r="N62" i="524"/>
  <c r="K62" i="524" a="1"/>
  <c r="K62" i="524" s="1"/>
  <c r="M62" i="524" s="1"/>
  <c r="J62" i="524" a="1"/>
  <c r="J62" i="524" s="1"/>
  <c r="H62" i="524"/>
  <c r="V61" i="524"/>
  <c r="W61" i="524" s="1"/>
  <c r="N61" i="524"/>
  <c r="K61" i="524"/>
  <c r="M61" i="524" s="1"/>
  <c r="K61" i="524" a="1"/>
  <c r="J61" i="524" a="1"/>
  <c r="J61" i="524" s="1"/>
  <c r="H61" i="524"/>
  <c r="V60" i="524"/>
  <c r="W60" i="524" s="1"/>
  <c r="N60" i="524"/>
  <c r="K60" i="524" a="1"/>
  <c r="K60" i="524" s="1"/>
  <c r="M60" i="524" s="1"/>
  <c r="J60" i="524" a="1"/>
  <c r="J60" i="524" s="1"/>
  <c r="H60" i="524"/>
  <c r="V59" i="524"/>
  <c r="W59" i="524" s="1"/>
  <c r="N59" i="524"/>
  <c r="K59" i="524" a="1"/>
  <c r="K59" i="524" s="1"/>
  <c r="M59" i="524" s="1"/>
  <c r="J59" i="524" a="1"/>
  <c r="J59" i="524" s="1"/>
  <c r="H59" i="524"/>
  <c r="V58" i="524"/>
  <c r="W58" i="524" s="1"/>
  <c r="N58" i="524"/>
  <c r="K58" i="524" a="1"/>
  <c r="K58" i="524" s="1"/>
  <c r="M58" i="524" s="1"/>
  <c r="J58" i="524" a="1"/>
  <c r="J58" i="524" s="1"/>
  <c r="H58" i="524"/>
  <c r="V57" i="524"/>
  <c r="W57" i="524" s="1"/>
  <c r="N57" i="524"/>
  <c r="K57" i="524" a="1"/>
  <c r="K57" i="524" s="1"/>
  <c r="M57" i="524" s="1"/>
  <c r="J57" i="524" a="1"/>
  <c r="J57" i="524" s="1"/>
  <c r="H57" i="524"/>
  <c r="K56" i="524"/>
  <c r="M56" i="524" s="1"/>
  <c r="K56" i="524" a="1"/>
  <c r="H56" i="524"/>
  <c r="K55" i="524" a="1"/>
  <c r="K55" i="524" s="1"/>
  <c r="M55" i="524" s="1"/>
  <c r="H55" i="524"/>
  <c r="K54" i="524"/>
  <c r="M54" i="524" s="1"/>
  <c r="K54" i="524" a="1"/>
  <c r="H54" i="524"/>
  <c r="K53" i="524" a="1"/>
  <c r="K53" i="524" s="1"/>
  <c r="M53" i="524" s="1"/>
  <c r="H53" i="524"/>
  <c r="N52" i="524"/>
  <c r="K52" i="524" a="1"/>
  <c r="K52" i="524" s="1"/>
  <c r="M52" i="524" s="1"/>
  <c r="H52" i="524"/>
  <c r="N51" i="524"/>
  <c r="K51" i="524" a="1"/>
  <c r="K51" i="524" s="1"/>
  <c r="M51" i="524" s="1"/>
  <c r="H51" i="524"/>
  <c r="N50" i="524"/>
  <c r="K50" i="524" a="1"/>
  <c r="K50" i="524" s="1"/>
  <c r="M50" i="524" s="1"/>
  <c r="H50" i="524"/>
  <c r="N49" i="524"/>
  <c r="K49" i="524" a="1"/>
  <c r="K49" i="524" s="1"/>
  <c r="M49" i="524" s="1"/>
  <c r="H49" i="524"/>
  <c r="V48" i="524"/>
  <c r="W48" i="524" s="1"/>
  <c r="N48" i="524"/>
  <c r="K48" i="524"/>
  <c r="M48" i="524" s="1"/>
  <c r="K48" i="524" a="1"/>
  <c r="J48" i="524"/>
  <c r="J48" i="524" a="1"/>
  <c r="H48" i="524"/>
  <c r="V47" i="524"/>
  <c r="W47" i="524" s="1"/>
  <c r="N47" i="524"/>
  <c r="K47" i="524" a="1"/>
  <c r="K47" i="524" s="1"/>
  <c r="M47" i="524" s="1"/>
  <c r="J47" i="524" a="1"/>
  <c r="J47" i="524" s="1"/>
  <c r="H47" i="524"/>
  <c r="V46" i="524"/>
  <c r="W46" i="524" s="1"/>
  <c r="N46" i="524"/>
  <c r="K46" i="524" a="1"/>
  <c r="K46" i="524" s="1"/>
  <c r="M46" i="524" s="1"/>
  <c r="J46" i="524" a="1"/>
  <c r="J46" i="524" s="1"/>
  <c r="H46" i="524"/>
  <c r="V45" i="524"/>
  <c r="W45" i="524" s="1"/>
  <c r="N45" i="524"/>
  <c r="K45" i="524" a="1"/>
  <c r="K45" i="524" s="1"/>
  <c r="M45" i="524" s="1"/>
  <c r="J45" i="524" a="1"/>
  <c r="J45" i="524" s="1"/>
  <c r="H45" i="524"/>
  <c r="V44" i="524"/>
  <c r="W44" i="524" s="1"/>
  <c r="N44" i="524"/>
  <c r="K44" i="524"/>
  <c r="M44" i="524" s="1"/>
  <c r="K44" i="524" a="1"/>
  <c r="J44" i="524"/>
  <c r="J44" i="524" a="1"/>
  <c r="H44" i="524"/>
  <c r="V43" i="524"/>
  <c r="W43" i="524" s="1"/>
  <c r="N43" i="524"/>
  <c r="K43" i="524" a="1"/>
  <c r="K43" i="524" s="1"/>
  <c r="M43" i="524" s="1"/>
  <c r="J43" i="524" a="1"/>
  <c r="J43" i="524" s="1"/>
  <c r="H43" i="524"/>
  <c r="V42" i="524"/>
  <c r="W42" i="524" s="1"/>
  <c r="N42" i="524"/>
  <c r="K42" i="524" a="1"/>
  <c r="K42" i="524" s="1"/>
  <c r="M42" i="524" s="1"/>
  <c r="J42" i="524" a="1"/>
  <c r="J42" i="524" s="1"/>
  <c r="H42" i="524"/>
  <c r="V41" i="524"/>
  <c r="W41" i="524" s="1"/>
  <c r="N41" i="524"/>
  <c r="K41" i="524" a="1"/>
  <c r="K41" i="524" s="1"/>
  <c r="M41" i="524" s="1"/>
  <c r="J41" i="524" a="1"/>
  <c r="J41" i="524" s="1"/>
  <c r="H41" i="524"/>
  <c r="V40" i="524"/>
  <c r="W40" i="524" s="1"/>
  <c r="N40" i="524"/>
  <c r="K40" i="524"/>
  <c r="M40" i="524" s="1"/>
  <c r="K40" i="524" a="1"/>
  <c r="J40" i="524"/>
  <c r="J40" i="524" a="1"/>
  <c r="H40" i="524"/>
  <c r="V39" i="524"/>
  <c r="W39" i="524" s="1"/>
  <c r="N39" i="524"/>
  <c r="K39" i="524" a="1"/>
  <c r="K39" i="524" s="1"/>
  <c r="M39" i="524" s="1"/>
  <c r="J39" i="524" a="1"/>
  <c r="J39" i="524" s="1"/>
  <c r="H39" i="524"/>
  <c r="V38" i="524"/>
  <c r="W38" i="524" s="1"/>
  <c r="N38" i="524"/>
  <c r="K38" i="524" a="1"/>
  <c r="K38" i="524" s="1"/>
  <c r="M38" i="524" s="1"/>
  <c r="J38" i="524" a="1"/>
  <c r="J38" i="524" s="1"/>
  <c r="H38" i="524"/>
  <c r="V37" i="524"/>
  <c r="W37" i="524" s="1"/>
  <c r="N37" i="524"/>
  <c r="K37" i="524" a="1"/>
  <c r="K37" i="524" s="1"/>
  <c r="M37" i="524" s="1"/>
  <c r="J37" i="524" a="1"/>
  <c r="J37" i="524" s="1"/>
  <c r="H37" i="524"/>
  <c r="H36" i="524"/>
  <c r="H35" i="524"/>
  <c r="H34" i="524"/>
  <c r="V33" i="524"/>
  <c r="W33" i="524" s="1"/>
  <c r="N33" i="524"/>
  <c r="K33" i="524" a="1"/>
  <c r="K33" i="524" s="1"/>
  <c r="M33" i="524" s="1"/>
  <c r="J33" i="524" a="1"/>
  <c r="J33" i="524" s="1"/>
  <c r="H33" i="524"/>
  <c r="V32" i="524"/>
  <c r="W32" i="524" s="1"/>
  <c r="N32" i="524"/>
  <c r="K32" i="524"/>
  <c r="M32" i="524" s="1"/>
  <c r="K32" i="524" a="1"/>
  <c r="J32" i="524"/>
  <c r="J32" i="524" a="1"/>
  <c r="H32" i="524"/>
  <c r="V31" i="524"/>
  <c r="W31" i="524" s="1"/>
  <c r="N31" i="524"/>
  <c r="K31" i="524" a="1"/>
  <c r="K31" i="524" s="1"/>
  <c r="M31" i="524" s="1"/>
  <c r="J31" i="524" a="1"/>
  <c r="J31" i="524" s="1"/>
  <c r="H31" i="524"/>
  <c r="K30" i="524"/>
  <c r="K30" i="524" a="1"/>
  <c r="H30" i="524"/>
  <c r="V29" i="524"/>
  <c r="N29" i="524"/>
  <c r="N86" i="524" s="1"/>
  <c r="K29" i="524" a="1"/>
  <c r="K29" i="524" s="1"/>
  <c r="J29" i="524" a="1"/>
  <c r="J29" i="524" s="1"/>
  <c r="H29" i="524"/>
  <c r="AA28" i="524"/>
  <c r="AA163" i="524" s="1"/>
  <c r="Z28" i="524"/>
  <c r="Z163" i="524" s="1"/>
  <c r="Y28" i="524"/>
  <c r="Y163" i="524" s="1"/>
  <c r="X28" i="524"/>
  <c r="X163" i="524" s="1"/>
  <c r="U28" i="524"/>
  <c r="U163" i="524" s="1"/>
  <c r="T28" i="524"/>
  <c r="T163" i="524" s="1"/>
  <c r="S28" i="524"/>
  <c r="S163" i="524" s="1"/>
  <c r="R28" i="524"/>
  <c r="R163" i="524" s="1"/>
  <c r="Q28" i="524"/>
  <c r="Q163" i="524" s="1"/>
  <c r="P28" i="524"/>
  <c r="X166" i="524" s="1"/>
  <c r="O28" i="524"/>
  <c r="O163" i="524" s="1"/>
  <c r="I28" i="524"/>
  <c r="I163" i="524" s="1"/>
  <c r="B171" i="524" s="1"/>
  <c r="G28" i="524"/>
  <c r="C521" i="524" s="1"/>
  <c r="V27" i="524"/>
  <c r="W27" i="524" s="1"/>
  <c r="N27" i="524"/>
  <c r="K27" i="524" a="1"/>
  <c r="K27" i="524" s="1"/>
  <c r="M27" i="524" s="1"/>
  <c r="J27" i="524" a="1"/>
  <c r="J27" i="524" s="1"/>
  <c r="H27" i="524"/>
  <c r="V26" i="524"/>
  <c r="W26" i="524" s="1"/>
  <c r="N26" i="524"/>
  <c r="K26" i="524"/>
  <c r="M26" i="524" s="1"/>
  <c r="K26" i="524" a="1"/>
  <c r="J26" i="524" a="1"/>
  <c r="J26" i="524" s="1"/>
  <c r="H26" i="524"/>
  <c r="K25" i="524" a="1"/>
  <c r="K25" i="524" s="1"/>
  <c r="M25" i="524" s="1"/>
  <c r="J25" i="524" a="1"/>
  <c r="J25" i="524" s="1"/>
  <c r="H25" i="524"/>
  <c r="K24" i="524"/>
  <c r="M24" i="524" s="1"/>
  <c r="K24" i="524" a="1"/>
  <c r="J24" i="524"/>
  <c r="J24" i="524" a="1"/>
  <c r="H24" i="524"/>
  <c r="K23" i="524" a="1"/>
  <c r="K23" i="524" s="1"/>
  <c r="M23" i="524" s="1"/>
  <c r="J23" i="524" a="1"/>
  <c r="J23" i="524" s="1"/>
  <c r="H23" i="524"/>
  <c r="K22" i="524" a="1"/>
  <c r="K22" i="524" s="1"/>
  <c r="M22" i="524" s="1"/>
  <c r="J22" i="524" a="1"/>
  <c r="J22" i="524" s="1"/>
  <c r="H22" i="524"/>
  <c r="V21" i="524"/>
  <c r="W21" i="524" s="1"/>
  <c r="N21" i="524"/>
  <c r="K21" i="524" a="1"/>
  <c r="K21" i="524" s="1"/>
  <c r="M21" i="524" s="1"/>
  <c r="J21" i="524" a="1"/>
  <c r="J21" i="524" s="1"/>
  <c r="H21" i="524"/>
  <c r="V20" i="524"/>
  <c r="W20" i="524" s="1"/>
  <c r="N20" i="524"/>
  <c r="K20" i="524" a="1"/>
  <c r="K20" i="524" s="1"/>
  <c r="M20" i="524" s="1"/>
  <c r="J20" i="524" a="1"/>
  <c r="J20" i="524" s="1"/>
  <c r="H20" i="524"/>
  <c r="V19" i="524"/>
  <c r="W19" i="524" s="1"/>
  <c r="N19" i="524"/>
  <c r="K19" i="524"/>
  <c r="M19" i="524" s="1"/>
  <c r="K19" i="524" a="1"/>
  <c r="J19" i="524"/>
  <c r="J19" i="524" a="1"/>
  <c r="H19" i="524"/>
  <c r="N18" i="524"/>
  <c r="K18" i="524" a="1"/>
  <c r="K18" i="524" s="1"/>
  <c r="M18" i="524" s="1"/>
  <c r="J18" i="524" a="1"/>
  <c r="J18" i="524" s="1"/>
  <c r="H18" i="524"/>
  <c r="N17" i="524"/>
  <c r="K17" i="524" a="1"/>
  <c r="K17" i="524" s="1"/>
  <c r="M17" i="524" s="1"/>
  <c r="J17" i="524" a="1"/>
  <c r="J17" i="524" s="1"/>
  <c r="H17" i="524"/>
  <c r="V16" i="524"/>
  <c r="W16" i="524" s="1"/>
  <c r="N16" i="524"/>
  <c r="K16" i="524" a="1"/>
  <c r="K16" i="524" s="1"/>
  <c r="M16" i="524" s="1"/>
  <c r="J16" i="524" a="1"/>
  <c r="J16" i="524" s="1"/>
  <c r="H16" i="524"/>
  <c r="W15" i="524"/>
  <c r="V15" i="524"/>
  <c r="N15" i="524"/>
  <c r="K15" i="524" a="1"/>
  <c r="K15" i="524" s="1"/>
  <c r="M15" i="524" s="1"/>
  <c r="J15" i="524" a="1"/>
  <c r="J15" i="524" s="1"/>
  <c r="H15" i="524"/>
  <c r="N14" i="524"/>
  <c r="K14" i="524" a="1"/>
  <c r="K14" i="524" s="1"/>
  <c r="M14" i="524" s="1"/>
  <c r="H14" i="524"/>
  <c r="N13" i="524"/>
  <c r="K13" i="524" a="1"/>
  <c r="K13" i="524" s="1"/>
  <c r="M13" i="524" s="1"/>
  <c r="H13" i="524"/>
  <c r="V12" i="524"/>
  <c r="W12" i="524" s="1"/>
  <c r="N12" i="524"/>
  <c r="K12" i="524" a="1"/>
  <c r="K12" i="524" s="1"/>
  <c r="M12" i="524" s="1"/>
  <c r="J12" i="524" a="1"/>
  <c r="J12" i="524" s="1"/>
  <c r="H12" i="524"/>
  <c r="V11" i="524"/>
  <c r="W11" i="524" s="1"/>
  <c r="N11" i="524"/>
  <c r="K11" i="524"/>
  <c r="M11" i="524" s="1"/>
  <c r="K11" i="524" a="1"/>
  <c r="J11" i="524"/>
  <c r="J11" i="524" a="1"/>
  <c r="H11" i="524"/>
  <c r="V10" i="524"/>
  <c r="W10" i="524" s="1"/>
  <c r="N10" i="524"/>
  <c r="K10" i="524" a="1"/>
  <c r="K10" i="524" s="1"/>
  <c r="M10" i="524" s="1"/>
  <c r="J10" i="524" a="1"/>
  <c r="J10" i="524" s="1"/>
  <c r="H10" i="524"/>
  <c r="V9" i="524"/>
  <c r="W9" i="524" s="1"/>
  <c r="N9" i="524"/>
  <c r="K9" i="524" a="1"/>
  <c r="K9" i="524" s="1"/>
  <c r="M9" i="524" s="1"/>
  <c r="J9" i="524" a="1"/>
  <c r="J9" i="524" s="1"/>
  <c r="H9" i="524"/>
  <c r="V8" i="524"/>
  <c r="W8" i="524" s="1"/>
  <c r="N8" i="524"/>
  <c r="K8" i="524" a="1"/>
  <c r="K8" i="524" s="1"/>
  <c r="M8" i="524" s="1"/>
  <c r="J8" i="524" a="1"/>
  <c r="J8" i="524" s="1"/>
  <c r="H8" i="524"/>
  <c r="V7" i="524"/>
  <c r="V28" i="524" s="1"/>
  <c r="N7" i="524"/>
  <c r="N28" i="524" s="1"/>
  <c r="K7" i="524" a="1"/>
  <c r="K7" i="524" s="1"/>
  <c r="J7" i="524" a="1"/>
  <c r="J7" i="524" s="1"/>
  <c r="H7" i="524"/>
  <c r="G432" i="523"/>
  <c r="G430" i="523"/>
  <c r="G427" i="523"/>
  <c r="G428" i="523"/>
  <c r="G284" i="523"/>
  <c r="G229" i="523"/>
  <c r="G240" i="523"/>
  <c r="G186" i="523"/>
  <c r="G114" i="523"/>
  <c r="G90" i="523"/>
  <c r="G70" i="523"/>
  <c r="G124" i="523"/>
  <c r="G17" i="523"/>
  <c r="G16" i="523"/>
  <c r="G18" i="523"/>
  <c r="P533" i="523"/>
  <c r="O533" i="523"/>
  <c r="N533" i="523"/>
  <c r="M533" i="523"/>
  <c r="L533" i="523"/>
  <c r="K533" i="523"/>
  <c r="I533" i="523"/>
  <c r="H533" i="523"/>
  <c r="G533" i="523"/>
  <c r="F533" i="523"/>
  <c r="E533" i="523"/>
  <c r="G514" i="523"/>
  <c r="N514" i="523" s="1"/>
  <c r="X512" i="523"/>
  <c r="X511" i="523"/>
  <c r="X510" i="523"/>
  <c r="G510" i="523"/>
  <c r="C510" i="523"/>
  <c r="X509" i="523"/>
  <c r="I509" i="523"/>
  <c r="E509" i="523"/>
  <c r="K509" i="523" s="1"/>
  <c r="M509" i="523" s="1"/>
  <c r="X508" i="523"/>
  <c r="I508" i="523"/>
  <c r="E508" i="523"/>
  <c r="K508" i="523" s="1"/>
  <c r="M508" i="523" s="1"/>
  <c r="I507" i="523"/>
  <c r="E507" i="523"/>
  <c r="K507" i="523" s="1"/>
  <c r="M507" i="523" s="1"/>
  <c r="I506" i="523"/>
  <c r="I510" i="523" s="1"/>
  <c r="E506" i="523"/>
  <c r="E510" i="523" s="1"/>
  <c r="AA503" i="523"/>
  <c r="Z503" i="523"/>
  <c r="Y503" i="523"/>
  <c r="X503" i="523"/>
  <c r="U503" i="523"/>
  <c r="T503" i="523"/>
  <c r="S503" i="523"/>
  <c r="R503" i="523"/>
  <c r="Q503" i="523"/>
  <c r="P503" i="523"/>
  <c r="O503" i="523"/>
  <c r="I503" i="523"/>
  <c r="G503" i="523"/>
  <c r="J503" i="523" s="1" a="1"/>
  <c r="J503" i="523" s="1"/>
  <c r="H502" i="523"/>
  <c r="H501" i="523"/>
  <c r="H500" i="523"/>
  <c r="D499" i="523"/>
  <c r="H499" i="523" s="1"/>
  <c r="V498" i="523"/>
  <c r="W498" i="523" s="1"/>
  <c r="N498" i="523"/>
  <c r="K498" i="523" a="1"/>
  <c r="K498" i="523" s="1"/>
  <c r="M498" i="523" s="1"/>
  <c r="J498" i="523" a="1"/>
  <c r="J498" i="523" s="1"/>
  <c r="H498" i="523"/>
  <c r="H497" i="523"/>
  <c r="H496" i="523"/>
  <c r="V495" i="523"/>
  <c r="W495" i="523" s="1"/>
  <c r="N495" i="523"/>
  <c r="K495" i="523" a="1"/>
  <c r="K495" i="523" s="1"/>
  <c r="M495" i="523" s="1"/>
  <c r="J495" i="523" a="1"/>
  <c r="J495" i="523" s="1"/>
  <c r="H495" i="523"/>
  <c r="V494" i="523"/>
  <c r="W494" i="523" s="1"/>
  <c r="N494" i="523"/>
  <c r="K494" i="523"/>
  <c r="M494" i="523" s="1"/>
  <c r="K494" i="523" a="1"/>
  <c r="J494" i="523"/>
  <c r="J494" i="523" a="1"/>
  <c r="H494" i="523"/>
  <c r="H493" i="523"/>
  <c r="H492" i="523"/>
  <c r="V491" i="523"/>
  <c r="W491" i="523" s="1"/>
  <c r="N491" i="523"/>
  <c r="K491" i="523" a="1"/>
  <c r="K491" i="523" s="1"/>
  <c r="M491" i="523" s="1"/>
  <c r="J491" i="523" a="1"/>
  <c r="J491" i="523" s="1"/>
  <c r="H491" i="523"/>
  <c r="V490" i="523"/>
  <c r="W490" i="523" s="1"/>
  <c r="N490" i="523"/>
  <c r="K490" i="523" a="1"/>
  <c r="K490" i="523" s="1"/>
  <c r="M490" i="523" s="1"/>
  <c r="J490" i="523" a="1"/>
  <c r="J490" i="523" s="1"/>
  <c r="H490" i="523"/>
  <c r="V489" i="523"/>
  <c r="W489" i="523" s="1"/>
  <c r="N489" i="523"/>
  <c r="K489" i="523" a="1"/>
  <c r="K489" i="523" s="1"/>
  <c r="M489" i="523" s="1"/>
  <c r="J489" i="523" a="1"/>
  <c r="J489" i="523" s="1"/>
  <c r="H489" i="523"/>
  <c r="V488" i="523"/>
  <c r="W488" i="523" s="1"/>
  <c r="N488" i="523"/>
  <c r="N503" i="523" s="1"/>
  <c r="K488" i="523" a="1"/>
  <c r="K488" i="523" s="1"/>
  <c r="K503" i="523" s="1"/>
  <c r="J488" i="523" a="1"/>
  <c r="J488" i="523" s="1"/>
  <c r="H488" i="523"/>
  <c r="H503" i="523" s="1"/>
  <c r="AA487" i="523"/>
  <c r="Z487" i="523"/>
  <c r="Y487" i="523"/>
  <c r="X487" i="523"/>
  <c r="U487" i="523"/>
  <c r="T487" i="523"/>
  <c r="S487" i="523"/>
  <c r="Q487" i="523"/>
  <c r="P487" i="523"/>
  <c r="O487" i="523"/>
  <c r="R510" i="523" s="1"/>
  <c r="I487" i="523"/>
  <c r="G487" i="523"/>
  <c r="J487" i="523" s="1" a="1"/>
  <c r="J487" i="523" s="1"/>
  <c r="V486" i="523"/>
  <c r="W486" i="523" s="1"/>
  <c r="N486" i="523"/>
  <c r="K486" i="523" a="1"/>
  <c r="K486" i="523" s="1"/>
  <c r="M486" i="523" s="1"/>
  <c r="J486" i="523" a="1"/>
  <c r="J486" i="523" s="1"/>
  <c r="H486" i="523"/>
  <c r="H483" i="523"/>
  <c r="V482" i="523"/>
  <c r="W482" i="523" s="1"/>
  <c r="N482" i="523"/>
  <c r="K482" i="523" a="1"/>
  <c r="K482" i="523" s="1"/>
  <c r="M482" i="523" s="1"/>
  <c r="J482" i="523" a="1"/>
  <c r="J482" i="523" s="1"/>
  <c r="H482" i="523"/>
  <c r="V481" i="523"/>
  <c r="W481" i="523" s="1"/>
  <c r="N481" i="523"/>
  <c r="K481" i="523" a="1"/>
  <c r="K481" i="523" s="1"/>
  <c r="M481" i="523" s="1"/>
  <c r="J481" i="523" a="1"/>
  <c r="J481" i="523" s="1"/>
  <c r="H481" i="523"/>
  <c r="V480" i="523"/>
  <c r="W480" i="523" s="1"/>
  <c r="N480" i="523"/>
  <c r="K480" i="523" a="1"/>
  <c r="K480" i="523" s="1"/>
  <c r="M480" i="523" s="1"/>
  <c r="J480" i="523" a="1"/>
  <c r="J480" i="523" s="1"/>
  <c r="H480" i="523"/>
  <c r="V479" i="523"/>
  <c r="W479" i="523" s="1"/>
  <c r="N479" i="523"/>
  <c r="K479" i="523"/>
  <c r="M479" i="523" s="1"/>
  <c r="K479" i="523" a="1"/>
  <c r="J479" i="523"/>
  <c r="J479" i="523" a="1"/>
  <c r="H479" i="523"/>
  <c r="V478" i="523"/>
  <c r="W478" i="523" s="1"/>
  <c r="N478" i="523"/>
  <c r="N487" i="523" s="1"/>
  <c r="K478" i="523" a="1"/>
  <c r="K478" i="523" s="1"/>
  <c r="J478" i="523" a="1"/>
  <c r="J478" i="523" s="1"/>
  <c r="H478" i="523"/>
  <c r="H487" i="523" s="1"/>
  <c r="AA477" i="523"/>
  <c r="Z477" i="523"/>
  <c r="Y477" i="523"/>
  <c r="X477" i="523"/>
  <c r="U477" i="523"/>
  <c r="T477" i="523"/>
  <c r="S477" i="523"/>
  <c r="Q477" i="523"/>
  <c r="P477" i="523"/>
  <c r="O477" i="523"/>
  <c r="I477" i="523"/>
  <c r="G477" i="523"/>
  <c r="J477" i="523" s="1" a="1"/>
  <c r="J477" i="523" s="1"/>
  <c r="V476" i="523"/>
  <c r="W476" i="523" s="1"/>
  <c r="N476" i="523"/>
  <c r="K476" i="523" a="1"/>
  <c r="K476" i="523" s="1"/>
  <c r="M476" i="523" s="1"/>
  <c r="J476" i="523" a="1"/>
  <c r="J476" i="523" s="1"/>
  <c r="H476" i="523"/>
  <c r="V475" i="523"/>
  <c r="W475" i="523" s="1"/>
  <c r="N475" i="523"/>
  <c r="K475" i="523" a="1"/>
  <c r="K475" i="523" s="1"/>
  <c r="M475" i="523" s="1"/>
  <c r="J475" i="523" a="1"/>
  <c r="J475" i="523" s="1"/>
  <c r="H475" i="523"/>
  <c r="V474" i="523"/>
  <c r="W474" i="523" s="1"/>
  <c r="N474" i="523"/>
  <c r="K474" i="523"/>
  <c r="M474" i="523" s="1"/>
  <c r="K474" i="523" a="1"/>
  <c r="J474" i="523"/>
  <c r="J474" i="523" a="1"/>
  <c r="H474" i="523"/>
  <c r="V473" i="523"/>
  <c r="W473" i="523" s="1"/>
  <c r="N473" i="523"/>
  <c r="K473" i="523" a="1"/>
  <c r="K473" i="523" s="1"/>
  <c r="M473" i="523" s="1"/>
  <c r="J473" i="523" a="1"/>
  <c r="J473" i="523" s="1"/>
  <c r="H473" i="523"/>
  <c r="V472" i="523"/>
  <c r="W472" i="523" s="1"/>
  <c r="N472" i="523"/>
  <c r="K472" i="523" a="1"/>
  <c r="K472" i="523" s="1"/>
  <c r="M472" i="523" s="1"/>
  <c r="J472" i="523" a="1"/>
  <c r="J472" i="523" s="1"/>
  <c r="H472" i="523"/>
  <c r="V471" i="523"/>
  <c r="W471" i="523" s="1"/>
  <c r="N471" i="523"/>
  <c r="K471" i="523" a="1"/>
  <c r="K471" i="523" s="1"/>
  <c r="M471" i="523" s="1"/>
  <c r="J471" i="523" a="1"/>
  <c r="J471" i="523" s="1"/>
  <c r="H471" i="523"/>
  <c r="V470" i="523"/>
  <c r="W470" i="523" s="1"/>
  <c r="N470" i="523"/>
  <c r="K470" i="523"/>
  <c r="M470" i="523" s="1"/>
  <c r="K470" i="523" a="1"/>
  <c r="J470" i="523"/>
  <c r="J470" i="523" a="1"/>
  <c r="H470" i="523"/>
  <c r="V469" i="523"/>
  <c r="W469" i="523" s="1"/>
  <c r="N469" i="523"/>
  <c r="K469" i="523" a="1"/>
  <c r="K469" i="523" s="1"/>
  <c r="M469" i="523" s="1"/>
  <c r="J469" i="523" a="1"/>
  <c r="J469" i="523" s="1"/>
  <c r="H469" i="523"/>
  <c r="W468" i="523"/>
  <c r="V468" i="523"/>
  <c r="N468" i="523"/>
  <c r="K468" i="523" a="1"/>
  <c r="K468" i="523" s="1"/>
  <c r="M468" i="523" s="1"/>
  <c r="J468" i="523" a="1"/>
  <c r="J468" i="523" s="1"/>
  <c r="H468" i="523"/>
  <c r="V467" i="523"/>
  <c r="W467" i="523" s="1"/>
  <c r="N467" i="523"/>
  <c r="M467" i="523"/>
  <c r="K467" i="523" a="1"/>
  <c r="K467" i="523" s="1"/>
  <c r="J467" i="523" a="1"/>
  <c r="J467" i="523" s="1"/>
  <c r="H467" i="523"/>
  <c r="W466" i="523"/>
  <c r="V466" i="523"/>
  <c r="N466" i="523"/>
  <c r="K466" i="523" a="1"/>
  <c r="K466" i="523" s="1"/>
  <c r="M466" i="523" s="1"/>
  <c r="J466" i="523" a="1"/>
  <c r="J466" i="523" s="1"/>
  <c r="H466" i="523"/>
  <c r="V465" i="523"/>
  <c r="W465" i="523" s="1"/>
  <c r="N465" i="523"/>
  <c r="M465" i="523"/>
  <c r="K465" i="523" a="1"/>
  <c r="K465" i="523" s="1"/>
  <c r="J465" i="523" a="1"/>
  <c r="J465" i="523" s="1"/>
  <c r="H465" i="523"/>
  <c r="W464" i="523"/>
  <c r="V464" i="523"/>
  <c r="N464" i="523"/>
  <c r="K464" i="523" a="1"/>
  <c r="K464" i="523" s="1"/>
  <c r="M464" i="523" s="1"/>
  <c r="J464" i="523" a="1"/>
  <c r="J464" i="523" s="1"/>
  <c r="H464" i="523"/>
  <c r="V463" i="523"/>
  <c r="W463" i="523" s="1"/>
  <c r="N463" i="523"/>
  <c r="M463" i="523"/>
  <c r="K463" i="523" a="1"/>
  <c r="K463" i="523" s="1"/>
  <c r="J463" i="523" a="1"/>
  <c r="J463" i="523" s="1"/>
  <c r="H463" i="523"/>
  <c r="W462" i="523"/>
  <c r="V462" i="523"/>
  <c r="N462" i="523"/>
  <c r="N477" i="523" s="1"/>
  <c r="K462" i="523" a="1"/>
  <c r="K462" i="523" s="1"/>
  <c r="J462" i="523" a="1"/>
  <c r="J462" i="523" s="1"/>
  <c r="H462" i="523"/>
  <c r="H477" i="523" s="1"/>
  <c r="AA461" i="523"/>
  <c r="Z461" i="523"/>
  <c r="Y461" i="523"/>
  <c r="X461" i="523"/>
  <c r="U461" i="523"/>
  <c r="T461" i="523"/>
  <c r="S461" i="523"/>
  <c r="R461" i="523"/>
  <c r="Q461" i="523"/>
  <c r="P461" i="523"/>
  <c r="O461" i="523"/>
  <c r="I461" i="523"/>
  <c r="G461" i="523"/>
  <c r="V460" i="523"/>
  <c r="W460" i="523" s="1"/>
  <c r="N460" i="523"/>
  <c r="K460" i="523"/>
  <c r="M460" i="523" s="1"/>
  <c r="K460" i="523" a="1"/>
  <c r="J460" i="523"/>
  <c r="J460" i="523" a="1"/>
  <c r="H460" i="523"/>
  <c r="V459" i="523"/>
  <c r="W459" i="523" s="1"/>
  <c r="N459" i="523"/>
  <c r="K459" i="523" a="1"/>
  <c r="K459" i="523" s="1"/>
  <c r="M459" i="523" s="1"/>
  <c r="J459" i="523" a="1"/>
  <c r="J459" i="523" s="1"/>
  <c r="H459" i="523"/>
  <c r="V458" i="523"/>
  <c r="W458" i="523" s="1"/>
  <c r="N458" i="523"/>
  <c r="K458" i="523" a="1"/>
  <c r="K458" i="523" s="1"/>
  <c r="M458" i="523" s="1"/>
  <c r="J458" i="523" a="1"/>
  <c r="J458" i="523" s="1"/>
  <c r="H458" i="523"/>
  <c r="K457" i="523"/>
  <c r="M457" i="523" s="1"/>
  <c r="K457" i="523" a="1"/>
  <c r="H457" i="523"/>
  <c r="K456" i="523" a="1"/>
  <c r="K456" i="523" s="1"/>
  <c r="M456" i="523" s="1"/>
  <c r="H456" i="523"/>
  <c r="K455" i="523"/>
  <c r="M455" i="523" s="1"/>
  <c r="K455" i="523" a="1"/>
  <c r="H455" i="523"/>
  <c r="V454" i="523"/>
  <c r="W454" i="523" s="1"/>
  <c r="N454" i="523"/>
  <c r="K454" i="523" a="1"/>
  <c r="K454" i="523" s="1"/>
  <c r="M454" i="523" s="1"/>
  <c r="J454" i="523" a="1"/>
  <c r="J454" i="523" s="1"/>
  <c r="H454" i="523"/>
  <c r="V453" i="523"/>
  <c r="W453" i="523" s="1"/>
  <c r="N453" i="523"/>
  <c r="K453" i="523" a="1"/>
  <c r="K453" i="523" s="1"/>
  <c r="M453" i="523" s="1"/>
  <c r="J453" i="523" a="1"/>
  <c r="J453" i="523" s="1"/>
  <c r="H453" i="523"/>
  <c r="N452" i="523"/>
  <c r="K452" i="523" a="1"/>
  <c r="K452" i="523" s="1"/>
  <c r="M452" i="523" s="1"/>
  <c r="H452" i="523"/>
  <c r="N451" i="523"/>
  <c r="K451" i="523"/>
  <c r="M451" i="523" s="1"/>
  <c r="K451" i="523" a="1"/>
  <c r="H451" i="523"/>
  <c r="N450" i="523"/>
  <c r="K450" i="523" a="1"/>
  <c r="K450" i="523" s="1"/>
  <c r="M450" i="523" s="1"/>
  <c r="H450" i="523"/>
  <c r="N449" i="523"/>
  <c r="K449" i="523" a="1"/>
  <c r="K449" i="523" s="1"/>
  <c r="M449" i="523" s="1"/>
  <c r="H449" i="523"/>
  <c r="N448" i="523"/>
  <c r="K448" i="523" a="1"/>
  <c r="K448" i="523" s="1"/>
  <c r="M448" i="523" s="1"/>
  <c r="H448" i="523"/>
  <c r="N447" i="523"/>
  <c r="K447" i="523"/>
  <c r="M447" i="523" s="1"/>
  <c r="K447" i="523" a="1"/>
  <c r="H447" i="523"/>
  <c r="V446" i="523"/>
  <c r="W446" i="523" s="1"/>
  <c r="N446" i="523"/>
  <c r="K446" i="523" a="1"/>
  <c r="K446" i="523" s="1"/>
  <c r="M446" i="523" s="1"/>
  <c r="J446" i="523" a="1"/>
  <c r="J446" i="523" s="1"/>
  <c r="H446" i="523"/>
  <c r="V445" i="523"/>
  <c r="W445" i="523" s="1"/>
  <c r="N445" i="523"/>
  <c r="K445" i="523" a="1"/>
  <c r="K445" i="523" s="1"/>
  <c r="M445" i="523" s="1"/>
  <c r="J445" i="523" a="1"/>
  <c r="J445" i="523" s="1"/>
  <c r="H445" i="523"/>
  <c r="V444" i="523"/>
  <c r="W444" i="523" s="1"/>
  <c r="N444" i="523"/>
  <c r="K444" i="523" a="1"/>
  <c r="K444" i="523" s="1"/>
  <c r="M444" i="523" s="1"/>
  <c r="J444" i="523" a="1"/>
  <c r="J444" i="523" s="1"/>
  <c r="H444" i="523"/>
  <c r="V443" i="523"/>
  <c r="W443" i="523" s="1"/>
  <c r="N443" i="523"/>
  <c r="K443" i="523"/>
  <c r="M443" i="523" s="1"/>
  <c r="K443" i="523" a="1"/>
  <c r="J443" i="523"/>
  <c r="J443" i="523" a="1"/>
  <c r="H443" i="523"/>
  <c r="V442" i="523"/>
  <c r="W442" i="523" s="1"/>
  <c r="N442" i="523"/>
  <c r="K442" i="523" a="1"/>
  <c r="K442" i="523" s="1"/>
  <c r="M442" i="523" s="1"/>
  <c r="J442" i="523" a="1"/>
  <c r="J442" i="523" s="1"/>
  <c r="H442" i="523"/>
  <c r="V441" i="523"/>
  <c r="W441" i="523" s="1"/>
  <c r="N441" i="523"/>
  <c r="K441" i="523"/>
  <c r="M441" i="523" s="1"/>
  <c r="K441" i="523" a="1"/>
  <c r="J441" i="523"/>
  <c r="J441" i="523" a="1"/>
  <c r="H441" i="523"/>
  <c r="V440" i="523"/>
  <c r="W440" i="523" s="1"/>
  <c r="N440" i="523"/>
  <c r="K440" i="523" a="1"/>
  <c r="K440" i="523" s="1"/>
  <c r="M440" i="523" s="1"/>
  <c r="J440" i="523" a="1"/>
  <c r="J440" i="523" s="1"/>
  <c r="H440" i="523"/>
  <c r="V439" i="523"/>
  <c r="W439" i="523" s="1"/>
  <c r="N439" i="523"/>
  <c r="K439" i="523" a="1"/>
  <c r="K439" i="523" s="1"/>
  <c r="M439" i="523" s="1"/>
  <c r="J439" i="523" a="1"/>
  <c r="J439" i="523" s="1"/>
  <c r="H439" i="523"/>
  <c r="V438" i="523"/>
  <c r="W438" i="523" s="1"/>
  <c r="N438" i="523"/>
  <c r="K438" i="523" a="1"/>
  <c r="K438" i="523" s="1"/>
  <c r="M438" i="523" s="1"/>
  <c r="J438" i="523" a="1"/>
  <c r="J438" i="523" s="1"/>
  <c r="H438" i="523"/>
  <c r="V437" i="523"/>
  <c r="W437" i="523" s="1"/>
  <c r="N437" i="523"/>
  <c r="K437" i="523"/>
  <c r="M437" i="523" s="1"/>
  <c r="K437" i="523" a="1"/>
  <c r="J437" i="523"/>
  <c r="J437" i="523" a="1"/>
  <c r="H437" i="523"/>
  <c r="V436" i="523"/>
  <c r="W436" i="523" s="1"/>
  <c r="N436" i="523"/>
  <c r="K436" i="523" a="1"/>
  <c r="K436" i="523" s="1"/>
  <c r="M436" i="523" s="1"/>
  <c r="J436" i="523" a="1"/>
  <c r="J436" i="523" s="1"/>
  <c r="H436" i="523"/>
  <c r="W435" i="523"/>
  <c r="V435" i="523"/>
  <c r="N435" i="523"/>
  <c r="K435" i="523" a="1"/>
  <c r="K435" i="523" s="1"/>
  <c r="M435" i="523" s="1"/>
  <c r="J435" i="523" a="1"/>
  <c r="J435" i="523" s="1"/>
  <c r="H435" i="523"/>
  <c r="N434" i="523"/>
  <c r="K434" i="523" a="1"/>
  <c r="K434" i="523" s="1"/>
  <c r="M434" i="523" s="1"/>
  <c r="H434" i="523"/>
  <c r="V433" i="523"/>
  <c r="W433" i="523" s="1"/>
  <c r="N433" i="523"/>
  <c r="K433" i="523"/>
  <c r="M433" i="523" s="1"/>
  <c r="K433" i="523" a="1"/>
  <c r="J433" i="523"/>
  <c r="J433" i="523" a="1"/>
  <c r="H433" i="523"/>
  <c r="V432" i="523"/>
  <c r="W432" i="523" s="1"/>
  <c r="N432" i="523"/>
  <c r="K432" i="523" a="1"/>
  <c r="K432" i="523" s="1"/>
  <c r="M432" i="523" s="1"/>
  <c r="J432" i="523" a="1"/>
  <c r="J432" i="523" s="1"/>
  <c r="H432" i="523"/>
  <c r="W431" i="523"/>
  <c r="V431" i="523"/>
  <c r="N431" i="523"/>
  <c r="K431" i="523"/>
  <c r="M431" i="523" s="1"/>
  <c r="K431" i="523" a="1"/>
  <c r="J431" i="523" a="1"/>
  <c r="J431" i="523" s="1"/>
  <c r="H431" i="523"/>
  <c r="V430" i="523"/>
  <c r="W430" i="523" s="1"/>
  <c r="N430" i="523"/>
  <c r="K430" i="523" a="1"/>
  <c r="K430" i="523" s="1"/>
  <c r="M430" i="523" s="1"/>
  <c r="J430" i="523" a="1"/>
  <c r="J430" i="523" s="1"/>
  <c r="H430" i="523"/>
  <c r="V429" i="523"/>
  <c r="W429" i="523" s="1"/>
  <c r="N429" i="523"/>
  <c r="K429" i="523" a="1"/>
  <c r="K429" i="523" s="1"/>
  <c r="M429" i="523" s="1"/>
  <c r="J429" i="523" a="1"/>
  <c r="J429" i="523" s="1"/>
  <c r="H429" i="523"/>
  <c r="V428" i="523"/>
  <c r="W428" i="523" s="1"/>
  <c r="N428" i="523"/>
  <c r="K428" i="523" a="1"/>
  <c r="K428" i="523" s="1"/>
  <c r="M428" i="523" s="1"/>
  <c r="J428" i="523" a="1"/>
  <c r="J428" i="523" s="1"/>
  <c r="H428" i="523"/>
  <c r="V427" i="523"/>
  <c r="W427" i="523" s="1"/>
  <c r="N427" i="523"/>
  <c r="K427" i="523"/>
  <c r="K427" i="523" a="1"/>
  <c r="J427" i="523" a="1"/>
  <c r="J427" i="523" s="1"/>
  <c r="H427" i="523"/>
  <c r="AA426" i="523"/>
  <c r="Z426" i="523"/>
  <c r="Y426" i="523"/>
  <c r="X426" i="523"/>
  <c r="U426" i="523"/>
  <c r="T426" i="523"/>
  <c r="S426" i="523"/>
  <c r="R426" i="523"/>
  <c r="Q426" i="523"/>
  <c r="P426" i="523"/>
  <c r="O426" i="523"/>
  <c r="I426" i="523"/>
  <c r="G426" i="523"/>
  <c r="J426" i="523" s="1" a="1"/>
  <c r="J426" i="523" s="1"/>
  <c r="K425" i="523" a="1"/>
  <c r="K425" i="523" s="1"/>
  <c r="M425" i="523" s="1"/>
  <c r="H425" i="523"/>
  <c r="K424" i="523" a="1"/>
  <c r="K424" i="523" s="1"/>
  <c r="M424" i="523" s="1"/>
  <c r="H424" i="523"/>
  <c r="K423" i="523" a="1"/>
  <c r="K423" i="523" s="1"/>
  <c r="M423" i="523" s="1"/>
  <c r="H423" i="523"/>
  <c r="K422" i="523" a="1"/>
  <c r="K422" i="523" s="1"/>
  <c r="M422" i="523" s="1"/>
  <c r="H422" i="523"/>
  <c r="K421" i="523" a="1"/>
  <c r="K421" i="523" s="1"/>
  <c r="M421" i="523" s="1"/>
  <c r="H421" i="523"/>
  <c r="K420" i="523" a="1"/>
  <c r="K420" i="523" s="1"/>
  <c r="M420" i="523" s="1"/>
  <c r="H420" i="523"/>
  <c r="K419" i="523" a="1"/>
  <c r="K419" i="523" s="1"/>
  <c r="M419" i="523" s="1"/>
  <c r="H419" i="523"/>
  <c r="K418" i="523" a="1"/>
  <c r="K418" i="523" s="1"/>
  <c r="M418" i="523" s="1"/>
  <c r="H418" i="523"/>
  <c r="K417" i="523" a="1"/>
  <c r="K417" i="523" s="1"/>
  <c r="M417" i="523" s="1"/>
  <c r="H417" i="523"/>
  <c r="K416" i="523" a="1"/>
  <c r="K416" i="523" s="1"/>
  <c r="M416" i="523" s="1"/>
  <c r="H416" i="523"/>
  <c r="W415" i="523"/>
  <c r="V415" i="523"/>
  <c r="N415" i="523"/>
  <c r="K415" i="523" a="1"/>
  <c r="K415" i="523" s="1"/>
  <c r="M415" i="523" s="1"/>
  <c r="J415" i="523" a="1"/>
  <c r="J415" i="523" s="1"/>
  <c r="H415" i="523"/>
  <c r="V414" i="523"/>
  <c r="W414" i="523" s="1"/>
  <c r="N414" i="523"/>
  <c r="K414" i="523" a="1"/>
  <c r="K414" i="523" s="1"/>
  <c r="M414" i="523" s="1"/>
  <c r="J414" i="523" a="1"/>
  <c r="J414" i="523" s="1"/>
  <c r="H414" i="523"/>
  <c r="V413" i="523"/>
  <c r="W413" i="523" s="1"/>
  <c r="N413" i="523"/>
  <c r="K413" i="523"/>
  <c r="M413" i="523" s="1"/>
  <c r="K413" i="523" a="1"/>
  <c r="J413" i="523"/>
  <c r="J413" i="523" a="1"/>
  <c r="H413" i="523"/>
  <c r="V412" i="523"/>
  <c r="W412" i="523" s="1"/>
  <c r="N412" i="523"/>
  <c r="K412" i="523" a="1"/>
  <c r="K412" i="523" s="1"/>
  <c r="M412" i="523" s="1"/>
  <c r="J412" i="523" a="1"/>
  <c r="J412" i="523" s="1"/>
  <c r="H412" i="523"/>
  <c r="H411" i="523"/>
  <c r="V410" i="523"/>
  <c r="W410" i="523" s="1"/>
  <c r="N410" i="523"/>
  <c r="K410" i="523" a="1"/>
  <c r="K410" i="523" s="1"/>
  <c r="M410" i="523" s="1"/>
  <c r="J410" i="523" a="1"/>
  <c r="J410" i="523" s="1"/>
  <c r="H410" i="523"/>
  <c r="V409" i="523"/>
  <c r="W409" i="523" s="1"/>
  <c r="N409" i="523"/>
  <c r="K409" i="523" a="1"/>
  <c r="K409" i="523" s="1"/>
  <c r="M409" i="523" s="1"/>
  <c r="J409" i="523" a="1"/>
  <c r="J409" i="523" s="1"/>
  <c r="H409" i="523"/>
  <c r="H408" i="523"/>
  <c r="K407" i="523" a="1"/>
  <c r="K407" i="523" s="1"/>
  <c r="H407" i="523"/>
  <c r="V406" i="523"/>
  <c r="W406" i="523" s="1"/>
  <c r="N406" i="523"/>
  <c r="K406" i="523" a="1"/>
  <c r="K406" i="523" s="1"/>
  <c r="M406" i="523" s="1"/>
  <c r="J406" i="523" a="1"/>
  <c r="J406" i="523" s="1"/>
  <c r="H406" i="523"/>
  <c r="V405" i="523"/>
  <c r="W405" i="523" s="1"/>
  <c r="N405" i="523"/>
  <c r="K405" i="523"/>
  <c r="M405" i="523" s="1"/>
  <c r="K405" i="523" a="1"/>
  <c r="J405" i="523"/>
  <c r="J405" i="523" a="1"/>
  <c r="H405" i="523"/>
  <c r="V404" i="523"/>
  <c r="W404" i="523" s="1"/>
  <c r="N404" i="523"/>
  <c r="K404" i="523" a="1"/>
  <c r="K404" i="523" s="1"/>
  <c r="M404" i="523" s="1"/>
  <c r="J404" i="523" a="1"/>
  <c r="J404" i="523" s="1"/>
  <c r="H404" i="523"/>
  <c r="V403" i="523"/>
  <c r="W403" i="523" s="1"/>
  <c r="N403" i="523"/>
  <c r="K403" i="523" a="1"/>
  <c r="K403" i="523" s="1"/>
  <c r="M403" i="523" s="1"/>
  <c r="J403" i="523" a="1"/>
  <c r="J403" i="523" s="1"/>
  <c r="H403" i="523"/>
  <c r="V402" i="523"/>
  <c r="W402" i="523" s="1"/>
  <c r="N402" i="523"/>
  <c r="K402" i="523" a="1"/>
  <c r="K402" i="523" s="1"/>
  <c r="M402" i="523" s="1"/>
  <c r="J402" i="523" a="1"/>
  <c r="J402" i="523" s="1"/>
  <c r="H402" i="523"/>
  <c r="V401" i="523"/>
  <c r="W401" i="523" s="1"/>
  <c r="N401" i="523"/>
  <c r="K401" i="523"/>
  <c r="M401" i="523" s="1"/>
  <c r="K401" i="523" a="1"/>
  <c r="J401" i="523"/>
  <c r="J401" i="523" a="1"/>
  <c r="H401" i="523"/>
  <c r="V400" i="523"/>
  <c r="W400" i="523" s="1"/>
  <c r="N400" i="523"/>
  <c r="K400" i="523" a="1"/>
  <c r="K400" i="523" s="1"/>
  <c r="M400" i="523" s="1"/>
  <c r="J400" i="523" a="1"/>
  <c r="J400" i="523" s="1"/>
  <c r="H400" i="523"/>
  <c r="V399" i="523"/>
  <c r="W399" i="523" s="1"/>
  <c r="N399" i="523"/>
  <c r="K399" i="523" a="1"/>
  <c r="K399" i="523" s="1"/>
  <c r="M399" i="523" s="1"/>
  <c r="J399" i="523" a="1"/>
  <c r="J399" i="523" s="1"/>
  <c r="H399" i="523"/>
  <c r="V398" i="523"/>
  <c r="W398" i="523" s="1"/>
  <c r="N398" i="523"/>
  <c r="K398" i="523" a="1"/>
  <c r="K398" i="523" s="1"/>
  <c r="M398" i="523" s="1"/>
  <c r="J398" i="523" a="1"/>
  <c r="J398" i="523" s="1"/>
  <c r="H398" i="523"/>
  <c r="V397" i="523"/>
  <c r="W397" i="523" s="1"/>
  <c r="N397" i="523"/>
  <c r="K397" i="523"/>
  <c r="M397" i="523" s="1"/>
  <c r="K397" i="523" a="1"/>
  <c r="J397" i="523"/>
  <c r="J397" i="523" a="1"/>
  <c r="H397" i="523"/>
  <c r="K396" i="523" a="1"/>
  <c r="K396" i="523" s="1"/>
  <c r="M396" i="523" s="1"/>
  <c r="H396" i="523"/>
  <c r="K395" i="523"/>
  <c r="M395" i="523" s="1"/>
  <c r="K395" i="523" a="1"/>
  <c r="H395" i="523"/>
  <c r="K394" i="523" a="1"/>
  <c r="K394" i="523" s="1"/>
  <c r="M394" i="523" s="1"/>
  <c r="H394" i="523"/>
  <c r="K393" i="523"/>
  <c r="M393" i="523" s="1"/>
  <c r="K393" i="523" a="1"/>
  <c r="H393" i="523"/>
  <c r="N392" i="523"/>
  <c r="K392" i="523" a="1"/>
  <c r="K392" i="523" s="1"/>
  <c r="M392" i="523" s="1"/>
  <c r="H392" i="523"/>
  <c r="N391" i="523"/>
  <c r="K391" i="523" a="1"/>
  <c r="K391" i="523" s="1"/>
  <c r="M391" i="523" s="1"/>
  <c r="H391" i="523"/>
  <c r="N390" i="523"/>
  <c r="K390" i="523" a="1"/>
  <c r="K390" i="523" s="1"/>
  <c r="M390" i="523" s="1"/>
  <c r="H390" i="523"/>
  <c r="N389" i="523"/>
  <c r="K389" i="523"/>
  <c r="M389" i="523" s="1"/>
  <c r="K389" i="523" a="1"/>
  <c r="H389" i="523"/>
  <c r="V388" i="523"/>
  <c r="W388" i="523" s="1"/>
  <c r="N388" i="523"/>
  <c r="K388" i="523" a="1"/>
  <c r="K388" i="523" s="1"/>
  <c r="M388" i="523" s="1"/>
  <c r="J388" i="523" a="1"/>
  <c r="J388" i="523" s="1"/>
  <c r="H388" i="523"/>
  <c r="V387" i="523"/>
  <c r="W387" i="523" s="1"/>
  <c r="N387" i="523"/>
  <c r="K387" i="523" a="1"/>
  <c r="K387" i="523" s="1"/>
  <c r="M387" i="523" s="1"/>
  <c r="J387" i="523" a="1"/>
  <c r="J387" i="523" s="1"/>
  <c r="H387" i="523"/>
  <c r="V386" i="523"/>
  <c r="W386" i="523" s="1"/>
  <c r="N386" i="523"/>
  <c r="K386" i="523" a="1"/>
  <c r="K386" i="523" s="1"/>
  <c r="M386" i="523" s="1"/>
  <c r="J386" i="523" a="1"/>
  <c r="J386" i="523" s="1"/>
  <c r="H386" i="523"/>
  <c r="V385" i="523"/>
  <c r="W385" i="523" s="1"/>
  <c r="N385" i="523"/>
  <c r="K385" i="523"/>
  <c r="M385" i="523" s="1"/>
  <c r="K385" i="523" a="1"/>
  <c r="J385" i="523"/>
  <c r="J385" i="523" a="1"/>
  <c r="H385" i="523"/>
  <c r="V384" i="523"/>
  <c r="W384" i="523" s="1"/>
  <c r="N384" i="523"/>
  <c r="K384" i="523" a="1"/>
  <c r="K384" i="523" s="1"/>
  <c r="M384" i="523" s="1"/>
  <c r="J384" i="523" a="1"/>
  <c r="J384" i="523" s="1"/>
  <c r="H384" i="523"/>
  <c r="V383" i="523"/>
  <c r="W383" i="523" s="1"/>
  <c r="N383" i="523"/>
  <c r="K383" i="523" a="1"/>
  <c r="K383" i="523" s="1"/>
  <c r="M383" i="523" s="1"/>
  <c r="J383" i="523" a="1"/>
  <c r="J383" i="523" s="1"/>
  <c r="H383" i="523"/>
  <c r="V382" i="523"/>
  <c r="W382" i="523" s="1"/>
  <c r="N382" i="523"/>
  <c r="K382" i="523" a="1"/>
  <c r="K382" i="523" s="1"/>
  <c r="M382" i="523" s="1"/>
  <c r="J382" i="523" a="1"/>
  <c r="J382" i="523" s="1"/>
  <c r="H382" i="523"/>
  <c r="V381" i="523"/>
  <c r="W381" i="523" s="1"/>
  <c r="N381" i="523"/>
  <c r="K381" i="523"/>
  <c r="M381" i="523" s="1"/>
  <c r="K381" i="523" a="1"/>
  <c r="J381" i="523"/>
  <c r="J381" i="523" a="1"/>
  <c r="H381" i="523"/>
  <c r="V380" i="523"/>
  <c r="W380" i="523" s="1"/>
  <c r="N380" i="523"/>
  <c r="K380" i="523" a="1"/>
  <c r="K380" i="523" s="1"/>
  <c r="M380" i="523" s="1"/>
  <c r="J380" i="523" a="1"/>
  <c r="J380" i="523" s="1"/>
  <c r="H380" i="523"/>
  <c r="V379" i="523"/>
  <c r="W379" i="523" s="1"/>
  <c r="N379" i="523"/>
  <c r="K379" i="523" a="1"/>
  <c r="K379" i="523" s="1"/>
  <c r="M379" i="523" s="1"/>
  <c r="J379" i="523" a="1"/>
  <c r="J379" i="523" s="1"/>
  <c r="H379" i="523"/>
  <c r="V378" i="523"/>
  <c r="W378" i="523" s="1"/>
  <c r="N378" i="523"/>
  <c r="K378" i="523" a="1"/>
  <c r="K378" i="523" s="1"/>
  <c r="M378" i="523" s="1"/>
  <c r="J378" i="523" a="1"/>
  <c r="J378" i="523" s="1"/>
  <c r="H378" i="523"/>
  <c r="V377" i="523"/>
  <c r="W377" i="523" s="1"/>
  <c r="N377" i="523"/>
  <c r="K377" i="523"/>
  <c r="M377" i="523" s="1"/>
  <c r="K377" i="523" a="1"/>
  <c r="J377" i="523"/>
  <c r="J377" i="523" a="1"/>
  <c r="H377" i="523"/>
  <c r="K376" i="523" a="1"/>
  <c r="K376" i="523" s="1"/>
  <c r="M376" i="523" s="1"/>
  <c r="H376" i="523"/>
  <c r="K375" i="523"/>
  <c r="M375" i="523" s="1"/>
  <c r="K375" i="523" a="1"/>
  <c r="H375" i="523"/>
  <c r="K374" i="523" a="1"/>
  <c r="K374" i="523" s="1"/>
  <c r="M374" i="523" s="1"/>
  <c r="H374" i="523"/>
  <c r="V373" i="523"/>
  <c r="W373" i="523" s="1"/>
  <c r="N373" i="523"/>
  <c r="K373" i="523" a="1"/>
  <c r="K373" i="523" s="1"/>
  <c r="M373" i="523" s="1"/>
  <c r="J373" i="523" a="1"/>
  <c r="J373" i="523" s="1"/>
  <c r="H373" i="523"/>
  <c r="V372" i="523"/>
  <c r="W372" i="523" s="1"/>
  <c r="N372" i="523"/>
  <c r="K372" i="523"/>
  <c r="M372" i="523" s="1"/>
  <c r="K372" i="523" a="1"/>
  <c r="J372" i="523"/>
  <c r="J372" i="523" a="1"/>
  <c r="H372" i="523"/>
  <c r="V371" i="523"/>
  <c r="W371" i="523" s="1"/>
  <c r="N371" i="523"/>
  <c r="K371" i="523" a="1"/>
  <c r="K371" i="523" s="1"/>
  <c r="M371" i="523" s="1"/>
  <c r="J371" i="523" a="1"/>
  <c r="J371" i="523" s="1"/>
  <c r="H371" i="523"/>
  <c r="K370" i="523"/>
  <c r="K370" i="523" a="1"/>
  <c r="H370" i="523"/>
  <c r="V369" i="523"/>
  <c r="N369" i="523"/>
  <c r="N426" i="523" s="1"/>
  <c r="K369" i="523" a="1"/>
  <c r="K369" i="523" s="1"/>
  <c r="J369" i="523" a="1"/>
  <c r="J369" i="523" s="1"/>
  <c r="H369" i="523"/>
  <c r="AA368" i="523"/>
  <c r="AA504" i="523" s="1"/>
  <c r="Z368" i="523"/>
  <c r="Z504" i="523" s="1"/>
  <c r="Y368" i="523"/>
  <c r="Y504" i="523" s="1"/>
  <c r="X368" i="523"/>
  <c r="X504" i="523" s="1"/>
  <c r="U368" i="523"/>
  <c r="U504" i="523" s="1"/>
  <c r="T368" i="523"/>
  <c r="T504" i="523" s="1"/>
  <c r="S368" i="523"/>
  <c r="S504" i="523" s="1"/>
  <c r="R368" i="523"/>
  <c r="R504" i="523" s="1"/>
  <c r="Q368" i="523"/>
  <c r="Q504" i="523" s="1"/>
  <c r="P368" i="523"/>
  <c r="P504" i="523" s="1"/>
  <c r="O368" i="523"/>
  <c r="I368" i="523"/>
  <c r="I504" i="523" s="1"/>
  <c r="B512" i="523" s="1"/>
  <c r="G368" i="523"/>
  <c r="G504" i="523" s="1"/>
  <c r="V367" i="523"/>
  <c r="W367" i="523" s="1"/>
  <c r="N367" i="523"/>
  <c r="K367" i="523" a="1"/>
  <c r="K367" i="523" s="1"/>
  <c r="M367" i="523" s="1"/>
  <c r="J367" i="523" a="1"/>
  <c r="J367" i="523" s="1"/>
  <c r="H367" i="523"/>
  <c r="V366" i="523"/>
  <c r="W366" i="523" s="1"/>
  <c r="N366" i="523"/>
  <c r="K366" i="523" a="1"/>
  <c r="K366" i="523" s="1"/>
  <c r="M366" i="523" s="1"/>
  <c r="J366" i="523" a="1"/>
  <c r="J366" i="523" s="1"/>
  <c r="H366" i="523"/>
  <c r="K365" i="523"/>
  <c r="M365" i="523" s="1"/>
  <c r="K365" i="523" a="1"/>
  <c r="H365" i="523"/>
  <c r="K364" i="523" a="1"/>
  <c r="K364" i="523" s="1"/>
  <c r="M364" i="523" s="1"/>
  <c r="H364" i="523"/>
  <c r="K363" i="523"/>
  <c r="M363" i="523" s="1"/>
  <c r="K363" i="523" a="1"/>
  <c r="H363" i="523"/>
  <c r="K362" i="523" a="1"/>
  <c r="K362" i="523" s="1"/>
  <c r="M362" i="523" s="1"/>
  <c r="H362" i="523"/>
  <c r="V361" i="523"/>
  <c r="W361" i="523" s="1"/>
  <c r="N361" i="523"/>
  <c r="K361" i="523" a="1"/>
  <c r="K361" i="523" s="1"/>
  <c r="M361" i="523" s="1"/>
  <c r="J361" i="523" a="1"/>
  <c r="J361" i="523" s="1"/>
  <c r="H361" i="523"/>
  <c r="V360" i="523"/>
  <c r="W360" i="523" s="1"/>
  <c r="N360" i="523"/>
  <c r="K360" i="523"/>
  <c r="M360" i="523" s="1"/>
  <c r="K360" i="523" a="1"/>
  <c r="J360" i="523"/>
  <c r="J360" i="523" a="1"/>
  <c r="H360" i="523"/>
  <c r="V359" i="523"/>
  <c r="W359" i="523" s="1"/>
  <c r="N359" i="523"/>
  <c r="K359" i="523" a="1"/>
  <c r="K359" i="523" s="1"/>
  <c r="M359" i="523" s="1"/>
  <c r="J359" i="523" a="1"/>
  <c r="J359" i="523" s="1"/>
  <c r="H359" i="523"/>
  <c r="H358" i="523"/>
  <c r="H357" i="523"/>
  <c r="V356" i="523"/>
  <c r="W356" i="523" s="1"/>
  <c r="N356" i="523"/>
  <c r="K356" i="523" a="1"/>
  <c r="K356" i="523" s="1"/>
  <c r="M356" i="523" s="1"/>
  <c r="J356" i="523" a="1"/>
  <c r="J356" i="523" s="1"/>
  <c r="H356" i="523"/>
  <c r="V355" i="523"/>
  <c r="W355" i="523" s="1"/>
  <c r="N355" i="523"/>
  <c r="K355" i="523" a="1"/>
  <c r="K355" i="523" s="1"/>
  <c r="M355" i="523" s="1"/>
  <c r="J355" i="523" a="1"/>
  <c r="J355" i="523" s="1"/>
  <c r="H355" i="523"/>
  <c r="K354" i="523" a="1"/>
  <c r="K354" i="523" s="1"/>
  <c r="M354" i="523" s="1"/>
  <c r="H354" i="523"/>
  <c r="K353" i="523" a="1"/>
  <c r="K353" i="523" s="1"/>
  <c r="M353" i="523" s="1"/>
  <c r="H353" i="523"/>
  <c r="V352" i="523"/>
  <c r="W352" i="523" s="1"/>
  <c r="N352" i="523"/>
  <c r="K352" i="523" a="1"/>
  <c r="K352" i="523" s="1"/>
  <c r="M352" i="523" s="1"/>
  <c r="J352" i="523" a="1"/>
  <c r="J352" i="523" s="1"/>
  <c r="H352" i="523"/>
  <c r="V351" i="523"/>
  <c r="W351" i="523" s="1"/>
  <c r="N351" i="523"/>
  <c r="K351" i="523" a="1"/>
  <c r="K351" i="523" s="1"/>
  <c r="M351" i="523" s="1"/>
  <c r="J351" i="523" a="1"/>
  <c r="J351" i="523" s="1"/>
  <c r="H351" i="523"/>
  <c r="V350" i="523"/>
  <c r="W350" i="523" s="1"/>
  <c r="N350" i="523"/>
  <c r="K350" i="523"/>
  <c r="M350" i="523" s="1"/>
  <c r="K350" i="523" a="1"/>
  <c r="J350" i="523"/>
  <c r="J350" i="523" a="1"/>
  <c r="H350" i="523"/>
  <c r="V349" i="523"/>
  <c r="W349" i="523" s="1"/>
  <c r="N349" i="523"/>
  <c r="K349" i="523" a="1"/>
  <c r="K349" i="523" s="1"/>
  <c r="M349" i="523" s="1"/>
  <c r="J349" i="523" a="1"/>
  <c r="J349" i="523" s="1"/>
  <c r="H349" i="523"/>
  <c r="V348" i="523"/>
  <c r="W348" i="523" s="1"/>
  <c r="N348" i="523"/>
  <c r="K348" i="523" a="1"/>
  <c r="K348" i="523" s="1"/>
  <c r="M348" i="523" s="1"/>
  <c r="J348" i="523" a="1"/>
  <c r="J348" i="523" s="1"/>
  <c r="H348" i="523"/>
  <c r="V347" i="523"/>
  <c r="V368" i="523" s="1"/>
  <c r="N347" i="523"/>
  <c r="K347" i="523" a="1"/>
  <c r="K347" i="523" s="1"/>
  <c r="J347" i="523" a="1"/>
  <c r="J347" i="523" s="1"/>
  <c r="H347" i="523"/>
  <c r="X341" i="523"/>
  <c r="X340" i="523"/>
  <c r="X339" i="523"/>
  <c r="G339" i="523"/>
  <c r="C339" i="523"/>
  <c r="X338" i="523"/>
  <c r="I338" i="523"/>
  <c r="E338" i="523"/>
  <c r="K338" i="523" s="1"/>
  <c r="M338" i="523" s="1"/>
  <c r="I337" i="523"/>
  <c r="E337" i="523"/>
  <c r="K337" i="523" s="1"/>
  <c r="M337" i="523" s="1"/>
  <c r="I336" i="523"/>
  <c r="E336" i="523"/>
  <c r="K336" i="523" s="1"/>
  <c r="M336" i="523" s="1"/>
  <c r="X335" i="523"/>
  <c r="I335" i="523"/>
  <c r="I339" i="523" s="1"/>
  <c r="E335" i="523"/>
  <c r="E339" i="523" s="1"/>
  <c r="AA332" i="523"/>
  <c r="Z332" i="523"/>
  <c r="Y332" i="523"/>
  <c r="X332" i="523"/>
  <c r="U332" i="523"/>
  <c r="T332" i="523"/>
  <c r="S332" i="523"/>
  <c r="R332" i="523"/>
  <c r="Q332" i="523"/>
  <c r="P332" i="523"/>
  <c r="O332" i="523"/>
  <c r="I332" i="523"/>
  <c r="G332" i="523"/>
  <c r="K331" i="523" a="1"/>
  <c r="K331" i="523" s="1"/>
  <c r="H331" i="523"/>
  <c r="K330" i="523" a="1"/>
  <c r="K330" i="523" s="1"/>
  <c r="H330" i="523"/>
  <c r="K329" i="523"/>
  <c r="K329" i="523" a="1"/>
  <c r="H329" i="523"/>
  <c r="V328" i="523"/>
  <c r="W328" i="523" s="1"/>
  <c r="N328" i="523"/>
  <c r="K328" i="523" a="1"/>
  <c r="K328" i="523" s="1"/>
  <c r="D328" i="523"/>
  <c r="H328" i="523" s="1"/>
  <c r="H327" i="523"/>
  <c r="K326" i="523" a="1"/>
  <c r="K326" i="523" s="1"/>
  <c r="H326" i="523"/>
  <c r="H325" i="523"/>
  <c r="V324" i="523"/>
  <c r="W324" i="523" s="1"/>
  <c r="N324" i="523"/>
  <c r="K324" i="523" a="1"/>
  <c r="K324" i="523" s="1"/>
  <c r="M324" i="523" s="1"/>
  <c r="J324" i="523" a="1"/>
  <c r="J324" i="523" s="1"/>
  <c r="H324" i="523"/>
  <c r="V323" i="523"/>
  <c r="W323" i="523" s="1"/>
  <c r="N323" i="523"/>
  <c r="K323" i="523" a="1"/>
  <c r="K323" i="523" s="1"/>
  <c r="M323" i="523" s="1"/>
  <c r="J323" i="523" a="1"/>
  <c r="J323" i="523" s="1"/>
  <c r="H323" i="523"/>
  <c r="H322" i="523"/>
  <c r="V321" i="523"/>
  <c r="W321" i="523" s="1"/>
  <c r="N321" i="523"/>
  <c r="K321" i="523" a="1"/>
  <c r="K321" i="523" s="1"/>
  <c r="M321" i="523" s="1"/>
  <c r="J321" i="523" a="1"/>
  <c r="J321" i="523" s="1"/>
  <c r="H321" i="523"/>
  <c r="V320" i="523"/>
  <c r="W320" i="523" s="1"/>
  <c r="N320" i="523"/>
  <c r="K320" i="523" a="1"/>
  <c r="K320" i="523" s="1"/>
  <c r="M320" i="523" s="1"/>
  <c r="J320" i="523" a="1"/>
  <c r="J320" i="523" s="1"/>
  <c r="H320" i="523"/>
  <c r="V319" i="523"/>
  <c r="W319" i="523" s="1"/>
  <c r="N319" i="523"/>
  <c r="K319" i="523" a="1"/>
  <c r="K319" i="523" s="1"/>
  <c r="M319" i="523" s="1"/>
  <c r="J319" i="523" a="1"/>
  <c r="J319" i="523" s="1"/>
  <c r="H319" i="523"/>
  <c r="V318" i="523"/>
  <c r="V332" i="523" s="1"/>
  <c r="N318" i="523"/>
  <c r="N332" i="523" s="1"/>
  <c r="K318" i="523" a="1"/>
  <c r="K318" i="523" s="1"/>
  <c r="J318" i="523" a="1"/>
  <c r="J318" i="523" s="1"/>
  <c r="H318" i="523"/>
  <c r="H332" i="523" s="1"/>
  <c r="AA317" i="523"/>
  <c r="Z317" i="523"/>
  <c r="Y317" i="523"/>
  <c r="X317" i="523"/>
  <c r="U317" i="523"/>
  <c r="T317" i="523"/>
  <c r="S317" i="523"/>
  <c r="Q317" i="523"/>
  <c r="P317" i="523"/>
  <c r="O317" i="523"/>
  <c r="I317" i="523"/>
  <c r="G317" i="523"/>
  <c r="V316" i="523"/>
  <c r="W316" i="523" s="1"/>
  <c r="N316" i="523"/>
  <c r="K316" i="523" a="1"/>
  <c r="K316" i="523" s="1"/>
  <c r="M316" i="523" s="1"/>
  <c r="J316" i="523" a="1"/>
  <c r="J316" i="523" s="1"/>
  <c r="H316" i="523"/>
  <c r="V312" i="523"/>
  <c r="W312" i="523" s="1"/>
  <c r="N312" i="523"/>
  <c r="K312" i="523" a="1"/>
  <c r="K312" i="523" s="1"/>
  <c r="M312" i="523" s="1"/>
  <c r="J312" i="523" a="1"/>
  <c r="J312" i="523" s="1"/>
  <c r="H312" i="523"/>
  <c r="V311" i="523"/>
  <c r="W311" i="523" s="1"/>
  <c r="N311" i="523"/>
  <c r="K311" i="523" a="1"/>
  <c r="K311" i="523" s="1"/>
  <c r="M311" i="523" s="1"/>
  <c r="J311" i="523" a="1"/>
  <c r="J311" i="523" s="1"/>
  <c r="H311" i="523"/>
  <c r="V310" i="523"/>
  <c r="W310" i="523" s="1"/>
  <c r="N310" i="523"/>
  <c r="K310" i="523" a="1"/>
  <c r="K310" i="523" s="1"/>
  <c r="M310" i="523" s="1"/>
  <c r="J310" i="523" a="1"/>
  <c r="J310" i="523" s="1"/>
  <c r="H310" i="523"/>
  <c r="V309" i="523"/>
  <c r="W309" i="523" s="1"/>
  <c r="N309" i="523"/>
  <c r="K309" i="523" a="1"/>
  <c r="K309" i="523" s="1"/>
  <c r="M309" i="523" s="1"/>
  <c r="J309" i="523" a="1"/>
  <c r="J309" i="523" s="1"/>
  <c r="H309" i="523"/>
  <c r="V308" i="523"/>
  <c r="N308" i="523"/>
  <c r="N317" i="523" s="1"/>
  <c r="K308" i="523" a="1"/>
  <c r="K308" i="523" s="1"/>
  <c r="J308" i="523" a="1"/>
  <c r="J308" i="523" s="1"/>
  <c r="H308" i="523"/>
  <c r="AA307" i="523"/>
  <c r="Z307" i="523"/>
  <c r="Y307" i="523"/>
  <c r="X307" i="523"/>
  <c r="U307" i="523"/>
  <c r="T307" i="523"/>
  <c r="S307" i="523"/>
  <c r="Q307" i="523"/>
  <c r="P307" i="523"/>
  <c r="O307" i="523"/>
  <c r="I307" i="523"/>
  <c r="G307" i="523"/>
  <c r="V306" i="523"/>
  <c r="W306" i="523" s="1"/>
  <c r="N306" i="523"/>
  <c r="K306" i="523" a="1"/>
  <c r="K306" i="523" s="1"/>
  <c r="M306" i="523" s="1"/>
  <c r="J306" i="523" a="1"/>
  <c r="J306" i="523" s="1"/>
  <c r="H306" i="523"/>
  <c r="V305" i="523"/>
  <c r="W305" i="523" s="1"/>
  <c r="N305" i="523"/>
  <c r="K305" i="523" a="1"/>
  <c r="K305" i="523" s="1"/>
  <c r="M305" i="523" s="1"/>
  <c r="J305" i="523" a="1"/>
  <c r="J305" i="523" s="1"/>
  <c r="H305" i="523"/>
  <c r="V304" i="523"/>
  <c r="W304" i="523" s="1"/>
  <c r="N304" i="523"/>
  <c r="K304" i="523" a="1"/>
  <c r="K304" i="523" s="1"/>
  <c r="M304" i="523" s="1"/>
  <c r="J304" i="523" a="1"/>
  <c r="J304" i="523" s="1"/>
  <c r="H304" i="523"/>
  <c r="V303" i="523"/>
  <c r="W303" i="523" s="1"/>
  <c r="N303" i="523"/>
  <c r="K303" i="523"/>
  <c r="M303" i="523" s="1"/>
  <c r="K303" i="523" a="1"/>
  <c r="J303" i="523"/>
  <c r="J303" i="523" a="1"/>
  <c r="H303" i="523"/>
  <c r="V302" i="523"/>
  <c r="W302" i="523" s="1"/>
  <c r="N302" i="523"/>
  <c r="K302" i="523" a="1"/>
  <c r="K302" i="523" s="1"/>
  <c r="M302" i="523" s="1"/>
  <c r="J302" i="523" a="1"/>
  <c r="J302" i="523" s="1"/>
  <c r="H302" i="523"/>
  <c r="V301" i="523"/>
  <c r="W301" i="523" s="1"/>
  <c r="N301" i="523"/>
  <c r="K301" i="523" a="1"/>
  <c r="K301" i="523" s="1"/>
  <c r="M301" i="523" s="1"/>
  <c r="J301" i="523" a="1"/>
  <c r="J301" i="523" s="1"/>
  <c r="H301" i="523"/>
  <c r="V300" i="523"/>
  <c r="W300" i="523" s="1"/>
  <c r="N300" i="523"/>
  <c r="K300" i="523" a="1"/>
  <c r="K300" i="523" s="1"/>
  <c r="M300" i="523" s="1"/>
  <c r="J300" i="523" a="1"/>
  <c r="J300" i="523" s="1"/>
  <c r="H300" i="523"/>
  <c r="V299" i="523"/>
  <c r="W299" i="523" s="1"/>
  <c r="N299" i="523"/>
  <c r="K299" i="523"/>
  <c r="M299" i="523" s="1"/>
  <c r="K299" i="523" a="1"/>
  <c r="J299" i="523"/>
  <c r="J299" i="523" a="1"/>
  <c r="H299" i="523"/>
  <c r="V298" i="523"/>
  <c r="W298" i="523" s="1"/>
  <c r="N298" i="523"/>
  <c r="K298" i="523" a="1"/>
  <c r="K298" i="523" s="1"/>
  <c r="M298" i="523" s="1"/>
  <c r="J298" i="523" a="1"/>
  <c r="J298" i="523" s="1"/>
  <c r="H298" i="523"/>
  <c r="V297" i="523"/>
  <c r="W297" i="523" s="1"/>
  <c r="N297" i="523"/>
  <c r="K297" i="523" a="1"/>
  <c r="K297" i="523" s="1"/>
  <c r="M297" i="523" s="1"/>
  <c r="J297" i="523" a="1"/>
  <c r="J297" i="523" s="1"/>
  <c r="H297" i="523"/>
  <c r="V296" i="523"/>
  <c r="W296" i="523" s="1"/>
  <c r="N296" i="523"/>
  <c r="K296" i="523" a="1"/>
  <c r="K296" i="523" s="1"/>
  <c r="M296" i="523" s="1"/>
  <c r="J296" i="523" a="1"/>
  <c r="J296" i="523" s="1"/>
  <c r="H296" i="523"/>
  <c r="V295" i="523"/>
  <c r="W295" i="523" s="1"/>
  <c r="N295" i="523"/>
  <c r="K295" i="523"/>
  <c r="M295" i="523" s="1"/>
  <c r="K295" i="523" a="1"/>
  <c r="J295" i="523"/>
  <c r="J295" i="523" a="1"/>
  <c r="H295" i="523"/>
  <c r="V294" i="523"/>
  <c r="W294" i="523" s="1"/>
  <c r="N294" i="523"/>
  <c r="K294" i="523" a="1"/>
  <c r="K294" i="523" s="1"/>
  <c r="M294" i="523" s="1"/>
  <c r="J294" i="523" a="1"/>
  <c r="J294" i="523" s="1"/>
  <c r="H294" i="523"/>
  <c r="V293" i="523"/>
  <c r="W293" i="523" s="1"/>
  <c r="N293" i="523"/>
  <c r="K293" i="523" a="1"/>
  <c r="K293" i="523" s="1"/>
  <c r="M293" i="523" s="1"/>
  <c r="J293" i="523" a="1"/>
  <c r="J293" i="523" s="1"/>
  <c r="H293" i="523"/>
  <c r="V292" i="523"/>
  <c r="N292" i="523"/>
  <c r="K292" i="523" a="1"/>
  <c r="K292" i="523" s="1"/>
  <c r="J292" i="523" a="1"/>
  <c r="J292" i="523" s="1"/>
  <c r="H292" i="523"/>
  <c r="AA291" i="523"/>
  <c r="Z291" i="523"/>
  <c r="Y291" i="523"/>
  <c r="X291" i="523"/>
  <c r="U291" i="523"/>
  <c r="T291" i="523"/>
  <c r="S291" i="523"/>
  <c r="R291" i="523"/>
  <c r="Q291" i="523"/>
  <c r="P291" i="523"/>
  <c r="O291" i="523"/>
  <c r="R337" i="523" s="1"/>
  <c r="I291" i="523"/>
  <c r="G291" i="523"/>
  <c r="V290" i="523"/>
  <c r="W290" i="523" s="1"/>
  <c r="N290" i="523"/>
  <c r="K290" i="523" a="1"/>
  <c r="K290" i="523" s="1"/>
  <c r="M290" i="523" s="1"/>
  <c r="J290" i="523" a="1"/>
  <c r="J290" i="523" s="1"/>
  <c r="H290" i="523"/>
  <c r="V289" i="523"/>
  <c r="W289" i="523" s="1"/>
  <c r="N289" i="523"/>
  <c r="K289" i="523" a="1"/>
  <c r="K289" i="523" s="1"/>
  <c r="M289" i="523" s="1"/>
  <c r="J289" i="523" a="1"/>
  <c r="J289" i="523" s="1"/>
  <c r="H289" i="523"/>
  <c r="V288" i="523"/>
  <c r="W288" i="523" s="1"/>
  <c r="N288" i="523"/>
  <c r="K288" i="523" a="1"/>
  <c r="K288" i="523" s="1"/>
  <c r="M288" i="523" s="1"/>
  <c r="J288" i="523" a="1"/>
  <c r="J288" i="523" s="1"/>
  <c r="H288" i="523"/>
  <c r="H287" i="523"/>
  <c r="H286" i="523"/>
  <c r="H285" i="523"/>
  <c r="V284" i="523"/>
  <c r="W284" i="523" s="1"/>
  <c r="N284" i="523"/>
  <c r="K284" i="523" a="1"/>
  <c r="K284" i="523" s="1"/>
  <c r="M284" i="523" s="1"/>
  <c r="J284" i="523" a="1"/>
  <c r="J284" i="523" s="1"/>
  <c r="H284" i="523"/>
  <c r="V283" i="523"/>
  <c r="W283" i="523" s="1"/>
  <c r="N283" i="523"/>
  <c r="K283" i="523"/>
  <c r="M283" i="523" s="1"/>
  <c r="K283" i="523" a="1"/>
  <c r="J283" i="523"/>
  <c r="J283" i="523" a="1"/>
  <c r="H283" i="523"/>
  <c r="N282" i="523"/>
  <c r="K282" i="523" a="1"/>
  <c r="K282" i="523" s="1"/>
  <c r="M282" i="523" s="1"/>
  <c r="H282" i="523"/>
  <c r="N281" i="523"/>
  <c r="K281" i="523" a="1"/>
  <c r="K281" i="523" s="1"/>
  <c r="M281" i="523" s="1"/>
  <c r="H281" i="523"/>
  <c r="N280" i="523"/>
  <c r="K280" i="523" a="1"/>
  <c r="K280" i="523" s="1"/>
  <c r="M280" i="523" s="1"/>
  <c r="H280" i="523"/>
  <c r="N279" i="523"/>
  <c r="K279" i="523"/>
  <c r="M279" i="523" s="1"/>
  <c r="K279" i="523" a="1"/>
  <c r="H279" i="523"/>
  <c r="N278" i="523"/>
  <c r="K278" i="523" a="1"/>
  <c r="K278" i="523" s="1"/>
  <c r="M278" i="523" s="1"/>
  <c r="H278" i="523"/>
  <c r="N277" i="523"/>
  <c r="K277" i="523" a="1"/>
  <c r="K277" i="523" s="1"/>
  <c r="M277" i="523" s="1"/>
  <c r="H277" i="523"/>
  <c r="V276" i="523"/>
  <c r="W276" i="523" s="1"/>
  <c r="N276" i="523"/>
  <c r="K276" i="523" a="1"/>
  <c r="K276" i="523" s="1"/>
  <c r="M276" i="523" s="1"/>
  <c r="J276" i="523" a="1"/>
  <c r="J276" i="523" s="1"/>
  <c r="H276" i="523"/>
  <c r="V275" i="523"/>
  <c r="W275" i="523" s="1"/>
  <c r="N275" i="523"/>
  <c r="K275" i="523"/>
  <c r="M275" i="523" s="1"/>
  <c r="K275" i="523" a="1"/>
  <c r="J275" i="523"/>
  <c r="J275" i="523" a="1"/>
  <c r="H275" i="523"/>
  <c r="V274" i="523"/>
  <c r="W274" i="523" s="1"/>
  <c r="N274" i="523"/>
  <c r="K274" i="523" a="1"/>
  <c r="K274" i="523" s="1"/>
  <c r="M274" i="523" s="1"/>
  <c r="J274" i="523" a="1"/>
  <c r="J274" i="523" s="1"/>
  <c r="H274" i="523"/>
  <c r="V273" i="523"/>
  <c r="W273" i="523" s="1"/>
  <c r="N273" i="523"/>
  <c r="K273" i="523" a="1"/>
  <c r="K273" i="523" s="1"/>
  <c r="M273" i="523" s="1"/>
  <c r="J273" i="523" a="1"/>
  <c r="J273" i="523" s="1"/>
  <c r="H273" i="523"/>
  <c r="V272" i="523"/>
  <c r="W272" i="523" s="1"/>
  <c r="N272" i="523"/>
  <c r="K272" i="523" a="1"/>
  <c r="K272" i="523" s="1"/>
  <c r="M272" i="523" s="1"/>
  <c r="J272" i="523" a="1"/>
  <c r="J272" i="523" s="1"/>
  <c r="H272" i="523"/>
  <c r="V271" i="523"/>
  <c r="W271" i="523" s="1"/>
  <c r="N271" i="523"/>
  <c r="K271" i="523"/>
  <c r="M271" i="523" s="1"/>
  <c r="K271" i="523" a="1"/>
  <c r="J271" i="523"/>
  <c r="J271" i="523" a="1"/>
  <c r="H271" i="523"/>
  <c r="V270" i="523"/>
  <c r="W270" i="523" s="1"/>
  <c r="N270" i="523"/>
  <c r="K270" i="523" a="1"/>
  <c r="K270" i="523" s="1"/>
  <c r="M270" i="523" s="1"/>
  <c r="J270" i="523" a="1"/>
  <c r="J270" i="523" s="1"/>
  <c r="H270" i="523"/>
  <c r="V269" i="523"/>
  <c r="W269" i="523" s="1"/>
  <c r="N269" i="523"/>
  <c r="K269" i="523" a="1"/>
  <c r="K269" i="523" s="1"/>
  <c r="M269" i="523" s="1"/>
  <c r="J269" i="523" a="1"/>
  <c r="J269" i="523" s="1"/>
  <c r="H269" i="523"/>
  <c r="V268" i="523"/>
  <c r="W268" i="523" s="1"/>
  <c r="N268" i="523"/>
  <c r="K268" i="523" a="1"/>
  <c r="K268" i="523" s="1"/>
  <c r="M268" i="523" s="1"/>
  <c r="J268" i="523" a="1"/>
  <c r="J268" i="523" s="1"/>
  <c r="H268" i="523"/>
  <c r="V267" i="523"/>
  <c r="W267" i="523" s="1"/>
  <c r="N267" i="523"/>
  <c r="K267" i="523"/>
  <c r="M267" i="523" s="1"/>
  <c r="K267" i="523" a="1"/>
  <c r="J267" i="523"/>
  <c r="J267" i="523" a="1"/>
  <c r="H267" i="523"/>
  <c r="V266" i="523"/>
  <c r="W266" i="523" s="1"/>
  <c r="N266" i="523"/>
  <c r="K266" i="523" a="1"/>
  <c r="K266" i="523" s="1"/>
  <c r="M266" i="523" s="1"/>
  <c r="J266" i="523" a="1"/>
  <c r="J266" i="523" s="1"/>
  <c r="H266" i="523"/>
  <c r="W265" i="523"/>
  <c r="V265" i="523"/>
  <c r="N265" i="523"/>
  <c r="K265" i="523" a="1"/>
  <c r="K265" i="523" s="1"/>
  <c r="M265" i="523" s="1"/>
  <c r="J265" i="523" a="1"/>
  <c r="J265" i="523" s="1"/>
  <c r="H265" i="523"/>
  <c r="N264" i="523"/>
  <c r="K264" i="523" a="1"/>
  <c r="K264" i="523" s="1"/>
  <c r="M264" i="523" s="1"/>
  <c r="H264" i="523"/>
  <c r="V263" i="523"/>
  <c r="W263" i="523" s="1"/>
  <c r="N263" i="523"/>
  <c r="K263" i="523"/>
  <c r="M263" i="523" s="1"/>
  <c r="K263" i="523" a="1"/>
  <c r="J263" i="523"/>
  <c r="J263" i="523" a="1"/>
  <c r="H263" i="523"/>
  <c r="V262" i="523"/>
  <c r="W262" i="523" s="1"/>
  <c r="N262" i="523"/>
  <c r="K262" i="523" a="1"/>
  <c r="K262" i="523" s="1"/>
  <c r="M262" i="523" s="1"/>
  <c r="J262" i="523" a="1"/>
  <c r="J262" i="523" s="1"/>
  <c r="H262" i="523"/>
  <c r="V261" i="523"/>
  <c r="W261" i="523" s="1"/>
  <c r="N261" i="523"/>
  <c r="K261" i="523" a="1"/>
  <c r="K261" i="523" s="1"/>
  <c r="M261" i="523" s="1"/>
  <c r="J261" i="523" a="1"/>
  <c r="J261" i="523" s="1"/>
  <c r="H261" i="523"/>
  <c r="V260" i="523"/>
  <c r="W260" i="523" s="1"/>
  <c r="N260" i="523"/>
  <c r="K260" i="523" a="1"/>
  <c r="K260" i="523" s="1"/>
  <c r="M260" i="523" s="1"/>
  <c r="J260" i="523" a="1"/>
  <c r="J260" i="523" s="1"/>
  <c r="H260" i="523"/>
  <c r="V259" i="523"/>
  <c r="W259" i="523" s="1"/>
  <c r="N259" i="523"/>
  <c r="K259" i="523"/>
  <c r="M259" i="523" s="1"/>
  <c r="K259" i="523" a="1"/>
  <c r="J259" i="523" a="1"/>
  <c r="J259" i="523" s="1"/>
  <c r="H259" i="523"/>
  <c r="V258" i="523"/>
  <c r="W258" i="523" s="1"/>
  <c r="N258" i="523"/>
  <c r="K258" i="523" a="1"/>
  <c r="K258" i="523" s="1"/>
  <c r="M258" i="523" s="1"/>
  <c r="J258" i="523" a="1"/>
  <c r="J258" i="523" s="1"/>
  <c r="H258" i="523"/>
  <c r="V257" i="523"/>
  <c r="N257" i="523"/>
  <c r="N291" i="523" s="1"/>
  <c r="K257" i="523"/>
  <c r="K257" i="523" a="1"/>
  <c r="J257" i="523"/>
  <c r="J257" i="523" a="1"/>
  <c r="H257" i="523"/>
  <c r="AA256" i="523"/>
  <c r="Z256" i="523"/>
  <c r="Y256" i="523"/>
  <c r="X256" i="523"/>
  <c r="U256" i="523"/>
  <c r="T256" i="523"/>
  <c r="S256" i="523"/>
  <c r="R256" i="523"/>
  <c r="Q256" i="523"/>
  <c r="P256" i="523"/>
  <c r="O256" i="523"/>
  <c r="R336" i="523" s="1"/>
  <c r="I256" i="523"/>
  <c r="G256" i="523"/>
  <c r="H255" i="523"/>
  <c r="H254" i="523"/>
  <c r="H253" i="523"/>
  <c r="H252" i="523"/>
  <c r="H251" i="523"/>
  <c r="H250" i="523"/>
  <c r="K249" i="523" a="1"/>
  <c r="K249" i="523" s="1"/>
  <c r="M249" i="523" s="1"/>
  <c r="H249" i="523"/>
  <c r="K248" i="523"/>
  <c r="M248" i="523" s="1"/>
  <c r="K248" i="523" a="1"/>
  <c r="H248" i="523"/>
  <c r="K247" i="523" a="1"/>
  <c r="K247" i="523" s="1"/>
  <c r="M247" i="523" s="1"/>
  <c r="H247" i="523"/>
  <c r="K246" i="523" a="1"/>
  <c r="K246" i="523" s="1"/>
  <c r="M246" i="523" s="1"/>
  <c r="H246" i="523"/>
  <c r="V245" i="523"/>
  <c r="W245" i="523" s="1"/>
  <c r="N245" i="523"/>
  <c r="K245" i="523"/>
  <c r="M245" i="523" s="1"/>
  <c r="K245" i="523" a="1"/>
  <c r="J245" i="523" a="1"/>
  <c r="J245" i="523" s="1"/>
  <c r="H245" i="523"/>
  <c r="W244" i="523"/>
  <c r="V244" i="523"/>
  <c r="N244" i="523"/>
  <c r="K244" i="523" a="1"/>
  <c r="K244" i="523" s="1"/>
  <c r="M244" i="523" s="1"/>
  <c r="J244" i="523" a="1"/>
  <c r="J244" i="523" s="1"/>
  <c r="H244" i="523"/>
  <c r="V243" i="523"/>
  <c r="W243" i="523" s="1"/>
  <c r="N243" i="523"/>
  <c r="K243" i="523" a="1"/>
  <c r="K243" i="523" s="1"/>
  <c r="M243" i="523" s="1"/>
  <c r="J243" i="523" a="1"/>
  <c r="J243" i="523" s="1"/>
  <c r="H243" i="523"/>
  <c r="V242" i="523"/>
  <c r="W242" i="523" s="1"/>
  <c r="N242" i="523"/>
  <c r="K242" i="523"/>
  <c r="M242" i="523" s="1"/>
  <c r="K242" i="523" a="1"/>
  <c r="J242" i="523"/>
  <c r="J242" i="523" a="1"/>
  <c r="H242" i="523"/>
  <c r="M241" i="523"/>
  <c r="H241" i="523"/>
  <c r="V240" i="523"/>
  <c r="W240" i="523" s="1"/>
  <c r="N240" i="523"/>
  <c r="K240" i="523" a="1"/>
  <c r="K240" i="523" s="1"/>
  <c r="M240" i="523" s="1"/>
  <c r="J240" i="523" a="1"/>
  <c r="J240" i="523" s="1"/>
  <c r="H240" i="523"/>
  <c r="V239" i="523"/>
  <c r="W239" i="523" s="1"/>
  <c r="N239" i="523"/>
  <c r="K239" i="523" a="1"/>
  <c r="K239" i="523" s="1"/>
  <c r="M239" i="523" s="1"/>
  <c r="J239" i="523" a="1"/>
  <c r="J239" i="523" s="1"/>
  <c r="H239" i="523"/>
  <c r="K238" i="523" a="1"/>
  <c r="K238" i="523" s="1"/>
  <c r="M238" i="523" s="1"/>
  <c r="H238" i="523"/>
  <c r="H237" i="523"/>
  <c r="V236" i="523"/>
  <c r="W236" i="523" s="1"/>
  <c r="N236" i="523"/>
  <c r="K236" i="523" a="1"/>
  <c r="K236" i="523" s="1"/>
  <c r="M236" i="523" s="1"/>
  <c r="J236" i="523" a="1"/>
  <c r="J236" i="523" s="1"/>
  <c r="H236" i="523"/>
  <c r="V235" i="523"/>
  <c r="W235" i="523" s="1"/>
  <c r="N235" i="523"/>
  <c r="K235" i="523" a="1"/>
  <c r="K235" i="523" s="1"/>
  <c r="M235" i="523" s="1"/>
  <c r="J235" i="523" a="1"/>
  <c r="J235" i="523" s="1"/>
  <c r="H235" i="523"/>
  <c r="V234" i="523"/>
  <c r="W234" i="523" s="1"/>
  <c r="N234" i="523"/>
  <c r="K234" i="523" a="1"/>
  <c r="K234" i="523" s="1"/>
  <c r="M234" i="523" s="1"/>
  <c r="J234" i="523" a="1"/>
  <c r="J234" i="523" s="1"/>
  <c r="H234" i="523"/>
  <c r="V233" i="523"/>
  <c r="W233" i="523" s="1"/>
  <c r="N233" i="523"/>
  <c r="K233" i="523"/>
  <c r="M233" i="523" s="1"/>
  <c r="K233" i="523" a="1"/>
  <c r="J233" i="523"/>
  <c r="J233" i="523" a="1"/>
  <c r="H233" i="523"/>
  <c r="V232" i="523"/>
  <c r="W232" i="523" s="1"/>
  <c r="N232" i="523"/>
  <c r="K232" i="523" a="1"/>
  <c r="K232" i="523" s="1"/>
  <c r="M232" i="523" s="1"/>
  <c r="J232" i="523" a="1"/>
  <c r="J232" i="523" s="1"/>
  <c r="H232" i="523"/>
  <c r="V231" i="523"/>
  <c r="W231" i="523" s="1"/>
  <c r="N231" i="523"/>
  <c r="K231" i="523" a="1"/>
  <c r="K231" i="523" s="1"/>
  <c r="M231" i="523" s="1"/>
  <c r="J231" i="523" a="1"/>
  <c r="J231" i="523" s="1"/>
  <c r="H231" i="523"/>
  <c r="V230" i="523"/>
  <c r="W230" i="523" s="1"/>
  <c r="N230" i="523"/>
  <c r="K230" i="523" a="1"/>
  <c r="K230" i="523" s="1"/>
  <c r="M230" i="523" s="1"/>
  <c r="J230" i="523" a="1"/>
  <c r="J230" i="523" s="1"/>
  <c r="H230" i="523"/>
  <c r="V229" i="523"/>
  <c r="W229" i="523" s="1"/>
  <c r="N229" i="523"/>
  <c r="K229" i="523"/>
  <c r="M229" i="523" s="1"/>
  <c r="K229" i="523" a="1"/>
  <c r="J229" i="523" a="1"/>
  <c r="J229" i="523" s="1"/>
  <c r="H229" i="523"/>
  <c r="V228" i="523"/>
  <c r="W228" i="523" s="1"/>
  <c r="N228" i="523"/>
  <c r="K228" i="523" a="1"/>
  <c r="K228" i="523" s="1"/>
  <c r="M228" i="523" s="1"/>
  <c r="J228" i="523" a="1"/>
  <c r="J228" i="523" s="1"/>
  <c r="H228" i="523"/>
  <c r="V227" i="523"/>
  <c r="W227" i="523" s="1"/>
  <c r="N227" i="523"/>
  <c r="K227" i="523" a="1"/>
  <c r="K227" i="523" s="1"/>
  <c r="M227" i="523" s="1"/>
  <c r="J227" i="523" a="1"/>
  <c r="J227" i="523" s="1"/>
  <c r="H227" i="523"/>
  <c r="N226" i="523"/>
  <c r="K226" i="523" a="1"/>
  <c r="K226" i="523" s="1"/>
  <c r="M226" i="523" s="1"/>
  <c r="H226" i="523"/>
  <c r="N225" i="523"/>
  <c r="K225" i="523"/>
  <c r="M225" i="523" s="1"/>
  <c r="K225" i="523" a="1"/>
  <c r="H225" i="523"/>
  <c r="N224" i="523"/>
  <c r="K224" i="523" a="1"/>
  <c r="K224" i="523" s="1"/>
  <c r="M224" i="523" s="1"/>
  <c r="H224" i="523"/>
  <c r="N223" i="523"/>
  <c r="K223" i="523" a="1"/>
  <c r="K223" i="523" s="1"/>
  <c r="M223" i="523" s="1"/>
  <c r="H223" i="523"/>
  <c r="N222" i="523"/>
  <c r="K222" i="523" a="1"/>
  <c r="K222" i="523" s="1"/>
  <c r="M222" i="523" s="1"/>
  <c r="H222" i="523"/>
  <c r="N221" i="523"/>
  <c r="K221" i="523"/>
  <c r="M221" i="523" s="1"/>
  <c r="K221" i="523" a="1"/>
  <c r="H221" i="523"/>
  <c r="N220" i="523"/>
  <c r="K220" i="523" a="1"/>
  <c r="K220" i="523" s="1"/>
  <c r="M220" i="523" s="1"/>
  <c r="H220" i="523"/>
  <c r="N219" i="523"/>
  <c r="K219" i="523" a="1"/>
  <c r="K219" i="523" s="1"/>
  <c r="M219" i="523" s="1"/>
  <c r="H219" i="523"/>
  <c r="V218" i="523"/>
  <c r="W218" i="523" s="1"/>
  <c r="N218" i="523"/>
  <c r="K218" i="523" a="1"/>
  <c r="K218" i="523" s="1"/>
  <c r="M218" i="523" s="1"/>
  <c r="J218" i="523" a="1"/>
  <c r="J218" i="523" s="1"/>
  <c r="H218" i="523"/>
  <c r="V217" i="523"/>
  <c r="W217" i="523" s="1"/>
  <c r="N217" i="523"/>
  <c r="K217" i="523"/>
  <c r="M217" i="523" s="1"/>
  <c r="K217" i="523" a="1"/>
  <c r="J217" i="523"/>
  <c r="J217" i="523" a="1"/>
  <c r="H217" i="523"/>
  <c r="V216" i="523"/>
  <c r="W216" i="523" s="1"/>
  <c r="N216" i="523"/>
  <c r="K216" i="523" a="1"/>
  <c r="K216" i="523" s="1"/>
  <c r="M216" i="523" s="1"/>
  <c r="J216" i="523" a="1"/>
  <c r="J216" i="523" s="1"/>
  <c r="H216" i="523"/>
  <c r="V215" i="523"/>
  <c r="W215" i="523" s="1"/>
  <c r="N215" i="523"/>
  <c r="K215" i="523" a="1"/>
  <c r="K215" i="523" s="1"/>
  <c r="M215" i="523" s="1"/>
  <c r="J215" i="523" a="1"/>
  <c r="J215" i="523" s="1"/>
  <c r="H215" i="523"/>
  <c r="V214" i="523"/>
  <c r="W214" i="523" s="1"/>
  <c r="N214" i="523"/>
  <c r="K214" i="523" a="1"/>
  <c r="K214" i="523" s="1"/>
  <c r="M214" i="523" s="1"/>
  <c r="J214" i="523" a="1"/>
  <c r="J214" i="523" s="1"/>
  <c r="H214" i="523"/>
  <c r="V213" i="523"/>
  <c r="W213" i="523" s="1"/>
  <c r="N213" i="523"/>
  <c r="K213" i="523"/>
  <c r="M213" i="523" s="1"/>
  <c r="K213" i="523" a="1"/>
  <c r="J213" i="523"/>
  <c r="J213" i="523" a="1"/>
  <c r="H213" i="523"/>
  <c r="V212" i="523"/>
  <c r="W212" i="523" s="1"/>
  <c r="N212" i="523"/>
  <c r="K212" i="523" a="1"/>
  <c r="K212" i="523" s="1"/>
  <c r="M212" i="523" s="1"/>
  <c r="J212" i="523" a="1"/>
  <c r="J212" i="523" s="1"/>
  <c r="H212" i="523"/>
  <c r="V211" i="523"/>
  <c r="W211" i="523" s="1"/>
  <c r="N211" i="523"/>
  <c r="K211" i="523" a="1"/>
  <c r="K211" i="523" s="1"/>
  <c r="M211" i="523" s="1"/>
  <c r="J211" i="523" a="1"/>
  <c r="J211" i="523" s="1"/>
  <c r="H211" i="523"/>
  <c r="V210" i="523"/>
  <c r="W210" i="523" s="1"/>
  <c r="N210" i="523"/>
  <c r="K210" i="523" a="1"/>
  <c r="K210" i="523" s="1"/>
  <c r="M210" i="523" s="1"/>
  <c r="J210" i="523" a="1"/>
  <c r="J210" i="523" s="1"/>
  <c r="H210" i="523"/>
  <c r="V209" i="523"/>
  <c r="W209" i="523" s="1"/>
  <c r="N209" i="523"/>
  <c r="K209" i="523"/>
  <c r="M209" i="523" s="1"/>
  <c r="K209" i="523" a="1"/>
  <c r="J209" i="523"/>
  <c r="J209" i="523" a="1"/>
  <c r="H209" i="523"/>
  <c r="V208" i="523"/>
  <c r="W208" i="523" s="1"/>
  <c r="N208" i="523"/>
  <c r="K208" i="523" a="1"/>
  <c r="K208" i="523" s="1"/>
  <c r="M208" i="523" s="1"/>
  <c r="J208" i="523" a="1"/>
  <c r="J208" i="523" s="1"/>
  <c r="H208" i="523"/>
  <c r="V207" i="523"/>
  <c r="W207" i="523" s="1"/>
  <c r="N207" i="523"/>
  <c r="K207" i="523" a="1"/>
  <c r="K207" i="523" s="1"/>
  <c r="M207" i="523" s="1"/>
  <c r="J207" i="523" a="1"/>
  <c r="J207" i="523" s="1"/>
  <c r="H207" i="523"/>
  <c r="H206" i="523"/>
  <c r="H205" i="523"/>
  <c r="H204" i="523"/>
  <c r="V203" i="523"/>
  <c r="W203" i="523" s="1"/>
  <c r="N203" i="523"/>
  <c r="K203" i="523"/>
  <c r="M203" i="523" s="1"/>
  <c r="K203" i="523" a="1"/>
  <c r="J203" i="523"/>
  <c r="J203" i="523" a="1"/>
  <c r="H203" i="523"/>
  <c r="V202" i="523"/>
  <c r="W202" i="523" s="1"/>
  <c r="N202" i="523"/>
  <c r="K202" i="523" a="1"/>
  <c r="K202" i="523" s="1"/>
  <c r="M202" i="523" s="1"/>
  <c r="J202" i="523" a="1"/>
  <c r="J202" i="523" s="1"/>
  <c r="H202" i="523"/>
  <c r="V201" i="523"/>
  <c r="W201" i="523" s="1"/>
  <c r="N201" i="523"/>
  <c r="K201" i="523" a="1"/>
  <c r="K201" i="523" s="1"/>
  <c r="M201" i="523" s="1"/>
  <c r="J201" i="523" a="1"/>
  <c r="J201" i="523" s="1"/>
  <c r="H201" i="523"/>
  <c r="H200" i="523"/>
  <c r="V199" i="523"/>
  <c r="V256" i="523" s="1"/>
  <c r="W256" i="523" s="1"/>
  <c r="N199" i="523"/>
  <c r="N256" i="523" s="1"/>
  <c r="K199" i="523"/>
  <c r="K199" i="523" a="1"/>
  <c r="J199" i="523"/>
  <c r="J199" i="523" a="1"/>
  <c r="H199" i="523"/>
  <c r="H256" i="523" s="1"/>
  <c r="AA198" i="523"/>
  <c r="AA333" i="523" s="1"/>
  <c r="Z198" i="523"/>
  <c r="Z333" i="523" s="1"/>
  <c r="Y198" i="523"/>
  <c r="Y333" i="523" s="1"/>
  <c r="X198" i="523"/>
  <c r="X333" i="523" s="1"/>
  <c r="U198" i="523"/>
  <c r="U333" i="523" s="1"/>
  <c r="T198" i="523"/>
  <c r="T333" i="523" s="1"/>
  <c r="S198" i="523"/>
  <c r="S333" i="523" s="1"/>
  <c r="R198" i="523"/>
  <c r="R333" i="523" s="1"/>
  <c r="Q198" i="523"/>
  <c r="Q333" i="523" s="1"/>
  <c r="P198" i="523"/>
  <c r="X336" i="523" s="1"/>
  <c r="O198" i="523"/>
  <c r="O333" i="523" s="1"/>
  <c r="I198" i="523"/>
  <c r="I333" i="523" s="1"/>
  <c r="B341" i="523" s="1"/>
  <c r="G198" i="523"/>
  <c r="V197" i="523"/>
  <c r="W197" i="523" s="1"/>
  <c r="N197" i="523"/>
  <c r="K197" i="523" a="1"/>
  <c r="K197" i="523" s="1"/>
  <c r="M197" i="523" s="1"/>
  <c r="J197" i="523" a="1"/>
  <c r="J197" i="523" s="1"/>
  <c r="H197" i="523"/>
  <c r="V196" i="523"/>
  <c r="W196" i="523" s="1"/>
  <c r="N196" i="523"/>
  <c r="K196" i="523" a="1"/>
  <c r="K196" i="523" s="1"/>
  <c r="M196" i="523" s="1"/>
  <c r="J196" i="523" a="1"/>
  <c r="J196" i="523" s="1"/>
  <c r="H196" i="523"/>
  <c r="K195" i="523" a="1"/>
  <c r="K195" i="523" s="1"/>
  <c r="M195" i="523" s="1"/>
  <c r="H195" i="523"/>
  <c r="K194" i="523" a="1"/>
  <c r="K194" i="523" s="1"/>
  <c r="M194" i="523" s="1"/>
  <c r="H194" i="523"/>
  <c r="K193" i="523" a="1"/>
  <c r="K193" i="523" s="1"/>
  <c r="M193" i="523" s="1"/>
  <c r="H193" i="523"/>
  <c r="K192" i="523" a="1"/>
  <c r="K192" i="523" s="1"/>
  <c r="M192" i="523" s="1"/>
  <c r="H192" i="523"/>
  <c r="W191" i="523"/>
  <c r="V191" i="523"/>
  <c r="N191" i="523"/>
  <c r="K191" i="523" a="1"/>
  <c r="K191" i="523" s="1"/>
  <c r="M191" i="523" s="1"/>
  <c r="J191" i="523" a="1"/>
  <c r="J191" i="523" s="1"/>
  <c r="H191" i="523"/>
  <c r="V190" i="523"/>
  <c r="W190" i="523" s="1"/>
  <c r="N190" i="523"/>
  <c r="K190" i="523" a="1"/>
  <c r="K190" i="523" s="1"/>
  <c r="M190" i="523" s="1"/>
  <c r="J190" i="523" a="1"/>
  <c r="J190" i="523" s="1"/>
  <c r="H190" i="523"/>
  <c r="V189" i="523"/>
  <c r="W189" i="523" s="1"/>
  <c r="N189" i="523"/>
  <c r="K189" i="523"/>
  <c r="M189" i="523" s="1"/>
  <c r="K189" i="523" a="1"/>
  <c r="J189" i="523"/>
  <c r="J189" i="523" a="1"/>
  <c r="H189" i="523"/>
  <c r="N188" i="523"/>
  <c r="K188" i="523" a="1"/>
  <c r="K188" i="523" s="1"/>
  <c r="M188" i="523" s="1"/>
  <c r="J188" i="523" a="1"/>
  <c r="J188" i="523" s="1"/>
  <c r="H188" i="523"/>
  <c r="N187" i="523"/>
  <c r="K187" i="523"/>
  <c r="M187" i="523" s="1"/>
  <c r="K187" i="523" a="1"/>
  <c r="J187" i="523"/>
  <c r="J187" i="523" a="1"/>
  <c r="H187" i="523"/>
  <c r="V186" i="523"/>
  <c r="W186" i="523" s="1"/>
  <c r="N186" i="523"/>
  <c r="K186" i="523" a="1"/>
  <c r="K186" i="523" s="1"/>
  <c r="M186" i="523" s="1"/>
  <c r="J186" i="523" a="1"/>
  <c r="J186" i="523" s="1"/>
  <c r="H186" i="523"/>
  <c r="W185" i="523"/>
  <c r="V185" i="523"/>
  <c r="N185" i="523"/>
  <c r="K185" i="523" a="1"/>
  <c r="K185" i="523" s="1"/>
  <c r="M185" i="523" s="1"/>
  <c r="J185" i="523" a="1"/>
  <c r="J185" i="523" s="1"/>
  <c r="H185" i="523"/>
  <c r="N184" i="523"/>
  <c r="K184" i="523" a="1"/>
  <c r="K184" i="523" s="1"/>
  <c r="M184" i="523" s="1"/>
  <c r="H184" i="523"/>
  <c r="N183" i="523"/>
  <c r="K183" i="523"/>
  <c r="M183" i="523" s="1"/>
  <c r="K183" i="523" a="1"/>
  <c r="H183" i="523"/>
  <c r="V182" i="523"/>
  <c r="W182" i="523" s="1"/>
  <c r="N182" i="523"/>
  <c r="K182" i="523" a="1"/>
  <c r="K182" i="523" s="1"/>
  <c r="M182" i="523" s="1"/>
  <c r="J182" i="523" a="1"/>
  <c r="J182" i="523" s="1"/>
  <c r="H182" i="523"/>
  <c r="V181" i="523"/>
  <c r="W181" i="523" s="1"/>
  <c r="N181" i="523"/>
  <c r="K181" i="523" a="1"/>
  <c r="K181" i="523" s="1"/>
  <c r="M181" i="523" s="1"/>
  <c r="J181" i="523" a="1"/>
  <c r="J181" i="523" s="1"/>
  <c r="H181" i="523"/>
  <c r="V180" i="523"/>
  <c r="W180" i="523" s="1"/>
  <c r="N180" i="523"/>
  <c r="K180" i="523" a="1"/>
  <c r="K180" i="523" s="1"/>
  <c r="M180" i="523" s="1"/>
  <c r="J180" i="523" a="1"/>
  <c r="J180" i="523" s="1"/>
  <c r="H180" i="523"/>
  <c r="V179" i="523"/>
  <c r="W179" i="523" s="1"/>
  <c r="N179" i="523"/>
  <c r="K179" i="523"/>
  <c r="M179" i="523" s="1"/>
  <c r="K179" i="523" a="1"/>
  <c r="J179" i="523"/>
  <c r="J179" i="523" a="1"/>
  <c r="H179" i="523"/>
  <c r="V178" i="523"/>
  <c r="W178" i="523" s="1"/>
  <c r="N178" i="523"/>
  <c r="K178" i="523" a="1"/>
  <c r="K178" i="523" s="1"/>
  <c r="M178" i="523" s="1"/>
  <c r="J178" i="523" a="1"/>
  <c r="J178" i="523" s="1"/>
  <c r="H178" i="523"/>
  <c r="V177" i="523"/>
  <c r="V198" i="523" s="1"/>
  <c r="N177" i="523"/>
  <c r="N198" i="523" s="1"/>
  <c r="K177" i="523" a="1"/>
  <c r="K177" i="523" s="1"/>
  <c r="J177" i="523" a="1"/>
  <c r="J177" i="523" s="1"/>
  <c r="H177" i="523"/>
  <c r="H198" i="523" s="1"/>
  <c r="X170" i="523"/>
  <c r="Q526" i="523" s="1"/>
  <c r="X169" i="523"/>
  <c r="Q525" i="523" s="1"/>
  <c r="G169" i="523"/>
  <c r="C169" i="523"/>
  <c r="X168" i="523"/>
  <c r="I168" i="523"/>
  <c r="E168" i="523"/>
  <c r="K168" i="523" s="1"/>
  <c r="M168" i="523" s="1"/>
  <c r="I167" i="523"/>
  <c r="E167" i="523"/>
  <c r="K167" i="523" s="1"/>
  <c r="M167" i="523" s="1"/>
  <c r="I166" i="523"/>
  <c r="E166" i="523"/>
  <c r="K166" i="523" s="1"/>
  <c r="M166" i="523" s="1"/>
  <c r="X165" i="523"/>
  <c r="I165" i="523"/>
  <c r="I169" i="523" s="1"/>
  <c r="E165" i="523"/>
  <c r="E169" i="523" s="1"/>
  <c r="AA162" i="523"/>
  <c r="Z162" i="523"/>
  <c r="Y162" i="523"/>
  <c r="X162" i="523"/>
  <c r="U162" i="523"/>
  <c r="T162" i="523"/>
  <c r="S162" i="523"/>
  <c r="R162" i="523"/>
  <c r="Q162" i="523"/>
  <c r="P162" i="523"/>
  <c r="O162" i="523"/>
  <c r="I162" i="523"/>
  <c r="G162" i="523"/>
  <c r="C526" i="523" s="1"/>
  <c r="H161" i="523"/>
  <c r="H160" i="523"/>
  <c r="H159" i="523"/>
  <c r="V158" i="523"/>
  <c r="W158" i="523" s="1"/>
  <c r="N158" i="523"/>
  <c r="K158" i="523" a="1"/>
  <c r="K158" i="523" s="1"/>
  <c r="J158" i="523" a="1"/>
  <c r="J158" i="523" s="1"/>
  <c r="D158" i="523"/>
  <c r="H158" i="523" s="1"/>
  <c r="V157" i="523"/>
  <c r="W157" i="523" s="1"/>
  <c r="N157" i="523"/>
  <c r="K157" i="523" a="1"/>
  <c r="K157" i="523" s="1"/>
  <c r="M157" i="523" s="1"/>
  <c r="J157" i="523" a="1"/>
  <c r="J157" i="523" s="1"/>
  <c r="H157" i="523"/>
  <c r="H156" i="523"/>
  <c r="H155" i="523"/>
  <c r="V154" i="523"/>
  <c r="W154" i="523" s="1"/>
  <c r="N154" i="523"/>
  <c r="K154" i="523" a="1"/>
  <c r="K154" i="523" s="1"/>
  <c r="M154" i="523" s="1"/>
  <c r="J154" i="523" a="1"/>
  <c r="J154" i="523" s="1"/>
  <c r="H154" i="523"/>
  <c r="V153" i="523"/>
  <c r="W153" i="523" s="1"/>
  <c r="N153" i="523"/>
  <c r="K153" i="523" a="1"/>
  <c r="K153" i="523" s="1"/>
  <c r="M153" i="523" s="1"/>
  <c r="J153" i="523" a="1"/>
  <c r="J153" i="523" s="1"/>
  <c r="H153" i="523"/>
  <c r="H152" i="523"/>
  <c r="V151" i="523"/>
  <c r="W151" i="523" s="1"/>
  <c r="N151" i="523"/>
  <c r="K151" i="523" a="1"/>
  <c r="K151" i="523" s="1"/>
  <c r="M151" i="523" s="1"/>
  <c r="J151" i="523" a="1"/>
  <c r="J151" i="523" s="1"/>
  <c r="H151" i="523"/>
  <c r="V150" i="523"/>
  <c r="W150" i="523" s="1"/>
  <c r="N150" i="523"/>
  <c r="K150" i="523"/>
  <c r="M150" i="523" s="1"/>
  <c r="K150" i="523" a="1"/>
  <c r="J150" i="523"/>
  <c r="J150" i="523" a="1"/>
  <c r="H150" i="523"/>
  <c r="V149" i="523"/>
  <c r="W149" i="523" s="1"/>
  <c r="N149" i="523"/>
  <c r="K149" i="523" a="1"/>
  <c r="K149" i="523" s="1"/>
  <c r="M149" i="523" s="1"/>
  <c r="J149" i="523" a="1"/>
  <c r="J149" i="523" s="1"/>
  <c r="H149" i="523"/>
  <c r="V148" i="523"/>
  <c r="V162" i="523" s="1"/>
  <c r="N148" i="523"/>
  <c r="N162" i="523" s="1"/>
  <c r="K148" i="523" a="1"/>
  <c r="K148" i="523" s="1"/>
  <c r="K162" i="523" s="1"/>
  <c r="J148" i="523" a="1"/>
  <c r="J148" i="523" s="1"/>
  <c r="H148" i="523"/>
  <c r="AA147" i="523"/>
  <c r="Z147" i="523"/>
  <c r="Y147" i="523"/>
  <c r="X147" i="523"/>
  <c r="U147" i="523"/>
  <c r="T147" i="523"/>
  <c r="S147" i="523"/>
  <c r="Q147" i="523"/>
  <c r="P147" i="523"/>
  <c r="O147" i="523"/>
  <c r="I147" i="523"/>
  <c r="G147" i="523"/>
  <c r="C525" i="523" s="1"/>
  <c r="V146" i="523"/>
  <c r="W146" i="523" s="1"/>
  <c r="N146" i="523"/>
  <c r="K146" i="523" a="1"/>
  <c r="K146" i="523" s="1"/>
  <c r="M146" i="523" s="1"/>
  <c r="J146" i="523" a="1"/>
  <c r="J146" i="523" s="1"/>
  <c r="H146" i="523"/>
  <c r="H143" i="523"/>
  <c r="V142" i="523"/>
  <c r="W142" i="523" s="1"/>
  <c r="N142" i="523"/>
  <c r="K142" i="523" a="1"/>
  <c r="K142" i="523" s="1"/>
  <c r="M142" i="523" s="1"/>
  <c r="J142" i="523" a="1"/>
  <c r="J142" i="523" s="1"/>
  <c r="H142" i="523"/>
  <c r="V141" i="523"/>
  <c r="W141" i="523" s="1"/>
  <c r="N141" i="523"/>
  <c r="K141" i="523"/>
  <c r="M141" i="523" s="1"/>
  <c r="K141" i="523" a="1"/>
  <c r="J141" i="523"/>
  <c r="J141" i="523" a="1"/>
  <c r="H141" i="523"/>
  <c r="V140" i="523"/>
  <c r="W140" i="523" s="1"/>
  <c r="N140" i="523"/>
  <c r="K140" i="523" a="1"/>
  <c r="K140" i="523" s="1"/>
  <c r="M140" i="523" s="1"/>
  <c r="J140" i="523" a="1"/>
  <c r="J140" i="523" s="1"/>
  <c r="H140" i="523"/>
  <c r="V139" i="523"/>
  <c r="W139" i="523" s="1"/>
  <c r="N139" i="523"/>
  <c r="K139" i="523" a="1"/>
  <c r="K139" i="523" s="1"/>
  <c r="M139" i="523" s="1"/>
  <c r="J139" i="523" a="1"/>
  <c r="J139" i="523" s="1"/>
  <c r="H139" i="523"/>
  <c r="V138" i="523"/>
  <c r="W138" i="523" s="1"/>
  <c r="N138" i="523"/>
  <c r="K138" i="523" a="1"/>
  <c r="K138" i="523" s="1"/>
  <c r="J138" i="523" a="1"/>
  <c r="J138" i="523" s="1"/>
  <c r="H138" i="523"/>
  <c r="AA137" i="523"/>
  <c r="Z137" i="523"/>
  <c r="Y137" i="523"/>
  <c r="X137" i="523"/>
  <c r="U137" i="523"/>
  <c r="T137" i="523"/>
  <c r="S137" i="523"/>
  <c r="Q137" i="523"/>
  <c r="P137" i="523"/>
  <c r="O137" i="523"/>
  <c r="R168" i="523" s="1"/>
  <c r="I137" i="523"/>
  <c r="G137" i="523"/>
  <c r="C524" i="523" s="1"/>
  <c r="V136" i="523"/>
  <c r="W136" i="523" s="1"/>
  <c r="N136" i="523"/>
  <c r="K136" i="523" a="1"/>
  <c r="K136" i="523" s="1"/>
  <c r="M136" i="523" s="1"/>
  <c r="J136" i="523" a="1"/>
  <c r="J136" i="523" s="1"/>
  <c r="H136" i="523"/>
  <c r="V135" i="523"/>
  <c r="W135" i="523" s="1"/>
  <c r="N135" i="523"/>
  <c r="K135" i="523" a="1"/>
  <c r="K135" i="523" s="1"/>
  <c r="M135" i="523" s="1"/>
  <c r="J135" i="523" a="1"/>
  <c r="J135" i="523" s="1"/>
  <c r="H135" i="523"/>
  <c r="V134" i="523"/>
  <c r="W134" i="523" s="1"/>
  <c r="N134" i="523"/>
  <c r="K134" i="523"/>
  <c r="M134" i="523" s="1"/>
  <c r="K134" i="523" a="1"/>
  <c r="J134" i="523"/>
  <c r="J134" i="523" a="1"/>
  <c r="H134" i="523"/>
  <c r="V133" i="523"/>
  <c r="W133" i="523" s="1"/>
  <c r="N133" i="523"/>
  <c r="K133" i="523" a="1"/>
  <c r="K133" i="523" s="1"/>
  <c r="M133" i="523" s="1"/>
  <c r="J133" i="523" a="1"/>
  <c r="J133" i="523" s="1"/>
  <c r="H133" i="523"/>
  <c r="V132" i="523"/>
  <c r="W132" i="523" s="1"/>
  <c r="N132" i="523"/>
  <c r="K132" i="523" a="1"/>
  <c r="K132" i="523" s="1"/>
  <c r="M132" i="523" s="1"/>
  <c r="J132" i="523" a="1"/>
  <c r="J132" i="523" s="1"/>
  <c r="H132" i="523"/>
  <c r="V131" i="523"/>
  <c r="W131" i="523" s="1"/>
  <c r="N131" i="523"/>
  <c r="K131" i="523" a="1"/>
  <c r="K131" i="523" s="1"/>
  <c r="M131" i="523" s="1"/>
  <c r="J131" i="523" a="1"/>
  <c r="J131" i="523" s="1"/>
  <c r="H131" i="523"/>
  <c r="V130" i="523"/>
  <c r="W130" i="523" s="1"/>
  <c r="N130" i="523"/>
  <c r="K130" i="523"/>
  <c r="M130" i="523" s="1"/>
  <c r="K130" i="523" a="1"/>
  <c r="J130" i="523"/>
  <c r="J130" i="523" a="1"/>
  <c r="H130" i="523"/>
  <c r="V129" i="523"/>
  <c r="W129" i="523" s="1"/>
  <c r="N129" i="523"/>
  <c r="K129" i="523" a="1"/>
  <c r="K129" i="523" s="1"/>
  <c r="M129" i="523" s="1"/>
  <c r="J129" i="523" a="1"/>
  <c r="J129" i="523" s="1"/>
  <c r="H129" i="523"/>
  <c r="V128" i="523"/>
  <c r="W128" i="523" s="1"/>
  <c r="N128" i="523"/>
  <c r="K128" i="523" a="1"/>
  <c r="K128" i="523" s="1"/>
  <c r="M128" i="523" s="1"/>
  <c r="J128" i="523" a="1"/>
  <c r="J128" i="523" s="1"/>
  <c r="H128" i="523"/>
  <c r="V127" i="523"/>
  <c r="W127" i="523" s="1"/>
  <c r="N127" i="523"/>
  <c r="K127" i="523" a="1"/>
  <c r="K127" i="523" s="1"/>
  <c r="M127" i="523" s="1"/>
  <c r="J127" i="523" a="1"/>
  <c r="J127" i="523" s="1"/>
  <c r="H127" i="523"/>
  <c r="V126" i="523"/>
  <c r="W126" i="523" s="1"/>
  <c r="N126" i="523"/>
  <c r="K126" i="523"/>
  <c r="M126" i="523" s="1"/>
  <c r="K126" i="523" a="1"/>
  <c r="J126" i="523"/>
  <c r="J126" i="523" a="1"/>
  <c r="H126" i="523"/>
  <c r="V125" i="523"/>
  <c r="W125" i="523" s="1"/>
  <c r="N125" i="523"/>
  <c r="K125" i="523" a="1"/>
  <c r="K125" i="523" s="1"/>
  <c r="M125" i="523" s="1"/>
  <c r="J125" i="523" a="1"/>
  <c r="J125" i="523" s="1"/>
  <c r="H125" i="523"/>
  <c r="V124" i="523"/>
  <c r="W124" i="523" s="1"/>
  <c r="N124" i="523"/>
  <c r="K124" i="523"/>
  <c r="M124" i="523" s="1"/>
  <c r="K124" i="523" a="1"/>
  <c r="J124" i="523" a="1"/>
  <c r="J124" i="523" s="1"/>
  <c r="H124" i="523"/>
  <c r="V123" i="523"/>
  <c r="W123" i="523" s="1"/>
  <c r="N123" i="523"/>
  <c r="K123" i="523" a="1"/>
  <c r="K123" i="523" s="1"/>
  <c r="M123" i="523" s="1"/>
  <c r="J123" i="523" a="1"/>
  <c r="J123" i="523" s="1"/>
  <c r="H123" i="523"/>
  <c r="V122" i="523"/>
  <c r="N122" i="523"/>
  <c r="K122" i="523"/>
  <c r="M122" i="523" s="1"/>
  <c r="K122" i="523" a="1"/>
  <c r="J122" i="523"/>
  <c r="J122" i="523" a="1"/>
  <c r="H122" i="523"/>
  <c r="AA121" i="523"/>
  <c r="Z121" i="523"/>
  <c r="Y121" i="523"/>
  <c r="X121" i="523"/>
  <c r="U121" i="523"/>
  <c r="T121" i="523"/>
  <c r="S121" i="523"/>
  <c r="R121" i="523"/>
  <c r="Q121" i="523"/>
  <c r="P121" i="523"/>
  <c r="O121" i="523"/>
  <c r="R167" i="523" s="1"/>
  <c r="I121" i="523"/>
  <c r="G121" i="523"/>
  <c r="C523" i="523" s="1"/>
  <c r="V120" i="523"/>
  <c r="W120" i="523" s="1"/>
  <c r="N120" i="523"/>
  <c r="K120" i="523" a="1"/>
  <c r="K120" i="523" s="1"/>
  <c r="M120" i="523" s="1"/>
  <c r="J120" i="523" a="1"/>
  <c r="J120" i="523" s="1"/>
  <c r="H120" i="523"/>
  <c r="V119" i="523"/>
  <c r="W119" i="523" s="1"/>
  <c r="N119" i="523"/>
  <c r="K119" i="523" a="1"/>
  <c r="K119" i="523" s="1"/>
  <c r="M119" i="523" s="1"/>
  <c r="J119" i="523" a="1"/>
  <c r="J119" i="523" s="1"/>
  <c r="H119" i="523"/>
  <c r="V118" i="523"/>
  <c r="W118" i="523" s="1"/>
  <c r="N118" i="523"/>
  <c r="K118" i="523"/>
  <c r="M118" i="523" s="1"/>
  <c r="K118" i="523" a="1"/>
  <c r="J118" i="523"/>
  <c r="J118" i="523" a="1"/>
  <c r="H118" i="523"/>
  <c r="K117" i="523" a="1"/>
  <c r="K117" i="523" s="1"/>
  <c r="H117" i="523"/>
  <c r="K116" i="523" a="1"/>
  <c r="K116" i="523" s="1"/>
  <c r="H116" i="523"/>
  <c r="K115" i="523" a="1"/>
  <c r="K115" i="523" s="1"/>
  <c r="H115" i="523"/>
  <c r="V114" i="523"/>
  <c r="W114" i="523" s="1"/>
  <c r="N114" i="523"/>
  <c r="K114" i="523" a="1"/>
  <c r="K114" i="523" s="1"/>
  <c r="M114" i="523" s="1"/>
  <c r="J114" i="523" a="1"/>
  <c r="J114" i="523" s="1"/>
  <c r="H114" i="523"/>
  <c r="V113" i="523"/>
  <c r="W113" i="523" s="1"/>
  <c r="N113" i="523"/>
  <c r="K113" i="523" a="1"/>
  <c r="K113" i="523" s="1"/>
  <c r="M113" i="523" s="1"/>
  <c r="J113" i="523" a="1"/>
  <c r="J113" i="523" s="1"/>
  <c r="H113" i="523"/>
  <c r="N112" i="523"/>
  <c r="K112" i="523"/>
  <c r="M112" i="523" s="1"/>
  <c r="K112" i="523" a="1"/>
  <c r="H112" i="523"/>
  <c r="N111" i="523"/>
  <c r="K111" i="523" a="1"/>
  <c r="K111" i="523" s="1"/>
  <c r="M111" i="523" s="1"/>
  <c r="H111" i="523"/>
  <c r="N110" i="523"/>
  <c r="K110" i="523" a="1"/>
  <c r="K110" i="523" s="1"/>
  <c r="M110" i="523" s="1"/>
  <c r="H110" i="523"/>
  <c r="N109" i="523"/>
  <c r="K109" i="523" a="1"/>
  <c r="K109" i="523" s="1"/>
  <c r="M109" i="523" s="1"/>
  <c r="H109" i="523"/>
  <c r="N108" i="523"/>
  <c r="K108" i="523" a="1"/>
  <c r="K108" i="523" s="1"/>
  <c r="M108" i="523" s="1"/>
  <c r="H108" i="523"/>
  <c r="N107" i="523"/>
  <c r="K107" i="523" a="1"/>
  <c r="K107" i="523" s="1"/>
  <c r="M107" i="523" s="1"/>
  <c r="H107" i="523"/>
  <c r="V106" i="523"/>
  <c r="W106" i="523" s="1"/>
  <c r="N106" i="523"/>
  <c r="K106" i="523" a="1"/>
  <c r="K106" i="523" s="1"/>
  <c r="M106" i="523" s="1"/>
  <c r="J106" i="523" a="1"/>
  <c r="J106" i="523" s="1"/>
  <c r="H106" i="523"/>
  <c r="V105" i="523"/>
  <c r="W105" i="523" s="1"/>
  <c r="N105" i="523"/>
  <c r="K105" i="523" a="1"/>
  <c r="K105" i="523" s="1"/>
  <c r="M105" i="523" s="1"/>
  <c r="J105" i="523" a="1"/>
  <c r="J105" i="523" s="1"/>
  <c r="H105" i="523"/>
  <c r="V104" i="523"/>
  <c r="W104" i="523" s="1"/>
  <c r="N104" i="523"/>
  <c r="K104" i="523"/>
  <c r="M104" i="523" s="1"/>
  <c r="K104" i="523" a="1"/>
  <c r="J104" i="523"/>
  <c r="J104" i="523" a="1"/>
  <c r="H104" i="523"/>
  <c r="V103" i="523"/>
  <c r="W103" i="523" s="1"/>
  <c r="N103" i="523"/>
  <c r="K103" i="523" a="1"/>
  <c r="K103" i="523" s="1"/>
  <c r="M103" i="523" s="1"/>
  <c r="J103" i="523" a="1"/>
  <c r="J103" i="523" s="1"/>
  <c r="H103" i="523"/>
  <c r="V102" i="523"/>
  <c r="W102" i="523" s="1"/>
  <c r="N102" i="523"/>
  <c r="K102" i="523" a="1"/>
  <c r="K102" i="523" s="1"/>
  <c r="M102" i="523" s="1"/>
  <c r="J102" i="523" a="1"/>
  <c r="J102" i="523" s="1"/>
  <c r="H102" i="523"/>
  <c r="V101" i="523"/>
  <c r="W101" i="523" s="1"/>
  <c r="N101" i="523"/>
  <c r="K101" i="523" a="1"/>
  <c r="K101" i="523" s="1"/>
  <c r="M101" i="523" s="1"/>
  <c r="J101" i="523" a="1"/>
  <c r="J101" i="523" s="1"/>
  <c r="H101" i="523"/>
  <c r="V100" i="523"/>
  <c r="W100" i="523" s="1"/>
  <c r="N100" i="523"/>
  <c r="K100" i="523"/>
  <c r="M100" i="523" s="1"/>
  <c r="K100" i="523" a="1"/>
  <c r="J100" i="523"/>
  <c r="J100" i="523" a="1"/>
  <c r="H100" i="523"/>
  <c r="V99" i="523"/>
  <c r="W99" i="523" s="1"/>
  <c r="N99" i="523"/>
  <c r="K99" i="523" a="1"/>
  <c r="K99" i="523" s="1"/>
  <c r="M99" i="523" s="1"/>
  <c r="J99" i="523" a="1"/>
  <c r="J99" i="523" s="1"/>
  <c r="H99" i="523"/>
  <c r="V98" i="523"/>
  <c r="W98" i="523" s="1"/>
  <c r="N98" i="523"/>
  <c r="K98" i="523" a="1"/>
  <c r="K98" i="523" s="1"/>
  <c r="M98" i="523" s="1"/>
  <c r="J98" i="523" a="1"/>
  <c r="J98" i="523" s="1"/>
  <c r="H98" i="523"/>
  <c r="V97" i="523"/>
  <c r="W97" i="523" s="1"/>
  <c r="N97" i="523"/>
  <c r="K97" i="523" a="1"/>
  <c r="K97" i="523" s="1"/>
  <c r="M97" i="523" s="1"/>
  <c r="J97" i="523" a="1"/>
  <c r="J97" i="523" s="1"/>
  <c r="H97" i="523"/>
  <c r="V96" i="523"/>
  <c r="W96" i="523" s="1"/>
  <c r="N96" i="523"/>
  <c r="K96" i="523"/>
  <c r="M96" i="523" s="1"/>
  <c r="K96" i="523" a="1"/>
  <c r="J96" i="523"/>
  <c r="J96" i="523" a="1"/>
  <c r="H96" i="523"/>
  <c r="V95" i="523"/>
  <c r="W95" i="523" s="1"/>
  <c r="N95" i="523"/>
  <c r="K95" i="523" a="1"/>
  <c r="K95" i="523" s="1"/>
  <c r="M95" i="523" s="1"/>
  <c r="J95" i="523" a="1"/>
  <c r="J95" i="523" s="1"/>
  <c r="H95" i="523"/>
  <c r="K94" i="523" a="1"/>
  <c r="K94" i="523" s="1"/>
  <c r="M94" i="523" s="1"/>
  <c r="H94" i="523"/>
  <c r="W93" i="523"/>
  <c r="V93" i="523"/>
  <c r="N93" i="523"/>
  <c r="K93" i="523" a="1"/>
  <c r="K93" i="523" s="1"/>
  <c r="M93" i="523" s="1"/>
  <c r="J93" i="523" a="1"/>
  <c r="J93" i="523" s="1"/>
  <c r="H93" i="523"/>
  <c r="V92" i="523"/>
  <c r="W92" i="523" s="1"/>
  <c r="N92" i="523"/>
  <c r="K92" i="523" a="1"/>
  <c r="K92" i="523" s="1"/>
  <c r="M92" i="523" s="1"/>
  <c r="J92" i="523" a="1"/>
  <c r="J92" i="523" s="1"/>
  <c r="H92" i="523"/>
  <c r="V91" i="523"/>
  <c r="W91" i="523" s="1"/>
  <c r="N91" i="523"/>
  <c r="K91" i="523" a="1"/>
  <c r="K91" i="523" s="1"/>
  <c r="M91" i="523" s="1"/>
  <c r="J91" i="523" a="1"/>
  <c r="J91" i="523" s="1"/>
  <c r="H91" i="523"/>
  <c r="V90" i="523"/>
  <c r="W90" i="523" s="1"/>
  <c r="N90" i="523"/>
  <c r="K90" i="523" a="1"/>
  <c r="K90" i="523" s="1"/>
  <c r="M90" i="523" s="1"/>
  <c r="J90" i="523" a="1"/>
  <c r="J90" i="523" s="1"/>
  <c r="H90" i="523"/>
  <c r="V89" i="523"/>
  <c r="W89" i="523" s="1"/>
  <c r="N89" i="523"/>
  <c r="K89" i="523" a="1"/>
  <c r="K89" i="523" s="1"/>
  <c r="M89" i="523" s="1"/>
  <c r="J89" i="523" a="1"/>
  <c r="J89" i="523" s="1"/>
  <c r="H89" i="523"/>
  <c r="V88" i="523"/>
  <c r="W88" i="523" s="1"/>
  <c r="N88" i="523"/>
  <c r="K88" i="523" a="1"/>
  <c r="K88" i="523" s="1"/>
  <c r="M88" i="523" s="1"/>
  <c r="J88" i="523" a="1"/>
  <c r="J88" i="523" s="1"/>
  <c r="H88" i="523"/>
  <c r="V87" i="523"/>
  <c r="V121" i="523" s="1"/>
  <c r="W121" i="523" s="1"/>
  <c r="N87" i="523"/>
  <c r="K87" i="523"/>
  <c r="M87" i="523" s="1"/>
  <c r="K87" i="523" a="1"/>
  <c r="J87" i="523"/>
  <c r="J87" i="523" a="1"/>
  <c r="H87" i="523"/>
  <c r="H121" i="523" s="1"/>
  <c r="AA86" i="523"/>
  <c r="Z86" i="523"/>
  <c r="Y86" i="523"/>
  <c r="X86" i="523"/>
  <c r="U86" i="523"/>
  <c r="T86" i="523"/>
  <c r="S86" i="523"/>
  <c r="R86" i="523"/>
  <c r="Q86" i="523"/>
  <c r="P86" i="523"/>
  <c r="O86" i="523"/>
  <c r="R166" i="523" s="1"/>
  <c r="I86" i="523"/>
  <c r="G86" i="523"/>
  <c r="C522" i="523" s="1"/>
  <c r="K85" i="523" a="1"/>
  <c r="K85" i="523" s="1"/>
  <c r="H85" i="523"/>
  <c r="K84" i="523" a="1"/>
  <c r="K84" i="523" s="1"/>
  <c r="H84" i="523"/>
  <c r="K83" i="523" a="1"/>
  <c r="K83" i="523" s="1"/>
  <c r="H83" i="523"/>
  <c r="K82" i="523" a="1"/>
  <c r="K82" i="523" s="1"/>
  <c r="H82" i="523"/>
  <c r="K81" i="523" a="1"/>
  <c r="K81" i="523" s="1"/>
  <c r="H81" i="523"/>
  <c r="K80" i="523" a="1"/>
  <c r="K80" i="523" s="1"/>
  <c r="H80" i="523"/>
  <c r="K79" i="523" a="1"/>
  <c r="K79" i="523" s="1"/>
  <c r="M79" i="523" s="1"/>
  <c r="H79" i="523"/>
  <c r="K78" i="523" a="1"/>
  <c r="K78" i="523" s="1"/>
  <c r="M78" i="523" s="1"/>
  <c r="H78" i="523"/>
  <c r="K77" i="523" a="1"/>
  <c r="K77" i="523" s="1"/>
  <c r="M77" i="523" s="1"/>
  <c r="H77" i="523"/>
  <c r="K76" i="523" a="1"/>
  <c r="K76" i="523" s="1"/>
  <c r="M76" i="523" s="1"/>
  <c r="H76" i="523"/>
  <c r="W75" i="523"/>
  <c r="V75" i="523"/>
  <c r="N75" i="523"/>
  <c r="K75" i="523" a="1"/>
  <c r="K75" i="523" s="1"/>
  <c r="M75" i="523" s="1"/>
  <c r="J75" i="523" a="1"/>
  <c r="J75" i="523" s="1"/>
  <c r="H75" i="523"/>
  <c r="V74" i="523"/>
  <c r="W74" i="523" s="1"/>
  <c r="N74" i="523"/>
  <c r="K74" i="523" a="1"/>
  <c r="K74" i="523" s="1"/>
  <c r="M74" i="523" s="1"/>
  <c r="J74" i="523" a="1"/>
  <c r="J74" i="523" s="1"/>
  <c r="H74" i="523"/>
  <c r="V73" i="523"/>
  <c r="W73" i="523" s="1"/>
  <c r="N73" i="523"/>
  <c r="K73" i="523"/>
  <c r="M73" i="523" s="1"/>
  <c r="K73" i="523" a="1"/>
  <c r="J73" i="523"/>
  <c r="J73" i="523" a="1"/>
  <c r="H73" i="523"/>
  <c r="V72" i="523"/>
  <c r="W72" i="523" s="1"/>
  <c r="N72" i="523"/>
  <c r="K72" i="523" a="1"/>
  <c r="K72" i="523" s="1"/>
  <c r="M72" i="523" s="1"/>
  <c r="J72" i="523" a="1"/>
  <c r="J72" i="523" s="1"/>
  <c r="H72" i="523"/>
  <c r="H71" i="523"/>
  <c r="V70" i="523"/>
  <c r="W70" i="523" s="1"/>
  <c r="N70" i="523"/>
  <c r="K70" i="523" a="1"/>
  <c r="K70" i="523" s="1"/>
  <c r="M70" i="523" s="1"/>
  <c r="J70" i="523" a="1"/>
  <c r="J70" i="523" s="1"/>
  <c r="H70" i="523"/>
  <c r="V69" i="523"/>
  <c r="W69" i="523" s="1"/>
  <c r="N69" i="523"/>
  <c r="K69" i="523" a="1"/>
  <c r="K69" i="523" s="1"/>
  <c r="M69" i="523" s="1"/>
  <c r="J69" i="523" a="1"/>
  <c r="J69" i="523" s="1"/>
  <c r="H69" i="523"/>
  <c r="K68" i="523" a="1"/>
  <c r="K68" i="523" s="1"/>
  <c r="H68" i="523"/>
  <c r="K67" i="523"/>
  <c r="K67" i="523" a="1"/>
  <c r="H67" i="523"/>
  <c r="V66" i="523"/>
  <c r="W66" i="523" s="1"/>
  <c r="N66" i="523"/>
  <c r="K66" i="523" a="1"/>
  <c r="K66" i="523" s="1"/>
  <c r="M66" i="523" s="1"/>
  <c r="J66" i="523" a="1"/>
  <c r="J66" i="523" s="1"/>
  <c r="H66" i="523"/>
  <c r="V65" i="523"/>
  <c r="W65" i="523" s="1"/>
  <c r="N65" i="523"/>
  <c r="K65" i="523" a="1"/>
  <c r="K65" i="523" s="1"/>
  <c r="M65" i="523" s="1"/>
  <c r="J65" i="523" a="1"/>
  <c r="J65" i="523" s="1"/>
  <c r="H65" i="523"/>
  <c r="V64" i="523"/>
  <c r="W64" i="523" s="1"/>
  <c r="N64" i="523"/>
  <c r="K64" i="523" a="1"/>
  <c r="K64" i="523" s="1"/>
  <c r="M64" i="523" s="1"/>
  <c r="J64" i="523" a="1"/>
  <c r="J64" i="523" s="1"/>
  <c r="H64" i="523"/>
  <c r="V63" i="523"/>
  <c r="W63" i="523" s="1"/>
  <c r="N63" i="523"/>
  <c r="K63" i="523"/>
  <c r="M63" i="523" s="1"/>
  <c r="K63" i="523" a="1"/>
  <c r="J63" i="523"/>
  <c r="J63" i="523" a="1"/>
  <c r="H63" i="523"/>
  <c r="V62" i="523"/>
  <c r="W62" i="523" s="1"/>
  <c r="N62" i="523"/>
  <c r="K62" i="523" a="1"/>
  <c r="K62" i="523" s="1"/>
  <c r="M62" i="523" s="1"/>
  <c r="J62" i="523" a="1"/>
  <c r="J62" i="523" s="1"/>
  <c r="H62" i="523"/>
  <c r="V61" i="523"/>
  <c r="W61" i="523" s="1"/>
  <c r="N61" i="523"/>
  <c r="K61" i="523" a="1"/>
  <c r="K61" i="523" s="1"/>
  <c r="M61" i="523" s="1"/>
  <c r="J61" i="523" a="1"/>
  <c r="J61" i="523" s="1"/>
  <c r="H61" i="523"/>
  <c r="V60" i="523"/>
  <c r="W60" i="523" s="1"/>
  <c r="N60" i="523"/>
  <c r="K60" i="523" a="1"/>
  <c r="K60" i="523" s="1"/>
  <c r="M60" i="523" s="1"/>
  <c r="J60" i="523" a="1"/>
  <c r="J60" i="523" s="1"/>
  <c r="H60" i="523"/>
  <c r="V59" i="523"/>
  <c r="W59" i="523" s="1"/>
  <c r="N59" i="523"/>
  <c r="K59" i="523"/>
  <c r="M59" i="523" s="1"/>
  <c r="K59" i="523" a="1"/>
  <c r="J59" i="523"/>
  <c r="J59" i="523" a="1"/>
  <c r="H59" i="523"/>
  <c r="V58" i="523"/>
  <c r="W58" i="523" s="1"/>
  <c r="N58" i="523"/>
  <c r="K58" i="523" a="1"/>
  <c r="K58" i="523" s="1"/>
  <c r="M58" i="523" s="1"/>
  <c r="J58" i="523" a="1"/>
  <c r="J58" i="523" s="1"/>
  <c r="H58" i="523"/>
  <c r="V57" i="523"/>
  <c r="W57" i="523" s="1"/>
  <c r="N57" i="523"/>
  <c r="K57" i="523" a="1"/>
  <c r="K57" i="523" s="1"/>
  <c r="M57" i="523" s="1"/>
  <c r="J57" i="523" a="1"/>
  <c r="J57" i="523" s="1"/>
  <c r="H57" i="523"/>
  <c r="K56" i="523"/>
  <c r="M56" i="523" s="1"/>
  <c r="K56" i="523" a="1"/>
  <c r="H56" i="523"/>
  <c r="K55" i="523" a="1"/>
  <c r="K55" i="523" s="1"/>
  <c r="M55" i="523" s="1"/>
  <c r="H55" i="523"/>
  <c r="K54" i="523"/>
  <c r="M54" i="523" s="1"/>
  <c r="K54" i="523" a="1"/>
  <c r="H54" i="523"/>
  <c r="K53" i="523" a="1"/>
  <c r="K53" i="523" s="1"/>
  <c r="M53" i="523" s="1"/>
  <c r="H53" i="523"/>
  <c r="N52" i="523"/>
  <c r="K52" i="523" a="1"/>
  <c r="K52" i="523" s="1"/>
  <c r="M52" i="523" s="1"/>
  <c r="H52" i="523"/>
  <c r="N51" i="523"/>
  <c r="K51" i="523" a="1"/>
  <c r="K51" i="523" s="1"/>
  <c r="M51" i="523" s="1"/>
  <c r="H51" i="523"/>
  <c r="N50" i="523"/>
  <c r="K50" i="523" a="1"/>
  <c r="K50" i="523" s="1"/>
  <c r="M50" i="523" s="1"/>
  <c r="H50" i="523"/>
  <c r="N49" i="523"/>
  <c r="K49" i="523" a="1"/>
  <c r="K49" i="523" s="1"/>
  <c r="M49" i="523" s="1"/>
  <c r="H49" i="523"/>
  <c r="V48" i="523"/>
  <c r="W48" i="523" s="1"/>
  <c r="N48" i="523"/>
  <c r="K48" i="523" a="1"/>
  <c r="K48" i="523" s="1"/>
  <c r="M48" i="523" s="1"/>
  <c r="J48" i="523" a="1"/>
  <c r="J48" i="523" s="1"/>
  <c r="H48" i="523"/>
  <c r="V47" i="523"/>
  <c r="W47" i="523" s="1"/>
  <c r="N47" i="523"/>
  <c r="K47" i="523"/>
  <c r="M47" i="523" s="1"/>
  <c r="K47" i="523" a="1"/>
  <c r="J47" i="523"/>
  <c r="J47" i="523" a="1"/>
  <c r="H47" i="523"/>
  <c r="V46" i="523"/>
  <c r="W46" i="523" s="1"/>
  <c r="N46" i="523"/>
  <c r="K46" i="523" a="1"/>
  <c r="K46" i="523" s="1"/>
  <c r="M46" i="523" s="1"/>
  <c r="J46" i="523" a="1"/>
  <c r="J46" i="523" s="1"/>
  <c r="H46" i="523"/>
  <c r="V45" i="523"/>
  <c r="W45" i="523" s="1"/>
  <c r="N45" i="523"/>
  <c r="K45" i="523" a="1"/>
  <c r="K45" i="523" s="1"/>
  <c r="M45" i="523" s="1"/>
  <c r="J45" i="523" a="1"/>
  <c r="J45" i="523" s="1"/>
  <c r="H45" i="523"/>
  <c r="V44" i="523"/>
  <c r="W44" i="523" s="1"/>
  <c r="N44" i="523"/>
  <c r="K44" i="523" a="1"/>
  <c r="K44" i="523" s="1"/>
  <c r="M44" i="523" s="1"/>
  <c r="J44" i="523" a="1"/>
  <c r="J44" i="523" s="1"/>
  <c r="H44" i="523"/>
  <c r="V43" i="523"/>
  <c r="W43" i="523" s="1"/>
  <c r="N43" i="523"/>
  <c r="K43" i="523"/>
  <c r="M43" i="523" s="1"/>
  <c r="K43" i="523" a="1"/>
  <c r="J43" i="523"/>
  <c r="J43" i="523" a="1"/>
  <c r="H43" i="523"/>
  <c r="V42" i="523"/>
  <c r="W42" i="523" s="1"/>
  <c r="N42" i="523"/>
  <c r="K42" i="523" a="1"/>
  <c r="K42" i="523" s="1"/>
  <c r="M42" i="523" s="1"/>
  <c r="J42" i="523" a="1"/>
  <c r="J42" i="523" s="1"/>
  <c r="H42" i="523"/>
  <c r="V41" i="523"/>
  <c r="W41" i="523" s="1"/>
  <c r="N41" i="523"/>
  <c r="K41" i="523" a="1"/>
  <c r="K41" i="523" s="1"/>
  <c r="M41" i="523" s="1"/>
  <c r="J41" i="523" a="1"/>
  <c r="J41" i="523" s="1"/>
  <c r="H41" i="523"/>
  <c r="V40" i="523"/>
  <c r="W40" i="523" s="1"/>
  <c r="N40" i="523"/>
  <c r="K40" i="523" a="1"/>
  <c r="K40" i="523" s="1"/>
  <c r="M40" i="523" s="1"/>
  <c r="J40" i="523" a="1"/>
  <c r="J40" i="523" s="1"/>
  <c r="H40" i="523"/>
  <c r="V39" i="523"/>
  <c r="W39" i="523" s="1"/>
  <c r="N39" i="523"/>
  <c r="K39" i="523"/>
  <c r="M39" i="523" s="1"/>
  <c r="K39" i="523" a="1"/>
  <c r="J39" i="523"/>
  <c r="J39" i="523" a="1"/>
  <c r="H39" i="523"/>
  <c r="V38" i="523"/>
  <c r="W38" i="523" s="1"/>
  <c r="N38" i="523"/>
  <c r="K38" i="523" a="1"/>
  <c r="K38" i="523" s="1"/>
  <c r="M38" i="523" s="1"/>
  <c r="J38" i="523" a="1"/>
  <c r="J38" i="523" s="1"/>
  <c r="H38" i="523"/>
  <c r="V37" i="523"/>
  <c r="W37" i="523" s="1"/>
  <c r="N37" i="523"/>
  <c r="K37" i="523" a="1"/>
  <c r="K37" i="523" s="1"/>
  <c r="M37" i="523" s="1"/>
  <c r="J37" i="523" a="1"/>
  <c r="J37" i="523" s="1"/>
  <c r="H37" i="523"/>
  <c r="H36" i="523"/>
  <c r="H35" i="523"/>
  <c r="H34" i="523"/>
  <c r="V33" i="523"/>
  <c r="W33" i="523" s="1"/>
  <c r="N33" i="523"/>
  <c r="K33" i="523"/>
  <c r="M33" i="523" s="1"/>
  <c r="K33" i="523" a="1"/>
  <c r="J33" i="523"/>
  <c r="J33" i="523" a="1"/>
  <c r="H33" i="523"/>
  <c r="V32" i="523"/>
  <c r="W32" i="523" s="1"/>
  <c r="N32" i="523"/>
  <c r="K32" i="523" a="1"/>
  <c r="K32" i="523" s="1"/>
  <c r="M32" i="523" s="1"/>
  <c r="J32" i="523" a="1"/>
  <c r="J32" i="523" s="1"/>
  <c r="H32" i="523"/>
  <c r="V31" i="523"/>
  <c r="W31" i="523" s="1"/>
  <c r="N31" i="523"/>
  <c r="K31" i="523" a="1"/>
  <c r="K31" i="523" s="1"/>
  <c r="M31" i="523" s="1"/>
  <c r="J31" i="523" a="1"/>
  <c r="J31" i="523" s="1"/>
  <c r="H31" i="523"/>
  <c r="K30" i="523" a="1"/>
  <c r="K30" i="523" s="1"/>
  <c r="H30" i="523"/>
  <c r="W29" i="523"/>
  <c r="V29" i="523"/>
  <c r="V86" i="523" s="1"/>
  <c r="W86" i="523" s="1"/>
  <c r="N29" i="523"/>
  <c r="K29" i="523" a="1"/>
  <c r="K29" i="523" s="1"/>
  <c r="M29" i="523" s="1"/>
  <c r="J29" i="523" a="1"/>
  <c r="J29" i="523" s="1"/>
  <c r="H29" i="523"/>
  <c r="H86" i="523" s="1"/>
  <c r="AA28" i="523"/>
  <c r="AA163" i="523" s="1"/>
  <c r="Z28" i="523"/>
  <c r="Z163" i="523" s="1"/>
  <c r="Y28" i="523"/>
  <c r="Y163" i="523" s="1"/>
  <c r="X28" i="523"/>
  <c r="X163" i="523" s="1"/>
  <c r="U28" i="523"/>
  <c r="U163" i="523" s="1"/>
  <c r="T28" i="523"/>
  <c r="T163" i="523" s="1"/>
  <c r="S28" i="523"/>
  <c r="S163" i="523" s="1"/>
  <c r="R28" i="523"/>
  <c r="R163" i="523" s="1"/>
  <c r="Q28" i="523"/>
  <c r="Q163" i="523" s="1"/>
  <c r="P28" i="523"/>
  <c r="P163" i="523" s="1"/>
  <c r="X167" i="523" s="1"/>
  <c r="O28" i="523"/>
  <c r="R165" i="523" s="1"/>
  <c r="I28" i="523"/>
  <c r="I163" i="523" s="1"/>
  <c r="B171" i="523" s="1"/>
  <c r="G28" i="523"/>
  <c r="C521" i="523" s="1"/>
  <c r="V27" i="523"/>
  <c r="W27" i="523" s="1"/>
  <c r="N27" i="523"/>
  <c r="K27" i="523" a="1"/>
  <c r="K27" i="523" s="1"/>
  <c r="M27" i="523" s="1"/>
  <c r="J27" i="523" a="1"/>
  <c r="J27" i="523" s="1"/>
  <c r="H27" i="523"/>
  <c r="V26" i="523"/>
  <c r="W26" i="523" s="1"/>
  <c r="N26" i="523"/>
  <c r="K26" i="523" a="1"/>
  <c r="K26" i="523" s="1"/>
  <c r="M26" i="523" s="1"/>
  <c r="J26" i="523" a="1"/>
  <c r="J26" i="523" s="1"/>
  <c r="H26" i="523"/>
  <c r="K25" i="523"/>
  <c r="M25" i="523" s="1"/>
  <c r="K25" i="523" a="1"/>
  <c r="J25" i="523"/>
  <c r="J25" i="523" a="1"/>
  <c r="H25" i="523"/>
  <c r="K24" i="523" a="1"/>
  <c r="K24" i="523" s="1"/>
  <c r="M24" i="523" s="1"/>
  <c r="J24" i="523" a="1"/>
  <c r="J24" i="523" s="1"/>
  <c r="H24" i="523"/>
  <c r="K23" i="523" a="1"/>
  <c r="K23" i="523" s="1"/>
  <c r="M23" i="523" s="1"/>
  <c r="J23" i="523" a="1"/>
  <c r="J23" i="523" s="1"/>
  <c r="H23" i="523"/>
  <c r="K22" i="523" a="1"/>
  <c r="K22" i="523" s="1"/>
  <c r="M22" i="523" s="1"/>
  <c r="J22" i="523" a="1"/>
  <c r="J22" i="523" s="1"/>
  <c r="H22" i="523"/>
  <c r="V21" i="523"/>
  <c r="W21" i="523" s="1"/>
  <c r="N21" i="523"/>
  <c r="K21" i="523" a="1"/>
  <c r="K21" i="523" s="1"/>
  <c r="M21" i="523" s="1"/>
  <c r="J21" i="523" a="1"/>
  <c r="J21" i="523" s="1"/>
  <c r="H21" i="523"/>
  <c r="V20" i="523"/>
  <c r="W20" i="523" s="1"/>
  <c r="N20" i="523"/>
  <c r="K20" i="523" a="1"/>
  <c r="K20" i="523" s="1"/>
  <c r="M20" i="523" s="1"/>
  <c r="J20" i="523" a="1"/>
  <c r="J20" i="523" s="1"/>
  <c r="H20" i="523"/>
  <c r="V19" i="523"/>
  <c r="W19" i="523" s="1"/>
  <c r="N19" i="523"/>
  <c r="K19" i="523"/>
  <c r="M19" i="523" s="1"/>
  <c r="K19" i="523" a="1"/>
  <c r="J19" i="523"/>
  <c r="J19" i="523" a="1"/>
  <c r="H19" i="523"/>
  <c r="N18" i="523"/>
  <c r="K18" i="523" a="1"/>
  <c r="K18" i="523" s="1"/>
  <c r="M18" i="523" s="1"/>
  <c r="J18" i="523" a="1"/>
  <c r="J18" i="523" s="1"/>
  <c r="H18" i="523"/>
  <c r="N17" i="523"/>
  <c r="K17" i="523"/>
  <c r="M17" i="523" s="1"/>
  <c r="K17" i="523" a="1"/>
  <c r="J17" i="523"/>
  <c r="J17" i="523" a="1"/>
  <c r="H17" i="523"/>
  <c r="V16" i="523"/>
  <c r="W16" i="523" s="1"/>
  <c r="N16" i="523"/>
  <c r="K16" i="523" a="1"/>
  <c r="K16" i="523" s="1"/>
  <c r="M16" i="523" s="1"/>
  <c r="J16" i="523" a="1"/>
  <c r="J16" i="523" s="1"/>
  <c r="H16" i="523"/>
  <c r="V15" i="523"/>
  <c r="W15" i="523" s="1"/>
  <c r="N15" i="523"/>
  <c r="K15" i="523" a="1"/>
  <c r="K15" i="523" s="1"/>
  <c r="M15" i="523" s="1"/>
  <c r="J15" i="523" a="1"/>
  <c r="J15" i="523" s="1"/>
  <c r="H15" i="523"/>
  <c r="N14" i="523"/>
  <c r="K14" i="523" a="1"/>
  <c r="K14" i="523" s="1"/>
  <c r="M14" i="523" s="1"/>
  <c r="H14" i="523"/>
  <c r="N13" i="523"/>
  <c r="K13" i="523"/>
  <c r="M13" i="523" s="1"/>
  <c r="K13" i="523" a="1"/>
  <c r="H13" i="523"/>
  <c r="V12" i="523"/>
  <c r="W12" i="523" s="1"/>
  <c r="N12" i="523"/>
  <c r="K12" i="523" a="1"/>
  <c r="K12" i="523" s="1"/>
  <c r="M12" i="523" s="1"/>
  <c r="J12" i="523" a="1"/>
  <c r="J12" i="523" s="1"/>
  <c r="H12" i="523"/>
  <c r="V11" i="523"/>
  <c r="W11" i="523" s="1"/>
  <c r="N11" i="523"/>
  <c r="K11" i="523" a="1"/>
  <c r="K11" i="523" s="1"/>
  <c r="M11" i="523" s="1"/>
  <c r="J11" i="523" a="1"/>
  <c r="J11" i="523" s="1"/>
  <c r="H11" i="523"/>
  <c r="V10" i="523"/>
  <c r="W10" i="523" s="1"/>
  <c r="N10" i="523"/>
  <c r="K10" i="523" a="1"/>
  <c r="K10" i="523" s="1"/>
  <c r="M10" i="523" s="1"/>
  <c r="J10" i="523" a="1"/>
  <c r="J10" i="523" s="1"/>
  <c r="H10" i="523"/>
  <c r="V9" i="523"/>
  <c r="W9" i="523" s="1"/>
  <c r="N9" i="523"/>
  <c r="K9" i="523"/>
  <c r="M9" i="523" s="1"/>
  <c r="K9" i="523" a="1"/>
  <c r="J9" i="523"/>
  <c r="J9" i="523" a="1"/>
  <c r="H9" i="523"/>
  <c r="V8" i="523"/>
  <c r="W8" i="523" s="1"/>
  <c r="N8" i="523"/>
  <c r="K8" i="523" a="1"/>
  <c r="K8" i="523" s="1"/>
  <c r="M8" i="523" s="1"/>
  <c r="J8" i="523" a="1"/>
  <c r="J8" i="523" s="1"/>
  <c r="H8" i="523"/>
  <c r="V7" i="523"/>
  <c r="W7" i="523" s="1"/>
  <c r="N7" i="523"/>
  <c r="N28" i="523" s="1"/>
  <c r="K7" i="523" a="1"/>
  <c r="K7" i="523" s="1"/>
  <c r="M7" i="523" s="1"/>
  <c r="J7" i="523" a="1"/>
  <c r="J7" i="523" s="1"/>
  <c r="H7" i="523"/>
  <c r="N461" i="524" l="1"/>
  <c r="H86" i="524"/>
  <c r="V86" i="524"/>
  <c r="W86" i="524" s="1"/>
  <c r="N291" i="524"/>
  <c r="N147" i="523"/>
  <c r="W177" i="523"/>
  <c r="H307" i="523"/>
  <c r="V307" i="523"/>
  <c r="W307" i="523" s="1"/>
  <c r="H307" i="524"/>
  <c r="W148" i="523"/>
  <c r="V291" i="523"/>
  <c r="W291" i="523" s="1"/>
  <c r="H28" i="523"/>
  <c r="V28" i="523"/>
  <c r="N86" i="523"/>
  <c r="N137" i="523"/>
  <c r="H147" i="523"/>
  <c r="H28" i="524"/>
  <c r="N137" i="524"/>
  <c r="S523" i="525"/>
  <c r="E527" i="525"/>
  <c r="K518" i="525"/>
  <c r="O518" i="525" s="1" a="1"/>
  <c r="O518" i="525" s="1"/>
  <c r="G517" i="525"/>
  <c r="S525" i="525"/>
  <c r="S524" i="525"/>
  <c r="S526" i="525"/>
  <c r="S521" i="525" a="1"/>
  <c r="S521" i="525" s="1"/>
  <c r="M525" i="525"/>
  <c r="M522" i="525"/>
  <c r="M526" i="525"/>
  <c r="M524" i="525"/>
  <c r="J291" i="524" a="1"/>
  <c r="J291" i="524" s="1"/>
  <c r="J256" i="524" a="1"/>
  <c r="J256" i="524" s="1"/>
  <c r="J307" i="524" a="1"/>
  <c r="J307" i="524" s="1"/>
  <c r="J461" i="524" a="1"/>
  <c r="J461" i="524" s="1"/>
  <c r="J461" i="523" a="1"/>
  <c r="J461" i="523" s="1"/>
  <c r="J291" i="523" a="1"/>
  <c r="J291" i="523" s="1"/>
  <c r="J307" i="523" a="1"/>
  <c r="J307" i="523" s="1"/>
  <c r="J198" i="523" a="1"/>
  <c r="J198" i="523" s="1"/>
  <c r="J256" i="523" a="1"/>
  <c r="J256" i="523" s="1"/>
  <c r="H317" i="523"/>
  <c r="V317" i="523"/>
  <c r="W317" i="523" s="1"/>
  <c r="W318" i="523"/>
  <c r="N477" i="524"/>
  <c r="W462" i="524"/>
  <c r="K503" i="524"/>
  <c r="H461" i="524"/>
  <c r="K461" i="524"/>
  <c r="V461" i="524"/>
  <c r="W461" i="524" s="1"/>
  <c r="M368" i="524"/>
  <c r="K426" i="524"/>
  <c r="H368" i="524"/>
  <c r="H504" i="524" s="1"/>
  <c r="E511" i="524" s="1"/>
  <c r="N368" i="524"/>
  <c r="N504" i="524" s="1"/>
  <c r="B513" i="524" s="1"/>
  <c r="E513" i="524" s="1"/>
  <c r="W347" i="524"/>
  <c r="W369" i="524"/>
  <c r="N307" i="524"/>
  <c r="H291" i="524"/>
  <c r="K291" i="524"/>
  <c r="V291" i="524"/>
  <c r="W291" i="524" s="1"/>
  <c r="N198" i="524"/>
  <c r="W138" i="524"/>
  <c r="J147" i="524" a="1"/>
  <c r="J147" i="524" s="1"/>
  <c r="J162" i="524" a="1"/>
  <c r="J162" i="524" s="1"/>
  <c r="M147" i="524"/>
  <c r="R169" i="524"/>
  <c r="H137" i="524"/>
  <c r="H163" i="524" s="1"/>
  <c r="E170" i="524" s="1"/>
  <c r="N121" i="524"/>
  <c r="N163" i="524" s="1"/>
  <c r="B172" i="524" s="1"/>
  <c r="E172" i="524" s="1"/>
  <c r="W7" i="524"/>
  <c r="K28" i="524"/>
  <c r="W28" i="524"/>
  <c r="C517" i="524"/>
  <c r="Q522" i="524"/>
  <c r="K86" i="524"/>
  <c r="M29" i="524"/>
  <c r="M86" i="524" s="1"/>
  <c r="K121" i="524"/>
  <c r="M87" i="524"/>
  <c r="M121" i="524" s="1"/>
  <c r="K137" i="524"/>
  <c r="M122" i="524"/>
  <c r="M137" i="524" s="1"/>
  <c r="K524" i="524"/>
  <c r="K525" i="524"/>
  <c r="K162" i="524"/>
  <c r="M148" i="524"/>
  <c r="M162" i="524" s="1"/>
  <c r="K526" i="524"/>
  <c r="K256" i="524"/>
  <c r="M199" i="524"/>
  <c r="M256" i="524" s="1"/>
  <c r="K522" i="524"/>
  <c r="K523" i="524"/>
  <c r="K198" i="524"/>
  <c r="M177" i="524"/>
  <c r="M198" i="524" s="1"/>
  <c r="M7" i="524"/>
  <c r="M28" i="524" s="1"/>
  <c r="M163" i="524" s="1"/>
  <c r="C527" i="524"/>
  <c r="E521" i="524" s="1"/>
  <c r="V137" i="524"/>
  <c r="W137" i="524" s="1"/>
  <c r="K147" i="524"/>
  <c r="V162" i="524"/>
  <c r="W162" i="524" s="1"/>
  <c r="G163" i="524"/>
  <c r="P163" i="524"/>
  <c r="X167" i="524" s="1"/>
  <c r="X172" i="524" s="1"/>
  <c r="K165" i="524"/>
  <c r="R165" i="524"/>
  <c r="J333" i="524" a="1"/>
  <c r="J333" i="524" s="1"/>
  <c r="M340" i="524" s="1"/>
  <c r="B340" i="524"/>
  <c r="O333" i="524"/>
  <c r="R335" i="524"/>
  <c r="K307" i="524"/>
  <c r="M292" i="524"/>
  <c r="M307" i="524" s="1"/>
  <c r="K317" i="524"/>
  <c r="M308" i="524"/>
  <c r="M317" i="524" s="1"/>
  <c r="K332" i="524"/>
  <c r="M318" i="524"/>
  <c r="M332" i="524" s="1"/>
  <c r="J28" i="524" a="1"/>
  <c r="J28" i="524" s="1"/>
  <c r="W29" i="524"/>
  <c r="J86" i="524" a="1"/>
  <c r="J86" i="524" s="1"/>
  <c r="W87" i="524"/>
  <c r="J121" i="524" a="1"/>
  <c r="J121" i="524" s="1"/>
  <c r="J137" i="524" a="1"/>
  <c r="J137" i="524" s="1"/>
  <c r="E526" i="524"/>
  <c r="W177" i="524"/>
  <c r="W198" i="524" s="1"/>
  <c r="J198" i="524" a="1"/>
  <c r="J198" i="524" s="1"/>
  <c r="X336" i="524"/>
  <c r="P333" i="524"/>
  <c r="X337" i="524" s="1"/>
  <c r="X342" i="524" s="1"/>
  <c r="H256" i="524"/>
  <c r="H333" i="524" s="1"/>
  <c r="E340" i="524" s="1"/>
  <c r="N256" i="524"/>
  <c r="N333" i="524" s="1"/>
  <c r="B342" i="524" s="1"/>
  <c r="W199" i="524"/>
  <c r="R338" i="524"/>
  <c r="V307" i="524"/>
  <c r="W307" i="524" s="1"/>
  <c r="W308" i="524"/>
  <c r="R339" i="524"/>
  <c r="W318" i="524"/>
  <c r="W332" i="524" s="1"/>
  <c r="R340" i="524"/>
  <c r="W368" i="524"/>
  <c r="R336" i="524"/>
  <c r="M257" i="524"/>
  <c r="M291" i="524" s="1"/>
  <c r="K335" i="524"/>
  <c r="J368" i="524" a="1"/>
  <c r="J368" i="524" s="1"/>
  <c r="K368" i="524"/>
  <c r="M427" i="524"/>
  <c r="M461" i="524" s="1"/>
  <c r="B511" i="524"/>
  <c r="J504" i="524" a="1"/>
  <c r="J504" i="524" s="1"/>
  <c r="M511" i="524" s="1"/>
  <c r="R506" i="524"/>
  <c r="X506" i="524"/>
  <c r="O504" i="524"/>
  <c r="X507" i="524" s="1"/>
  <c r="M369" i="524"/>
  <c r="M426" i="524" s="1"/>
  <c r="M462" i="524"/>
  <c r="M477" i="524" s="1"/>
  <c r="K477" i="524"/>
  <c r="K487" i="524"/>
  <c r="M478" i="524"/>
  <c r="M487" i="524" s="1"/>
  <c r="V487" i="524"/>
  <c r="W487" i="524" s="1"/>
  <c r="W503" i="524"/>
  <c r="V503" i="524"/>
  <c r="R508" i="524"/>
  <c r="R509" i="524"/>
  <c r="M488" i="524"/>
  <c r="M503" i="524" s="1"/>
  <c r="R511" i="524"/>
  <c r="K510" i="524"/>
  <c r="M506" i="524"/>
  <c r="E510" i="524"/>
  <c r="H461" i="523"/>
  <c r="V461" i="523"/>
  <c r="W461" i="523" s="1"/>
  <c r="N461" i="523"/>
  <c r="K461" i="523"/>
  <c r="H426" i="523"/>
  <c r="V426" i="523"/>
  <c r="W426" i="523" s="1"/>
  <c r="R340" i="523"/>
  <c r="K317" i="523"/>
  <c r="W332" i="523"/>
  <c r="W308" i="523"/>
  <c r="J317" i="523" a="1"/>
  <c r="J317" i="523" s="1"/>
  <c r="R339" i="523"/>
  <c r="R338" i="523"/>
  <c r="N307" i="523"/>
  <c r="N333" i="523" s="1"/>
  <c r="B342" i="523" s="1"/>
  <c r="E342" i="523" s="1"/>
  <c r="W257" i="523"/>
  <c r="V333" i="523"/>
  <c r="I342" i="523" s="1"/>
  <c r="W199" i="523"/>
  <c r="K256" i="523"/>
  <c r="K198" i="523"/>
  <c r="R169" i="523"/>
  <c r="H137" i="523"/>
  <c r="M137" i="523"/>
  <c r="V137" i="523"/>
  <c r="W137" i="523" s="1"/>
  <c r="W122" i="523"/>
  <c r="N121" i="523"/>
  <c r="N163" i="523" s="1"/>
  <c r="B172" i="523" s="1"/>
  <c r="E172" i="523" s="1"/>
  <c r="W87" i="523"/>
  <c r="M86" i="523"/>
  <c r="M28" i="523"/>
  <c r="H291" i="523"/>
  <c r="H333" i="523" s="1"/>
  <c r="E340" i="523" s="1"/>
  <c r="K291" i="523"/>
  <c r="H162" i="523"/>
  <c r="W162" i="523"/>
  <c r="J121" i="523" a="1"/>
  <c r="J121" i="523" s="1"/>
  <c r="M121" i="523"/>
  <c r="J137" i="523" a="1"/>
  <c r="J137" i="523" s="1"/>
  <c r="W28" i="523"/>
  <c r="K521" i="523"/>
  <c r="K522" i="523"/>
  <c r="K524" i="523"/>
  <c r="K147" i="523"/>
  <c r="M138" i="523"/>
  <c r="M147" i="523" s="1"/>
  <c r="C517" i="523"/>
  <c r="Q523" i="523"/>
  <c r="K523" i="523"/>
  <c r="J28" i="523" a="1"/>
  <c r="J28" i="523" s="1"/>
  <c r="K28" i="523"/>
  <c r="J86" i="523" a="1"/>
  <c r="J86" i="523" s="1"/>
  <c r="K86" i="523"/>
  <c r="K121" i="523"/>
  <c r="K137" i="523"/>
  <c r="K525" i="523"/>
  <c r="V147" i="523"/>
  <c r="W147" i="523" s="1"/>
  <c r="R170" i="523"/>
  <c r="O163" i="523"/>
  <c r="Q521" i="523"/>
  <c r="X166" i="523"/>
  <c r="X172" i="523" s="1"/>
  <c r="Q524" i="523"/>
  <c r="W198" i="523"/>
  <c r="W333" i="523" s="1"/>
  <c r="M292" i="523"/>
  <c r="M307" i="523" s="1"/>
  <c r="K307" i="523"/>
  <c r="K368" i="523"/>
  <c r="M347" i="523"/>
  <c r="M368" i="523" s="1"/>
  <c r="C527" i="523"/>
  <c r="E521" i="523" s="1"/>
  <c r="J147" i="523" a="1"/>
  <c r="J147" i="523" s="1"/>
  <c r="M148" i="523"/>
  <c r="M162" i="523" s="1"/>
  <c r="J162" i="523" a="1"/>
  <c r="J162" i="523" s="1"/>
  <c r="G163" i="523"/>
  <c r="K165" i="523"/>
  <c r="K332" i="523"/>
  <c r="M177" i="523"/>
  <c r="M198" i="523" s="1"/>
  <c r="M199" i="523"/>
  <c r="M256" i="523" s="1"/>
  <c r="M257" i="523"/>
  <c r="M291" i="523" s="1"/>
  <c r="W292" i="523"/>
  <c r="M308" i="523"/>
  <c r="M317" i="523" s="1"/>
  <c r="M318" i="523"/>
  <c r="M332" i="523" s="1"/>
  <c r="G333" i="523"/>
  <c r="P333" i="523"/>
  <c r="X337" i="523" s="1"/>
  <c r="X342" i="523" s="1"/>
  <c r="K335" i="523"/>
  <c r="R335" i="523"/>
  <c r="H368" i="523"/>
  <c r="H504" i="523" s="1"/>
  <c r="E511" i="523" s="1"/>
  <c r="N368" i="523"/>
  <c r="N504" i="523" s="1"/>
  <c r="B513" i="523" s="1"/>
  <c r="E513" i="523" s="1"/>
  <c r="W347" i="523"/>
  <c r="W368" i="523" s="1"/>
  <c r="K426" i="523"/>
  <c r="M369" i="523"/>
  <c r="M426" i="523" s="1"/>
  <c r="J368" i="523" a="1"/>
  <c r="J368" i="523" s="1"/>
  <c r="W369" i="523"/>
  <c r="R507" i="523"/>
  <c r="M427" i="523"/>
  <c r="M461" i="523" s="1"/>
  <c r="R508" i="523"/>
  <c r="M462" i="523"/>
  <c r="M477" i="523" s="1"/>
  <c r="K477" i="523"/>
  <c r="V477" i="523"/>
  <c r="W477" i="523" s="1"/>
  <c r="B511" i="523"/>
  <c r="J504" i="523" a="1"/>
  <c r="J504" i="523" s="1"/>
  <c r="M511" i="523" s="1"/>
  <c r="X506" i="523"/>
  <c r="O504" i="523"/>
  <c r="X507" i="523" s="1"/>
  <c r="R506" i="523"/>
  <c r="K487" i="523"/>
  <c r="M478" i="523"/>
  <c r="M487" i="523" s="1"/>
  <c r="V487" i="523"/>
  <c r="W487" i="523" s="1"/>
  <c r="W503" i="523"/>
  <c r="V503" i="523"/>
  <c r="K506" i="523"/>
  <c r="R509" i="523"/>
  <c r="M488" i="523"/>
  <c r="M503" i="523" s="1"/>
  <c r="R511" i="523"/>
  <c r="G290" i="522"/>
  <c r="H163" i="523" l="1"/>
  <c r="E170" i="523" s="1"/>
  <c r="M163" i="523"/>
  <c r="S527" i="525"/>
  <c r="K517" i="525"/>
  <c r="O517" i="525" s="1"/>
  <c r="K516" i="525"/>
  <c r="M504" i="524"/>
  <c r="Z335" i="524" a="1"/>
  <c r="Z335" i="524" s="1"/>
  <c r="Z341" i="524"/>
  <c r="Z339" i="524"/>
  <c r="Z338" i="524"/>
  <c r="G516" i="524"/>
  <c r="Z168" i="524"/>
  <c r="Z170" i="524"/>
  <c r="Z169" i="524"/>
  <c r="E525" i="524"/>
  <c r="E524" i="524"/>
  <c r="E522" i="524"/>
  <c r="E523" i="524"/>
  <c r="K163" i="524"/>
  <c r="E171" i="524" s="1"/>
  <c r="I171" i="524" s="1"/>
  <c r="M171" i="524" s="1"/>
  <c r="E342" i="524"/>
  <c r="C518" i="524"/>
  <c r="G518" i="524" s="1"/>
  <c r="M510" i="524"/>
  <c r="X513" i="524"/>
  <c r="Z507" i="524" s="1"/>
  <c r="K504" i="524"/>
  <c r="M335" i="524"/>
  <c r="K339" i="524"/>
  <c r="M339" i="524" s="1"/>
  <c r="Z336" i="524"/>
  <c r="W333" i="524"/>
  <c r="R342" i="524"/>
  <c r="T335" i="524" s="1" a="1"/>
  <c r="T335" i="524" s="1"/>
  <c r="Z171" i="524"/>
  <c r="Z165" i="524" a="1"/>
  <c r="Z165" i="524" s="1"/>
  <c r="K521" i="524"/>
  <c r="R172" i="524"/>
  <c r="T165" i="524" a="1"/>
  <c r="T165" i="524" s="1"/>
  <c r="Q523" i="524"/>
  <c r="Z167" i="524"/>
  <c r="E527" i="524"/>
  <c r="M333" i="524"/>
  <c r="Z166" i="524"/>
  <c r="W163" i="524"/>
  <c r="R513" i="524"/>
  <c r="T511" i="524" s="1"/>
  <c r="V504" i="524"/>
  <c r="T336" i="524"/>
  <c r="Z340" i="524"/>
  <c r="T340" i="524"/>
  <c r="Z337" i="524"/>
  <c r="M165" i="524"/>
  <c r="K169" i="524"/>
  <c r="M169" i="524" s="1"/>
  <c r="J163" i="524" a="1"/>
  <c r="J163" i="524" s="1"/>
  <c r="M170" i="524" s="1"/>
  <c r="B170" i="524"/>
  <c r="C516" i="524" s="1"/>
  <c r="V333" i="524"/>
  <c r="I342" i="524" s="1"/>
  <c r="M342" i="524" s="1" a="1"/>
  <c r="M342" i="524" s="1"/>
  <c r="K333" i="524"/>
  <c r="V163" i="524"/>
  <c r="I172" i="524" s="1"/>
  <c r="K333" i="523"/>
  <c r="E341" i="523" s="1"/>
  <c r="I341" i="523" s="1"/>
  <c r="M341" i="523" s="1"/>
  <c r="G516" i="523"/>
  <c r="E524" i="523"/>
  <c r="E523" i="523"/>
  <c r="E522" i="523"/>
  <c r="Z340" i="523"/>
  <c r="Z339" i="523"/>
  <c r="Z335" i="523" a="1"/>
  <c r="Z335" i="523" s="1"/>
  <c r="Z338" i="523"/>
  <c r="Z336" i="523"/>
  <c r="Z341" i="523"/>
  <c r="Z171" i="523"/>
  <c r="Z165" i="523" a="1"/>
  <c r="Z165" i="523" s="1"/>
  <c r="Z167" i="523"/>
  <c r="Z168" i="523"/>
  <c r="Z169" i="523"/>
  <c r="Z170" i="523"/>
  <c r="R513" i="523"/>
  <c r="T506" i="523" s="1" a="1"/>
  <c r="T506" i="523" s="1"/>
  <c r="X513" i="523"/>
  <c r="Z506" i="523" s="1" a="1"/>
  <c r="Z506" i="523" s="1"/>
  <c r="T508" i="523"/>
  <c r="M335" i="523"/>
  <c r="K339" i="523"/>
  <c r="M339" i="523" s="1"/>
  <c r="J333" i="523" a="1"/>
  <c r="J333" i="523" s="1"/>
  <c r="M340" i="523" s="1"/>
  <c r="B340" i="523"/>
  <c r="M342" i="523" s="1" a="1"/>
  <c r="M342" i="523" s="1"/>
  <c r="M333" i="523"/>
  <c r="B170" i="523"/>
  <c r="J163" i="523" a="1"/>
  <c r="J163" i="523" s="1"/>
  <c r="M170" i="523" s="1"/>
  <c r="K504" i="523"/>
  <c r="E526" i="523"/>
  <c r="E525" i="523"/>
  <c r="C518" i="523"/>
  <c r="G518" i="523" s="1"/>
  <c r="V163" i="523"/>
  <c r="I172" i="523" s="1"/>
  <c r="T511" i="523"/>
  <c r="T509" i="523"/>
  <c r="K510" i="523"/>
  <c r="M510" i="523" s="1"/>
  <c r="M506" i="523"/>
  <c r="Z507" i="523"/>
  <c r="V504" i="523"/>
  <c r="R342" i="523"/>
  <c r="T335" i="523" s="1" a="1"/>
  <c r="T335" i="523" s="1"/>
  <c r="Z337" i="523"/>
  <c r="K169" i="523"/>
  <c r="M169" i="523" s="1"/>
  <c r="M165" i="523"/>
  <c r="M504" i="523"/>
  <c r="Q522" i="523"/>
  <c r="Z166" i="523"/>
  <c r="Q527" i="523"/>
  <c r="S524" i="523" s="1"/>
  <c r="K526" i="523"/>
  <c r="K163" i="523"/>
  <c r="E171" i="523" s="1"/>
  <c r="R172" i="523"/>
  <c r="W163" i="523"/>
  <c r="I427" i="522"/>
  <c r="I431" i="522"/>
  <c r="I432" i="522"/>
  <c r="I430" i="522"/>
  <c r="M326" i="522"/>
  <c r="J326" i="522" a="1"/>
  <c r="J326" i="522" s="1"/>
  <c r="I289" i="522"/>
  <c r="I288" i="522"/>
  <c r="I290" i="522"/>
  <c r="I326" i="522"/>
  <c r="I261" i="522"/>
  <c r="I120" i="522"/>
  <c r="I118" i="522"/>
  <c r="I119" i="522"/>
  <c r="L333" i="523" l="1"/>
  <c r="I340" i="523" s="1"/>
  <c r="L163" i="524"/>
  <c r="I170" i="524" s="1"/>
  <c r="C516" i="523"/>
  <c r="T506" i="524" a="1"/>
  <c r="T506" i="524" s="1"/>
  <c r="T339" i="524"/>
  <c r="M172" i="524" a="1"/>
  <c r="M172" i="524" s="1"/>
  <c r="E341" i="524"/>
  <c r="L333" i="524"/>
  <c r="I340" i="524" s="1"/>
  <c r="I513" i="524"/>
  <c r="M513" i="524" s="1" a="1"/>
  <c r="M513" i="524" s="1"/>
  <c r="W504" i="524"/>
  <c r="T512" i="524"/>
  <c r="T507" i="524"/>
  <c r="T510" i="524"/>
  <c r="T509" i="524"/>
  <c r="Q527" i="524"/>
  <c r="K527" i="524"/>
  <c r="T171" i="524"/>
  <c r="T166" i="524"/>
  <c r="T167" i="524"/>
  <c r="T168" i="524"/>
  <c r="T169" i="524"/>
  <c r="T170" i="524"/>
  <c r="T341" i="524"/>
  <c r="T337" i="524"/>
  <c r="T338" i="524"/>
  <c r="Z512" i="524"/>
  <c r="Z509" i="524"/>
  <c r="Z510" i="524"/>
  <c r="Z511" i="524"/>
  <c r="Z508" i="524"/>
  <c r="T508" i="524"/>
  <c r="O516" i="524" a="1"/>
  <c r="O516" i="524" s="1"/>
  <c r="M521" i="524" a="1"/>
  <c r="M521" i="524" s="1"/>
  <c r="E512" i="524"/>
  <c r="I512" i="524" s="1"/>
  <c r="M512" i="524" s="1"/>
  <c r="L504" i="524"/>
  <c r="I511" i="524" s="1"/>
  <c r="Z506" i="524" a="1"/>
  <c r="Z506" i="524" s="1"/>
  <c r="T507" i="523"/>
  <c r="E527" i="523"/>
  <c r="K527" i="523"/>
  <c r="T171" i="523"/>
  <c r="T167" i="523"/>
  <c r="T165" i="523" a="1"/>
  <c r="T165" i="523" s="1"/>
  <c r="T166" i="523"/>
  <c r="T168" i="523"/>
  <c r="T169" i="523"/>
  <c r="M526" i="523"/>
  <c r="S521" i="523" a="1"/>
  <c r="S521" i="523" s="1"/>
  <c r="S522" i="523"/>
  <c r="M172" i="523" a="1"/>
  <c r="M172" i="523" s="1"/>
  <c r="S523" i="523"/>
  <c r="O516" i="523" a="1"/>
  <c r="O516" i="523" s="1"/>
  <c r="Z512" i="523"/>
  <c r="Z511" i="523"/>
  <c r="Z510" i="523"/>
  <c r="Z509" i="523"/>
  <c r="Z508" i="523"/>
  <c r="T512" i="523"/>
  <c r="T510" i="523"/>
  <c r="I171" i="523"/>
  <c r="M171" i="523" s="1"/>
  <c r="T170" i="523"/>
  <c r="S526" i="523"/>
  <c r="S525" i="523"/>
  <c r="T341" i="523"/>
  <c r="T338" i="523"/>
  <c r="T337" i="523"/>
  <c r="T340" i="523"/>
  <c r="T336" i="523"/>
  <c r="T339" i="523"/>
  <c r="I513" i="523"/>
  <c r="M513" i="523" s="1" a="1"/>
  <c r="M513" i="523" s="1"/>
  <c r="W504" i="523"/>
  <c r="E512" i="523"/>
  <c r="I512" i="523" s="1"/>
  <c r="M512" i="523" s="1"/>
  <c r="L504" i="523"/>
  <c r="I511" i="523" s="1"/>
  <c r="L163" i="523"/>
  <c r="I170" i="523" s="1"/>
  <c r="G427" i="522"/>
  <c r="G326" i="522"/>
  <c r="G260" i="522"/>
  <c r="G288" i="522"/>
  <c r="G289" i="522"/>
  <c r="G90" i="522"/>
  <c r="G118" i="522"/>
  <c r="G120" i="522"/>
  <c r="G119" i="522"/>
  <c r="P533" i="522"/>
  <c r="O533" i="522"/>
  <c r="N533" i="522"/>
  <c r="M533" i="522"/>
  <c r="L533" i="522"/>
  <c r="K533" i="522"/>
  <c r="I533" i="522"/>
  <c r="H533" i="522"/>
  <c r="G533" i="522"/>
  <c r="F533" i="522"/>
  <c r="E533" i="522"/>
  <c r="G514" i="522"/>
  <c r="N514" i="522" s="1"/>
  <c r="X512" i="522"/>
  <c r="X511" i="522"/>
  <c r="X510" i="522"/>
  <c r="G510" i="522"/>
  <c r="C510" i="522"/>
  <c r="X509" i="522"/>
  <c r="I509" i="522"/>
  <c r="E509" i="522"/>
  <c r="K509" i="522" s="1"/>
  <c r="M509" i="522" s="1"/>
  <c r="X508" i="522"/>
  <c r="I508" i="522"/>
  <c r="E508" i="522"/>
  <c r="K508" i="522" s="1"/>
  <c r="M508" i="522" s="1"/>
  <c r="I507" i="522"/>
  <c r="E507" i="522"/>
  <c r="K507" i="522" s="1"/>
  <c r="M507" i="522" s="1"/>
  <c r="I506" i="522"/>
  <c r="I510" i="522" s="1"/>
  <c r="E506" i="522"/>
  <c r="K506" i="522" s="1"/>
  <c r="AA503" i="522"/>
  <c r="Z503" i="522"/>
  <c r="Y503" i="522"/>
  <c r="X503" i="522"/>
  <c r="U503" i="522"/>
  <c r="T503" i="522"/>
  <c r="S503" i="522"/>
  <c r="R503" i="522"/>
  <c r="Q503" i="522"/>
  <c r="P503" i="522"/>
  <c r="O503" i="522"/>
  <c r="I503" i="522"/>
  <c r="G503" i="522"/>
  <c r="J503" i="522" s="1" a="1"/>
  <c r="J503" i="522" s="1"/>
  <c r="H502" i="522"/>
  <c r="H501" i="522"/>
  <c r="H500" i="522"/>
  <c r="D499" i="522"/>
  <c r="H499" i="522" s="1"/>
  <c r="V498" i="522"/>
  <c r="W498" i="522" s="1"/>
  <c r="N498" i="522"/>
  <c r="K498" i="522" a="1"/>
  <c r="K498" i="522" s="1"/>
  <c r="M498" i="522" s="1"/>
  <c r="J498" i="522" a="1"/>
  <c r="J498" i="522" s="1"/>
  <c r="H498" i="522"/>
  <c r="H497" i="522"/>
  <c r="H496" i="522"/>
  <c r="V495" i="522"/>
  <c r="W495" i="522" s="1"/>
  <c r="N495" i="522"/>
  <c r="K495" i="522" a="1"/>
  <c r="K495" i="522" s="1"/>
  <c r="M495" i="522" s="1"/>
  <c r="J495" i="522" a="1"/>
  <c r="J495" i="522" s="1"/>
  <c r="H495" i="522"/>
  <c r="V494" i="522"/>
  <c r="W494" i="522" s="1"/>
  <c r="N494" i="522"/>
  <c r="K494" i="522"/>
  <c r="M494" i="522" s="1"/>
  <c r="K494" i="522" a="1"/>
  <c r="J494" i="522"/>
  <c r="J494" i="522" a="1"/>
  <c r="H494" i="522"/>
  <c r="H493" i="522"/>
  <c r="H492" i="522"/>
  <c r="V491" i="522"/>
  <c r="W491" i="522" s="1"/>
  <c r="N491" i="522"/>
  <c r="K491" i="522" a="1"/>
  <c r="K491" i="522" s="1"/>
  <c r="M491" i="522" s="1"/>
  <c r="J491" i="522" a="1"/>
  <c r="J491" i="522" s="1"/>
  <c r="H491" i="522"/>
  <c r="V490" i="522"/>
  <c r="W490" i="522" s="1"/>
  <c r="N490" i="522"/>
  <c r="K490" i="522" a="1"/>
  <c r="K490" i="522" s="1"/>
  <c r="M490" i="522" s="1"/>
  <c r="J490" i="522" a="1"/>
  <c r="J490" i="522" s="1"/>
  <c r="H490" i="522"/>
  <c r="V489" i="522"/>
  <c r="W489" i="522" s="1"/>
  <c r="N489" i="522"/>
  <c r="K489" i="522" a="1"/>
  <c r="K489" i="522" s="1"/>
  <c r="M489" i="522" s="1"/>
  <c r="J489" i="522" a="1"/>
  <c r="J489" i="522" s="1"/>
  <c r="H489" i="522"/>
  <c r="V488" i="522"/>
  <c r="W488" i="522" s="1"/>
  <c r="N488" i="522"/>
  <c r="N503" i="522" s="1"/>
  <c r="K488" i="522" a="1"/>
  <c r="K488" i="522" s="1"/>
  <c r="K503" i="522" s="1"/>
  <c r="J488" i="522" a="1"/>
  <c r="J488" i="522" s="1"/>
  <c r="H488" i="522"/>
  <c r="H503" i="522" s="1"/>
  <c r="AA487" i="522"/>
  <c r="Z487" i="522"/>
  <c r="Y487" i="522"/>
  <c r="X487" i="522"/>
  <c r="U487" i="522"/>
  <c r="T487" i="522"/>
  <c r="S487" i="522"/>
  <c r="Q487" i="522"/>
  <c r="P487" i="522"/>
  <c r="O487" i="522"/>
  <c r="R510" i="522" s="1"/>
  <c r="I487" i="522"/>
  <c r="G487" i="522"/>
  <c r="J487" i="522" s="1" a="1"/>
  <c r="J487" i="522" s="1"/>
  <c r="V486" i="522"/>
  <c r="W486" i="522" s="1"/>
  <c r="N486" i="522"/>
  <c r="K486" i="522" a="1"/>
  <c r="K486" i="522" s="1"/>
  <c r="M486" i="522" s="1"/>
  <c r="J486" i="522" a="1"/>
  <c r="J486" i="522" s="1"/>
  <c r="H486" i="522"/>
  <c r="H483" i="522"/>
  <c r="V482" i="522"/>
  <c r="W482" i="522" s="1"/>
  <c r="N482" i="522"/>
  <c r="K482" i="522" a="1"/>
  <c r="K482" i="522" s="1"/>
  <c r="M482" i="522" s="1"/>
  <c r="J482" i="522" a="1"/>
  <c r="J482" i="522" s="1"/>
  <c r="H482" i="522"/>
  <c r="V481" i="522"/>
  <c r="W481" i="522" s="1"/>
  <c r="N481" i="522"/>
  <c r="K481" i="522" a="1"/>
  <c r="K481" i="522" s="1"/>
  <c r="M481" i="522" s="1"/>
  <c r="J481" i="522" a="1"/>
  <c r="J481" i="522" s="1"/>
  <c r="H481" i="522"/>
  <c r="V480" i="522"/>
  <c r="W480" i="522" s="1"/>
  <c r="N480" i="522"/>
  <c r="K480" i="522" a="1"/>
  <c r="K480" i="522" s="1"/>
  <c r="M480" i="522" s="1"/>
  <c r="J480" i="522" a="1"/>
  <c r="J480" i="522" s="1"/>
  <c r="H480" i="522"/>
  <c r="V479" i="522"/>
  <c r="W479" i="522" s="1"/>
  <c r="N479" i="522"/>
  <c r="K479" i="522"/>
  <c r="M479" i="522" s="1"/>
  <c r="K479" i="522" a="1"/>
  <c r="J479" i="522"/>
  <c r="J479" i="522" a="1"/>
  <c r="H479" i="522"/>
  <c r="V478" i="522"/>
  <c r="W478" i="522" s="1"/>
  <c r="N478" i="522"/>
  <c r="N487" i="522" s="1"/>
  <c r="K478" i="522" a="1"/>
  <c r="K478" i="522" s="1"/>
  <c r="J478" i="522" a="1"/>
  <c r="J478" i="522" s="1"/>
  <c r="H478" i="522"/>
  <c r="H487" i="522" s="1"/>
  <c r="AA477" i="522"/>
  <c r="Z477" i="522"/>
  <c r="Y477" i="522"/>
  <c r="X477" i="522"/>
  <c r="U477" i="522"/>
  <c r="T477" i="522"/>
  <c r="S477" i="522"/>
  <c r="Q477" i="522"/>
  <c r="P477" i="522"/>
  <c r="O477" i="522"/>
  <c r="I477" i="522"/>
  <c r="G477" i="522"/>
  <c r="J477" i="522" s="1" a="1"/>
  <c r="J477" i="522" s="1"/>
  <c r="V476" i="522"/>
  <c r="W476" i="522" s="1"/>
  <c r="N476" i="522"/>
  <c r="K476" i="522" a="1"/>
  <c r="K476" i="522" s="1"/>
  <c r="M476" i="522" s="1"/>
  <c r="J476" i="522" a="1"/>
  <c r="J476" i="522" s="1"/>
  <c r="H476" i="522"/>
  <c r="V475" i="522"/>
  <c r="W475" i="522" s="1"/>
  <c r="N475" i="522"/>
  <c r="K475" i="522" a="1"/>
  <c r="K475" i="522" s="1"/>
  <c r="M475" i="522" s="1"/>
  <c r="J475" i="522" a="1"/>
  <c r="J475" i="522" s="1"/>
  <c r="H475" i="522"/>
  <c r="V474" i="522"/>
  <c r="W474" i="522" s="1"/>
  <c r="N474" i="522"/>
  <c r="K474" i="522"/>
  <c r="M474" i="522" s="1"/>
  <c r="K474" i="522" a="1"/>
  <c r="J474" i="522"/>
  <c r="J474" i="522" a="1"/>
  <c r="H474" i="522"/>
  <c r="V473" i="522"/>
  <c r="W473" i="522" s="1"/>
  <c r="N473" i="522"/>
  <c r="K473" i="522" a="1"/>
  <c r="K473" i="522" s="1"/>
  <c r="M473" i="522" s="1"/>
  <c r="J473" i="522" a="1"/>
  <c r="J473" i="522" s="1"/>
  <c r="H473" i="522"/>
  <c r="W472" i="522"/>
  <c r="V472" i="522"/>
  <c r="N472" i="522"/>
  <c r="K472" i="522" a="1"/>
  <c r="K472" i="522" s="1"/>
  <c r="M472" i="522" s="1"/>
  <c r="J472" i="522" a="1"/>
  <c r="J472" i="522" s="1"/>
  <c r="H472" i="522"/>
  <c r="V471" i="522"/>
  <c r="W471" i="522" s="1"/>
  <c r="N471" i="522"/>
  <c r="K471" i="522" a="1"/>
  <c r="K471" i="522" s="1"/>
  <c r="M471" i="522" s="1"/>
  <c r="J471" i="522" a="1"/>
  <c r="J471" i="522" s="1"/>
  <c r="H471" i="522"/>
  <c r="V470" i="522"/>
  <c r="W470" i="522" s="1"/>
  <c r="N470" i="522"/>
  <c r="K470" i="522"/>
  <c r="M470" i="522" s="1"/>
  <c r="K470" i="522" a="1"/>
  <c r="J470" i="522"/>
  <c r="J470" i="522" a="1"/>
  <c r="H470" i="522"/>
  <c r="V469" i="522"/>
  <c r="W469" i="522" s="1"/>
  <c r="N469" i="522"/>
  <c r="K469" i="522" a="1"/>
  <c r="K469" i="522" s="1"/>
  <c r="M469" i="522" s="1"/>
  <c r="J469" i="522" a="1"/>
  <c r="J469" i="522" s="1"/>
  <c r="H469" i="522"/>
  <c r="W468" i="522"/>
  <c r="V468" i="522"/>
  <c r="N468" i="522"/>
  <c r="K468" i="522" a="1"/>
  <c r="K468" i="522" s="1"/>
  <c r="M468" i="522" s="1"/>
  <c r="J468" i="522" a="1"/>
  <c r="J468" i="522" s="1"/>
  <c r="H468" i="522"/>
  <c r="V467" i="522"/>
  <c r="W467" i="522" s="1"/>
  <c r="N467" i="522"/>
  <c r="K467" i="522" a="1"/>
  <c r="K467" i="522" s="1"/>
  <c r="M467" i="522" s="1"/>
  <c r="J467" i="522" a="1"/>
  <c r="J467" i="522" s="1"/>
  <c r="H467" i="522"/>
  <c r="V466" i="522"/>
  <c r="W466" i="522" s="1"/>
  <c r="N466" i="522"/>
  <c r="K466" i="522"/>
  <c r="M466" i="522" s="1"/>
  <c r="K466" i="522" a="1"/>
  <c r="J466" i="522"/>
  <c r="J466" i="522" a="1"/>
  <c r="H466" i="522"/>
  <c r="V465" i="522"/>
  <c r="W465" i="522" s="1"/>
  <c r="N465" i="522"/>
  <c r="K465" i="522" a="1"/>
  <c r="K465" i="522" s="1"/>
  <c r="M465" i="522" s="1"/>
  <c r="J465" i="522" a="1"/>
  <c r="J465" i="522" s="1"/>
  <c r="H465" i="522"/>
  <c r="V464" i="522"/>
  <c r="W464" i="522" s="1"/>
  <c r="N464" i="522"/>
  <c r="K464" i="522" a="1"/>
  <c r="K464" i="522" s="1"/>
  <c r="M464" i="522" s="1"/>
  <c r="J464" i="522" a="1"/>
  <c r="J464" i="522" s="1"/>
  <c r="H464" i="522"/>
  <c r="V463" i="522"/>
  <c r="W463" i="522" s="1"/>
  <c r="N463" i="522"/>
  <c r="M463" i="522"/>
  <c r="K463" i="522" a="1"/>
  <c r="K463" i="522" s="1"/>
  <c r="J463" i="522" a="1"/>
  <c r="J463" i="522" s="1"/>
  <c r="H463" i="522"/>
  <c r="W462" i="522"/>
  <c r="V462" i="522"/>
  <c r="N462" i="522"/>
  <c r="N477" i="522" s="1"/>
  <c r="K462" i="522" a="1"/>
  <c r="K462" i="522" s="1"/>
  <c r="J462" i="522" a="1"/>
  <c r="J462" i="522" s="1"/>
  <c r="H462" i="522"/>
  <c r="AA461" i="522"/>
  <c r="Z461" i="522"/>
  <c r="Y461" i="522"/>
  <c r="X461" i="522"/>
  <c r="U461" i="522"/>
  <c r="T461" i="522"/>
  <c r="S461" i="522"/>
  <c r="R461" i="522"/>
  <c r="Q461" i="522"/>
  <c r="P461" i="522"/>
  <c r="O461" i="522"/>
  <c r="I461" i="522"/>
  <c r="G461" i="522"/>
  <c r="V460" i="522"/>
  <c r="W460" i="522" s="1"/>
  <c r="N460" i="522"/>
  <c r="K460" i="522"/>
  <c r="M460" i="522" s="1"/>
  <c r="K460" i="522" a="1"/>
  <c r="J460" i="522"/>
  <c r="J460" i="522" a="1"/>
  <c r="H460" i="522"/>
  <c r="V459" i="522"/>
  <c r="W459" i="522" s="1"/>
  <c r="N459" i="522"/>
  <c r="K459" i="522" a="1"/>
  <c r="K459" i="522" s="1"/>
  <c r="M459" i="522" s="1"/>
  <c r="J459" i="522" a="1"/>
  <c r="J459" i="522" s="1"/>
  <c r="H459" i="522"/>
  <c r="V458" i="522"/>
  <c r="W458" i="522" s="1"/>
  <c r="N458" i="522"/>
  <c r="K458" i="522"/>
  <c r="M458" i="522" s="1"/>
  <c r="K458" i="522" a="1"/>
  <c r="J458" i="522"/>
  <c r="J458" i="522" a="1"/>
  <c r="H458" i="522"/>
  <c r="K457" i="522" a="1"/>
  <c r="K457" i="522" s="1"/>
  <c r="M457" i="522" s="1"/>
  <c r="H457" i="522"/>
  <c r="K456" i="522" a="1"/>
  <c r="K456" i="522" s="1"/>
  <c r="M456" i="522" s="1"/>
  <c r="H456" i="522"/>
  <c r="K455" i="522" a="1"/>
  <c r="K455" i="522" s="1"/>
  <c r="M455" i="522" s="1"/>
  <c r="H455" i="522"/>
  <c r="V454" i="522"/>
  <c r="W454" i="522" s="1"/>
  <c r="N454" i="522"/>
  <c r="K454" i="522" a="1"/>
  <c r="K454" i="522" s="1"/>
  <c r="M454" i="522" s="1"/>
  <c r="J454" i="522" a="1"/>
  <c r="J454" i="522" s="1"/>
  <c r="H454" i="522"/>
  <c r="V453" i="522"/>
  <c r="W453" i="522" s="1"/>
  <c r="N453" i="522"/>
  <c r="K453" i="522" a="1"/>
  <c r="K453" i="522" s="1"/>
  <c r="M453" i="522" s="1"/>
  <c r="J453" i="522" a="1"/>
  <c r="J453" i="522" s="1"/>
  <c r="H453" i="522"/>
  <c r="N452" i="522"/>
  <c r="K452" i="522"/>
  <c r="M452" i="522" s="1"/>
  <c r="K452" i="522" a="1"/>
  <c r="H452" i="522"/>
  <c r="N451" i="522"/>
  <c r="K451" i="522" a="1"/>
  <c r="K451" i="522" s="1"/>
  <c r="M451" i="522" s="1"/>
  <c r="H451" i="522"/>
  <c r="N450" i="522"/>
  <c r="K450" i="522" a="1"/>
  <c r="K450" i="522" s="1"/>
  <c r="M450" i="522" s="1"/>
  <c r="H450" i="522"/>
  <c r="N449" i="522"/>
  <c r="K449" i="522" a="1"/>
  <c r="K449" i="522" s="1"/>
  <c r="M449" i="522" s="1"/>
  <c r="H449" i="522"/>
  <c r="N448" i="522"/>
  <c r="K448" i="522"/>
  <c r="M448" i="522" s="1"/>
  <c r="K448" i="522" a="1"/>
  <c r="H448" i="522"/>
  <c r="N447" i="522"/>
  <c r="K447" i="522" a="1"/>
  <c r="K447" i="522" s="1"/>
  <c r="M447" i="522" s="1"/>
  <c r="H447" i="522"/>
  <c r="W446" i="522"/>
  <c r="V446" i="522"/>
  <c r="N446" i="522"/>
  <c r="K446" i="522" a="1"/>
  <c r="K446" i="522" s="1"/>
  <c r="M446" i="522" s="1"/>
  <c r="J446" i="522" a="1"/>
  <c r="J446" i="522" s="1"/>
  <c r="H446" i="522"/>
  <c r="V445" i="522"/>
  <c r="W445" i="522" s="1"/>
  <c r="N445" i="522"/>
  <c r="K445" i="522" a="1"/>
  <c r="K445" i="522" s="1"/>
  <c r="M445" i="522" s="1"/>
  <c r="J445" i="522" a="1"/>
  <c r="J445" i="522" s="1"/>
  <c r="H445" i="522"/>
  <c r="V444" i="522"/>
  <c r="W444" i="522" s="1"/>
  <c r="N444" i="522"/>
  <c r="K444" i="522"/>
  <c r="M444" i="522" s="1"/>
  <c r="K444" i="522" a="1"/>
  <c r="J444" i="522"/>
  <c r="J444" i="522" a="1"/>
  <c r="H444" i="522"/>
  <c r="V443" i="522"/>
  <c r="W443" i="522" s="1"/>
  <c r="N443" i="522"/>
  <c r="K443" i="522" a="1"/>
  <c r="K443" i="522" s="1"/>
  <c r="M443" i="522" s="1"/>
  <c r="J443" i="522" a="1"/>
  <c r="J443" i="522" s="1"/>
  <c r="H443" i="522"/>
  <c r="V442" i="522"/>
  <c r="W442" i="522" s="1"/>
  <c r="N442" i="522"/>
  <c r="K442" i="522" a="1"/>
  <c r="K442" i="522" s="1"/>
  <c r="M442" i="522" s="1"/>
  <c r="J442" i="522" a="1"/>
  <c r="J442" i="522" s="1"/>
  <c r="H442" i="522"/>
  <c r="V441" i="522"/>
  <c r="W441" i="522" s="1"/>
  <c r="N441" i="522"/>
  <c r="K441" i="522" a="1"/>
  <c r="K441" i="522" s="1"/>
  <c r="M441" i="522" s="1"/>
  <c r="J441" i="522" a="1"/>
  <c r="J441" i="522" s="1"/>
  <c r="H441" i="522"/>
  <c r="V440" i="522"/>
  <c r="W440" i="522" s="1"/>
  <c r="N440" i="522"/>
  <c r="K440" i="522"/>
  <c r="M440" i="522" s="1"/>
  <c r="K440" i="522" a="1"/>
  <c r="J440" i="522"/>
  <c r="J440" i="522" a="1"/>
  <c r="H440" i="522"/>
  <c r="V439" i="522"/>
  <c r="W439" i="522" s="1"/>
  <c r="N439" i="522"/>
  <c r="K439" i="522" a="1"/>
  <c r="K439" i="522" s="1"/>
  <c r="M439" i="522" s="1"/>
  <c r="J439" i="522" a="1"/>
  <c r="J439" i="522" s="1"/>
  <c r="H439" i="522"/>
  <c r="W438" i="522"/>
  <c r="V438" i="522"/>
  <c r="N438" i="522"/>
  <c r="K438" i="522" a="1"/>
  <c r="K438" i="522" s="1"/>
  <c r="M438" i="522" s="1"/>
  <c r="J438" i="522" a="1"/>
  <c r="J438" i="522" s="1"/>
  <c r="H438" i="522"/>
  <c r="V437" i="522"/>
  <c r="W437" i="522" s="1"/>
  <c r="N437" i="522"/>
  <c r="K437" i="522" a="1"/>
  <c r="K437" i="522" s="1"/>
  <c r="M437" i="522" s="1"/>
  <c r="J437" i="522" a="1"/>
  <c r="J437" i="522" s="1"/>
  <c r="H437" i="522"/>
  <c r="V436" i="522"/>
  <c r="W436" i="522" s="1"/>
  <c r="N436" i="522"/>
  <c r="K436" i="522"/>
  <c r="M436" i="522" s="1"/>
  <c r="K436" i="522" a="1"/>
  <c r="J436" i="522"/>
  <c r="J436" i="522" a="1"/>
  <c r="H436" i="522"/>
  <c r="V435" i="522"/>
  <c r="W435" i="522" s="1"/>
  <c r="N435" i="522"/>
  <c r="K435" i="522" a="1"/>
  <c r="K435" i="522" s="1"/>
  <c r="M435" i="522" s="1"/>
  <c r="J435" i="522" a="1"/>
  <c r="J435" i="522" s="1"/>
  <c r="H435" i="522"/>
  <c r="N434" i="522"/>
  <c r="K434" i="522" a="1"/>
  <c r="K434" i="522" s="1"/>
  <c r="M434" i="522" s="1"/>
  <c r="H434" i="522"/>
  <c r="V433" i="522"/>
  <c r="W433" i="522" s="1"/>
  <c r="N433" i="522"/>
  <c r="K433" i="522" a="1"/>
  <c r="K433" i="522" s="1"/>
  <c r="M433" i="522" s="1"/>
  <c r="J433" i="522" a="1"/>
  <c r="J433" i="522" s="1"/>
  <c r="H433" i="522"/>
  <c r="V432" i="522"/>
  <c r="W432" i="522" s="1"/>
  <c r="N432" i="522"/>
  <c r="K432" i="522"/>
  <c r="M432" i="522" s="1"/>
  <c r="K432" i="522" a="1"/>
  <c r="J432" i="522" a="1"/>
  <c r="J432" i="522" s="1"/>
  <c r="H432" i="522"/>
  <c r="V431" i="522"/>
  <c r="W431" i="522" s="1"/>
  <c r="N431" i="522"/>
  <c r="K431" i="522" a="1"/>
  <c r="K431" i="522" s="1"/>
  <c r="M431" i="522" s="1"/>
  <c r="J431" i="522" a="1"/>
  <c r="J431" i="522" s="1"/>
  <c r="H431" i="522"/>
  <c r="V430" i="522"/>
  <c r="W430" i="522" s="1"/>
  <c r="N430" i="522"/>
  <c r="K430" i="522" a="1"/>
  <c r="K430" i="522" s="1"/>
  <c r="M430" i="522" s="1"/>
  <c r="J430" i="522" a="1"/>
  <c r="J430" i="522" s="1"/>
  <c r="H430" i="522"/>
  <c r="V429" i="522"/>
  <c r="W429" i="522" s="1"/>
  <c r="N429" i="522"/>
  <c r="K429" i="522" a="1"/>
  <c r="K429" i="522" s="1"/>
  <c r="M429" i="522" s="1"/>
  <c r="J429" i="522" a="1"/>
  <c r="J429" i="522" s="1"/>
  <c r="H429" i="522"/>
  <c r="V428" i="522"/>
  <c r="W428" i="522" s="1"/>
  <c r="N428" i="522"/>
  <c r="K428" i="522"/>
  <c r="M428" i="522" s="1"/>
  <c r="K428" i="522" a="1"/>
  <c r="J428" i="522"/>
  <c r="J428" i="522" a="1"/>
  <c r="H428" i="522"/>
  <c r="V427" i="522"/>
  <c r="N427" i="522"/>
  <c r="K427" i="522" a="1"/>
  <c r="K427" i="522" s="1"/>
  <c r="J427" i="522" a="1"/>
  <c r="J427" i="522" s="1"/>
  <c r="H427" i="522"/>
  <c r="AA426" i="522"/>
  <c r="Z426" i="522"/>
  <c r="Y426" i="522"/>
  <c r="X426" i="522"/>
  <c r="U426" i="522"/>
  <c r="T426" i="522"/>
  <c r="S426" i="522"/>
  <c r="R426" i="522"/>
  <c r="Q426" i="522"/>
  <c r="P426" i="522"/>
  <c r="O426" i="522"/>
  <c r="R507" i="522" s="1"/>
  <c r="I426" i="522"/>
  <c r="G426" i="522"/>
  <c r="J426" i="522" s="1" a="1"/>
  <c r="J426" i="522" s="1"/>
  <c r="K425" i="522" a="1"/>
  <c r="K425" i="522" s="1"/>
  <c r="M425" i="522" s="1"/>
  <c r="H425" i="522"/>
  <c r="K424" i="522"/>
  <c r="M424" i="522" s="1"/>
  <c r="K424" i="522" a="1"/>
  <c r="H424" i="522"/>
  <c r="K423" i="522" a="1"/>
  <c r="K423" i="522" s="1"/>
  <c r="M423" i="522" s="1"/>
  <c r="H423" i="522"/>
  <c r="K422" i="522"/>
  <c r="M422" i="522" s="1"/>
  <c r="K422" i="522" a="1"/>
  <c r="H422" i="522"/>
  <c r="K421" i="522" a="1"/>
  <c r="K421" i="522" s="1"/>
  <c r="M421" i="522" s="1"/>
  <c r="H421" i="522"/>
  <c r="K420" i="522"/>
  <c r="M420" i="522" s="1"/>
  <c r="K420" i="522" a="1"/>
  <c r="H420" i="522"/>
  <c r="K419" i="522" a="1"/>
  <c r="K419" i="522" s="1"/>
  <c r="M419" i="522" s="1"/>
  <c r="H419" i="522"/>
  <c r="K418" i="522"/>
  <c r="M418" i="522" s="1"/>
  <c r="K418" i="522" a="1"/>
  <c r="H418" i="522"/>
  <c r="K417" i="522" a="1"/>
  <c r="K417" i="522" s="1"/>
  <c r="M417" i="522" s="1"/>
  <c r="H417" i="522"/>
  <c r="K416" i="522"/>
  <c r="M416" i="522" s="1"/>
  <c r="K416" i="522" a="1"/>
  <c r="H416" i="522"/>
  <c r="V415" i="522"/>
  <c r="W415" i="522" s="1"/>
  <c r="N415" i="522"/>
  <c r="K415" i="522" a="1"/>
  <c r="K415" i="522" s="1"/>
  <c r="M415" i="522" s="1"/>
  <c r="J415" i="522" a="1"/>
  <c r="J415" i="522" s="1"/>
  <c r="H415" i="522"/>
  <c r="V414" i="522"/>
  <c r="W414" i="522" s="1"/>
  <c r="N414" i="522"/>
  <c r="K414" i="522"/>
  <c r="M414" i="522" s="1"/>
  <c r="K414" i="522" a="1"/>
  <c r="J414" i="522"/>
  <c r="J414" i="522" a="1"/>
  <c r="H414" i="522"/>
  <c r="V413" i="522"/>
  <c r="W413" i="522" s="1"/>
  <c r="N413" i="522"/>
  <c r="K413" i="522" a="1"/>
  <c r="K413" i="522" s="1"/>
  <c r="M413" i="522" s="1"/>
  <c r="J413" i="522" a="1"/>
  <c r="J413" i="522" s="1"/>
  <c r="H413" i="522"/>
  <c r="V412" i="522"/>
  <c r="W412" i="522" s="1"/>
  <c r="N412" i="522"/>
  <c r="K412" i="522" a="1"/>
  <c r="K412" i="522" s="1"/>
  <c r="M412" i="522" s="1"/>
  <c r="J412" i="522" a="1"/>
  <c r="J412" i="522" s="1"/>
  <c r="H412" i="522"/>
  <c r="H411" i="522"/>
  <c r="V410" i="522"/>
  <c r="W410" i="522" s="1"/>
  <c r="N410" i="522"/>
  <c r="K410" i="522"/>
  <c r="M410" i="522" s="1"/>
  <c r="K410" i="522" a="1"/>
  <c r="J410" i="522"/>
  <c r="J410" i="522" a="1"/>
  <c r="H410" i="522"/>
  <c r="V409" i="522"/>
  <c r="W409" i="522" s="1"/>
  <c r="N409" i="522"/>
  <c r="K409" i="522" a="1"/>
  <c r="K409" i="522" s="1"/>
  <c r="M409" i="522" s="1"/>
  <c r="J409" i="522" a="1"/>
  <c r="J409" i="522" s="1"/>
  <c r="H409" i="522"/>
  <c r="H408" i="522"/>
  <c r="K407" i="522" a="1"/>
  <c r="K407" i="522" s="1"/>
  <c r="H407" i="522"/>
  <c r="V406" i="522"/>
  <c r="W406" i="522" s="1"/>
  <c r="N406" i="522"/>
  <c r="K406" i="522"/>
  <c r="M406" i="522" s="1"/>
  <c r="K406" i="522" a="1"/>
  <c r="J406" i="522"/>
  <c r="J406" i="522" a="1"/>
  <c r="H406" i="522"/>
  <c r="V405" i="522"/>
  <c r="W405" i="522" s="1"/>
  <c r="N405" i="522"/>
  <c r="K405" i="522" a="1"/>
  <c r="K405" i="522" s="1"/>
  <c r="M405" i="522" s="1"/>
  <c r="J405" i="522" a="1"/>
  <c r="J405" i="522" s="1"/>
  <c r="H405" i="522"/>
  <c r="V404" i="522"/>
  <c r="W404" i="522" s="1"/>
  <c r="N404" i="522"/>
  <c r="K404" i="522" a="1"/>
  <c r="K404" i="522" s="1"/>
  <c r="M404" i="522" s="1"/>
  <c r="J404" i="522" a="1"/>
  <c r="J404" i="522" s="1"/>
  <c r="H404" i="522"/>
  <c r="V403" i="522"/>
  <c r="W403" i="522" s="1"/>
  <c r="N403" i="522"/>
  <c r="K403" i="522" a="1"/>
  <c r="K403" i="522" s="1"/>
  <c r="M403" i="522" s="1"/>
  <c r="J403" i="522" a="1"/>
  <c r="J403" i="522" s="1"/>
  <c r="H403" i="522"/>
  <c r="V402" i="522"/>
  <c r="W402" i="522" s="1"/>
  <c r="N402" i="522"/>
  <c r="K402" i="522"/>
  <c r="M402" i="522" s="1"/>
  <c r="K402" i="522" a="1"/>
  <c r="J402" i="522"/>
  <c r="J402" i="522" a="1"/>
  <c r="H402" i="522"/>
  <c r="V401" i="522"/>
  <c r="W401" i="522" s="1"/>
  <c r="N401" i="522"/>
  <c r="K401" i="522" a="1"/>
  <c r="K401" i="522" s="1"/>
  <c r="M401" i="522" s="1"/>
  <c r="J401" i="522" a="1"/>
  <c r="J401" i="522" s="1"/>
  <c r="H401" i="522"/>
  <c r="V400" i="522"/>
  <c r="W400" i="522" s="1"/>
  <c r="N400" i="522"/>
  <c r="K400" i="522" a="1"/>
  <c r="K400" i="522" s="1"/>
  <c r="M400" i="522" s="1"/>
  <c r="J400" i="522" a="1"/>
  <c r="J400" i="522" s="1"/>
  <c r="H400" i="522"/>
  <c r="V399" i="522"/>
  <c r="W399" i="522" s="1"/>
  <c r="N399" i="522"/>
  <c r="K399" i="522" a="1"/>
  <c r="K399" i="522" s="1"/>
  <c r="M399" i="522" s="1"/>
  <c r="J399" i="522" a="1"/>
  <c r="J399" i="522" s="1"/>
  <c r="H399" i="522"/>
  <c r="V398" i="522"/>
  <c r="W398" i="522" s="1"/>
  <c r="N398" i="522"/>
  <c r="K398" i="522"/>
  <c r="M398" i="522" s="1"/>
  <c r="K398" i="522" a="1"/>
  <c r="J398" i="522"/>
  <c r="J398" i="522" a="1"/>
  <c r="H398" i="522"/>
  <c r="V397" i="522"/>
  <c r="W397" i="522" s="1"/>
  <c r="N397" i="522"/>
  <c r="K397" i="522" a="1"/>
  <c r="K397" i="522" s="1"/>
  <c r="M397" i="522" s="1"/>
  <c r="J397" i="522" a="1"/>
  <c r="J397" i="522" s="1"/>
  <c r="H397" i="522"/>
  <c r="K396" i="522" a="1"/>
  <c r="K396" i="522" s="1"/>
  <c r="M396" i="522" s="1"/>
  <c r="H396" i="522"/>
  <c r="K395" i="522" a="1"/>
  <c r="K395" i="522" s="1"/>
  <c r="M395" i="522" s="1"/>
  <c r="H395" i="522"/>
  <c r="K394" i="522" a="1"/>
  <c r="K394" i="522" s="1"/>
  <c r="M394" i="522" s="1"/>
  <c r="H394" i="522"/>
  <c r="K393" i="522" a="1"/>
  <c r="K393" i="522" s="1"/>
  <c r="M393" i="522" s="1"/>
  <c r="H393" i="522"/>
  <c r="N392" i="522"/>
  <c r="K392" i="522" a="1"/>
  <c r="K392" i="522" s="1"/>
  <c r="M392" i="522" s="1"/>
  <c r="H392" i="522"/>
  <c r="N391" i="522"/>
  <c r="K391" i="522" a="1"/>
  <c r="K391" i="522" s="1"/>
  <c r="M391" i="522" s="1"/>
  <c r="H391" i="522"/>
  <c r="N390" i="522"/>
  <c r="K390" i="522"/>
  <c r="M390" i="522" s="1"/>
  <c r="K390" i="522" a="1"/>
  <c r="H390" i="522"/>
  <c r="N389" i="522"/>
  <c r="K389" i="522" a="1"/>
  <c r="K389" i="522" s="1"/>
  <c r="M389" i="522" s="1"/>
  <c r="H389" i="522"/>
  <c r="W388" i="522"/>
  <c r="V388" i="522"/>
  <c r="N388" i="522"/>
  <c r="K388" i="522" a="1"/>
  <c r="K388" i="522" s="1"/>
  <c r="M388" i="522" s="1"/>
  <c r="J388" i="522" a="1"/>
  <c r="J388" i="522" s="1"/>
  <c r="H388" i="522"/>
  <c r="V387" i="522"/>
  <c r="W387" i="522" s="1"/>
  <c r="N387" i="522"/>
  <c r="K387" i="522" a="1"/>
  <c r="K387" i="522" s="1"/>
  <c r="M387" i="522" s="1"/>
  <c r="J387" i="522" a="1"/>
  <c r="J387" i="522" s="1"/>
  <c r="H387" i="522"/>
  <c r="V386" i="522"/>
  <c r="W386" i="522" s="1"/>
  <c r="N386" i="522"/>
  <c r="K386" i="522"/>
  <c r="M386" i="522" s="1"/>
  <c r="K386" i="522" a="1"/>
  <c r="J386" i="522"/>
  <c r="J386" i="522" a="1"/>
  <c r="H386" i="522"/>
  <c r="V385" i="522"/>
  <c r="W385" i="522" s="1"/>
  <c r="N385" i="522"/>
  <c r="K385" i="522" a="1"/>
  <c r="K385" i="522" s="1"/>
  <c r="M385" i="522" s="1"/>
  <c r="J385" i="522" a="1"/>
  <c r="J385" i="522" s="1"/>
  <c r="H385" i="522"/>
  <c r="V384" i="522"/>
  <c r="W384" i="522" s="1"/>
  <c r="N384" i="522"/>
  <c r="K384" i="522" a="1"/>
  <c r="K384" i="522" s="1"/>
  <c r="M384" i="522" s="1"/>
  <c r="J384" i="522" a="1"/>
  <c r="J384" i="522" s="1"/>
  <c r="H384" i="522"/>
  <c r="V383" i="522"/>
  <c r="W383" i="522" s="1"/>
  <c r="N383" i="522"/>
  <c r="K383" i="522" a="1"/>
  <c r="K383" i="522" s="1"/>
  <c r="M383" i="522" s="1"/>
  <c r="J383" i="522" a="1"/>
  <c r="J383" i="522" s="1"/>
  <c r="H383" i="522"/>
  <c r="V382" i="522"/>
  <c r="W382" i="522" s="1"/>
  <c r="N382" i="522"/>
  <c r="K382" i="522"/>
  <c r="M382" i="522" s="1"/>
  <c r="K382" i="522" a="1"/>
  <c r="J382" i="522"/>
  <c r="J382" i="522" a="1"/>
  <c r="H382" i="522"/>
  <c r="V381" i="522"/>
  <c r="W381" i="522" s="1"/>
  <c r="N381" i="522"/>
  <c r="K381" i="522" a="1"/>
  <c r="K381" i="522" s="1"/>
  <c r="M381" i="522" s="1"/>
  <c r="J381" i="522" a="1"/>
  <c r="J381" i="522" s="1"/>
  <c r="H381" i="522"/>
  <c r="V380" i="522"/>
  <c r="W380" i="522" s="1"/>
  <c r="N380" i="522"/>
  <c r="K380" i="522" a="1"/>
  <c r="K380" i="522" s="1"/>
  <c r="M380" i="522" s="1"/>
  <c r="J380" i="522" a="1"/>
  <c r="J380" i="522" s="1"/>
  <c r="H380" i="522"/>
  <c r="V379" i="522"/>
  <c r="W379" i="522" s="1"/>
  <c r="N379" i="522"/>
  <c r="K379" i="522" a="1"/>
  <c r="K379" i="522" s="1"/>
  <c r="M379" i="522" s="1"/>
  <c r="J379" i="522" a="1"/>
  <c r="J379" i="522" s="1"/>
  <c r="H379" i="522"/>
  <c r="V378" i="522"/>
  <c r="W378" i="522" s="1"/>
  <c r="N378" i="522"/>
  <c r="K378" i="522"/>
  <c r="M378" i="522" s="1"/>
  <c r="K378" i="522" a="1"/>
  <c r="J378" i="522"/>
  <c r="J378" i="522" a="1"/>
  <c r="H378" i="522"/>
  <c r="V377" i="522"/>
  <c r="W377" i="522" s="1"/>
  <c r="N377" i="522"/>
  <c r="K377" i="522" a="1"/>
  <c r="K377" i="522" s="1"/>
  <c r="M377" i="522" s="1"/>
  <c r="J377" i="522" a="1"/>
  <c r="J377" i="522" s="1"/>
  <c r="H377" i="522"/>
  <c r="K376" i="522" a="1"/>
  <c r="K376" i="522" s="1"/>
  <c r="M376" i="522" s="1"/>
  <c r="H376" i="522"/>
  <c r="K375" i="522" a="1"/>
  <c r="K375" i="522" s="1"/>
  <c r="M375" i="522" s="1"/>
  <c r="H375" i="522"/>
  <c r="K374" i="522" a="1"/>
  <c r="K374" i="522" s="1"/>
  <c r="M374" i="522" s="1"/>
  <c r="H374" i="522"/>
  <c r="V373" i="522"/>
  <c r="W373" i="522" s="1"/>
  <c r="N373" i="522"/>
  <c r="K373" i="522" a="1"/>
  <c r="K373" i="522" s="1"/>
  <c r="M373" i="522" s="1"/>
  <c r="J373" i="522" a="1"/>
  <c r="J373" i="522" s="1"/>
  <c r="H373" i="522"/>
  <c r="V372" i="522"/>
  <c r="W372" i="522" s="1"/>
  <c r="N372" i="522"/>
  <c r="K372" i="522" a="1"/>
  <c r="K372" i="522" s="1"/>
  <c r="M372" i="522" s="1"/>
  <c r="J372" i="522" a="1"/>
  <c r="J372" i="522" s="1"/>
  <c r="H372" i="522"/>
  <c r="V371" i="522"/>
  <c r="W371" i="522" s="1"/>
  <c r="N371" i="522"/>
  <c r="K371" i="522"/>
  <c r="M371" i="522" s="1"/>
  <c r="K371" i="522" a="1"/>
  <c r="J371" i="522"/>
  <c r="J371" i="522" a="1"/>
  <c r="H371" i="522"/>
  <c r="K370" i="522" a="1"/>
  <c r="K370" i="522" s="1"/>
  <c r="H370" i="522"/>
  <c r="V369" i="522"/>
  <c r="V426" i="522" s="1"/>
  <c r="W426" i="522" s="1"/>
  <c r="N369" i="522"/>
  <c r="K369" i="522"/>
  <c r="K369" i="522" a="1"/>
  <c r="J369" i="522"/>
  <c r="J369" i="522" a="1"/>
  <c r="H369" i="522"/>
  <c r="H426" i="522" s="1"/>
  <c r="AA368" i="522"/>
  <c r="AA504" i="522" s="1"/>
  <c r="Z368" i="522"/>
  <c r="Z504" i="522" s="1"/>
  <c r="Y368" i="522"/>
  <c r="Y504" i="522" s="1"/>
  <c r="X368" i="522"/>
  <c r="X504" i="522" s="1"/>
  <c r="U368" i="522"/>
  <c r="U504" i="522" s="1"/>
  <c r="T368" i="522"/>
  <c r="T504" i="522" s="1"/>
  <c r="S368" i="522"/>
  <c r="S504" i="522" s="1"/>
  <c r="R368" i="522"/>
  <c r="R504" i="522" s="1"/>
  <c r="Q368" i="522"/>
  <c r="Q504" i="522" s="1"/>
  <c r="P368" i="522"/>
  <c r="P504" i="522" s="1"/>
  <c r="O368" i="522"/>
  <c r="I368" i="522"/>
  <c r="I504" i="522" s="1"/>
  <c r="B512" i="522" s="1"/>
  <c r="G368" i="522"/>
  <c r="G504" i="522" s="1"/>
  <c r="V367" i="522"/>
  <c r="W367" i="522" s="1"/>
  <c r="N367" i="522"/>
  <c r="K367" i="522"/>
  <c r="M367" i="522" s="1"/>
  <c r="K367" i="522" a="1"/>
  <c r="J367" i="522"/>
  <c r="J367" i="522" a="1"/>
  <c r="H367" i="522"/>
  <c r="V366" i="522"/>
  <c r="W366" i="522" s="1"/>
  <c r="N366" i="522"/>
  <c r="K366" i="522" a="1"/>
  <c r="K366" i="522" s="1"/>
  <c r="M366" i="522" s="1"/>
  <c r="J366" i="522" a="1"/>
  <c r="J366" i="522" s="1"/>
  <c r="H366" i="522"/>
  <c r="K365" i="522" a="1"/>
  <c r="K365" i="522" s="1"/>
  <c r="M365" i="522" s="1"/>
  <c r="H365" i="522"/>
  <c r="K364" i="522" a="1"/>
  <c r="K364" i="522" s="1"/>
  <c r="M364" i="522" s="1"/>
  <c r="H364" i="522"/>
  <c r="K363" i="522" a="1"/>
  <c r="K363" i="522" s="1"/>
  <c r="M363" i="522" s="1"/>
  <c r="H363" i="522"/>
  <c r="K362" i="522" a="1"/>
  <c r="K362" i="522" s="1"/>
  <c r="M362" i="522" s="1"/>
  <c r="H362" i="522"/>
  <c r="W361" i="522"/>
  <c r="V361" i="522"/>
  <c r="N361" i="522"/>
  <c r="K361" i="522" a="1"/>
  <c r="K361" i="522" s="1"/>
  <c r="M361" i="522" s="1"/>
  <c r="J361" i="522" a="1"/>
  <c r="J361" i="522" s="1"/>
  <c r="H361" i="522"/>
  <c r="V360" i="522"/>
  <c r="W360" i="522" s="1"/>
  <c r="N360" i="522"/>
  <c r="K360" i="522" a="1"/>
  <c r="K360" i="522" s="1"/>
  <c r="M360" i="522" s="1"/>
  <c r="J360" i="522" a="1"/>
  <c r="J360" i="522" s="1"/>
  <c r="H360" i="522"/>
  <c r="V359" i="522"/>
  <c r="W359" i="522" s="1"/>
  <c r="N359" i="522"/>
  <c r="K359" i="522"/>
  <c r="M359" i="522" s="1"/>
  <c r="K359" i="522" a="1"/>
  <c r="J359" i="522"/>
  <c r="J359" i="522" a="1"/>
  <c r="H359" i="522"/>
  <c r="H358" i="522"/>
  <c r="H357" i="522"/>
  <c r="V356" i="522"/>
  <c r="W356" i="522" s="1"/>
  <c r="N356" i="522"/>
  <c r="K356" i="522" a="1"/>
  <c r="K356" i="522" s="1"/>
  <c r="M356" i="522" s="1"/>
  <c r="J356" i="522" a="1"/>
  <c r="J356" i="522" s="1"/>
  <c r="H356" i="522"/>
  <c r="W355" i="522"/>
  <c r="V355" i="522"/>
  <c r="N355" i="522"/>
  <c r="K355" i="522" a="1"/>
  <c r="K355" i="522" s="1"/>
  <c r="M355" i="522" s="1"/>
  <c r="J355" i="522" a="1"/>
  <c r="J355" i="522" s="1"/>
  <c r="H355" i="522"/>
  <c r="K354" i="522"/>
  <c r="M354" i="522" s="1"/>
  <c r="K354" i="522" a="1"/>
  <c r="H354" i="522"/>
  <c r="K353" i="522" a="1"/>
  <c r="K353" i="522" s="1"/>
  <c r="M353" i="522" s="1"/>
  <c r="H353" i="522"/>
  <c r="V352" i="522"/>
  <c r="W352" i="522" s="1"/>
  <c r="N352" i="522"/>
  <c r="K352" i="522" a="1"/>
  <c r="K352" i="522" s="1"/>
  <c r="M352" i="522" s="1"/>
  <c r="J352" i="522" a="1"/>
  <c r="J352" i="522" s="1"/>
  <c r="H352" i="522"/>
  <c r="V351" i="522"/>
  <c r="W351" i="522" s="1"/>
  <c r="N351" i="522"/>
  <c r="K351" i="522"/>
  <c r="M351" i="522" s="1"/>
  <c r="K351" i="522" a="1"/>
  <c r="J351" i="522"/>
  <c r="J351" i="522" a="1"/>
  <c r="H351" i="522"/>
  <c r="V350" i="522"/>
  <c r="W350" i="522" s="1"/>
  <c r="N350" i="522"/>
  <c r="K350" i="522" a="1"/>
  <c r="K350" i="522" s="1"/>
  <c r="M350" i="522" s="1"/>
  <c r="J350" i="522" a="1"/>
  <c r="J350" i="522" s="1"/>
  <c r="H350" i="522"/>
  <c r="V349" i="522"/>
  <c r="W349" i="522" s="1"/>
  <c r="N349" i="522"/>
  <c r="K349" i="522" a="1"/>
  <c r="K349" i="522" s="1"/>
  <c r="M349" i="522" s="1"/>
  <c r="J349" i="522" a="1"/>
  <c r="J349" i="522" s="1"/>
  <c r="H349" i="522"/>
  <c r="V348" i="522"/>
  <c r="W348" i="522" s="1"/>
  <c r="N348" i="522"/>
  <c r="K348" i="522" a="1"/>
  <c r="K348" i="522" s="1"/>
  <c r="M348" i="522" s="1"/>
  <c r="J348" i="522" a="1"/>
  <c r="J348" i="522" s="1"/>
  <c r="H348" i="522"/>
  <c r="V347" i="522"/>
  <c r="V368" i="522" s="1"/>
  <c r="N347" i="522"/>
  <c r="K347" i="522"/>
  <c r="K347" i="522" a="1"/>
  <c r="J347" i="522"/>
  <c r="J347" i="522" a="1"/>
  <c r="H347" i="522"/>
  <c r="H368" i="522" s="1"/>
  <c r="X341" i="522"/>
  <c r="X340" i="522"/>
  <c r="X339" i="522"/>
  <c r="G339" i="522"/>
  <c r="C339" i="522"/>
  <c r="X338" i="522"/>
  <c r="I338" i="522"/>
  <c r="E338" i="522"/>
  <c r="K338" i="522" s="1"/>
  <c r="M338" i="522" s="1"/>
  <c r="I337" i="522"/>
  <c r="E337" i="522"/>
  <c r="K337" i="522" s="1"/>
  <c r="M337" i="522" s="1"/>
  <c r="I336" i="522"/>
  <c r="E336" i="522"/>
  <c r="K336" i="522" s="1"/>
  <c r="M336" i="522" s="1"/>
  <c r="X335" i="522"/>
  <c r="I335" i="522"/>
  <c r="I339" i="522" s="1"/>
  <c r="E335" i="522"/>
  <c r="E339" i="522" s="1"/>
  <c r="AA332" i="522"/>
  <c r="Z332" i="522"/>
  <c r="Y332" i="522"/>
  <c r="X332" i="522"/>
  <c r="U332" i="522"/>
  <c r="T332" i="522"/>
  <c r="S332" i="522"/>
  <c r="R332" i="522"/>
  <c r="Q332" i="522"/>
  <c r="P332" i="522"/>
  <c r="O332" i="522"/>
  <c r="I332" i="522"/>
  <c r="G332" i="522"/>
  <c r="K331" i="522" a="1"/>
  <c r="K331" i="522" s="1"/>
  <c r="H331" i="522"/>
  <c r="K330" i="522" a="1"/>
  <c r="K330" i="522" s="1"/>
  <c r="H330" i="522"/>
  <c r="K329" i="522"/>
  <c r="K329" i="522" a="1"/>
  <c r="H329" i="522"/>
  <c r="V328" i="522"/>
  <c r="W328" i="522" s="1"/>
  <c r="N328" i="522"/>
  <c r="K328" i="522" a="1"/>
  <c r="K328" i="522" s="1"/>
  <c r="H328" i="522"/>
  <c r="D328" i="522"/>
  <c r="H327" i="522"/>
  <c r="K326" i="522" a="1"/>
  <c r="K326" i="522" s="1"/>
  <c r="H326" i="522"/>
  <c r="H325" i="522"/>
  <c r="V324" i="522"/>
  <c r="W324" i="522" s="1"/>
  <c r="N324" i="522"/>
  <c r="K324" i="522" a="1"/>
  <c r="K324" i="522" s="1"/>
  <c r="M324" i="522" s="1"/>
  <c r="J324" i="522" a="1"/>
  <c r="J324" i="522" s="1"/>
  <c r="H324" i="522"/>
  <c r="V323" i="522"/>
  <c r="W323" i="522" s="1"/>
  <c r="N323" i="522"/>
  <c r="K323" i="522" a="1"/>
  <c r="K323" i="522" s="1"/>
  <c r="M323" i="522" s="1"/>
  <c r="J323" i="522" a="1"/>
  <c r="J323" i="522" s="1"/>
  <c r="H323" i="522"/>
  <c r="H322" i="522"/>
  <c r="V321" i="522"/>
  <c r="W321" i="522" s="1"/>
  <c r="N321" i="522"/>
  <c r="K321" i="522" a="1"/>
  <c r="K321" i="522" s="1"/>
  <c r="M321" i="522" s="1"/>
  <c r="J321" i="522" a="1"/>
  <c r="J321" i="522" s="1"/>
  <c r="H321" i="522"/>
  <c r="V320" i="522"/>
  <c r="W320" i="522" s="1"/>
  <c r="N320" i="522"/>
  <c r="K320" i="522" a="1"/>
  <c r="K320" i="522" s="1"/>
  <c r="M320" i="522" s="1"/>
  <c r="J320" i="522" a="1"/>
  <c r="J320" i="522" s="1"/>
  <c r="H320" i="522"/>
  <c r="V319" i="522"/>
  <c r="W319" i="522" s="1"/>
  <c r="N319" i="522"/>
  <c r="K319" i="522"/>
  <c r="M319" i="522" s="1"/>
  <c r="K319" i="522" a="1"/>
  <c r="J319" i="522"/>
  <c r="J319" i="522" a="1"/>
  <c r="H319" i="522"/>
  <c r="V318" i="522"/>
  <c r="W318" i="522" s="1"/>
  <c r="N318" i="522"/>
  <c r="N332" i="522" s="1"/>
  <c r="K318" i="522" a="1"/>
  <c r="K318" i="522" s="1"/>
  <c r="J318" i="522" a="1"/>
  <c r="J318" i="522" s="1"/>
  <c r="H318" i="522"/>
  <c r="H332" i="522" s="1"/>
  <c r="AA317" i="522"/>
  <c r="Z317" i="522"/>
  <c r="Y317" i="522"/>
  <c r="X317" i="522"/>
  <c r="U317" i="522"/>
  <c r="T317" i="522"/>
  <c r="S317" i="522"/>
  <c r="Q317" i="522"/>
  <c r="P317" i="522"/>
  <c r="O317" i="522"/>
  <c r="R339" i="522" s="1"/>
  <c r="I317" i="522"/>
  <c r="G317" i="522"/>
  <c r="J317" i="522" s="1" a="1"/>
  <c r="J317" i="522" s="1"/>
  <c r="V316" i="522"/>
  <c r="W316" i="522" s="1"/>
  <c r="N316" i="522"/>
  <c r="K316" i="522" a="1"/>
  <c r="K316" i="522" s="1"/>
  <c r="M316" i="522" s="1"/>
  <c r="J316" i="522" a="1"/>
  <c r="J316" i="522" s="1"/>
  <c r="H316" i="522"/>
  <c r="V312" i="522"/>
  <c r="W312" i="522" s="1"/>
  <c r="N312" i="522"/>
  <c r="K312" i="522" a="1"/>
  <c r="K312" i="522" s="1"/>
  <c r="M312" i="522" s="1"/>
  <c r="J312" i="522" a="1"/>
  <c r="J312" i="522" s="1"/>
  <c r="H312" i="522"/>
  <c r="V311" i="522"/>
  <c r="W311" i="522" s="1"/>
  <c r="N311" i="522"/>
  <c r="K311" i="522"/>
  <c r="M311" i="522" s="1"/>
  <c r="K311" i="522" a="1"/>
  <c r="J311" i="522"/>
  <c r="J311" i="522" a="1"/>
  <c r="H311" i="522"/>
  <c r="V310" i="522"/>
  <c r="W310" i="522" s="1"/>
  <c r="N310" i="522"/>
  <c r="K310" i="522" a="1"/>
  <c r="K310" i="522" s="1"/>
  <c r="M310" i="522" s="1"/>
  <c r="J310" i="522" a="1"/>
  <c r="J310" i="522" s="1"/>
  <c r="H310" i="522"/>
  <c r="V309" i="522"/>
  <c r="W309" i="522" s="1"/>
  <c r="N309" i="522"/>
  <c r="K309" i="522" a="1"/>
  <c r="K309" i="522" s="1"/>
  <c r="M309" i="522" s="1"/>
  <c r="J309" i="522" a="1"/>
  <c r="J309" i="522" s="1"/>
  <c r="H309" i="522"/>
  <c r="V308" i="522"/>
  <c r="N308" i="522"/>
  <c r="N317" i="522" s="1"/>
  <c r="K308" i="522" a="1"/>
  <c r="K308" i="522" s="1"/>
  <c r="J308" i="522" a="1"/>
  <c r="J308" i="522" s="1"/>
  <c r="H308" i="522"/>
  <c r="AA307" i="522"/>
  <c r="Z307" i="522"/>
  <c r="Y307" i="522"/>
  <c r="X307" i="522"/>
  <c r="U307" i="522"/>
  <c r="T307" i="522"/>
  <c r="S307" i="522"/>
  <c r="Q307" i="522"/>
  <c r="P307" i="522"/>
  <c r="O307" i="522"/>
  <c r="R338" i="522" s="1"/>
  <c r="I307" i="522"/>
  <c r="G307" i="522"/>
  <c r="J307" i="522" s="1" a="1"/>
  <c r="J307" i="522" s="1"/>
  <c r="V306" i="522"/>
  <c r="W306" i="522" s="1"/>
  <c r="N306" i="522"/>
  <c r="K306" i="522" a="1"/>
  <c r="K306" i="522" s="1"/>
  <c r="M306" i="522" s="1"/>
  <c r="J306" i="522" a="1"/>
  <c r="J306" i="522" s="1"/>
  <c r="H306" i="522"/>
  <c r="V305" i="522"/>
  <c r="W305" i="522" s="1"/>
  <c r="N305" i="522"/>
  <c r="K305" i="522" a="1"/>
  <c r="K305" i="522" s="1"/>
  <c r="M305" i="522" s="1"/>
  <c r="J305" i="522" a="1"/>
  <c r="J305" i="522" s="1"/>
  <c r="H305" i="522"/>
  <c r="V304" i="522"/>
  <c r="W304" i="522" s="1"/>
  <c r="N304" i="522"/>
  <c r="K304" i="522"/>
  <c r="M304" i="522" s="1"/>
  <c r="K304" i="522" a="1"/>
  <c r="J304" i="522"/>
  <c r="J304" i="522" a="1"/>
  <c r="H304" i="522"/>
  <c r="V303" i="522"/>
  <c r="W303" i="522" s="1"/>
  <c r="N303" i="522"/>
  <c r="K303" i="522" a="1"/>
  <c r="K303" i="522" s="1"/>
  <c r="M303" i="522" s="1"/>
  <c r="J303" i="522" a="1"/>
  <c r="J303" i="522" s="1"/>
  <c r="H303" i="522"/>
  <c r="V302" i="522"/>
  <c r="W302" i="522" s="1"/>
  <c r="N302" i="522"/>
  <c r="K302" i="522" a="1"/>
  <c r="K302" i="522" s="1"/>
  <c r="M302" i="522" s="1"/>
  <c r="J302" i="522" a="1"/>
  <c r="J302" i="522" s="1"/>
  <c r="H302" i="522"/>
  <c r="V301" i="522"/>
  <c r="W301" i="522" s="1"/>
  <c r="N301" i="522"/>
  <c r="K301" i="522" a="1"/>
  <c r="K301" i="522" s="1"/>
  <c r="M301" i="522" s="1"/>
  <c r="J301" i="522" a="1"/>
  <c r="J301" i="522" s="1"/>
  <c r="H301" i="522"/>
  <c r="V300" i="522"/>
  <c r="W300" i="522" s="1"/>
  <c r="N300" i="522"/>
  <c r="K300" i="522"/>
  <c r="M300" i="522" s="1"/>
  <c r="K300" i="522" a="1"/>
  <c r="J300" i="522"/>
  <c r="J300" i="522" a="1"/>
  <c r="H300" i="522"/>
  <c r="V299" i="522"/>
  <c r="W299" i="522" s="1"/>
  <c r="N299" i="522"/>
  <c r="K299" i="522" a="1"/>
  <c r="K299" i="522" s="1"/>
  <c r="M299" i="522" s="1"/>
  <c r="J299" i="522" a="1"/>
  <c r="J299" i="522" s="1"/>
  <c r="H299" i="522"/>
  <c r="W298" i="522"/>
  <c r="V298" i="522"/>
  <c r="N298" i="522"/>
  <c r="K298" i="522" a="1"/>
  <c r="K298" i="522" s="1"/>
  <c r="M298" i="522" s="1"/>
  <c r="J298" i="522" a="1"/>
  <c r="J298" i="522" s="1"/>
  <c r="H298" i="522"/>
  <c r="V297" i="522"/>
  <c r="W297" i="522" s="1"/>
  <c r="N297" i="522"/>
  <c r="K297" i="522" a="1"/>
  <c r="K297" i="522" s="1"/>
  <c r="M297" i="522" s="1"/>
  <c r="J297" i="522" a="1"/>
  <c r="J297" i="522" s="1"/>
  <c r="H297" i="522"/>
  <c r="V296" i="522"/>
  <c r="W296" i="522" s="1"/>
  <c r="N296" i="522"/>
  <c r="K296" i="522"/>
  <c r="M296" i="522" s="1"/>
  <c r="K296" i="522" a="1"/>
  <c r="J296" i="522"/>
  <c r="J296" i="522" a="1"/>
  <c r="H296" i="522"/>
  <c r="V295" i="522"/>
  <c r="W295" i="522" s="1"/>
  <c r="N295" i="522"/>
  <c r="K295" i="522" a="1"/>
  <c r="K295" i="522" s="1"/>
  <c r="M295" i="522" s="1"/>
  <c r="J295" i="522" a="1"/>
  <c r="J295" i="522" s="1"/>
  <c r="H295" i="522"/>
  <c r="V294" i="522"/>
  <c r="W294" i="522" s="1"/>
  <c r="N294" i="522"/>
  <c r="K294" i="522" a="1"/>
  <c r="K294" i="522" s="1"/>
  <c r="M294" i="522" s="1"/>
  <c r="J294" i="522" a="1"/>
  <c r="J294" i="522" s="1"/>
  <c r="H294" i="522"/>
  <c r="V293" i="522"/>
  <c r="W293" i="522" s="1"/>
  <c r="N293" i="522"/>
  <c r="K293" i="522" a="1"/>
  <c r="K293" i="522" s="1"/>
  <c r="M293" i="522" s="1"/>
  <c r="J293" i="522" a="1"/>
  <c r="J293" i="522" s="1"/>
  <c r="H293" i="522"/>
  <c r="V292" i="522"/>
  <c r="N292" i="522"/>
  <c r="K292" i="522"/>
  <c r="M292" i="522" s="1"/>
  <c r="K292" i="522" a="1"/>
  <c r="J292" i="522"/>
  <c r="J292" i="522" a="1"/>
  <c r="H292" i="522"/>
  <c r="AA291" i="522"/>
  <c r="Z291" i="522"/>
  <c r="Y291" i="522"/>
  <c r="X291" i="522"/>
  <c r="U291" i="522"/>
  <c r="T291" i="522"/>
  <c r="S291" i="522"/>
  <c r="R291" i="522"/>
  <c r="Q291" i="522"/>
  <c r="P291" i="522"/>
  <c r="O291" i="522"/>
  <c r="R337" i="522" s="1"/>
  <c r="I291" i="522"/>
  <c r="G291" i="522"/>
  <c r="V290" i="522"/>
  <c r="W290" i="522" s="1"/>
  <c r="N290" i="522"/>
  <c r="K290" i="522" a="1"/>
  <c r="K290" i="522" s="1"/>
  <c r="M290" i="522" s="1"/>
  <c r="J290" i="522" a="1"/>
  <c r="J290" i="522" s="1"/>
  <c r="H290" i="522"/>
  <c r="V289" i="522"/>
  <c r="W289" i="522" s="1"/>
  <c r="N289" i="522"/>
  <c r="K289" i="522" a="1"/>
  <c r="K289" i="522" s="1"/>
  <c r="M289" i="522" s="1"/>
  <c r="J289" i="522" a="1"/>
  <c r="J289" i="522" s="1"/>
  <c r="H289" i="522"/>
  <c r="V288" i="522"/>
  <c r="W288" i="522" s="1"/>
  <c r="N288" i="522"/>
  <c r="K288" i="522" a="1"/>
  <c r="K288" i="522" s="1"/>
  <c r="M288" i="522" s="1"/>
  <c r="J288" i="522" a="1"/>
  <c r="J288" i="522" s="1"/>
  <c r="H288" i="522"/>
  <c r="H287" i="522"/>
  <c r="H286" i="522"/>
  <c r="H285" i="522"/>
  <c r="V284" i="522"/>
  <c r="W284" i="522" s="1"/>
  <c r="N284" i="522"/>
  <c r="K284" i="522" a="1"/>
  <c r="K284" i="522" s="1"/>
  <c r="M284" i="522" s="1"/>
  <c r="J284" i="522" a="1"/>
  <c r="J284" i="522" s="1"/>
  <c r="H284" i="522"/>
  <c r="V283" i="522"/>
  <c r="W283" i="522" s="1"/>
  <c r="N283" i="522"/>
  <c r="K283" i="522"/>
  <c r="M283" i="522" s="1"/>
  <c r="K283" i="522" a="1"/>
  <c r="J283" i="522"/>
  <c r="J283" i="522" a="1"/>
  <c r="H283" i="522"/>
  <c r="N282" i="522"/>
  <c r="K282" i="522" a="1"/>
  <c r="K282" i="522" s="1"/>
  <c r="M282" i="522" s="1"/>
  <c r="H282" i="522"/>
  <c r="N281" i="522"/>
  <c r="K281" i="522" a="1"/>
  <c r="K281" i="522" s="1"/>
  <c r="M281" i="522" s="1"/>
  <c r="H281" i="522"/>
  <c r="N280" i="522"/>
  <c r="K280" i="522" a="1"/>
  <c r="K280" i="522" s="1"/>
  <c r="M280" i="522" s="1"/>
  <c r="H280" i="522"/>
  <c r="N279" i="522"/>
  <c r="K279" i="522"/>
  <c r="M279" i="522" s="1"/>
  <c r="K279" i="522" a="1"/>
  <c r="H279" i="522"/>
  <c r="N278" i="522"/>
  <c r="K278" i="522" a="1"/>
  <c r="K278" i="522" s="1"/>
  <c r="M278" i="522" s="1"/>
  <c r="H278" i="522"/>
  <c r="N277" i="522"/>
  <c r="K277" i="522" a="1"/>
  <c r="K277" i="522" s="1"/>
  <c r="M277" i="522" s="1"/>
  <c r="H277" i="522"/>
  <c r="V276" i="522"/>
  <c r="W276" i="522" s="1"/>
  <c r="N276" i="522"/>
  <c r="K276" i="522" a="1"/>
  <c r="K276" i="522" s="1"/>
  <c r="M276" i="522" s="1"/>
  <c r="J276" i="522" a="1"/>
  <c r="J276" i="522" s="1"/>
  <c r="H276" i="522"/>
  <c r="V275" i="522"/>
  <c r="W275" i="522" s="1"/>
  <c r="N275" i="522"/>
  <c r="K275" i="522"/>
  <c r="M275" i="522" s="1"/>
  <c r="K275" i="522" a="1"/>
  <c r="J275" i="522"/>
  <c r="J275" i="522" a="1"/>
  <c r="H275" i="522"/>
  <c r="V274" i="522"/>
  <c r="W274" i="522" s="1"/>
  <c r="N274" i="522"/>
  <c r="K274" i="522" a="1"/>
  <c r="K274" i="522" s="1"/>
  <c r="M274" i="522" s="1"/>
  <c r="J274" i="522" a="1"/>
  <c r="J274" i="522" s="1"/>
  <c r="H274" i="522"/>
  <c r="V273" i="522"/>
  <c r="W273" i="522" s="1"/>
  <c r="N273" i="522"/>
  <c r="K273" i="522" a="1"/>
  <c r="K273" i="522" s="1"/>
  <c r="M273" i="522" s="1"/>
  <c r="J273" i="522" a="1"/>
  <c r="J273" i="522" s="1"/>
  <c r="H273" i="522"/>
  <c r="V272" i="522"/>
  <c r="W272" i="522" s="1"/>
  <c r="N272" i="522"/>
  <c r="K272" i="522" a="1"/>
  <c r="K272" i="522" s="1"/>
  <c r="M272" i="522" s="1"/>
  <c r="J272" i="522" a="1"/>
  <c r="J272" i="522" s="1"/>
  <c r="H272" i="522"/>
  <c r="V271" i="522"/>
  <c r="W271" i="522" s="1"/>
  <c r="N271" i="522"/>
  <c r="K271" i="522"/>
  <c r="M271" i="522" s="1"/>
  <c r="K271" i="522" a="1"/>
  <c r="J271" i="522"/>
  <c r="J271" i="522" a="1"/>
  <c r="H271" i="522"/>
  <c r="V270" i="522"/>
  <c r="W270" i="522" s="1"/>
  <c r="N270" i="522"/>
  <c r="K270" i="522" a="1"/>
  <c r="K270" i="522" s="1"/>
  <c r="M270" i="522" s="1"/>
  <c r="J270" i="522" a="1"/>
  <c r="J270" i="522" s="1"/>
  <c r="H270" i="522"/>
  <c r="V269" i="522"/>
  <c r="W269" i="522" s="1"/>
  <c r="N269" i="522"/>
  <c r="K269" i="522" a="1"/>
  <c r="K269" i="522" s="1"/>
  <c r="M269" i="522" s="1"/>
  <c r="J269" i="522" a="1"/>
  <c r="J269" i="522" s="1"/>
  <c r="H269" i="522"/>
  <c r="V268" i="522"/>
  <c r="W268" i="522" s="1"/>
  <c r="N268" i="522"/>
  <c r="K268" i="522" a="1"/>
  <c r="K268" i="522" s="1"/>
  <c r="M268" i="522" s="1"/>
  <c r="J268" i="522" a="1"/>
  <c r="J268" i="522" s="1"/>
  <c r="H268" i="522"/>
  <c r="V267" i="522"/>
  <c r="W267" i="522" s="1"/>
  <c r="N267" i="522"/>
  <c r="K267" i="522"/>
  <c r="M267" i="522" s="1"/>
  <c r="K267" i="522" a="1"/>
  <c r="J267" i="522"/>
  <c r="J267" i="522" a="1"/>
  <c r="H267" i="522"/>
  <c r="V266" i="522"/>
  <c r="W266" i="522" s="1"/>
  <c r="N266" i="522"/>
  <c r="K266" i="522" a="1"/>
  <c r="K266" i="522" s="1"/>
  <c r="M266" i="522" s="1"/>
  <c r="J266" i="522" a="1"/>
  <c r="J266" i="522" s="1"/>
  <c r="H266" i="522"/>
  <c r="W265" i="522"/>
  <c r="V265" i="522"/>
  <c r="N265" i="522"/>
  <c r="K265" i="522" a="1"/>
  <c r="K265" i="522" s="1"/>
  <c r="M265" i="522" s="1"/>
  <c r="J265" i="522" a="1"/>
  <c r="J265" i="522" s="1"/>
  <c r="H265" i="522"/>
  <c r="N264" i="522"/>
  <c r="K264" i="522" a="1"/>
  <c r="K264" i="522" s="1"/>
  <c r="M264" i="522" s="1"/>
  <c r="H264" i="522"/>
  <c r="V263" i="522"/>
  <c r="W263" i="522" s="1"/>
  <c r="N263" i="522"/>
  <c r="K263" i="522"/>
  <c r="M263" i="522" s="1"/>
  <c r="K263" i="522" a="1"/>
  <c r="J263" i="522"/>
  <c r="J263" i="522" a="1"/>
  <c r="H263" i="522"/>
  <c r="V262" i="522"/>
  <c r="W262" i="522" s="1"/>
  <c r="N262" i="522"/>
  <c r="K262" i="522" a="1"/>
  <c r="K262" i="522" s="1"/>
  <c r="M262" i="522" s="1"/>
  <c r="J262" i="522" a="1"/>
  <c r="J262" i="522" s="1"/>
  <c r="H262" i="522"/>
  <c r="V261" i="522"/>
  <c r="W261" i="522" s="1"/>
  <c r="N261" i="522"/>
  <c r="K261" i="522" a="1"/>
  <c r="K261" i="522" s="1"/>
  <c r="M261" i="522" s="1"/>
  <c r="J261" i="522" a="1"/>
  <c r="J261" i="522" s="1"/>
  <c r="H261" i="522"/>
  <c r="V260" i="522"/>
  <c r="W260" i="522" s="1"/>
  <c r="N260" i="522"/>
  <c r="K260" i="522" a="1"/>
  <c r="K260" i="522" s="1"/>
  <c r="M260" i="522" s="1"/>
  <c r="J260" i="522" a="1"/>
  <c r="J260" i="522" s="1"/>
  <c r="H260" i="522"/>
  <c r="V259" i="522"/>
  <c r="W259" i="522" s="1"/>
  <c r="N259" i="522"/>
  <c r="K259" i="522"/>
  <c r="M259" i="522" s="1"/>
  <c r="K259" i="522" a="1"/>
  <c r="J259" i="522"/>
  <c r="J259" i="522" a="1"/>
  <c r="H259" i="522"/>
  <c r="V258" i="522"/>
  <c r="W258" i="522" s="1"/>
  <c r="N258" i="522"/>
  <c r="K258" i="522" a="1"/>
  <c r="K258" i="522" s="1"/>
  <c r="M258" i="522" s="1"/>
  <c r="J258" i="522" a="1"/>
  <c r="J258" i="522" s="1"/>
  <c r="H258" i="522"/>
  <c r="V257" i="522"/>
  <c r="V291" i="522" s="1"/>
  <c r="W291" i="522" s="1"/>
  <c r="N257" i="522"/>
  <c r="K257" i="522"/>
  <c r="K257" i="522" a="1"/>
  <c r="J257" i="522"/>
  <c r="J257" i="522" a="1"/>
  <c r="H257" i="522"/>
  <c r="AA256" i="522"/>
  <c r="Z256" i="522"/>
  <c r="Y256" i="522"/>
  <c r="X256" i="522"/>
  <c r="U256" i="522"/>
  <c r="T256" i="522"/>
  <c r="S256" i="522"/>
  <c r="R256" i="522"/>
  <c r="Q256" i="522"/>
  <c r="P256" i="522"/>
  <c r="O256" i="522"/>
  <c r="R336" i="522" s="1"/>
  <c r="I256" i="522"/>
  <c r="G256" i="522"/>
  <c r="J256" i="522" s="1" a="1"/>
  <c r="J256" i="522" s="1"/>
  <c r="H255" i="522"/>
  <c r="H254" i="522"/>
  <c r="H253" i="522"/>
  <c r="H252" i="522"/>
  <c r="H251" i="522"/>
  <c r="H250" i="522"/>
  <c r="K249" i="522" a="1"/>
  <c r="K249" i="522" s="1"/>
  <c r="M249" i="522" s="1"/>
  <c r="H249" i="522"/>
  <c r="K248" i="522" a="1"/>
  <c r="K248" i="522" s="1"/>
  <c r="M248" i="522" s="1"/>
  <c r="H248" i="522"/>
  <c r="K247" i="522" a="1"/>
  <c r="K247" i="522" s="1"/>
  <c r="M247" i="522" s="1"/>
  <c r="H247" i="522"/>
  <c r="K246" i="522" a="1"/>
  <c r="K246" i="522" s="1"/>
  <c r="M246" i="522" s="1"/>
  <c r="H246" i="522"/>
  <c r="W245" i="522"/>
  <c r="V245" i="522"/>
  <c r="N245" i="522"/>
  <c r="K245" i="522" a="1"/>
  <c r="K245" i="522" s="1"/>
  <c r="M245" i="522" s="1"/>
  <c r="J245" i="522" a="1"/>
  <c r="J245" i="522" s="1"/>
  <c r="H245" i="522"/>
  <c r="V244" i="522"/>
  <c r="W244" i="522" s="1"/>
  <c r="N244" i="522"/>
  <c r="K244" i="522" a="1"/>
  <c r="K244" i="522" s="1"/>
  <c r="M244" i="522" s="1"/>
  <c r="J244" i="522" a="1"/>
  <c r="J244" i="522" s="1"/>
  <c r="H244" i="522"/>
  <c r="V243" i="522"/>
  <c r="W243" i="522" s="1"/>
  <c r="N243" i="522"/>
  <c r="K243" i="522"/>
  <c r="M243" i="522" s="1"/>
  <c r="K243" i="522" a="1"/>
  <c r="J243" i="522" a="1"/>
  <c r="J243" i="522" s="1"/>
  <c r="H243" i="522"/>
  <c r="V242" i="522"/>
  <c r="W242" i="522" s="1"/>
  <c r="N242" i="522"/>
  <c r="K242" i="522" a="1"/>
  <c r="K242" i="522" s="1"/>
  <c r="M242" i="522" s="1"/>
  <c r="J242" i="522" a="1"/>
  <c r="J242" i="522" s="1"/>
  <c r="H242" i="522"/>
  <c r="M241" i="522"/>
  <c r="H241" i="522"/>
  <c r="V240" i="522"/>
  <c r="W240" i="522" s="1"/>
  <c r="N240" i="522"/>
  <c r="K240" i="522"/>
  <c r="M240" i="522" s="1"/>
  <c r="K240" i="522" a="1"/>
  <c r="J240" i="522"/>
  <c r="J240" i="522" a="1"/>
  <c r="H240" i="522"/>
  <c r="V239" i="522"/>
  <c r="W239" i="522" s="1"/>
  <c r="N239" i="522"/>
  <c r="K239" i="522"/>
  <c r="M239" i="522" s="1"/>
  <c r="K239" i="522" a="1"/>
  <c r="J239" i="522" a="1"/>
  <c r="J239" i="522" s="1"/>
  <c r="H239" i="522"/>
  <c r="K238" i="522" a="1"/>
  <c r="K238" i="522" s="1"/>
  <c r="M238" i="522" s="1"/>
  <c r="H238" i="522"/>
  <c r="H237" i="522"/>
  <c r="V236" i="522"/>
  <c r="W236" i="522" s="1"/>
  <c r="N236" i="522"/>
  <c r="K236" i="522" a="1"/>
  <c r="K236" i="522" s="1"/>
  <c r="M236" i="522" s="1"/>
  <c r="J236" i="522" a="1"/>
  <c r="J236" i="522" s="1"/>
  <c r="H236" i="522"/>
  <c r="W235" i="522"/>
  <c r="V235" i="522"/>
  <c r="N235" i="522"/>
  <c r="K235" i="522" a="1"/>
  <c r="K235" i="522" s="1"/>
  <c r="M235" i="522" s="1"/>
  <c r="J235" i="522" a="1"/>
  <c r="J235" i="522" s="1"/>
  <c r="H235" i="522"/>
  <c r="V234" i="522"/>
  <c r="W234" i="522" s="1"/>
  <c r="N234" i="522"/>
  <c r="K234" i="522" a="1"/>
  <c r="K234" i="522" s="1"/>
  <c r="M234" i="522" s="1"/>
  <c r="J234" i="522" a="1"/>
  <c r="J234" i="522" s="1"/>
  <c r="H234" i="522"/>
  <c r="V233" i="522"/>
  <c r="W233" i="522" s="1"/>
  <c r="N233" i="522"/>
  <c r="K233" i="522"/>
  <c r="M233" i="522" s="1"/>
  <c r="K233" i="522" a="1"/>
  <c r="J233" i="522"/>
  <c r="J233" i="522" a="1"/>
  <c r="H233" i="522"/>
  <c r="V232" i="522"/>
  <c r="W232" i="522" s="1"/>
  <c r="N232" i="522"/>
  <c r="K232" i="522" a="1"/>
  <c r="K232" i="522" s="1"/>
  <c r="M232" i="522" s="1"/>
  <c r="J232" i="522" a="1"/>
  <c r="J232" i="522" s="1"/>
  <c r="H232" i="522"/>
  <c r="V231" i="522"/>
  <c r="W231" i="522" s="1"/>
  <c r="N231" i="522"/>
  <c r="K231" i="522" a="1"/>
  <c r="K231" i="522" s="1"/>
  <c r="M231" i="522" s="1"/>
  <c r="J231" i="522" a="1"/>
  <c r="J231" i="522" s="1"/>
  <c r="H231" i="522"/>
  <c r="V230" i="522"/>
  <c r="W230" i="522" s="1"/>
  <c r="N230" i="522"/>
  <c r="K230" i="522" a="1"/>
  <c r="K230" i="522" s="1"/>
  <c r="M230" i="522" s="1"/>
  <c r="J230" i="522" a="1"/>
  <c r="J230" i="522" s="1"/>
  <c r="H230" i="522"/>
  <c r="V229" i="522"/>
  <c r="W229" i="522" s="1"/>
  <c r="N229" i="522"/>
  <c r="K229" i="522"/>
  <c r="M229" i="522" s="1"/>
  <c r="K229" i="522" a="1"/>
  <c r="J229" i="522"/>
  <c r="J229" i="522" a="1"/>
  <c r="H229" i="522"/>
  <c r="V228" i="522"/>
  <c r="W228" i="522" s="1"/>
  <c r="N228" i="522"/>
  <c r="K228" i="522" a="1"/>
  <c r="K228" i="522" s="1"/>
  <c r="M228" i="522" s="1"/>
  <c r="J228" i="522" a="1"/>
  <c r="J228" i="522" s="1"/>
  <c r="H228" i="522"/>
  <c r="V227" i="522"/>
  <c r="W227" i="522" s="1"/>
  <c r="N227" i="522"/>
  <c r="K227" i="522" a="1"/>
  <c r="K227" i="522" s="1"/>
  <c r="M227" i="522" s="1"/>
  <c r="J227" i="522" a="1"/>
  <c r="J227" i="522" s="1"/>
  <c r="H227" i="522"/>
  <c r="N226" i="522"/>
  <c r="K226" i="522" a="1"/>
  <c r="K226" i="522" s="1"/>
  <c r="M226" i="522" s="1"/>
  <c r="H226" i="522"/>
  <c r="N225" i="522"/>
  <c r="K225" i="522"/>
  <c r="M225" i="522" s="1"/>
  <c r="K225" i="522" a="1"/>
  <c r="H225" i="522"/>
  <c r="N224" i="522"/>
  <c r="K224" i="522" a="1"/>
  <c r="K224" i="522" s="1"/>
  <c r="M224" i="522" s="1"/>
  <c r="H224" i="522"/>
  <c r="N223" i="522"/>
  <c r="K223" i="522" a="1"/>
  <c r="K223" i="522" s="1"/>
  <c r="M223" i="522" s="1"/>
  <c r="H223" i="522"/>
  <c r="N222" i="522"/>
  <c r="K222" i="522" a="1"/>
  <c r="K222" i="522" s="1"/>
  <c r="M222" i="522" s="1"/>
  <c r="H222" i="522"/>
  <c r="N221" i="522"/>
  <c r="K221" i="522"/>
  <c r="M221" i="522" s="1"/>
  <c r="K221" i="522" a="1"/>
  <c r="H221" i="522"/>
  <c r="N220" i="522"/>
  <c r="K220" i="522" a="1"/>
  <c r="K220" i="522" s="1"/>
  <c r="M220" i="522" s="1"/>
  <c r="H220" i="522"/>
  <c r="N219" i="522"/>
  <c r="K219" i="522" a="1"/>
  <c r="K219" i="522" s="1"/>
  <c r="M219" i="522" s="1"/>
  <c r="H219" i="522"/>
  <c r="V218" i="522"/>
  <c r="W218" i="522" s="1"/>
  <c r="N218" i="522"/>
  <c r="K218" i="522" a="1"/>
  <c r="K218" i="522" s="1"/>
  <c r="M218" i="522" s="1"/>
  <c r="J218" i="522" a="1"/>
  <c r="J218" i="522" s="1"/>
  <c r="H218" i="522"/>
  <c r="V217" i="522"/>
  <c r="W217" i="522" s="1"/>
  <c r="N217" i="522"/>
  <c r="K217" i="522" a="1"/>
  <c r="K217" i="522" s="1"/>
  <c r="M217" i="522" s="1"/>
  <c r="J217" i="522" a="1"/>
  <c r="J217" i="522" s="1"/>
  <c r="H217" i="522"/>
  <c r="V216" i="522"/>
  <c r="W216" i="522" s="1"/>
  <c r="N216" i="522"/>
  <c r="K216" i="522" a="1"/>
  <c r="K216" i="522" s="1"/>
  <c r="M216" i="522" s="1"/>
  <c r="J216" i="522" a="1"/>
  <c r="J216" i="522" s="1"/>
  <c r="H216" i="522"/>
  <c r="V215" i="522"/>
  <c r="W215" i="522" s="1"/>
  <c r="N215" i="522"/>
  <c r="K215" i="522"/>
  <c r="M215" i="522" s="1"/>
  <c r="K215" i="522" a="1"/>
  <c r="J215" i="522"/>
  <c r="J215" i="522" a="1"/>
  <c r="H215" i="522"/>
  <c r="V214" i="522"/>
  <c r="W214" i="522" s="1"/>
  <c r="N214" i="522"/>
  <c r="K214" i="522" a="1"/>
  <c r="K214" i="522" s="1"/>
  <c r="M214" i="522" s="1"/>
  <c r="J214" i="522" a="1"/>
  <c r="J214" i="522" s="1"/>
  <c r="H214" i="522"/>
  <c r="V213" i="522"/>
  <c r="W213" i="522" s="1"/>
  <c r="N213" i="522"/>
  <c r="K213" i="522" a="1"/>
  <c r="K213" i="522" s="1"/>
  <c r="M213" i="522" s="1"/>
  <c r="J213" i="522" a="1"/>
  <c r="J213" i="522" s="1"/>
  <c r="H213" i="522"/>
  <c r="V212" i="522"/>
  <c r="W212" i="522" s="1"/>
  <c r="N212" i="522"/>
  <c r="K212" i="522" a="1"/>
  <c r="K212" i="522" s="1"/>
  <c r="M212" i="522" s="1"/>
  <c r="J212" i="522" a="1"/>
  <c r="J212" i="522" s="1"/>
  <c r="H212" i="522"/>
  <c r="V211" i="522"/>
  <c r="W211" i="522" s="1"/>
  <c r="N211" i="522"/>
  <c r="K211" i="522"/>
  <c r="M211" i="522" s="1"/>
  <c r="K211" i="522" a="1"/>
  <c r="J211" i="522"/>
  <c r="J211" i="522" a="1"/>
  <c r="H211" i="522"/>
  <c r="V210" i="522"/>
  <c r="W210" i="522" s="1"/>
  <c r="N210" i="522"/>
  <c r="K210" i="522" a="1"/>
  <c r="K210" i="522" s="1"/>
  <c r="M210" i="522" s="1"/>
  <c r="J210" i="522" a="1"/>
  <c r="J210" i="522" s="1"/>
  <c r="H210" i="522"/>
  <c r="V209" i="522"/>
  <c r="W209" i="522" s="1"/>
  <c r="N209" i="522"/>
  <c r="K209" i="522" a="1"/>
  <c r="K209" i="522" s="1"/>
  <c r="M209" i="522" s="1"/>
  <c r="J209" i="522" a="1"/>
  <c r="J209" i="522" s="1"/>
  <c r="H209" i="522"/>
  <c r="V208" i="522"/>
  <c r="W208" i="522" s="1"/>
  <c r="N208" i="522"/>
  <c r="K208" i="522" a="1"/>
  <c r="K208" i="522" s="1"/>
  <c r="M208" i="522" s="1"/>
  <c r="J208" i="522" a="1"/>
  <c r="J208" i="522" s="1"/>
  <c r="H208" i="522"/>
  <c r="V207" i="522"/>
  <c r="W207" i="522" s="1"/>
  <c r="N207" i="522"/>
  <c r="K207" i="522"/>
  <c r="M207" i="522" s="1"/>
  <c r="K207" i="522" a="1"/>
  <c r="J207" i="522"/>
  <c r="J207" i="522" a="1"/>
  <c r="H207" i="522"/>
  <c r="H206" i="522"/>
  <c r="H205" i="522"/>
  <c r="H204" i="522"/>
  <c r="W203" i="522"/>
  <c r="V203" i="522"/>
  <c r="N203" i="522"/>
  <c r="K203" i="522" a="1"/>
  <c r="K203" i="522" s="1"/>
  <c r="M203" i="522" s="1"/>
  <c r="J203" i="522" a="1"/>
  <c r="J203" i="522" s="1"/>
  <c r="H203" i="522"/>
  <c r="V202" i="522"/>
  <c r="W202" i="522" s="1"/>
  <c r="N202" i="522"/>
  <c r="K202" i="522" a="1"/>
  <c r="K202" i="522" s="1"/>
  <c r="M202" i="522" s="1"/>
  <c r="J202" i="522" a="1"/>
  <c r="J202" i="522" s="1"/>
  <c r="H202" i="522"/>
  <c r="V201" i="522"/>
  <c r="W201" i="522" s="1"/>
  <c r="N201" i="522"/>
  <c r="K201" i="522"/>
  <c r="M201" i="522" s="1"/>
  <c r="K201" i="522" a="1"/>
  <c r="J201" i="522"/>
  <c r="J201" i="522" a="1"/>
  <c r="H201" i="522"/>
  <c r="H200" i="522"/>
  <c r="V199" i="522"/>
  <c r="V256" i="522" s="1"/>
  <c r="W256" i="522" s="1"/>
  <c r="N199" i="522"/>
  <c r="K199" i="522" a="1"/>
  <c r="K199" i="522" s="1"/>
  <c r="J199" i="522" a="1"/>
  <c r="J199" i="522" s="1"/>
  <c r="H199" i="522"/>
  <c r="H256" i="522" s="1"/>
  <c r="AA198" i="522"/>
  <c r="AA333" i="522" s="1"/>
  <c r="Z198" i="522"/>
  <c r="Z333" i="522" s="1"/>
  <c r="Y198" i="522"/>
  <c r="Y333" i="522" s="1"/>
  <c r="X198" i="522"/>
  <c r="X333" i="522" s="1"/>
  <c r="U198" i="522"/>
  <c r="U333" i="522" s="1"/>
  <c r="T198" i="522"/>
  <c r="T333" i="522" s="1"/>
  <c r="S198" i="522"/>
  <c r="S333" i="522" s="1"/>
  <c r="R198" i="522"/>
  <c r="R333" i="522" s="1"/>
  <c r="Q198" i="522"/>
  <c r="Q333" i="522" s="1"/>
  <c r="P198" i="522"/>
  <c r="X336" i="522" s="1"/>
  <c r="O198" i="522"/>
  <c r="O333" i="522" s="1"/>
  <c r="I198" i="522"/>
  <c r="I333" i="522" s="1"/>
  <c r="B341" i="522" s="1"/>
  <c r="G198" i="522"/>
  <c r="G333" i="522" s="1"/>
  <c r="V197" i="522"/>
  <c r="W197" i="522" s="1"/>
  <c r="N197" i="522"/>
  <c r="K197" i="522" a="1"/>
  <c r="K197" i="522" s="1"/>
  <c r="M197" i="522" s="1"/>
  <c r="J197" i="522" a="1"/>
  <c r="J197" i="522" s="1"/>
  <c r="H197" i="522"/>
  <c r="V196" i="522"/>
  <c r="W196" i="522" s="1"/>
  <c r="N196" i="522"/>
  <c r="K196" i="522"/>
  <c r="M196" i="522" s="1"/>
  <c r="K196" i="522" a="1"/>
  <c r="J196" i="522"/>
  <c r="J196" i="522" a="1"/>
  <c r="H196" i="522"/>
  <c r="K195" i="522" a="1"/>
  <c r="K195" i="522" s="1"/>
  <c r="M195" i="522" s="1"/>
  <c r="H195" i="522"/>
  <c r="K194" i="522" a="1"/>
  <c r="K194" i="522" s="1"/>
  <c r="M194" i="522" s="1"/>
  <c r="H194" i="522"/>
  <c r="K193" i="522" a="1"/>
  <c r="K193" i="522" s="1"/>
  <c r="M193" i="522" s="1"/>
  <c r="H193" i="522"/>
  <c r="K192" i="522" a="1"/>
  <c r="K192" i="522" s="1"/>
  <c r="M192" i="522" s="1"/>
  <c r="H192" i="522"/>
  <c r="W191" i="522"/>
  <c r="V191" i="522"/>
  <c r="N191" i="522"/>
  <c r="K191" i="522" a="1"/>
  <c r="K191" i="522" s="1"/>
  <c r="M191" i="522" s="1"/>
  <c r="J191" i="522" a="1"/>
  <c r="J191" i="522" s="1"/>
  <c r="H191" i="522"/>
  <c r="V190" i="522"/>
  <c r="W190" i="522" s="1"/>
  <c r="N190" i="522"/>
  <c r="K190" i="522" a="1"/>
  <c r="K190" i="522" s="1"/>
  <c r="M190" i="522" s="1"/>
  <c r="J190" i="522" a="1"/>
  <c r="J190" i="522" s="1"/>
  <c r="H190" i="522"/>
  <c r="V189" i="522"/>
  <c r="W189" i="522" s="1"/>
  <c r="N189" i="522"/>
  <c r="K189" i="522"/>
  <c r="M189" i="522" s="1"/>
  <c r="K189" i="522" a="1"/>
  <c r="J189" i="522"/>
  <c r="J189" i="522" a="1"/>
  <c r="H189" i="522"/>
  <c r="N188" i="522"/>
  <c r="K188" i="522" a="1"/>
  <c r="K188" i="522" s="1"/>
  <c r="M188" i="522" s="1"/>
  <c r="J188" i="522" a="1"/>
  <c r="J188" i="522" s="1"/>
  <c r="H188" i="522"/>
  <c r="N187" i="522"/>
  <c r="K187" i="522"/>
  <c r="M187" i="522" s="1"/>
  <c r="K187" i="522" a="1"/>
  <c r="J187" i="522"/>
  <c r="J187" i="522" a="1"/>
  <c r="H187" i="522"/>
  <c r="V186" i="522"/>
  <c r="W186" i="522" s="1"/>
  <c r="N186" i="522"/>
  <c r="K186" i="522" a="1"/>
  <c r="K186" i="522" s="1"/>
  <c r="M186" i="522" s="1"/>
  <c r="J186" i="522" a="1"/>
  <c r="J186" i="522" s="1"/>
  <c r="H186" i="522"/>
  <c r="W185" i="522"/>
  <c r="V185" i="522"/>
  <c r="N185" i="522"/>
  <c r="K185" i="522" a="1"/>
  <c r="K185" i="522" s="1"/>
  <c r="M185" i="522" s="1"/>
  <c r="J185" i="522" a="1"/>
  <c r="J185" i="522" s="1"/>
  <c r="H185" i="522"/>
  <c r="N184" i="522"/>
  <c r="K184" i="522" a="1"/>
  <c r="K184" i="522" s="1"/>
  <c r="M184" i="522" s="1"/>
  <c r="H184" i="522"/>
  <c r="N183" i="522"/>
  <c r="K183" i="522" a="1"/>
  <c r="K183" i="522" s="1"/>
  <c r="M183" i="522" s="1"/>
  <c r="H183" i="522"/>
  <c r="V182" i="522"/>
  <c r="W182" i="522" s="1"/>
  <c r="N182" i="522"/>
  <c r="K182" i="522" a="1"/>
  <c r="K182" i="522" s="1"/>
  <c r="M182" i="522" s="1"/>
  <c r="J182" i="522" a="1"/>
  <c r="J182" i="522" s="1"/>
  <c r="H182" i="522"/>
  <c r="V181" i="522"/>
  <c r="W181" i="522" s="1"/>
  <c r="N181" i="522"/>
  <c r="K181" i="522"/>
  <c r="M181" i="522" s="1"/>
  <c r="K181" i="522" a="1"/>
  <c r="J181" i="522"/>
  <c r="J181" i="522" a="1"/>
  <c r="H181" i="522"/>
  <c r="V180" i="522"/>
  <c r="W180" i="522" s="1"/>
  <c r="N180" i="522"/>
  <c r="K180" i="522" a="1"/>
  <c r="K180" i="522" s="1"/>
  <c r="M180" i="522" s="1"/>
  <c r="J180" i="522" a="1"/>
  <c r="J180" i="522" s="1"/>
  <c r="H180" i="522"/>
  <c r="V179" i="522"/>
  <c r="W179" i="522" s="1"/>
  <c r="N179" i="522"/>
  <c r="K179" i="522" a="1"/>
  <c r="K179" i="522" s="1"/>
  <c r="M179" i="522" s="1"/>
  <c r="J179" i="522" a="1"/>
  <c r="J179" i="522" s="1"/>
  <c r="H179" i="522"/>
  <c r="V178" i="522"/>
  <c r="W178" i="522" s="1"/>
  <c r="N178" i="522"/>
  <c r="K178" i="522" a="1"/>
  <c r="K178" i="522" s="1"/>
  <c r="M178" i="522" s="1"/>
  <c r="J178" i="522" a="1"/>
  <c r="J178" i="522" s="1"/>
  <c r="H178" i="522"/>
  <c r="V177" i="522"/>
  <c r="V198" i="522" s="1"/>
  <c r="N177" i="522"/>
  <c r="K177" i="522"/>
  <c r="K177" i="522" a="1"/>
  <c r="J177" i="522"/>
  <c r="J177" i="522" a="1"/>
  <c r="H177" i="522"/>
  <c r="H198" i="522" s="1"/>
  <c r="X170" i="522"/>
  <c r="Q526" i="522" s="1"/>
  <c r="X169" i="522"/>
  <c r="Q525" i="522" s="1"/>
  <c r="G169" i="522"/>
  <c r="C169" i="522"/>
  <c r="X168" i="522"/>
  <c r="Q524" i="522" s="1"/>
  <c r="I168" i="522"/>
  <c r="E168" i="522"/>
  <c r="K168" i="522" s="1"/>
  <c r="M168" i="522" s="1"/>
  <c r="I167" i="522"/>
  <c r="E167" i="522"/>
  <c r="K167" i="522" s="1"/>
  <c r="M167" i="522" s="1"/>
  <c r="I166" i="522"/>
  <c r="E166" i="522"/>
  <c r="K166" i="522" s="1"/>
  <c r="M166" i="522" s="1"/>
  <c r="X165" i="522"/>
  <c r="Q521" i="522" s="1"/>
  <c r="I165" i="522"/>
  <c r="I169" i="522" s="1"/>
  <c r="E165" i="522"/>
  <c r="E169" i="522" s="1"/>
  <c r="AA162" i="522"/>
  <c r="Z162" i="522"/>
  <c r="Y162" i="522"/>
  <c r="X162" i="522"/>
  <c r="U162" i="522"/>
  <c r="T162" i="522"/>
  <c r="S162" i="522"/>
  <c r="R162" i="522"/>
  <c r="Q162" i="522"/>
  <c r="P162" i="522"/>
  <c r="O162" i="522"/>
  <c r="R170" i="522" s="1"/>
  <c r="I162" i="522"/>
  <c r="G162" i="522"/>
  <c r="C526" i="522" s="1"/>
  <c r="H161" i="522"/>
  <c r="H160" i="522"/>
  <c r="H159" i="522"/>
  <c r="V158" i="522"/>
  <c r="W158" i="522" s="1"/>
  <c r="N158" i="522"/>
  <c r="K158" i="522"/>
  <c r="K158" i="522" a="1"/>
  <c r="J158" i="522" a="1"/>
  <c r="J158" i="522" s="1"/>
  <c r="D158" i="522"/>
  <c r="H158" i="522" s="1"/>
  <c r="V157" i="522"/>
  <c r="W157" i="522" s="1"/>
  <c r="N157" i="522"/>
  <c r="K157" i="522" a="1"/>
  <c r="K157" i="522" s="1"/>
  <c r="M157" i="522" s="1"/>
  <c r="J157" i="522" a="1"/>
  <c r="J157" i="522" s="1"/>
  <c r="H157" i="522"/>
  <c r="H156" i="522"/>
  <c r="H155" i="522"/>
  <c r="V154" i="522"/>
  <c r="W154" i="522" s="1"/>
  <c r="N154" i="522"/>
  <c r="K154" i="522"/>
  <c r="M154" i="522" s="1"/>
  <c r="K154" i="522" a="1"/>
  <c r="J154" i="522"/>
  <c r="J154" i="522" a="1"/>
  <c r="H154" i="522"/>
  <c r="V153" i="522"/>
  <c r="W153" i="522" s="1"/>
  <c r="N153" i="522"/>
  <c r="K153" i="522" a="1"/>
  <c r="K153" i="522" s="1"/>
  <c r="M153" i="522" s="1"/>
  <c r="J153" i="522" a="1"/>
  <c r="J153" i="522" s="1"/>
  <c r="H153" i="522"/>
  <c r="H152" i="522"/>
  <c r="V151" i="522"/>
  <c r="W151" i="522" s="1"/>
  <c r="N151" i="522"/>
  <c r="K151" i="522" a="1"/>
  <c r="K151" i="522" s="1"/>
  <c r="M151" i="522" s="1"/>
  <c r="J151" i="522" a="1"/>
  <c r="J151" i="522" s="1"/>
  <c r="H151" i="522"/>
  <c r="V150" i="522"/>
  <c r="W150" i="522" s="1"/>
  <c r="N150" i="522"/>
  <c r="K150" i="522" a="1"/>
  <c r="K150" i="522" s="1"/>
  <c r="M150" i="522" s="1"/>
  <c r="J150" i="522" a="1"/>
  <c r="J150" i="522" s="1"/>
  <c r="H150" i="522"/>
  <c r="V149" i="522"/>
  <c r="W149" i="522" s="1"/>
  <c r="N149" i="522"/>
  <c r="K149" i="522" a="1"/>
  <c r="K149" i="522" s="1"/>
  <c r="M149" i="522" s="1"/>
  <c r="J149" i="522" a="1"/>
  <c r="J149" i="522" s="1"/>
  <c r="H149" i="522"/>
  <c r="V148" i="522"/>
  <c r="V162" i="522" s="1"/>
  <c r="W162" i="522" s="1"/>
  <c r="N148" i="522"/>
  <c r="K148" i="522"/>
  <c r="K148" i="522" a="1"/>
  <c r="J148" i="522"/>
  <c r="J148" i="522" a="1"/>
  <c r="H148" i="522"/>
  <c r="H162" i="522" s="1"/>
  <c r="AA147" i="522"/>
  <c r="Z147" i="522"/>
  <c r="Y147" i="522"/>
  <c r="X147" i="522"/>
  <c r="U147" i="522"/>
  <c r="T147" i="522"/>
  <c r="S147" i="522"/>
  <c r="Q147" i="522"/>
  <c r="P147" i="522"/>
  <c r="O147" i="522"/>
  <c r="R169" i="522" s="1"/>
  <c r="I147" i="522"/>
  <c r="G147" i="522"/>
  <c r="C525" i="522" s="1"/>
  <c r="V146" i="522"/>
  <c r="W146" i="522" s="1"/>
  <c r="N146" i="522"/>
  <c r="K146" i="522" a="1"/>
  <c r="K146" i="522" s="1"/>
  <c r="M146" i="522" s="1"/>
  <c r="J146" i="522" a="1"/>
  <c r="J146" i="522" s="1"/>
  <c r="H146" i="522"/>
  <c r="H143" i="522"/>
  <c r="V142" i="522"/>
  <c r="W142" i="522" s="1"/>
  <c r="N142" i="522"/>
  <c r="K142" i="522" a="1"/>
  <c r="K142" i="522" s="1"/>
  <c r="M142" i="522" s="1"/>
  <c r="J142" i="522" a="1"/>
  <c r="J142" i="522" s="1"/>
  <c r="H142" i="522"/>
  <c r="V141" i="522"/>
  <c r="W141" i="522" s="1"/>
  <c r="N141" i="522"/>
  <c r="K141" i="522" a="1"/>
  <c r="K141" i="522" s="1"/>
  <c r="M141" i="522" s="1"/>
  <c r="J141" i="522" a="1"/>
  <c r="J141" i="522" s="1"/>
  <c r="H141" i="522"/>
  <c r="V140" i="522"/>
  <c r="W140" i="522" s="1"/>
  <c r="N140" i="522"/>
  <c r="K140" i="522" a="1"/>
  <c r="K140" i="522" s="1"/>
  <c r="M140" i="522" s="1"/>
  <c r="J140" i="522" a="1"/>
  <c r="J140" i="522" s="1"/>
  <c r="H140" i="522"/>
  <c r="V139" i="522"/>
  <c r="W139" i="522" s="1"/>
  <c r="N139" i="522"/>
  <c r="K139" i="522"/>
  <c r="M139" i="522" s="1"/>
  <c r="K139" i="522" a="1"/>
  <c r="J139" i="522"/>
  <c r="J139" i="522" a="1"/>
  <c r="H139" i="522"/>
  <c r="V138" i="522"/>
  <c r="N138" i="522"/>
  <c r="K138" i="522" a="1"/>
  <c r="K138" i="522" s="1"/>
  <c r="J138" i="522" a="1"/>
  <c r="J138" i="522" s="1"/>
  <c r="H138" i="522"/>
  <c r="AA137" i="522"/>
  <c r="Z137" i="522"/>
  <c r="Y137" i="522"/>
  <c r="X137" i="522"/>
  <c r="U137" i="522"/>
  <c r="T137" i="522"/>
  <c r="S137" i="522"/>
  <c r="Q137" i="522"/>
  <c r="P137" i="522"/>
  <c r="O137" i="522"/>
  <c r="I137" i="522"/>
  <c r="G137" i="522"/>
  <c r="C524" i="522" s="1"/>
  <c r="V136" i="522"/>
  <c r="W136" i="522" s="1"/>
  <c r="N136" i="522"/>
  <c r="K136" i="522"/>
  <c r="M136" i="522" s="1"/>
  <c r="K136" i="522" a="1"/>
  <c r="J136" i="522"/>
  <c r="J136" i="522" a="1"/>
  <c r="H136" i="522"/>
  <c r="V135" i="522"/>
  <c r="W135" i="522" s="1"/>
  <c r="N135" i="522"/>
  <c r="K135" i="522" a="1"/>
  <c r="K135" i="522" s="1"/>
  <c r="M135" i="522" s="1"/>
  <c r="J135" i="522" a="1"/>
  <c r="J135" i="522" s="1"/>
  <c r="H135" i="522"/>
  <c r="V134" i="522"/>
  <c r="W134" i="522" s="1"/>
  <c r="N134" i="522"/>
  <c r="K134" i="522" a="1"/>
  <c r="K134" i="522" s="1"/>
  <c r="M134" i="522" s="1"/>
  <c r="J134" i="522" a="1"/>
  <c r="J134" i="522" s="1"/>
  <c r="H134" i="522"/>
  <c r="V133" i="522"/>
  <c r="W133" i="522" s="1"/>
  <c r="N133" i="522"/>
  <c r="K133" i="522" a="1"/>
  <c r="K133" i="522" s="1"/>
  <c r="M133" i="522" s="1"/>
  <c r="J133" i="522" a="1"/>
  <c r="J133" i="522" s="1"/>
  <c r="H133" i="522"/>
  <c r="V132" i="522"/>
  <c r="W132" i="522" s="1"/>
  <c r="N132" i="522"/>
  <c r="K132" i="522"/>
  <c r="M132" i="522" s="1"/>
  <c r="K132" i="522" a="1"/>
  <c r="J132" i="522"/>
  <c r="J132" i="522" a="1"/>
  <c r="H132" i="522"/>
  <c r="V131" i="522"/>
  <c r="W131" i="522" s="1"/>
  <c r="N131" i="522"/>
  <c r="K131" i="522" a="1"/>
  <c r="K131" i="522" s="1"/>
  <c r="M131" i="522" s="1"/>
  <c r="J131" i="522" a="1"/>
  <c r="J131" i="522" s="1"/>
  <c r="H131" i="522"/>
  <c r="V130" i="522"/>
  <c r="W130" i="522" s="1"/>
  <c r="N130" i="522"/>
  <c r="K130" i="522" a="1"/>
  <c r="K130" i="522" s="1"/>
  <c r="M130" i="522" s="1"/>
  <c r="J130" i="522" a="1"/>
  <c r="J130" i="522" s="1"/>
  <c r="H130" i="522"/>
  <c r="V129" i="522"/>
  <c r="W129" i="522" s="1"/>
  <c r="N129" i="522"/>
  <c r="K129" i="522" a="1"/>
  <c r="K129" i="522" s="1"/>
  <c r="M129" i="522" s="1"/>
  <c r="J129" i="522" a="1"/>
  <c r="J129" i="522" s="1"/>
  <c r="H129" i="522"/>
  <c r="V128" i="522"/>
  <c r="W128" i="522" s="1"/>
  <c r="N128" i="522"/>
  <c r="K128" i="522"/>
  <c r="M128" i="522" s="1"/>
  <c r="K128" i="522" a="1"/>
  <c r="J128" i="522"/>
  <c r="J128" i="522" a="1"/>
  <c r="H128" i="522"/>
  <c r="V127" i="522"/>
  <c r="W127" i="522" s="1"/>
  <c r="N127" i="522"/>
  <c r="K127" i="522" a="1"/>
  <c r="K127" i="522" s="1"/>
  <c r="M127" i="522" s="1"/>
  <c r="J127" i="522" a="1"/>
  <c r="J127" i="522" s="1"/>
  <c r="H127" i="522"/>
  <c r="V126" i="522"/>
  <c r="W126" i="522" s="1"/>
  <c r="N126" i="522"/>
  <c r="K126" i="522" a="1"/>
  <c r="K126" i="522" s="1"/>
  <c r="M126" i="522" s="1"/>
  <c r="J126" i="522" a="1"/>
  <c r="J126" i="522" s="1"/>
  <c r="H126" i="522"/>
  <c r="V125" i="522"/>
  <c r="W125" i="522" s="1"/>
  <c r="N125" i="522"/>
  <c r="K125" i="522" a="1"/>
  <c r="K125" i="522" s="1"/>
  <c r="M125" i="522" s="1"/>
  <c r="J125" i="522" a="1"/>
  <c r="J125" i="522" s="1"/>
  <c r="H125" i="522"/>
  <c r="V124" i="522"/>
  <c r="W124" i="522" s="1"/>
  <c r="N124" i="522"/>
  <c r="K124" i="522"/>
  <c r="M124" i="522" s="1"/>
  <c r="K124" i="522" a="1"/>
  <c r="J124" i="522"/>
  <c r="J124" i="522" a="1"/>
  <c r="H124" i="522"/>
  <c r="V123" i="522"/>
  <c r="W123" i="522" s="1"/>
  <c r="N123" i="522"/>
  <c r="K123" i="522" a="1"/>
  <c r="K123" i="522" s="1"/>
  <c r="M123" i="522" s="1"/>
  <c r="J123" i="522" a="1"/>
  <c r="J123" i="522" s="1"/>
  <c r="H123" i="522"/>
  <c r="V122" i="522"/>
  <c r="W122" i="522" s="1"/>
  <c r="N122" i="522"/>
  <c r="K122" i="522" a="1"/>
  <c r="K122" i="522" s="1"/>
  <c r="J122" i="522" a="1"/>
  <c r="J122" i="522" s="1"/>
  <c r="H122" i="522"/>
  <c r="AA121" i="522"/>
  <c r="Z121" i="522"/>
  <c r="Y121" i="522"/>
  <c r="X121" i="522"/>
  <c r="U121" i="522"/>
  <c r="T121" i="522"/>
  <c r="S121" i="522"/>
  <c r="R121" i="522"/>
  <c r="Q121" i="522"/>
  <c r="P121" i="522"/>
  <c r="O121" i="522"/>
  <c r="R167" i="522" s="1"/>
  <c r="I121" i="522"/>
  <c r="G121" i="522"/>
  <c r="C523" i="522" s="1"/>
  <c r="V120" i="522"/>
  <c r="W120" i="522" s="1"/>
  <c r="N120" i="522"/>
  <c r="K120" i="522" a="1"/>
  <c r="K120" i="522" s="1"/>
  <c r="M120" i="522" s="1"/>
  <c r="J120" i="522" a="1"/>
  <c r="J120" i="522" s="1"/>
  <c r="H120" i="522"/>
  <c r="V119" i="522"/>
  <c r="W119" i="522" s="1"/>
  <c r="N119" i="522"/>
  <c r="K119" i="522" a="1"/>
  <c r="K119" i="522" s="1"/>
  <c r="M119" i="522" s="1"/>
  <c r="J119" i="522" a="1"/>
  <c r="J119" i="522" s="1"/>
  <c r="H119" i="522"/>
  <c r="V118" i="522"/>
  <c r="W118" i="522" s="1"/>
  <c r="N118" i="522"/>
  <c r="K118" i="522" a="1"/>
  <c r="K118" i="522" s="1"/>
  <c r="M118" i="522" s="1"/>
  <c r="J118" i="522" a="1"/>
  <c r="J118" i="522" s="1"/>
  <c r="H118" i="522"/>
  <c r="K117" i="522" a="1"/>
  <c r="K117" i="522" s="1"/>
  <c r="H117" i="522"/>
  <c r="K116" i="522" a="1"/>
  <c r="K116" i="522" s="1"/>
  <c r="H116" i="522"/>
  <c r="K115" i="522"/>
  <c r="K115" i="522" a="1"/>
  <c r="H115" i="522"/>
  <c r="V114" i="522"/>
  <c r="W114" i="522" s="1"/>
  <c r="N114" i="522"/>
  <c r="K114" i="522" a="1"/>
  <c r="K114" i="522" s="1"/>
  <c r="M114" i="522" s="1"/>
  <c r="J114" i="522" a="1"/>
  <c r="J114" i="522" s="1"/>
  <c r="H114" i="522"/>
  <c r="V113" i="522"/>
  <c r="W113" i="522" s="1"/>
  <c r="N113" i="522"/>
  <c r="K113" i="522" a="1"/>
  <c r="K113" i="522" s="1"/>
  <c r="M113" i="522" s="1"/>
  <c r="J113" i="522" a="1"/>
  <c r="J113" i="522" s="1"/>
  <c r="H113" i="522"/>
  <c r="N112" i="522"/>
  <c r="K112" i="522" a="1"/>
  <c r="K112" i="522" s="1"/>
  <c r="M112" i="522" s="1"/>
  <c r="H112" i="522"/>
  <c r="N111" i="522"/>
  <c r="K111" i="522" a="1"/>
  <c r="K111" i="522" s="1"/>
  <c r="M111" i="522" s="1"/>
  <c r="H111" i="522"/>
  <c r="N110" i="522"/>
  <c r="K110" i="522" a="1"/>
  <c r="K110" i="522" s="1"/>
  <c r="M110" i="522" s="1"/>
  <c r="H110" i="522"/>
  <c r="N109" i="522"/>
  <c r="K109" i="522" a="1"/>
  <c r="K109" i="522" s="1"/>
  <c r="M109" i="522" s="1"/>
  <c r="H109" i="522"/>
  <c r="N108" i="522"/>
  <c r="K108" i="522" a="1"/>
  <c r="K108" i="522" s="1"/>
  <c r="M108" i="522" s="1"/>
  <c r="H108" i="522"/>
  <c r="N107" i="522"/>
  <c r="K107" i="522" a="1"/>
  <c r="K107" i="522" s="1"/>
  <c r="M107" i="522" s="1"/>
  <c r="H107" i="522"/>
  <c r="V106" i="522"/>
  <c r="W106" i="522" s="1"/>
  <c r="N106" i="522"/>
  <c r="K106" i="522" a="1"/>
  <c r="K106" i="522" s="1"/>
  <c r="M106" i="522" s="1"/>
  <c r="J106" i="522" a="1"/>
  <c r="J106" i="522" s="1"/>
  <c r="H106" i="522"/>
  <c r="V105" i="522"/>
  <c r="W105" i="522" s="1"/>
  <c r="N105" i="522"/>
  <c r="K105" i="522" a="1"/>
  <c r="K105" i="522" s="1"/>
  <c r="M105" i="522" s="1"/>
  <c r="J105" i="522" a="1"/>
  <c r="J105" i="522" s="1"/>
  <c r="H105" i="522"/>
  <c r="V104" i="522"/>
  <c r="W104" i="522" s="1"/>
  <c r="N104" i="522"/>
  <c r="K104" i="522" a="1"/>
  <c r="K104" i="522" s="1"/>
  <c r="M104" i="522" s="1"/>
  <c r="J104" i="522" a="1"/>
  <c r="J104" i="522" s="1"/>
  <c r="H104" i="522"/>
  <c r="V103" i="522"/>
  <c r="W103" i="522" s="1"/>
  <c r="N103" i="522"/>
  <c r="K103" i="522" a="1"/>
  <c r="K103" i="522" s="1"/>
  <c r="M103" i="522" s="1"/>
  <c r="J103" i="522" a="1"/>
  <c r="J103" i="522" s="1"/>
  <c r="H103" i="522"/>
  <c r="V102" i="522"/>
  <c r="W102" i="522" s="1"/>
  <c r="N102" i="522"/>
  <c r="K102" i="522" a="1"/>
  <c r="K102" i="522" s="1"/>
  <c r="M102" i="522" s="1"/>
  <c r="J102" i="522" a="1"/>
  <c r="J102" i="522" s="1"/>
  <c r="H102" i="522"/>
  <c r="V101" i="522"/>
  <c r="W101" i="522" s="1"/>
  <c r="N101" i="522"/>
  <c r="K101" i="522" a="1"/>
  <c r="K101" i="522" s="1"/>
  <c r="M101" i="522" s="1"/>
  <c r="J101" i="522" a="1"/>
  <c r="J101" i="522" s="1"/>
  <c r="H101" i="522"/>
  <c r="V100" i="522"/>
  <c r="W100" i="522" s="1"/>
  <c r="N100" i="522"/>
  <c r="K100" i="522" a="1"/>
  <c r="K100" i="522" s="1"/>
  <c r="M100" i="522" s="1"/>
  <c r="J100" i="522" a="1"/>
  <c r="J100" i="522" s="1"/>
  <c r="H100" i="522"/>
  <c r="V99" i="522"/>
  <c r="W99" i="522" s="1"/>
  <c r="N99" i="522"/>
  <c r="K99" i="522" a="1"/>
  <c r="K99" i="522" s="1"/>
  <c r="M99" i="522" s="1"/>
  <c r="J99" i="522" a="1"/>
  <c r="J99" i="522" s="1"/>
  <c r="H99" i="522"/>
  <c r="V98" i="522"/>
  <c r="W98" i="522" s="1"/>
  <c r="N98" i="522"/>
  <c r="K98" i="522" a="1"/>
  <c r="K98" i="522" s="1"/>
  <c r="M98" i="522" s="1"/>
  <c r="J98" i="522" a="1"/>
  <c r="J98" i="522" s="1"/>
  <c r="H98" i="522"/>
  <c r="V97" i="522"/>
  <c r="W97" i="522" s="1"/>
  <c r="N97" i="522"/>
  <c r="K97" i="522" a="1"/>
  <c r="K97" i="522" s="1"/>
  <c r="M97" i="522" s="1"/>
  <c r="J97" i="522" a="1"/>
  <c r="J97" i="522" s="1"/>
  <c r="H97" i="522"/>
  <c r="V96" i="522"/>
  <c r="W96" i="522" s="1"/>
  <c r="N96" i="522"/>
  <c r="K96" i="522" a="1"/>
  <c r="K96" i="522" s="1"/>
  <c r="M96" i="522" s="1"/>
  <c r="J96" i="522" a="1"/>
  <c r="J96" i="522" s="1"/>
  <c r="H96" i="522"/>
  <c r="V95" i="522"/>
  <c r="W95" i="522" s="1"/>
  <c r="N95" i="522"/>
  <c r="K95" i="522" a="1"/>
  <c r="K95" i="522" s="1"/>
  <c r="M95" i="522" s="1"/>
  <c r="J95" i="522" a="1"/>
  <c r="J95" i="522" s="1"/>
  <c r="H95" i="522"/>
  <c r="K94" i="522" a="1"/>
  <c r="K94" i="522" s="1"/>
  <c r="M94" i="522" s="1"/>
  <c r="H94" i="522"/>
  <c r="V93" i="522"/>
  <c r="W93" i="522" s="1"/>
  <c r="N93" i="522"/>
  <c r="K93" i="522" a="1"/>
  <c r="K93" i="522" s="1"/>
  <c r="M93" i="522" s="1"/>
  <c r="J93" i="522" a="1"/>
  <c r="J93" i="522" s="1"/>
  <c r="H93" i="522"/>
  <c r="V92" i="522"/>
  <c r="W92" i="522" s="1"/>
  <c r="N92" i="522"/>
  <c r="K92" i="522" a="1"/>
  <c r="K92" i="522" s="1"/>
  <c r="M92" i="522" s="1"/>
  <c r="J92" i="522" a="1"/>
  <c r="J92" i="522" s="1"/>
  <c r="H92" i="522"/>
  <c r="V91" i="522"/>
  <c r="W91" i="522" s="1"/>
  <c r="N91" i="522"/>
  <c r="K91" i="522" a="1"/>
  <c r="K91" i="522" s="1"/>
  <c r="M91" i="522" s="1"/>
  <c r="J91" i="522" a="1"/>
  <c r="J91" i="522" s="1"/>
  <c r="H91" i="522"/>
  <c r="V90" i="522"/>
  <c r="W90" i="522" s="1"/>
  <c r="N90" i="522"/>
  <c r="K90" i="522" a="1"/>
  <c r="K90" i="522" s="1"/>
  <c r="M90" i="522" s="1"/>
  <c r="J90" i="522" a="1"/>
  <c r="J90" i="522" s="1"/>
  <c r="H90" i="522"/>
  <c r="V89" i="522"/>
  <c r="W89" i="522" s="1"/>
  <c r="N89" i="522"/>
  <c r="K89" i="522" a="1"/>
  <c r="K89" i="522" s="1"/>
  <c r="M89" i="522" s="1"/>
  <c r="J89" i="522" a="1"/>
  <c r="J89" i="522" s="1"/>
  <c r="H89" i="522"/>
  <c r="V88" i="522"/>
  <c r="W88" i="522" s="1"/>
  <c r="N88" i="522"/>
  <c r="K88" i="522" a="1"/>
  <c r="K88" i="522" s="1"/>
  <c r="M88" i="522" s="1"/>
  <c r="J88" i="522" a="1"/>
  <c r="J88" i="522" s="1"/>
  <c r="H88" i="522"/>
  <c r="V87" i="522"/>
  <c r="N87" i="522"/>
  <c r="K87" i="522" a="1"/>
  <c r="K87" i="522" s="1"/>
  <c r="J87" i="522" a="1"/>
  <c r="J87" i="522" s="1"/>
  <c r="H87" i="522"/>
  <c r="AA86" i="522"/>
  <c r="Z86" i="522"/>
  <c r="Y86" i="522"/>
  <c r="X86" i="522"/>
  <c r="U86" i="522"/>
  <c r="T86" i="522"/>
  <c r="S86" i="522"/>
  <c r="R86" i="522"/>
  <c r="Q86" i="522"/>
  <c r="P86" i="522"/>
  <c r="O86" i="522"/>
  <c r="I86" i="522"/>
  <c r="G86" i="522"/>
  <c r="C522" i="522" s="1"/>
  <c r="K85" i="522" a="1"/>
  <c r="K85" i="522" s="1"/>
  <c r="H85" i="522"/>
  <c r="K84" i="522" a="1"/>
  <c r="K84" i="522" s="1"/>
  <c r="H84" i="522"/>
  <c r="K83" i="522" a="1"/>
  <c r="K83" i="522" s="1"/>
  <c r="H83" i="522"/>
  <c r="K82" i="522" a="1"/>
  <c r="K82" i="522" s="1"/>
  <c r="H82" i="522"/>
  <c r="K81" i="522" a="1"/>
  <c r="K81" i="522" s="1"/>
  <c r="H81" i="522"/>
  <c r="K80" i="522"/>
  <c r="K80" i="522" a="1"/>
  <c r="H80" i="522"/>
  <c r="K79" i="522" a="1"/>
  <c r="K79" i="522" s="1"/>
  <c r="M79" i="522" s="1"/>
  <c r="H79" i="522"/>
  <c r="K78" i="522" a="1"/>
  <c r="K78" i="522" s="1"/>
  <c r="M78" i="522" s="1"/>
  <c r="H78" i="522"/>
  <c r="K77" i="522" a="1"/>
  <c r="K77" i="522" s="1"/>
  <c r="M77" i="522" s="1"/>
  <c r="H77" i="522"/>
  <c r="K76" i="522" a="1"/>
  <c r="K76" i="522" s="1"/>
  <c r="M76" i="522" s="1"/>
  <c r="H76" i="522"/>
  <c r="V75" i="522"/>
  <c r="W75" i="522" s="1"/>
  <c r="N75" i="522"/>
  <c r="K75" i="522" a="1"/>
  <c r="K75" i="522" s="1"/>
  <c r="M75" i="522" s="1"/>
  <c r="J75" i="522" a="1"/>
  <c r="J75" i="522" s="1"/>
  <c r="H75" i="522"/>
  <c r="V74" i="522"/>
  <c r="W74" i="522" s="1"/>
  <c r="N74" i="522"/>
  <c r="K74" i="522" a="1"/>
  <c r="K74" i="522" s="1"/>
  <c r="M74" i="522" s="1"/>
  <c r="J74" i="522" a="1"/>
  <c r="J74" i="522" s="1"/>
  <c r="H74" i="522"/>
  <c r="V73" i="522"/>
  <c r="W73" i="522" s="1"/>
  <c r="N73" i="522"/>
  <c r="K73" i="522"/>
  <c r="M73" i="522" s="1"/>
  <c r="K73" i="522" a="1"/>
  <c r="J73" i="522"/>
  <c r="J73" i="522" a="1"/>
  <c r="H73" i="522"/>
  <c r="V72" i="522"/>
  <c r="W72" i="522" s="1"/>
  <c r="N72" i="522"/>
  <c r="K72" i="522" a="1"/>
  <c r="K72" i="522" s="1"/>
  <c r="M72" i="522" s="1"/>
  <c r="J72" i="522" a="1"/>
  <c r="J72" i="522" s="1"/>
  <c r="H72" i="522"/>
  <c r="H71" i="522"/>
  <c r="V70" i="522"/>
  <c r="W70" i="522" s="1"/>
  <c r="N70" i="522"/>
  <c r="K70" i="522" a="1"/>
  <c r="K70" i="522" s="1"/>
  <c r="M70" i="522" s="1"/>
  <c r="J70" i="522" a="1"/>
  <c r="J70" i="522" s="1"/>
  <c r="H70" i="522"/>
  <c r="V69" i="522"/>
  <c r="W69" i="522" s="1"/>
  <c r="N69" i="522"/>
  <c r="K69" i="522" a="1"/>
  <c r="K69" i="522" s="1"/>
  <c r="M69" i="522" s="1"/>
  <c r="J69" i="522" a="1"/>
  <c r="J69" i="522" s="1"/>
  <c r="H69" i="522"/>
  <c r="K68" i="522" a="1"/>
  <c r="K68" i="522" s="1"/>
  <c r="H68" i="522"/>
  <c r="K67" i="522" a="1"/>
  <c r="K67" i="522" s="1"/>
  <c r="H67" i="522"/>
  <c r="V66" i="522"/>
  <c r="W66" i="522" s="1"/>
  <c r="N66" i="522"/>
  <c r="K66" i="522" a="1"/>
  <c r="K66" i="522" s="1"/>
  <c r="M66" i="522" s="1"/>
  <c r="J66" i="522" a="1"/>
  <c r="J66" i="522" s="1"/>
  <c r="H66" i="522"/>
  <c r="V65" i="522"/>
  <c r="W65" i="522" s="1"/>
  <c r="N65" i="522"/>
  <c r="K65" i="522" a="1"/>
  <c r="K65" i="522" s="1"/>
  <c r="M65" i="522" s="1"/>
  <c r="J65" i="522" a="1"/>
  <c r="J65" i="522" s="1"/>
  <c r="H65" i="522"/>
  <c r="V64" i="522"/>
  <c r="W64" i="522" s="1"/>
  <c r="N64" i="522"/>
  <c r="K64" i="522" a="1"/>
  <c r="K64" i="522" s="1"/>
  <c r="M64" i="522" s="1"/>
  <c r="J64" i="522" a="1"/>
  <c r="J64" i="522" s="1"/>
  <c r="H64" i="522"/>
  <c r="V63" i="522"/>
  <c r="W63" i="522" s="1"/>
  <c r="N63" i="522"/>
  <c r="K63" i="522" a="1"/>
  <c r="K63" i="522" s="1"/>
  <c r="M63" i="522" s="1"/>
  <c r="J63" i="522" a="1"/>
  <c r="J63" i="522" s="1"/>
  <c r="H63" i="522"/>
  <c r="V62" i="522"/>
  <c r="W62" i="522" s="1"/>
  <c r="N62" i="522"/>
  <c r="K62" i="522" a="1"/>
  <c r="K62" i="522" s="1"/>
  <c r="M62" i="522" s="1"/>
  <c r="J62" i="522" a="1"/>
  <c r="J62" i="522" s="1"/>
  <c r="H62" i="522"/>
  <c r="V61" i="522"/>
  <c r="W61" i="522" s="1"/>
  <c r="N61" i="522"/>
  <c r="K61" i="522" a="1"/>
  <c r="K61" i="522" s="1"/>
  <c r="M61" i="522" s="1"/>
  <c r="J61" i="522" a="1"/>
  <c r="J61" i="522" s="1"/>
  <c r="H61" i="522"/>
  <c r="V60" i="522"/>
  <c r="W60" i="522" s="1"/>
  <c r="N60" i="522"/>
  <c r="K60" i="522" a="1"/>
  <c r="K60" i="522" s="1"/>
  <c r="M60" i="522" s="1"/>
  <c r="J60" i="522" a="1"/>
  <c r="J60" i="522" s="1"/>
  <c r="H60" i="522"/>
  <c r="V59" i="522"/>
  <c r="W59" i="522" s="1"/>
  <c r="N59" i="522"/>
  <c r="K59" i="522" a="1"/>
  <c r="K59" i="522" s="1"/>
  <c r="M59" i="522" s="1"/>
  <c r="J59" i="522" a="1"/>
  <c r="J59" i="522" s="1"/>
  <c r="H59" i="522"/>
  <c r="V58" i="522"/>
  <c r="W58" i="522" s="1"/>
  <c r="N58" i="522"/>
  <c r="K58" i="522" a="1"/>
  <c r="K58" i="522" s="1"/>
  <c r="M58" i="522" s="1"/>
  <c r="J58" i="522" a="1"/>
  <c r="J58" i="522" s="1"/>
  <c r="H58" i="522"/>
  <c r="V57" i="522"/>
  <c r="W57" i="522" s="1"/>
  <c r="N57" i="522"/>
  <c r="K57" i="522" a="1"/>
  <c r="K57" i="522" s="1"/>
  <c r="M57" i="522" s="1"/>
  <c r="J57" i="522" a="1"/>
  <c r="J57" i="522" s="1"/>
  <c r="H57" i="522"/>
  <c r="K56" i="522" a="1"/>
  <c r="K56" i="522" s="1"/>
  <c r="M56" i="522" s="1"/>
  <c r="H56" i="522"/>
  <c r="K55" i="522" a="1"/>
  <c r="K55" i="522" s="1"/>
  <c r="M55" i="522" s="1"/>
  <c r="H55" i="522"/>
  <c r="K54" i="522" a="1"/>
  <c r="K54" i="522" s="1"/>
  <c r="M54" i="522" s="1"/>
  <c r="H54" i="522"/>
  <c r="K53" i="522" a="1"/>
  <c r="K53" i="522" s="1"/>
  <c r="M53" i="522" s="1"/>
  <c r="H53" i="522"/>
  <c r="N52" i="522"/>
  <c r="K52" i="522" a="1"/>
  <c r="K52" i="522" s="1"/>
  <c r="M52" i="522" s="1"/>
  <c r="H52" i="522"/>
  <c r="N51" i="522"/>
  <c r="K51" i="522" a="1"/>
  <c r="K51" i="522" s="1"/>
  <c r="M51" i="522" s="1"/>
  <c r="H51" i="522"/>
  <c r="N50" i="522"/>
  <c r="K50" i="522" a="1"/>
  <c r="K50" i="522" s="1"/>
  <c r="M50" i="522" s="1"/>
  <c r="H50" i="522"/>
  <c r="N49" i="522"/>
  <c r="K49" i="522" a="1"/>
  <c r="K49" i="522" s="1"/>
  <c r="M49" i="522" s="1"/>
  <c r="H49" i="522"/>
  <c r="V48" i="522"/>
  <c r="W48" i="522" s="1"/>
  <c r="N48" i="522"/>
  <c r="K48" i="522" a="1"/>
  <c r="K48" i="522" s="1"/>
  <c r="M48" i="522" s="1"/>
  <c r="J48" i="522" a="1"/>
  <c r="J48" i="522" s="1"/>
  <c r="H48" i="522"/>
  <c r="V47" i="522"/>
  <c r="W47" i="522" s="1"/>
  <c r="N47" i="522"/>
  <c r="K47" i="522" a="1"/>
  <c r="K47" i="522" s="1"/>
  <c r="M47" i="522" s="1"/>
  <c r="J47" i="522" a="1"/>
  <c r="J47" i="522" s="1"/>
  <c r="H47" i="522"/>
  <c r="V46" i="522"/>
  <c r="W46" i="522" s="1"/>
  <c r="N46" i="522"/>
  <c r="K46" i="522" a="1"/>
  <c r="K46" i="522" s="1"/>
  <c r="M46" i="522" s="1"/>
  <c r="J46" i="522" a="1"/>
  <c r="J46" i="522" s="1"/>
  <c r="H46" i="522"/>
  <c r="V45" i="522"/>
  <c r="W45" i="522" s="1"/>
  <c r="N45" i="522"/>
  <c r="K45" i="522" a="1"/>
  <c r="K45" i="522" s="1"/>
  <c r="M45" i="522" s="1"/>
  <c r="J45" i="522" a="1"/>
  <c r="J45" i="522" s="1"/>
  <c r="H45" i="522"/>
  <c r="V44" i="522"/>
  <c r="W44" i="522" s="1"/>
  <c r="N44" i="522"/>
  <c r="K44" i="522" a="1"/>
  <c r="K44" i="522" s="1"/>
  <c r="M44" i="522" s="1"/>
  <c r="J44" i="522" a="1"/>
  <c r="J44" i="522" s="1"/>
  <c r="H44" i="522"/>
  <c r="V43" i="522"/>
  <c r="W43" i="522" s="1"/>
  <c r="N43" i="522"/>
  <c r="K43" i="522" a="1"/>
  <c r="K43" i="522" s="1"/>
  <c r="M43" i="522" s="1"/>
  <c r="J43" i="522" a="1"/>
  <c r="J43" i="522" s="1"/>
  <c r="H43" i="522"/>
  <c r="V42" i="522"/>
  <c r="W42" i="522" s="1"/>
  <c r="N42" i="522"/>
  <c r="K42" i="522" a="1"/>
  <c r="K42" i="522" s="1"/>
  <c r="M42" i="522" s="1"/>
  <c r="J42" i="522" a="1"/>
  <c r="J42" i="522" s="1"/>
  <c r="H42" i="522"/>
  <c r="V41" i="522"/>
  <c r="W41" i="522" s="1"/>
  <c r="N41" i="522"/>
  <c r="K41" i="522" a="1"/>
  <c r="K41" i="522" s="1"/>
  <c r="M41" i="522" s="1"/>
  <c r="J41" i="522" a="1"/>
  <c r="J41" i="522" s="1"/>
  <c r="H41" i="522"/>
  <c r="V40" i="522"/>
  <c r="W40" i="522" s="1"/>
  <c r="N40" i="522"/>
  <c r="K40" i="522" a="1"/>
  <c r="K40" i="522" s="1"/>
  <c r="M40" i="522" s="1"/>
  <c r="J40" i="522" a="1"/>
  <c r="J40" i="522" s="1"/>
  <c r="H40" i="522"/>
  <c r="V39" i="522"/>
  <c r="W39" i="522" s="1"/>
  <c r="N39" i="522"/>
  <c r="K39" i="522" a="1"/>
  <c r="K39" i="522" s="1"/>
  <c r="M39" i="522" s="1"/>
  <c r="J39" i="522" a="1"/>
  <c r="J39" i="522" s="1"/>
  <c r="H39" i="522"/>
  <c r="V38" i="522"/>
  <c r="W38" i="522" s="1"/>
  <c r="N38" i="522"/>
  <c r="K38" i="522"/>
  <c r="M38" i="522" s="1"/>
  <c r="K38" i="522" a="1"/>
  <c r="J38" i="522"/>
  <c r="J38" i="522" a="1"/>
  <c r="H38" i="522"/>
  <c r="V37" i="522"/>
  <c r="W37" i="522" s="1"/>
  <c r="N37" i="522"/>
  <c r="K37" i="522" a="1"/>
  <c r="K37" i="522" s="1"/>
  <c r="M37" i="522" s="1"/>
  <c r="J37" i="522" a="1"/>
  <c r="J37" i="522" s="1"/>
  <c r="H37" i="522"/>
  <c r="H36" i="522"/>
  <c r="H35" i="522"/>
  <c r="H34" i="522"/>
  <c r="V33" i="522"/>
  <c r="W33" i="522" s="1"/>
  <c r="N33" i="522"/>
  <c r="K33" i="522" a="1"/>
  <c r="K33" i="522" s="1"/>
  <c r="M33" i="522" s="1"/>
  <c r="J33" i="522" a="1"/>
  <c r="J33" i="522" s="1"/>
  <c r="H33" i="522"/>
  <c r="V32" i="522"/>
  <c r="W32" i="522" s="1"/>
  <c r="N32" i="522"/>
  <c r="K32" i="522" a="1"/>
  <c r="K32" i="522" s="1"/>
  <c r="M32" i="522" s="1"/>
  <c r="J32" i="522" a="1"/>
  <c r="J32" i="522" s="1"/>
  <c r="H32" i="522"/>
  <c r="V31" i="522"/>
  <c r="W31" i="522" s="1"/>
  <c r="N31" i="522"/>
  <c r="K31" i="522" a="1"/>
  <c r="K31" i="522" s="1"/>
  <c r="M31" i="522" s="1"/>
  <c r="J31" i="522" a="1"/>
  <c r="J31" i="522" s="1"/>
  <c r="H31" i="522"/>
  <c r="K30" i="522" a="1"/>
  <c r="K30" i="522" s="1"/>
  <c r="H30" i="522"/>
  <c r="V29" i="522"/>
  <c r="V86" i="522" s="1"/>
  <c r="W86" i="522" s="1"/>
  <c r="N29" i="522"/>
  <c r="N86" i="522" s="1"/>
  <c r="K29" i="522" a="1"/>
  <c r="K29" i="522" s="1"/>
  <c r="J29" i="522" a="1"/>
  <c r="J29" i="522" s="1"/>
  <c r="H29" i="522"/>
  <c r="H86" i="522" s="1"/>
  <c r="AA28" i="522"/>
  <c r="AA163" i="522" s="1"/>
  <c r="Z28" i="522"/>
  <c r="Z163" i="522" s="1"/>
  <c r="Y28" i="522"/>
  <c r="Y163" i="522" s="1"/>
  <c r="X28" i="522"/>
  <c r="X163" i="522" s="1"/>
  <c r="U28" i="522"/>
  <c r="U163" i="522" s="1"/>
  <c r="T28" i="522"/>
  <c r="T163" i="522" s="1"/>
  <c r="S28" i="522"/>
  <c r="S163" i="522" s="1"/>
  <c r="R28" i="522"/>
  <c r="R163" i="522" s="1"/>
  <c r="Q28" i="522"/>
  <c r="Q163" i="522" s="1"/>
  <c r="P28" i="522"/>
  <c r="X166" i="522" s="1"/>
  <c r="O28" i="522"/>
  <c r="O163" i="522" s="1"/>
  <c r="I28" i="522"/>
  <c r="I163" i="522" s="1"/>
  <c r="B171" i="522" s="1"/>
  <c r="G28" i="522"/>
  <c r="C521" i="522" s="1"/>
  <c r="V27" i="522"/>
  <c r="W27" i="522" s="1"/>
  <c r="N27" i="522"/>
  <c r="K27" i="522" a="1"/>
  <c r="K27" i="522" s="1"/>
  <c r="M27" i="522" s="1"/>
  <c r="J27" i="522" a="1"/>
  <c r="J27" i="522" s="1"/>
  <c r="H27" i="522"/>
  <c r="V26" i="522"/>
  <c r="W26" i="522" s="1"/>
  <c r="N26" i="522"/>
  <c r="K26" i="522" a="1"/>
  <c r="K26" i="522" s="1"/>
  <c r="M26" i="522" s="1"/>
  <c r="J26" i="522" a="1"/>
  <c r="J26" i="522" s="1"/>
  <c r="H26" i="522"/>
  <c r="K25" i="522" a="1"/>
  <c r="K25" i="522" s="1"/>
  <c r="M25" i="522" s="1"/>
  <c r="J25" i="522" a="1"/>
  <c r="J25" i="522" s="1"/>
  <c r="H25" i="522"/>
  <c r="K24" i="522" a="1"/>
  <c r="K24" i="522" s="1"/>
  <c r="M24" i="522" s="1"/>
  <c r="J24" i="522" a="1"/>
  <c r="J24" i="522" s="1"/>
  <c r="H24" i="522"/>
  <c r="K23" i="522" a="1"/>
  <c r="K23" i="522" s="1"/>
  <c r="M23" i="522" s="1"/>
  <c r="J23" i="522" a="1"/>
  <c r="J23" i="522" s="1"/>
  <c r="H23" i="522"/>
  <c r="K22" i="522" a="1"/>
  <c r="K22" i="522" s="1"/>
  <c r="M22" i="522" s="1"/>
  <c r="J22" i="522" a="1"/>
  <c r="J22" i="522" s="1"/>
  <c r="H22" i="522"/>
  <c r="V21" i="522"/>
  <c r="W21" i="522" s="1"/>
  <c r="N21" i="522"/>
  <c r="K21" i="522" a="1"/>
  <c r="K21" i="522" s="1"/>
  <c r="M21" i="522" s="1"/>
  <c r="J21" i="522" a="1"/>
  <c r="J21" i="522" s="1"/>
  <c r="H21" i="522"/>
  <c r="V20" i="522"/>
  <c r="W20" i="522" s="1"/>
  <c r="N20" i="522"/>
  <c r="K20" i="522" a="1"/>
  <c r="K20" i="522" s="1"/>
  <c r="M20" i="522" s="1"/>
  <c r="J20" i="522" a="1"/>
  <c r="J20" i="522" s="1"/>
  <c r="H20" i="522"/>
  <c r="V19" i="522"/>
  <c r="W19" i="522" s="1"/>
  <c r="N19" i="522"/>
  <c r="K19" i="522" a="1"/>
  <c r="K19" i="522" s="1"/>
  <c r="M19" i="522" s="1"/>
  <c r="J19" i="522" a="1"/>
  <c r="J19" i="522" s="1"/>
  <c r="H19" i="522"/>
  <c r="N18" i="522"/>
  <c r="K18" i="522" a="1"/>
  <c r="K18" i="522" s="1"/>
  <c r="M18" i="522" s="1"/>
  <c r="J18" i="522" a="1"/>
  <c r="J18" i="522" s="1"/>
  <c r="H18" i="522"/>
  <c r="N17" i="522"/>
  <c r="K17" i="522" a="1"/>
  <c r="K17" i="522" s="1"/>
  <c r="M17" i="522" s="1"/>
  <c r="J17" i="522" a="1"/>
  <c r="J17" i="522" s="1"/>
  <c r="H17" i="522"/>
  <c r="V16" i="522"/>
  <c r="W16" i="522" s="1"/>
  <c r="N16" i="522"/>
  <c r="K16" i="522" a="1"/>
  <c r="K16" i="522" s="1"/>
  <c r="M16" i="522" s="1"/>
  <c r="J16" i="522" a="1"/>
  <c r="J16" i="522" s="1"/>
  <c r="H16" i="522"/>
  <c r="V15" i="522"/>
  <c r="W15" i="522" s="1"/>
  <c r="N15" i="522"/>
  <c r="K15" i="522" a="1"/>
  <c r="K15" i="522" s="1"/>
  <c r="M15" i="522" s="1"/>
  <c r="J15" i="522" a="1"/>
  <c r="J15" i="522" s="1"/>
  <c r="H15" i="522"/>
  <c r="N14" i="522"/>
  <c r="K14" i="522" a="1"/>
  <c r="K14" i="522" s="1"/>
  <c r="M14" i="522" s="1"/>
  <c r="H14" i="522"/>
  <c r="N13" i="522"/>
  <c r="K13" i="522" a="1"/>
  <c r="K13" i="522" s="1"/>
  <c r="M13" i="522" s="1"/>
  <c r="H13" i="522"/>
  <c r="V12" i="522"/>
  <c r="W12" i="522" s="1"/>
  <c r="N12" i="522"/>
  <c r="K12" i="522" a="1"/>
  <c r="K12" i="522" s="1"/>
  <c r="M12" i="522" s="1"/>
  <c r="J12" i="522" a="1"/>
  <c r="J12" i="522" s="1"/>
  <c r="H12" i="522"/>
  <c r="V11" i="522"/>
  <c r="W11" i="522" s="1"/>
  <c r="N11" i="522"/>
  <c r="K11" i="522" a="1"/>
  <c r="K11" i="522" s="1"/>
  <c r="M11" i="522" s="1"/>
  <c r="J11" i="522" a="1"/>
  <c r="J11" i="522" s="1"/>
  <c r="H11" i="522"/>
  <c r="V10" i="522"/>
  <c r="W10" i="522" s="1"/>
  <c r="N10" i="522"/>
  <c r="K10" i="522" a="1"/>
  <c r="K10" i="522" s="1"/>
  <c r="M10" i="522" s="1"/>
  <c r="J10" i="522" a="1"/>
  <c r="J10" i="522" s="1"/>
  <c r="H10" i="522"/>
  <c r="V9" i="522"/>
  <c r="W9" i="522" s="1"/>
  <c r="N9" i="522"/>
  <c r="K9" i="522" a="1"/>
  <c r="K9" i="522" s="1"/>
  <c r="M9" i="522" s="1"/>
  <c r="J9" i="522" a="1"/>
  <c r="J9" i="522" s="1"/>
  <c r="H9" i="522"/>
  <c r="V8" i="522"/>
  <c r="W8" i="522" s="1"/>
  <c r="N8" i="522"/>
  <c r="K8" i="522" a="1"/>
  <c r="K8" i="522" s="1"/>
  <c r="M8" i="522" s="1"/>
  <c r="J8" i="522" a="1"/>
  <c r="J8" i="522" s="1"/>
  <c r="H8" i="522"/>
  <c r="V7" i="522"/>
  <c r="N7" i="522"/>
  <c r="N28" i="522" s="1"/>
  <c r="K7" i="522" a="1"/>
  <c r="K7" i="522" s="1"/>
  <c r="J7" i="522" a="1"/>
  <c r="J7" i="522" s="1"/>
  <c r="H7" i="522"/>
  <c r="N291" i="522" l="1"/>
  <c r="H307" i="522"/>
  <c r="V307" i="522"/>
  <c r="W307" i="522" s="1"/>
  <c r="N147" i="522"/>
  <c r="V461" i="522"/>
  <c r="W461" i="522" s="1"/>
  <c r="N137" i="522"/>
  <c r="H317" i="522"/>
  <c r="V317" i="522"/>
  <c r="W317" i="522" s="1"/>
  <c r="S524" i="524"/>
  <c r="S526" i="524"/>
  <c r="S521" i="524" a="1"/>
  <c r="S521" i="524" s="1"/>
  <c r="S525" i="524"/>
  <c r="S522" i="524"/>
  <c r="M522" i="524"/>
  <c r="M526" i="524"/>
  <c r="M524" i="524"/>
  <c r="M523" i="524"/>
  <c r="M525" i="524"/>
  <c r="S523" i="524"/>
  <c r="I341" i="524"/>
  <c r="M341" i="524" s="1"/>
  <c r="G517" i="524"/>
  <c r="K518" i="524"/>
  <c r="O518" i="524" s="1" a="1"/>
  <c r="O518" i="524" s="1"/>
  <c r="G517" i="523"/>
  <c r="K518" i="523"/>
  <c r="O518" i="523" s="1" a="1"/>
  <c r="O518" i="523" s="1"/>
  <c r="S527" i="523"/>
  <c r="M523" i="523"/>
  <c r="M522" i="523"/>
  <c r="M521" i="523" a="1"/>
  <c r="M521" i="523" s="1"/>
  <c r="M525" i="523"/>
  <c r="M524" i="523"/>
  <c r="J461" i="522" a="1"/>
  <c r="J461" i="522" s="1"/>
  <c r="J291" i="522" a="1"/>
  <c r="J291" i="522" s="1"/>
  <c r="H477" i="522"/>
  <c r="N461" i="522"/>
  <c r="H461" i="522"/>
  <c r="H504" i="522" s="1"/>
  <c r="E511" i="522" s="1"/>
  <c r="J368" i="522" a="1"/>
  <c r="J368" i="522" s="1"/>
  <c r="N368" i="522"/>
  <c r="W347" i="522"/>
  <c r="N426" i="522"/>
  <c r="W369" i="522"/>
  <c r="R340" i="522"/>
  <c r="M307" i="522"/>
  <c r="W332" i="522"/>
  <c r="N307" i="522"/>
  <c r="W292" i="522"/>
  <c r="W257" i="522"/>
  <c r="H291" i="522"/>
  <c r="H333" i="522" s="1"/>
  <c r="E340" i="522" s="1"/>
  <c r="K291" i="522"/>
  <c r="N198" i="522"/>
  <c r="W177" i="522"/>
  <c r="N256" i="522"/>
  <c r="K198" i="522"/>
  <c r="K137" i="522"/>
  <c r="J137" i="522" a="1"/>
  <c r="J137" i="522" s="1"/>
  <c r="K162" i="522"/>
  <c r="H137" i="522"/>
  <c r="V137" i="522"/>
  <c r="W137" i="522" s="1"/>
  <c r="R168" i="522"/>
  <c r="H147" i="522"/>
  <c r="V147" i="522"/>
  <c r="W147" i="522" s="1"/>
  <c r="N162" i="522"/>
  <c r="W148" i="522"/>
  <c r="J162" i="522" a="1"/>
  <c r="J162" i="522" s="1"/>
  <c r="H121" i="522"/>
  <c r="V121" i="522"/>
  <c r="W121" i="522" s="1"/>
  <c r="H28" i="522"/>
  <c r="V28" i="522"/>
  <c r="V163" i="522" s="1"/>
  <c r="I172" i="522" s="1"/>
  <c r="R166" i="522"/>
  <c r="N121" i="522"/>
  <c r="N163" i="522" s="1"/>
  <c r="B172" i="522" s="1"/>
  <c r="W7" i="522"/>
  <c r="K28" i="522"/>
  <c r="W28" i="522"/>
  <c r="W163" i="522" s="1"/>
  <c r="K522" i="522"/>
  <c r="K523" i="522"/>
  <c r="K525" i="522"/>
  <c r="K526" i="522"/>
  <c r="C517" i="522"/>
  <c r="Q522" i="522"/>
  <c r="K86" i="522"/>
  <c r="M29" i="522"/>
  <c r="M86" i="522" s="1"/>
  <c r="K121" i="522"/>
  <c r="M87" i="522"/>
  <c r="M121" i="522" s="1"/>
  <c r="K524" i="522"/>
  <c r="M138" i="522"/>
  <c r="M147" i="522" s="1"/>
  <c r="K147" i="522"/>
  <c r="M7" i="522"/>
  <c r="M28" i="522" s="1"/>
  <c r="C527" i="522"/>
  <c r="E521" i="522" s="1"/>
  <c r="M122" i="522"/>
  <c r="M137" i="522" s="1"/>
  <c r="W138" i="522"/>
  <c r="J147" i="522" a="1"/>
  <c r="J147" i="522" s="1"/>
  <c r="M148" i="522"/>
  <c r="M162" i="522" s="1"/>
  <c r="G163" i="522"/>
  <c r="P163" i="522"/>
  <c r="X167" i="522" s="1"/>
  <c r="X172" i="522" s="1"/>
  <c r="K165" i="522"/>
  <c r="R165" i="522"/>
  <c r="M177" i="522"/>
  <c r="M198" i="522" s="1"/>
  <c r="J333" i="522" a="1"/>
  <c r="J333" i="522" s="1"/>
  <c r="M340" i="522" s="1"/>
  <c r="B340" i="522"/>
  <c r="J28" i="522" a="1"/>
  <c r="J28" i="522" s="1"/>
  <c r="W29" i="522"/>
  <c r="J86" i="522" a="1"/>
  <c r="J86" i="522" s="1"/>
  <c r="W87" i="522"/>
  <c r="J121" i="522" a="1"/>
  <c r="J121" i="522" s="1"/>
  <c r="W198" i="522"/>
  <c r="W333" i="522" s="1"/>
  <c r="J198" i="522" a="1"/>
  <c r="J198" i="522" s="1"/>
  <c r="K256" i="522"/>
  <c r="M199" i="522"/>
  <c r="M256" i="522" s="1"/>
  <c r="K317" i="522"/>
  <c r="M308" i="522"/>
  <c r="M317" i="522" s="1"/>
  <c r="K332" i="522"/>
  <c r="M318" i="522"/>
  <c r="M332" i="522" s="1"/>
  <c r="M257" i="522"/>
  <c r="M291" i="522" s="1"/>
  <c r="K307" i="522"/>
  <c r="V332" i="522"/>
  <c r="V333" i="522" s="1"/>
  <c r="I342" i="522" s="1"/>
  <c r="M342" i="522" s="1" a="1"/>
  <c r="M342" i="522" s="1"/>
  <c r="P333" i="522"/>
  <c r="X337" i="522" s="1"/>
  <c r="K335" i="522"/>
  <c r="R335" i="522"/>
  <c r="K368" i="522"/>
  <c r="W368" i="522"/>
  <c r="W199" i="522"/>
  <c r="W308" i="522"/>
  <c r="M347" i="522"/>
  <c r="M368" i="522" s="1"/>
  <c r="K426" i="522"/>
  <c r="M427" i="522"/>
  <c r="M461" i="522" s="1"/>
  <c r="K461" i="522"/>
  <c r="B511" i="522"/>
  <c r="J504" i="522" a="1"/>
  <c r="J504" i="522" s="1"/>
  <c r="M511" i="522" s="1"/>
  <c r="R506" i="522"/>
  <c r="X506" i="522"/>
  <c r="O504" i="522"/>
  <c r="X507" i="522" s="1"/>
  <c r="M369" i="522"/>
  <c r="M426" i="522" s="1"/>
  <c r="W427" i="522"/>
  <c r="M462" i="522"/>
  <c r="M477" i="522" s="1"/>
  <c r="K477" i="522"/>
  <c r="V477" i="522"/>
  <c r="W477" i="522" s="1"/>
  <c r="K487" i="522"/>
  <c r="M478" i="522"/>
  <c r="M487" i="522" s="1"/>
  <c r="V487" i="522"/>
  <c r="W487" i="522" s="1"/>
  <c r="W503" i="522"/>
  <c r="V503" i="522"/>
  <c r="R508" i="522"/>
  <c r="R509" i="522"/>
  <c r="M488" i="522"/>
  <c r="M503" i="522" s="1"/>
  <c r="R511" i="522"/>
  <c r="K510" i="522"/>
  <c r="M506" i="522"/>
  <c r="E510" i="522"/>
  <c r="G120" i="521"/>
  <c r="G121" i="521"/>
  <c r="H163" i="522" l="1"/>
  <c r="E170" i="522" s="1"/>
  <c r="K517" i="524"/>
  <c r="O517" i="524" s="1"/>
  <c r="K516" i="524"/>
  <c r="S527" i="524"/>
  <c r="K517" i="523"/>
  <c r="O517" i="523" s="1"/>
  <c r="K516" i="523"/>
  <c r="N504" i="522"/>
  <c r="B513" i="522" s="1"/>
  <c r="E513" i="522" s="1"/>
  <c r="K333" i="522"/>
  <c r="L333" i="522" s="1"/>
  <c r="I340" i="522" s="1"/>
  <c r="G516" i="522"/>
  <c r="E526" i="522"/>
  <c r="E525" i="522"/>
  <c r="N333" i="522"/>
  <c r="B342" i="522" s="1"/>
  <c r="E342" i="522" s="1"/>
  <c r="E172" i="522"/>
  <c r="E522" i="522"/>
  <c r="Z168" i="522"/>
  <c r="Z169" i="522"/>
  <c r="E524" i="522"/>
  <c r="E523" i="522"/>
  <c r="Z170" i="522"/>
  <c r="E341" i="522"/>
  <c r="I341" i="522" s="1"/>
  <c r="M341" i="522" s="1"/>
  <c r="R513" i="522"/>
  <c r="T511" i="522" s="1"/>
  <c r="V504" i="522"/>
  <c r="R342" i="522"/>
  <c r="T335" i="522" s="1" a="1"/>
  <c r="T335" i="522" s="1"/>
  <c r="Z171" i="522"/>
  <c r="Z165" i="522" a="1"/>
  <c r="Z165" i="522" s="1"/>
  <c r="K521" i="522"/>
  <c r="R172" i="522"/>
  <c r="T165" i="522" s="1" a="1"/>
  <c r="T165" i="522" s="1"/>
  <c r="Q523" i="522"/>
  <c r="Z167" i="522"/>
  <c r="M510" i="522"/>
  <c r="T508" i="522"/>
  <c r="X513" i="522"/>
  <c r="Z506" i="522" s="1" a="1"/>
  <c r="Z506" i="522" s="1"/>
  <c r="M504" i="522"/>
  <c r="K504" i="522"/>
  <c r="M335" i="522"/>
  <c r="K339" i="522"/>
  <c r="M339" i="522" s="1"/>
  <c r="X342" i="522"/>
  <c r="Z337" i="522" s="1"/>
  <c r="M333" i="522"/>
  <c r="M165" i="522"/>
  <c r="K169" i="522"/>
  <c r="M169" i="522" s="1"/>
  <c r="J163" i="522" a="1"/>
  <c r="J163" i="522" s="1"/>
  <c r="M170" i="522" s="1"/>
  <c r="B170" i="522"/>
  <c r="C516" i="522" s="1"/>
  <c r="E527" i="522"/>
  <c r="M163" i="522"/>
  <c r="Z166" i="522"/>
  <c r="K163" i="522"/>
  <c r="E171" i="522" s="1"/>
  <c r="G432" i="521"/>
  <c r="G430" i="521"/>
  <c r="I432" i="521"/>
  <c r="I431" i="521"/>
  <c r="I430" i="521"/>
  <c r="I119" i="521"/>
  <c r="I120" i="521"/>
  <c r="C518" i="522" l="1"/>
  <c r="G518" i="522" s="1"/>
  <c r="O516" i="522" a="1"/>
  <c r="O516" i="522" s="1"/>
  <c r="E512" i="522"/>
  <c r="I512" i="522" s="1"/>
  <c r="M512" i="522" s="1"/>
  <c r="L504" i="522"/>
  <c r="I511" i="522" s="1"/>
  <c r="Z512" i="522"/>
  <c r="Z509" i="522"/>
  <c r="Z508" i="522"/>
  <c r="Z511" i="522"/>
  <c r="Z510" i="522"/>
  <c r="M172" i="522" a="1"/>
  <c r="M172" i="522" s="1"/>
  <c r="Q527" i="522"/>
  <c r="K527" i="522"/>
  <c r="T171" i="522"/>
  <c r="T166" i="522"/>
  <c r="T167" i="522"/>
  <c r="T169" i="522"/>
  <c r="T170" i="522"/>
  <c r="T168" i="522"/>
  <c r="T506" i="522" a="1"/>
  <c r="T506" i="522" s="1"/>
  <c r="Z507" i="522"/>
  <c r="G517" i="522"/>
  <c r="K517" i="522" s="1"/>
  <c r="O517" i="522" s="1"/>
  <c r="I171" i="522"/>
  <c r="M171" i="522" s="1"/>
  <c r="L163" i="522"/>
  <c r="I170" i="522" s="1"/>
  <c r="Z341" i="522"/>
  <c r="Z335" i="522" a="1"/>
  <c r="Z335" i="522" s="1"/>
  <c r="Z336" i="522"/>
  <c r="Z338" i="522"/>
  <c r="Z339" i="522"/>
  <c r="Z340" i="522"/>
  <c r="M521" i="522" a="1"/>
  <c r="M521" i="522" s="1"/>
  <c r="T341" i="522"/>
  <c r="T336" i="522"/>
  <c r="T339" i="522"/>
  <c r="T337" i="522"/>
  <c r="T338" i="522"/>
  <c r="T340" i="522"/>
  <c r="I513" i="522"/>
  <c r="W504" i="522"/>
  <c r="T512" i="522"/>
  <c r="T510" i="522"/>
  <c r="T507" i="522"/>
  <c r="T509" i="522"/>
  <c r="D531" i="521"/>
  <c r="D532" i="521"/>
  <c r="D530" i="521"/>
  <c r="G431" i="521"/>
  <c r="G156" i="521"/>
  <c r="G93" i="521"/>
  <c r="G119" i="521"/>
  <c r="P533" i="521"/>
  <c r="O533" i="521"/>
  <c r="N533" i="521"/>
  <c r="M533" i="521"/>
  <c r="L533" i="521"/>
  <c r="K533" i="521"/>
  <c r="I533" i="521"/>
  <c r="H533" i="521"/>
  <c r="G533" i="521"/>
  <c r="F533" i="521"/>
  <c r="E533" i="521"/>
  <c r="C532" i="521"/>
  <c r="C531" i="521"/>
  <c r="G514" i="521"/>
  <c r="N514" i="521" s="1"/>
  <c r="X512" i="521"/>
  <c r="X511" i="521"/>
  <c r="X510" i="521"/>
  <c r="G510" i="521"/>
  <c r="C510" i="521"/>
  <c r="X509" i="521"/>
  <c r="I509" i="521"/>
  <c r="E509" i="521"/>
  <c r="K509" i="521" s="1"/>
  <c r="M509" i="521" s="1"/>
  <c r="X508" i="521"/>
  <c r="I508" i="521"/>
  <c r="E508" i="521"/>
  <c r="K508" i="521" s="1"/>
  <c r="M508" i="521" s="1"/>
  <c r="I507" i="521"/>
  <c r="E507" i="521"/>
  <c r="K507" i="521" s="1"/>
  <c r="M507" i="521" s="1"/>
  <c r="I506" i="521"/>
  <c r="I510" i="521" s="1"/>
  <c r="E506" i="521"/>
  <c r="E510" i="521" s="1"/>
  <c r="AA503" i="521"/>
  <c r="Z503" i="521"/>
  <c r="Y503" i="521"/>
  <c r="X503" i="521"/>
  <c r="U503" i="521"/>
  <c r="T503" i="521"/>
  <c r="S503" i="521"/>
  <c r="R503" i="521"/>
  <c r="Q503" i="521"/>
  <c r="P503" i="521"/>
  <c r="O503" i="521"/>
  <c r="R511" i="521" s="1"/>
  <c r="I503" i="521"/>
  <c r="G503" i="521"/>
  <c r="J503" i="521" s="1" a="1"/>
  <c r="J503" i="521" s="1"/>
  <c r="H502" i="521"/>
  <c r="H501" i="521"/>
  <c r="H500" i="521"/>
  <c r="D499" i="521"/>
  <c r="H499" i="521" s="1"/>
  <c r="V498" i="521"/>
  <c r="W498" i="521" s="1"/>
  <c r="N498" i="521"/>
  <c r="K498" i="521" a="1"/>
  <c r="K498" i="521" s="1"/>
  <c r="M498" i="521" s="1"/>
  <c r="J498" i="521" a="1"/>
  <c r="J498" i="521" s="1"/>
  <c r="H498" i="521"/>
  <c r="H497" i="521"/>
  <c r="H496" i="521"/>
  <c r="V495" i="521"/>
  <c r="W495" i="521" s="1"/>
  <c r="N495" i="521"/>
  <c r="K495" i="521"/>
  <c r="M495" i="521" s="1"/>
  <c r="K495" i="521" a="1"/>
  <c r="J495" i="521"/>
  <c r="J495" i="521" a="1"/>
  <c r="H495" i="521"/>
  <c r="V494" i="521"/>
  <c r="W494" i="521" s="1"/>
  <c r="N494" i="521"/>
  <c r="K494" i="521" a="1"/>
  <c r="K494" i="521" s="1"/>
  <c r="M494" i="521" s="1"/>
  <c r="J494" i="521" a="1"/>
  <c r="J494" i="521" s="1"/>
  <c r="H494" i="521"/>
  <c r="H493" i="521"/>
  <c r="H492" i="521"/>
  <c r="V491" i="521"/>
  <c r="W491" i="521" s="1"/>
  <c r="N491" i="521"/>
  <c r="K491" i="521" a="1"/>
  <c r="K491" i="521" s="1"/>
  <c r="M491" i="521" s="1"/>
  <c r="J491" i="521" a="1"/>
  <c r="J491" i="521" s="1"/>
  <c r="H491" i="521"/>
  <c r="V490" i="521"/>
  <c r="W490" i="521" s="1"/>
  <c r="N490" i="521"/>
  <c r="K490" i="521" a="1"/>
  <c r="K490" i="521" s="1"/>
  <c r="M490" i="521" s="1"/>
  <c r="J490" i="521" a="1"/>
  <c r="J490" i="521" s="1"/>
  <c r="H490" i="521"/>
  <c r="V489" i="521"/>
  <c r="W489" i="521" s="1"/>
  <c r="N489" i="521"/>
  <c r="K489" i="521"/>
  <c r="M489" i="521" s="1"/>
  <c r="K489" i="521" a="1"/>
  <c r="J489" i="521"/>
  <c r="J489" i="521" a="1"/>
  <c r="H489" i="521"/>
  <c r="V488" i="521"/>
  <c r="V503" i="521" s="1"/>
  <c r="N488" i="521"/>
  <c r="N503" i="521" s="1"/>
  <c r="K488" i="521" a="1"/>
  <c r="K488" i="521" s="1"/>
  <c r="J488" i="521" a="1"/>
  <c r="J488" i="521" s="1"/>
  <c r="H488" i="521"/>
  <c r="H503" i="521" s="1"/>
  <c r="AA487" i="521"/>
  <c r="Z487" i="521"/>
  <c r="Y487" i="521"/>
  <c r="X487" i="521"/>
  <c r="U487" i="521"/>
  <c r="T487" i="521"/>
  <c r="S487" i="521"/>
  <c r="Q487" i="521"/>
  <c r="P487" i="521"/>
  <c r="O487" i="521"/>
  <c r="I487" i="521"/>
  <c r="G487" i="521"/>
  <c r="J487" i="521" s="1" a="1"/>
  <c r="J487" i="521" s="1"/>
  <c r="V486" i="521"/>
  <c r="W486" i="521" s="1"/>
  <c r="N486" i="521"/>
  <c r="K486" i="521" a="1"/>
  <c r="K486" i="521" s="1"/>
  <c r="M486" i="521" s="1"/>
  <c r="J486" i="521" a="1"/>
  <c r="J486" i="521" s="1"/>
  <c r="H486" i="521"/>
  <c r="H483" i="521"/>
  <c r="V482" i="521"/>
  <c r="W482" i="521" s="1"/>
  <c r="N482" i="521"/>
  <c r="K482" i="521"/>
  <c r="M482" i="521" s="1"/>
  <c r="K482" i="521" a="1"/>
  <c r="J482" i="521"/>
  <c r="J482" i="521" a="1"/>
  <c r="H482" i="521"/>
  <c r="V481" i="521"/>
  <c r="W481" i="521" s="1"/>
  <c r="N481" i="521"/>
  <c r="K481" i="521" a="1"/>
  <c r="K481" i="521" s="1"/>
  <c r="M481" i="521" s="1"/>
  <c r="J481" i="521" a="1"/>
  <c r="J481" i="521" s="1"/>
  <c r="H481" i="521"/>
  <c r="V480" i="521"/>
  <c r="W480" i="521" s="1"/>
  <c r="N480" i="521"/>
  <c r="K480" i="521"/>
  <c r="M480" i="521" s="1"/>
  <c r="K480" i="521" a="1"/>
  <c r="J480" i="521"/>
  <c r="J480" i="521" a="1"/>
  <c r="H480" i="521"/>
  <c r="V479" i="521"/>
  <c r="W479" i="521" s="1"/>
  <c r="N479" i="521"/>
  <c r="K479" i="521" a="1"/>
  <c r="K479" i="521" s="1"/>
  <c r="M479" i="521" s="1"/>
  <c r="J479" i="521" a="1"/>
  <c r="J479" i="521" s="1"/>
  <c r="H479" i="521"/>
  <c r="V478" i="521"/>
  <c r="V487" i="521" s="1"/>
  <c r="W487" i="521" s="1"/>
  <c r="N478" i="521"/>
  <c r="N487" i="521" s="1"/>
  <c r="K478" i="521"/>
  <c r="M478" i="521" s="1"/>
  <c r="K478" i="521" a="1"/>
  <c r="J478" i="521"/>
  <c r="J478" i="521" a="1"/>
  <c r="H478" i="521"/>
  <c r="H487" i="521" s="1"/>
  <c r="AA477" i="521"/>
  <c r="Z477" i="521"/>
  <c r="Y477" i="521"/>
  <c r="X477" i="521"/>
  <c r="U477" i="521"/>
  <c r="T477" i="521"/>
  <c r="S477" i="521"/>
  <c r="Q477" i="521"/>
  <c r="P477" i="521"/>
  <c r="O477" i="521"/>
  <c r="R509" i="521" s="1"/>
  <c r="I477" i="521"/>
  <c r="G477" i="521"/>
  <c r="J477" i="521" s="1" a="1"/>
  <c r="J477" i="521" s="1"/>
  <c r="V476" i="521"/>
  <c r="W476" i="521" s="1"/>
  <c r="N476" i="521"/>
  <c r="K476" i="521" a="1"/>
  <c r="K476" i="521" s="1"/>
  <c r="M476" i="521" s="1"/>
  <c r="J476" i="521" a="1"/>
  <c r="J476" i="521" s="1"/>
  <c r="H476" i="521"/>
  <c r="V475" i="521"/>
  <c r="W475" i="521" s="1"/>
  <c r="N475" i="521"/>
  <c r="K475" i="521" a="1"/>
  <c r="K475" i="521" s="1"/>
  <c r="M475" i="521" s="1"/>
  <c r="J475" i="521" a="1"/>
  <c r="J475" i="521" s="1"/>
  <c r="H475" i="521"/>
  <c r="V474" i="521"/>
  <c r="W474" i="521" s="1"/>
  <c r="N474" i="521"/>
  <c r="K474" i="521" a="1"/>
  <c r="K474" i="521" s="1"/>
  <c r="M474" i="521" s="1"/>
  <c r="J474" i="521" a="1"/>
  <c r="J474" i="521" s="1"/>
  <c r="H474" i="521"/>
  <c r="V473" i="521"/>
  <c r="W473" i="521" s="1"/>
  <c r="N473" i="521"/>
  <c r="K473" i="521"/>
  <c r="M473" i="521" s="1"/>
  <c r="K473" i="521" a="1"/>
  <c r="J473" i="521"/>
  <c r="J473" i="521" a="1"/>
  <c r="H473" i="521"/>
  <c r="V472" i="521"/>
  <c r="W472" i="521" s="1"/>
  <c r="N472" i="521"/>
  <c r="K472" i="521" a="1"/>
  <c r="K472" i="521" s="1"/>
  <c r="M472" i="521" s="1"/>
  <c r="J472" i="521" a="1"/>
  <c r="J472" i="521" s="1"/>
  <c r="H472" i="521"/>
  <c r="V471" i="521"/>
  <c r="W471" i="521" s="1"/>
  <c r="N471" i="521"/>
  <c r="K471" i="521" a="1"/>
  <c r="K471" i="521" s="1"/>
  <c r="M471" i="521" s="1"/>
  <c r="J471" i="521" a="1"/>
  <c r="J471" i="521" s="1"/>
  <c r="H471" i="521"/>
  <c r="V470" i="521"/>
  <c r="W470" i="521" s="1"/>
  <c r="N470" i="521"/>
  <c r="K470" i="521" a="1"/>
  <c r="K470" i="521" s="1"/>
  <c r="M470" i="521" s="1"/>
  <c r="J470" i="521" a="1"/>
  <c r="J470" i="521" s="1"/>
  <c r="H470" i="521"/>
  <c r="V469" i="521"/>
  <c r="W469" i="521" s="1"/>
  <c r="N469" i="521"/>
  <c r="K469" i="521"/>
  <c r="M469" i="521" s="1"/>
  <c r="K469" i="521" a="1"/>
  <c r="J469" i="521"/>
  <c r="J469" i="521" a="1"/>
  <c r="H469" i="521"/>
  <c r="V468" i="521"/>
  <c r="W468" i="521" s="1"/>
  <c r="N468" i="521"/>
  <c r="K468" i="521" a="1"/>
  <c r="K468" i="521" s="1"/>
  <c r="M468" i="521" s="1"/>
  <c r="J468" i="521" a="1"/>
  <c r="J468" i="521" s="1"/>
  <c r="H468" i="521"/>
  <c r="V467" i="521"/>
  <c r="W467" i="521" s="1"/>
  <c r="N467" i="521"/>
  <c r="K467" i="521" a="1"/>
  <c r="K467" i="521" s="1"/>
  <c r="M467" i="521" s="1"/>
  <c r="J467" i="521" a="1"/>
  <c r="J467" i="521" s="1"/>
  <c r="H467" i="521"/>
  <c r="V466" i="521"/>
  <c r="W466" i="521" s="1"/>
  <c r="N466" i="521"/>
  <c r="K466" i="521" a="1"/>
  <c r="K466" i="521" s="1"/>
  <c r="M466" i="521" s="1"/>
  <c r="J466" i="521" a="1"/>
  <c r="J466" i="521" s="1"/>
  <c r="H466" i="521"/>
  <c r="V465" i="521"/>
  <c r="W465" i="521" s="1"/>
  <c r="N465" i="521"/>
  <c r="K465" i="521"/>
  <c r="M465" i="521" s="1"/>
  <c r="K465" i="521" a="1"/>
  <c r="J465" i="521"/>
  <c r="J465" i="521" a="1"/>
  <c r="H465" i="521"/>
  <c r="V464" i="521"/>
  <c r="W464" i="521" s="1"/>
  <c r="N464" i="521"/>
  <c r="K464" i="521" a="1"/>
  <c r="K464" i="521" s="1"/>
  <c r="M464" i="521" s="1"/>
  <c r="J464" i="521" a="1"/>
  <c r="J464" i="521" s="1"/>
  <c r="H464" i="521"/>
  <c r="V463" i="521"/>
  <c r="W463" i="521" s="1"/>
  <c r="N463" i="521"/>
  <c r="K463" i="521"/>
  <c r="M463" i="521" s="1"/>
  <c r="K463" i="521" a="1"/>
  <c r="J463" i="521"/>
  <c r="J463" i="521" a="1"/>
  <c r="H463" i="521"/>
  <c r="V462" i="521"/>
  <c r="N462" i="521"/>
  <c r="K462" i="521" a="1"/>
  <c r="K462" i="521" s="1"/>
  <c r="M462" i="521" s="1"/>
  <c r="J462" i="521" a="1"/>
  <c r="J462" i="521" s="1"/>
  <c r="H462" i="521"/>
  <c r="AA461" i="521"/>
  <c r="Z461" i="521"/>
  <c r="Y461" i="521"/>
  <c r="X461" i="521"/>
  <c r="U461" i="521"/>
  <c r="T461" i="521"/>
  <c r="S461" i="521"/>
  <c r="R461" i="521"/>
  <c r="Q461" i="521"/>
  <c r="P461" i="521"/>
  <c r="O461" i="521"/>
  <c r="R508" i="521" s="1"/>
  <c r="I461" i="521"/>
  <c r="G461" i="521"/>
  <c r="V460" i="521"/>
  <c r="W460" i="521" s="1"/>
  <c r="N460" i="521"/>
  <c r="K460" i="521" a="1"/>
  <c r="K460" i="521" s="1"/>
  <c r="M460" i="521" s="1"/>
  <c r="J460" i="521" a="1"/>
  <c r="J460" i="521" s="1"/>
  <c r="H460" i="521"/>
  <c r="V459" i="521"/>
  <c r="W459" i="521" s="1"/>
  <c r="N459" i="521"/>
  <c r="K459" i="521"/>
  <c r="M459" i="521" s="1"/>
  <c r="K459" i="521" a="1"/>
  <c r="J459" i="521" a="1"/>
  <c r="J459" i="521" s="1"/>
  <c r="H459" i="521"/>
  <c r="V458" i="521"/>
  <c r="W458" i="521" s="1"/>
  <c r="N458" i="521"/>
  <c r="K458" i="521" a="1"/>
  <c r="K458" i="521" s="1"/>
  <c r="M458" i="521" s="1"/>
  <c r="J458" i="521" a="1"/>
  <c r="J458" i="521" s="1"/>
  <c r="H458" i="521"/>
  <c r="K457" i="521" a="1"/>
  <c r="K457" i="521" s="1"/>
  <c r="M457" i="521" s="1"/>
  <c r="H457" i="521"/>
  <c r="K456" i="521" a="1"/>
  <c r="K456" i="521" s="1"/>
  <c r="M456" i="521" s="1"/>
  <c r="H456" i="521"/>
  <c r="K455" i="521" a="1"/>
  <c r="K455" i="521" s="1"/>
  <c r="M455" i="521" s="1"/>
  <c r="H455" i="521"/>
  <c r="V454" i="521"/>
  <c r="W454" i="521" s="1"/>
  <c r="N454" i="521"/>
  <c r="K454" i="521" a="1"/>
  <c r="K454" i="521" s="1"/>
  <c r="M454" i="521" s="1"/>
  <c r="J454" i="521" a="1"/>
  <c r="J454" i="521" s="1"/>
  <c r="H454" i="521"/>
  <c r="V453" i="521"/>
  <c r="W453" i="521" s="1"/>
  <c r="N453" i="521"/>
  <c r="K453" i="521" a="1"/>
  <c r="K453" i="521" s="1"/>
  <c r="M453" i="521" s="1"/>
  <c r="J453" i="521" a="1"/>
  <c r="J453" i="521" s="1"/>
  <c r="H453" i="521"/>
  <c r="N452" i="521"/>
  <c r="K452" i="521"/>
  <c r="M452" i="521" s="1"/>
  <c r="K452" i="521" a="1"/>
  <c r="H452" i="521"/>
  <c r="N451" i="521"/>
  <c r="K451" i="521" a="1"/>
  <c r="K451" i="521" s="1"/>
  <c r="M451" i="521" s="1"/>
  <c r="H451" i="521"/>
  <c r="N450" i="521"/>
  <c r="K450" i="521" a="1"/>
  <c r="K450" i="521" s="1"/>
  <c r="M450" i="521" s="1"/>
  <c r="H450" i="521"/>
  <c r="N449" i="521"/>
  <c r="K449" i="521" a="1"/>
  <c r="K449" i="521" s="1"/>
  <c r="M449" i="521" s="1"/>
  <c r="H449" i="521"/>
  <c r="N448" i="521"/>
  <c r="K448" i="521"/>
  <c r="M448" i="521" s="1"/>
  <c r="K448" i="521" a="1"/>
  <c r="H448" i="521"/>
  <c r="N447" i="521"/>
  <c r="K447" i="521" a="1"/>
  <c r="K447" i="521" s="1"/>
  <c r="M447" i="521" s="1"/>
  <c r="H447" i="521"/>
  <c r="V446" i="521"/>
  <c r="W446" i="521" s="1"/>
  <c r="N446" i="521"/>
  <c r="K446" i="521" a="1"/>
  <c r="K446" i="521" s="1"/>
  <c r="M446" i="521" s="1"/>
  <c r="J446" i="521" a="1"/>
  <c r="J446" i="521" s="1"/>
  <c r="H446" i="521"/>
  <c r="V445" i="521"/>
  <c r="W445" i="521" s="1"/>
  <c r="N445" i="521"/>
  <c r="K445" i="521" a="1"/>
  <c r="K445" i="521" s="1"/>
  <c r="M445" i="521" s="1"/>
  <c r="J445" i="521" a="1"/>
  <c r="J445" i="521" s="1"/>
  <c r="H445" i="521"/>
  <c r="V444" i="521"/>
  <c r="W444" i="521" s="1"/>
  <c r="N444" i="521"/>
  <c r="K444" i="521"/>
  <c r="M444" i="521" s="1"/>
  <c r="K444" i="521" a="1"/>
  <c r="J444" i="521"/>
  <c r="J444" i="521" a="1"/>
  <c r="H444" i="521"/>
  <c r="V443" i="521"/>
  <c r="W443" i="521" s="1"/>
  <c r="N443" i="521"/>
  <c r="K443" i="521" a="1"/>
  <c r="K443" i="521" s="1"/>
  <c r="M443" i="521" s="1"/>
  <c r="J443" i="521" a="1"/>
  <c r="J443" i="521" s="1"/>
  <c r="H443" i="521"/>
  <c r="V442" i="521"/>
  <c r="W442" i="521" s="1"/>
  <c r="N442" i="521"/>
  <c r="K442" i="521" a="1"/>
  <c r="K442" i="521" s="1"/>
  <c r="M442" i="521" s="1"/>
  <c r="J442" i="521" a="1"/>
  <c r="J442" i="521" s="1"/>
  <c r="H442" i="521"/>
  <c r="V441" i="521"/>
  <c r="W441" i="521" s="1"/>
  <c r="N441" i="521"/>
  <c r="K441" i="521" a="1"/>
  <c r="K441" i="521" s="1"/>
  <c r="M441" i="521" s="1"/>
  <c r="J441" i="521" a="1"/>
  <c r="J441" i="521" s="1"/>
  <c r="H441" i="521"/>
  <c r="V440" i="521"/>
  <c r="W440" i="521" s="1"/>
  <c r="N440" i="521"/>
  <c r="K440" i="521"/>
  <c r="M440" i="521" s="1"/>
  <c r="K440" i="521" a="1"/>
  <c r="J440" i="521"/>
  <c r="J440" i="521" a="1"/>
  <c r="H440" i="521"/>
  <c r="V439" i="521"/>
  <c r="W439" i="521" s="1"/>
  <c r="N439" i="521"/>
  <c r="K439" i="521" a="1"/>
  <c r="K439" i="521" s="1"/>
  <c r="M439" i="521" s="1"/>
  <c r="J439" i="521" a="1"/>
  <c r="J439" i="521" s="1"/>
  <c r="H439" i="521"/>
  <c r="W438" i="521"/>
  <c r="V438" i="521"/>
  <c r="N438" i="521"/>
  <c r="K438" i="521" a="1"/>
  <c r="K438" i="521" s="1"/>
  <c r="M438" i="521" s="1"/>
  <c r="J438" i="521" a="1"/>
  <c r="J438" i="521" s="1"/>
  <c r="H438" i="521"/>
  <c r="V437" i="521"/>
  <c r="W437" i="521" s="1"/>
  <c r="N437" i="521"/>
  <c r="K437" i="521" a="1"/>
  <c r="K437" i="521" s="1"/>
  <c r="M437" i="521" s="1"/>
  <c r="J437" i="521" a="1"/>
  <c r="J437" i="521" s="1"/>
  <c r="H437" i="521"/>
  <c r="V436" i="521"/>
  <c r="W436" i="521" s="1"/>
  <c r="N436" i="521"/>
  <c r="K436" i="521"/>
  <c r="M436" i="521" s="1"/>
  <c r="K436" i="521" a="1"/>
  <c r="J436" i="521"/>
  <c r="J436" i="521" a="1"/>
  <c r="H436" i="521"/>
  <c r="V435" i="521"/>
  <c r="W435" i="521" s="1"/>
  <c r="N435" i="521"/>
  <c r="K435" i="521" a="1"/>
  <c r="K435" i="521" s="1"/>
  <c r="M435" i="521" s="1"/>
  <c r="J435" i="521" a="1"/>
  <c r="J435" i="521" s="1"/>
  <c r="H435" i="521"/>
  <c r="N434" i="521"/>
  <c r="K434" i="521" a="1"/>
  <c r="K434" i="521" s="1"/>
  <c r="M434" i="521" s="1"/>
  <c r="H434" i="521"/>
  <c r="V433" i="521"/>
  <c r="W433" i="521" s="1"/>
  <c r="N433" i="521"/>
  <c r="K433" i="521" a="1"/>
  <c r="K433" i="521" s="1"/>
  <c r="M433" i="521" s="1"/>
  <c r="J433" i="521" a="1"/>
  <c r="J433" i="521" s="1"/>
  <c r="H433" i="521"/>
  <c r="V432" i="521"/>
  <c r="W432" i="521" s="1"/>
  <c r="N432" i="521"/>
  <c r="K432" i="521" a="1"/>
  <c r="K432" i="521" s="1"/>
  <c r="M432" i="521" s="1"/>
  <c r="J432" i="521" a="1"/>
  <c r="J432" i="521" s="1"/>
  <c r="H432" i="521"/>
  <c r="V431" i="521"/>
  <c r="W431" i="521" s="1"/>
  <c r="N431" i="521"/>
  <c r="K431" i="521" a="1"/>
  <c r="K431" i="521" s="1"/>
  <c r="M431" i="521" s="1"/>
  <c r="J431" i="521" a="1"/>
  <c r="J431" i="521" s="1"/>
  <c r="H431" i="521"/>
  <c r="V430" i="521"/>
  <c r="W430" i="521" s="1"/>
  <c r="N430" i="521"/>
  <c r="K430" i="521" a="1"/>
  <c r="K430" i="521" s="1"/>
  <c r="M430" i="521" s="1"/>
  <c r="J430" i="521" a="1"/>
  <c r="J430" i="521" s="1"/>
  <c r="H430" i="521"/>
  <c r="V429" i="521"/>
  <c r="W429" i="521" s="1"/>
  <c r="N429" i="521"/>
  <c r="K429" i="521" a="1"/>
  <c r="K429" i="521" s="1"/>
  <c r="M429" i="521" s="1"/>
  <c r="J429" i="521" a="1"/>
  <c r="J429" i="521" s="1"/>
  <c r="H429" i="521"/>
  <c r="V428" i="521"/>
  <c r="W428" i="521" s="1"/>
  <c r="N428" i="521"/>
  <c r="K428" i="521"/>
  <c r="M428" i="521" s="1"/>
  <c r="K428" i="521" a="1"/>
  <c r="J428" i="521" a="1"/>
  <c r="J428" i="521" s="1"/>
  <c r="H428" i="521"/>
  <c r="V427" i="521"/>
  <c r="N427" i="521"/>
  <c r="K427" i="521" a="1"/>
  <c r="K427" i="521" s="1"/>
  <c r="J427" i="521" a="1"/>
  <c r="J427" i="521" s="1"/>
  <c r="H427" i="521"/>
  <c r="AA426" i="521"/>
  <c r="Z426" i="521"/>
  <c r="Y426" i="521"/>
  <c r="X426" i="521"/>
  <c r="U426" i="521"/>
  <c r="T426" i="521"/>
  <c r="S426" i="521"/>
  <c r="R426" i="521"/>
  <c r="Q426" i="521"/>
  <c r="P426" i="521"/>
  <c r="O426" i="521"/>
  <c r="R507" i="521" s="1"/>
  <c r="I426" i="521"/>
  <c r="G426" i="521"/>
  <c r="J426" i="521" s="1" a="1"/>
  <c r="J426" i="521" s="1"/>
  <c r="K425" i="521" a="1"/>
  <c r="K425" i="521" s="1"/>
  <c r="M425" i="521" s="1"/>
  <c r="H425" i="521"/>
  <c r="K424" i="521"/>
  <c r="M424" i="521" s="1"/>
  <c r="K424" i="521" a="1"/>
  <c r="H424" i="521"/>
  <c r="K423" i="521" a="1"/>
  <c r="K423" i="521" s="1"/>
  <c r="M423" i="521" s="1"/>
  <c r="H423" i="521"/>
  <c r="K422" i="521"/>
  <c r="M422" i="521" s="1"/>
  <c r="K422" i="521" a="1"/>
  <c r="H422" i="521"/>
  <c r="K421" i="521" a="1"/>
  <c r="K421" i="521" s="1"/>
  <c r="M421" i="521" s="1"/>
  <c r="H421" i="521"/>
  <c r="K420" i="521"/>
  <c r="M420" i="521" s="1"/>
  <c r="K420" i="521" a="1"/>
  <c r="H420" i="521"/>
  <c r="K419" i="521" a="1"/>
  <c r="K419" i="521" s="1"/>
  <c r="M419" i="521" s="1"/>
  <c r="H419" i="521"/>
  <c r="K418" i="521"/>
  <c r="M418" i="521" s="1"/>
  <c r="K418" i="521" a="1"/>
  <c r="H418" i="521"/>
  <c r="K417" i="521" a="1"/>
  <c r="K417" i="521" s="1"/>
  <c r="M417" i="521" s="1"/>
  <c r="H417" i="521"/>
  <c r="K416" i="521" a="1"/>
  <c r="K416" i="521" s="1"/>
  <c r="M416" i="521" s="1"/>
  <c r="H416" i="521"/>
  <c r="V415" i="521"/>
  <c r="W415" i="521" s="1"/>
  <c r="N415" i="521"/>
  <c r="K415" i="521" a="1"/>
  <c r="K415" i="521" s="1"/>
  <c r="M415" i="521" s="1"/>
  <c r="J415" i="521" a="1"/>
  <c r="J415" i="521" s="1"/>
  <c r="H415" i="521"/>
  <c r="V414" i="521"/>
  <c r="W414" i="521" s="1"/>
  <c r="N414" i="521"/>
  <c r="K414" i="521" a="1"/>
  <c r="K414" i="521" s="1"/>
  <c r="M414" i="521" s="1"/>
  <c r="J414" i="521" a="1"/>
  <c r="J414" i="521" s="1"/>
  <c r="H414" i="521"/>
  <c r="V413" i="521"/>
  <c r="W413" i="521" s="1"/>
  <c r="N413" i="521"/>
  <c r="K413" i="521"/>
  <c r="M413" i="521" s="1"/>
  <c r="K413" i="521" a="1"/>
  <c r="J413" i="521"/>
  <c r="J413" i="521" a="1"/>
  <c r="H413" i="521"/>
  <c r="V412" i="521"/>
  <c r="W412" i="521" s="1"/>
  <c r="N412" i="521"/>
  <c r="K412" i="521" a="1"/>
  <c r="K412" i="521" s="1"/>
  <c r="M412" i="521" s="1"/>
  <c r="J412" i="521" a="1"/>
  <c r="J412" i="521" s="1"/>
  <c r="H412" i="521"/>
  <c r="H411" i="521"/>
  <c r="V410" i="521"/>
  <c r="W410" i="521" s="1"/>
  <c r="N410" i="521"/>
  <c r="K410" i="521" a="1"/>
  <c r="K410" i="521" s="1"/>
  <c r="M410" i="521" s="1"/>
  <c r="J410" i="521" a="1"/>
  <c r="J410" i="521" s="1"/>
  <c r="H410" i="521"/>
  <c r="V409" i="521"/>
  <c r="W409" i="521" s="1"/>
  <c r="N409" i="521"/>
  <c r="K409" i="521" a="1"/>
  <c r="K409" i="521" s="1"/>
  <c r="M409" i="521" s="1"/>
  <c r="J409" i="521" a="1"/>
  <c r="J409" i="521" s="1"/>
  <c r="H409" i="521"/>
  <c r="H408" i="521"/>
  <c r="K407" i="521" a="1"/>
  <c r="K407" i="521" s="1"/>
  <c r="H407" i="521"/>
  <c r="V406" i="521"/>
  <c r="W406" i="521" s="1"/>
  <c r="N406" i="521"/>
  <c r="K406" i="521" a="1"/>
  <c r="K406" i="521" s="1"/>
  <c r="M406" i="521" s="1"/>
  <c r="J406" i="521" a="1"/>
  <c r="J406" i="521" s="1"/>
  <c r="H406" i="521"/>
  <c r="V405" i="521"/>
  <c r="W405" i="521" s="1"/>
  <c r="N405" i="521"/>
  <c r="K405" i="521"/>
  <c r="M405" i="521" s="1"/>
  <c r="K405" i="521" a="1"/>
  <c r="J405" i="521"/>
  <c r="J405" i="521" a="1"/>
  <c r="H405" i="521"/>
  <c r="V404" i="521"/>
  <c r="W404" i="521" s="1"/>
  <c r="N404" i="521"/>
  <c r="K404" i="521" a="1"/>
  <c r="K404" i="521" s="1"/>
  <c r="M404" i="521" s="1"/>
  <c r="J404" i="521" a="1"/>
  <c r="J404" i="521" s="1"/>
  <c r="H404" i="521"/>
  <c r="V403" i="521"/>
  <c r="W403" i="521" s="1"/>
  <c r="N403" i="521"/>
  <c r="K403" i="521" a="1"/>
  <c r="K403" i="521" s="1"/>
  <c r="M403" i="521" s="1"/>
  <c r="J403" i="521" a="1"/>
  <c r="J403" i="521" s="1"/>
  <c r="H403" i="521"/>
  <c r="V402" i="521"/>
  <c r="W402" i="521" s="1"/>
  <c r="N402" i="521"/>
  <c r="K402" i="521" a="1"/>
  <c r="K402" i="521" s="1"/>
  <c r="M402" i="521" s="1"/>
  <c r="J402" i="521" a="1"/>
  <c r="J402" i="521" s="1"/>
  <c r="H402" i="521"/>
  <c r="V401" i="521"/>
  <c r="W401" i="521" s="1"/>
  <c r="N401" i="521"/>
  <c r="K401" i="521"/>
  <c r="M401" i="521" s="1"/>
  <c r="K401" i="521" a="1"/>
  <c r="J401" i="521"/>
  <c r="J401" i="521" a="1"/>
  <c r="H401" i="521"/>
  <c r="V400" i="521"/>
  <c r="W400" i="521" s="1"/>
  <c r="N400" i="521"/>
  <c r="K400" i="521" a="1"/>
  <c r="K400" i="521" s="1"/>
  <c r="M400" i="521" s="1"/>
  <c r="J400" i="521" a="1"/>
  <c r="J400" i="521" s="1"/>
  <c r="H400" i="521"/>
  <c r="V399" i="521"/>
  <c r="W399" i="521" s="1"/>
  <c r="N399" i="521"/>
  <c r="K399" i="521" a="1"/>
  <c r="K399" i="521" s="1"/>
  <c r="M399" i="521" s="1"/>
  <c r="J399" i="521" a="1"/>
  <c r="J399" i="521" s="1"/>
  <c r="H399" i="521"/>
  <c r="V398" i="521"/>
  <c r="W398" i="521" s="1"/>
  <c r="N398" i="521"/>
  <c r="K398" i="521" a="1"/>
  <c r="K398" i="521" s="1"/>
  <c r="M398" i="521" s="1"/>
  <c r="J398" i="521" a="1"/>
  <c r="J398" i="521" s="1"/>
  <c r="H398" i="521"/>
  <c r="V397" i="521"/>
  <c r="W397" i="521" s="1"/>
  <c r="N397" i="521"/>
  <c r="K397" i="521"/>
  <c r="M397" i="521" s="1"/>
  <c r="K397" i="521" a="1"/>
  <c r="J397" i="521"/>
  <c r="J397" i="521" a="1"/>
  <c r="H397" i="521"/>
  <c r="K396" i="521" a="1"/>
  <c r="K396" i="521" s="1"/>
  <c r="M396" i="521" s="1"/>
  <c r="H396" i="521"/>
  <c r="K395" i="521"/>
  <c r="M395" i="521" s="1"/>
  <c r="K395" i="521" a="1"/>
  <c r="H395" i="521"/>
  <c r="K394" i="521" a="1"/>
  <c r="K394" i="521" s="1"/>
  <c r="M394" i="521" s="1"/>
  <c r="H394" i="521"/>
  <c r="K393" i="521" a="1"/>
  <c r="K393" i="521" s="1"/>
  <c r="M393" i="521" s="1"/>
  <c r="H393" i="521"/>
  <c r="N392" i="521"/>
  <c r="K392" i="521" a="1"/>
  <c r="K392" i="521" s="1"/>
  <c r="M392" i="521" s="1"/>
  <c r="H392" i="521"/>
  <c r="N391" i="521"/>
  <c r="K391" i="521" a="1"/>
  <c r="K391" i="521" s="1"/>
  <c r="M391" i="521" s="1"/>
  <c r="H391" i="521"/>
  <c r="N390" i="521"/>
  <c r="K390" i="521" a="1"/>
  <c r="K390" i="521" s="1"/>
  <c r="M390" i="521" s="1"/>
  <c r="H390" i="521"/>
  <c r="N389" i="521"/>
  <c r="K389" i="521" a="1"/>
  <c r="K389" i="521" s="1"/>
  <c r="M389" i="521" s="1"/>
  <c r="H389" i="521"/>
  <c r="V388" i="521"/>
  <c r="W388" i="521" s="1"/>
  <c r="N388" i="521"/>
  <c r="K388" i="521" a="1"/>
  <c r="K388" i="521" s="1"/>
  <c r="M388" i="521" s="1"/>
  <c r="J388" i="521" a="1"/>
  <c r="J388" i="521" s="1"/>
  <c r="H388" i="521"/>
  <c r="V387" i="521"/>
  <c r="W387" i="521" s="1"/>
  <c r="N387" i="521"/>
  <c r="K387" i="521" a="1"/>
  <c r="K387" i="521" s="1"/>
  <c r="M387" i="521" s="1"/>
  <c r="J387" i="521" a="1"/>
  <c r="J387" i="521" s="1"/>
  <c r="H387" i="521"/>
  <c r="V386" i="521"/>
  <c r="W386" i="521" s="1"/>
  <c r="N386" i="521"/>
  <c r="K386" i="521"/>
  <c r="M386" i="521" s="1"/>
  <c r="K386" i="521" a="1"/>
  <c r="J386" i="521"/>
  <c r="J386" i="521" a="1"/>
  <c r="H386" i="521"/>
  <c r="V385" i="521"/>
  <c r="W385" i="521" s="1"/>
  <c r="N385" i="521"/>
  <c r="K385" i="521" a="1"/>
  <c r="K385" i="521" s="1"/>
  <c r="M385" i="521" s="1"/>
  <c r="J385" i="521" a="1"/>
  <c r="J385" i="521" s="1"/>
  <c r="H385" i="521"/>
  <c r="V384" i="521"/>
  <c r="W384" i="521" s="1"/>
  <c r="N384" i="521"/>
  <c r="K384" i="521" a="1"/>
  <c r="K384" i="521" s="1"/>
  <c r="M384" i="521" s="1"/>
  <c r="J384" i="521" a="1"/>
  <c r="J384" i="521" s="1"/>
  <c r="H384" i="521"/>
  <c r="V383" i="521"/>
  <c r="W383" i="521" s="1"/>
  <c r="N383" i="521"/>
  <c r="K383" i="521" a="1"/>
  <c r="K383" i="521" s="1"/>
  <c r="M383" i="521" s="1"/>
  <c r="J383" i="521" a="1"/>
  <c r="J383" i="521" s="1"/>
  <c r="H383" i="521"/>
  <c r="V382" i="521"/>
  <c r="W382" i="521" s="1"/>
  <c r="N382" i="521"/>
  <c r="K382" i="521"/>
  <c r="M382" i="521" s="1"/>
  <c r="K382" i="521" a="1"/>
  <c r="J382" i="521"/>
  <c r="J382" i="521" a="1"/>
  <c r="H382" i="521"/>
  <c r="V381" i="521"/>
  <c r="W381" i="521" s="1"/>
  <c r="N381" i="521"/>
  <c r="K381" i="521" a="1"/>
  <c r="K381" i="521" s="1"/>
  <c r="M381" i="521" s="1"/>
  <c r="J381" i="521" a="1"/>
  <c r="J381" i="521" s="1"/>
  <c r="H381" i="521"/>
  <c r="V380" i="521"/>
  <c r="W380" i="521" s="1"/>
  <c r="N380" i="521"/>
  <c r="K380" i="521" a="1"/>
  <c r="K380" i="521" s="1"/>
  <c r="M380" i="521" s="1"/>
  <c r="J380" i="521" a="1"/>
  <c r="J380" i="521" s="1"/>
  <c r="H380" i="521"/>
  <c r="V379" i="521"/>
  <c r="W379" i="521" s="1"/>
  <c r="N379" i="521"/>
  <c r="K379" i="521" a="1"/>
  <c r="K379" i="521" s="1"/>
  <c r="M379" i="521" s="1"/>
  <c r="J379" i="521" a="1"/>
  <c r="J379" i="521" s="1"/>
  <c r="H379" i="521"/>
  <c r="V378" i="521"/>
  <c r="W378" i="521" s="1"/>
  <c r="N378" i="521"/>
  <c r="K378" i="521"/>
  <c r="M378" i="521" s="1"/>
  <c r="K378" i="521" a="1"/>
  <c r="J378" i="521"/>
  <c r="J378" i="521" a="1"/>
  <c r="H378" i="521"/>
  <c r="V377" i="521"/>
  <c r="W377" i="521" s="1"/>
  <c r="N377" i="521"/>
  <c r="K377" i="521" a="1"/>
  <c r="K377" i="521" s="1"/>
  <c r="M377" i="521" s="1"/>
  <c r="J377" i="521" a="1"/>
  <c r="J377" i="521" s="1"/>
  <c r="H377" i="521"/>
  <c r="K376" i="521" a="1"/>
  <c r="K376" i="521" s="1"/>
  <c r="M376" i="521" s="1"/>
  <c r="H376" i="521"/>
  <c r="K375" i="521" a="1"/>
  <c r="K375" i="521" s="1"/>
  <c r="M375" i="521" s="1"/>
  <c r="H375" i="521"/>
  <c r="K374" i="521" a="1"/>
  <c r="K374" i="521" s="1"/>
  <c r="M374" i="521" s="1"/>
  <c r="H374" i="521"/>
  <c r="W373" i="521"/>
  <c r="V373" i="521"/>
  <c r="N373" i="521"/>
  <c r="K373" i="521" a="1"/>
  <c r="K373" i="521" s="1"/>
  <c r="M373" i="521" s="1"/>
  <c r="J373" i="521" a="1"/>
  <c r="J373" i="521" s="1"/>
  <c r="H373" i="521"/>
  <c r="V372" i="521"/>
  <c r="W372" i="521" s="1"/>
  <c r="N372" i="521"/>
  <c r="K372" i="521" a="1"/>
  <c r="K372" i="521" s="1"/>
  <c r="M372" i="521" s="1"/>
  <c r="J372" i="521" a="1"/>
  <c r="J372" i="521" s="1"/>
  <c r="H372" i="521"/>
  <c r="V371" i="521"/>
  <c r="W371" i="521" s="1"/>
  <c r="N371" i="521"/>
  <c r="K371" i="521"/>
  <c r="M371" i="521" s="1"/>
  <c r="K371" i="521" a="1"/>
  <c r="J371" i="521"/>
  <c r="J371" i="521" a="1"/>
  <c r="H371" i="521"/>
  <c r="K370" i="521" a="1"/>
  <c r="K370" i="521" s="1"/>
  <c r="H370" i="521"/>
  <c r="V369" i="521"/>
  <c r="V426" i="521" s="1"/>
  <c r="W426" i="521" s="1"/>
  <c r="N369" i="521"/>
  <c r="K369" i="521"/>
  <c r="K369" i="521" a="1"/>
  <c r="J369" i="521"/>
  <c r="J369" i="521" a="1"/>
  <c r="H369" i="521"/>
  <c r="H426" i="521" s="1"/>
  <c r="AA368" i="521"/>
  <c r="AA504" i="521" s="1"/>
  <c r="Z368" i="521"/>
  <c r="Z504" i="521" s="1"/>
  <c r="Y368" i="521"/>
  <c r="Y504" i="521" s="1"/>
  <c r="X368" i="521"/>
  <c r="X504" i="521" s="1"/>
  <c r="U368" i="521"/>
  <c r="U504" i="521" s="1"/>
  <c r="T368" i="521"/>
  <c r="T504" i="521" s="1"/>
  <c r="S368" i="521"/>
  <c r="S504" i="521" s="1"/>
  <c r="R368" i="521"/>
  <c r="R504" i="521" s="1"/>
  <c r="Q368" i="521"/>
  <c r="Q504" i="521" s="1"/>
  <c r="P368" i="521"/>
  <c r="P504" i="521" s="1"/>
  <c r="O368" i="521"/>
  <c r="I368" i="521"/>
  <c r="I504" i="521" s="1"/>
  <c r="B512" i="521" s="1"/>
  <c r="G368" i="521"/>
  <c r="G504" i="521" s="1"/>
  <c r="V367" i="521"/>
  <c r="W367" i="521" s="1"/>
  <c r="N367" i="521"/>
  <c r="K367" i="521" a="1"/>
  <c r="K367" i="521" s="1"/>
  <c r="M367" i="521" s="1"/>
  <c r="J367" i="521" a="1"/>
  <c r="J367" i="521" s="1"/>
  <c r="H367" i="521"/>
  <c r="V366" i="521"/>
  <c r="W366" i="521" s="1"/>
  <c r="N366" i="521"/>
  <c r="K366" i="521"/>
  <c r="M366" i="521" s="1"/>
  <c r="K366" i="521" a="1"/>
  <c r="J366" i="521"/>
  <c r="J366" i="521" a="1"/>
  <c r="H366" i="521"/>
  <c r="K365" i="521" a="1"/>
  <c r="K365" i="521" s="1"/>
  <c r="M365" i="521" s="1"/>
  <c r="H365" i="521"/>
  <c r="K364" i="521" a="1"/>
  <c r="K364" i="521" s="1"/>
  <c r="M364" i="521" s="1"/>
  <c r="H364" i="521"/>
  <c r="K363" i="521" a="1"/>
  <c r="K363" i="521" s="1"/>
  <c r="M363" i="521" s="1"/>
  <c r="H363" i="521"/>
  <c r="K362" i="521" a="1"/>
  <c r="K362" i="521" s="1"/>
  <c r="M362" i="521" s="1"/>
  <c r="H362" i="521"/>
  <c r="V361" i="521"/>
  <c r="W361" i="521" s="1"/>
  <c r="N361" i="521"/>
  <c r="K361" i="521"/>
  <c r="M361" i="521" s="1"/>
  <c r="K361" i="521" a="1"/>
  <c r="J361" i="521"/>
  <c r="J361" i="521" a="1"/>
  <c r="H361" i="521"/>
  <c r="V360" i="521"/>
  <c r="W360" i="521" s="1"/>
  <c r="N360" i="521"/>
  <c r="K360" i="521" a="1"/>
  <c r="K360" i="521" s="1"/>
  <c r="M360" i="521" s="1"/>
  <c r="J360" i="521" a="1"/>
  <c r="J360" i="521" s="1"/>
  <c r="H360" i="521"/>
  <c r="V359" i="521"/>
  <c r="W359" i="521" s="1"/>
  <c r="N359" i="521"/>
  <c r="K359" i="521" a="1"/>
  <c r="K359" i="521" s="1"/>
  <c r="M359" i="521" s="1"/>
  <c r="J359" i="521" a="1"/>
  <c r="J359" i="521" s="1"/>
  <c r="H359" i="521"/>
  <c r="H358" i="521"/>
  <c r="H357" i="521"/>
  <c r="V356" i="521"/>
  <c r="W356" i="521" s="1"/>
  <c r="N356" i="521"/>
  <c r="K356" i="521" a="1"/>
  <c r="K356" i="521" s="1"/>
  <c r="M356" i="521" s="1"/>
  <c r="J356" i="521" a="1"/>
  <c r="J356" i="521" s="1"/>
  <c r="H356" i="521"/>
  <c r="V355" i="521"/>
  <c r="W355" i="521" s="1"/>
  <c r="N355" i="521"/>
  <c r="K355" i="521"/>
  <c r="M355" i="521" s="1"/>
  <c r="K355" i="521" a="1"/>
  <c r="J355" i="521"/>
  <c r="J355" i="521" a="1"/>
  <c r="H355" i="521"/>
  <c r="K354" i="521" a="1"/>
  <c r="K354" i="521" s="1"/>
  <c r="M354" i="521" s="1"/>
  <c r="H354" i="521"/>
  <c r="K353" i="521"/>
  <c r="M353" i="521" s="1"/>
  <c r="K353" i="521" a="1"/>
  <c r="H353" i="521"/>
  <c r="V352" i="521"/>
  <c r="W352" i="521" s="1"/>
  <c r="N352" i="521"/>
  <c r="K352" i="521" a="1"/>
  <c r="K352" i="521" s="1"/>
  <c r="M352" i="521" s="1"/>
  <c r="J352" i="521" a="1"/>
  <c r="J352" i="521" s="1"/>
  <c r="H352" i="521"/>
  <c r="V351" i="521"/>
  <c r="W351" i="521" s="1"/>
  <c r="N351" i="521"/>
  <c r="K351" i="521" a="1"/>
  <c r="K351" i="521" s="1"/>
  <c r="M351" i="521" s="1"/>
  <c r="J351" i="521" a="1"/>
  <c r="J351" i="521" s="1"/>
  <c r="H351" i="521"/>
  <c r="V350" i="521"/>
  <c r="W350" i="521" s="1"/>
  <c r="N350" i="521"/>
  <c r="K350" i="521" a="1"/>
  <c r="K350" i="521" s="1"/>
  <c r="M350" i="521" s="1"/>
  <c r="J350" i="521" a="1"/>
  <c r="J350" i="521" s="1"/>
  <c r="H350" i="521"/>
  <c r="V349" i="521"/>
  <c r="W349" i="521" s="1"/>
  <c r="N349" i="521"/>
  <c r="K349" i="521"/>
  <c r="M349" i="521" s="1"/>
  <c r="K349" i="521" a="1"/>
  <c r="J349" i="521"/>
  <c r="J349" i="521" a="1"/>
  <c r="H349" i="521"/>
  <c r="V348" i="521"/>
  <c r="W348" i="521" s="1"/>
  <c r="N348" i="521"/>
  <c r="K348" i="521" a="1"/>
  <c r="K348" i="521" s="1"/>
  <c r="M348" i="521" s="1"/>
  <c r="J348" i="521" a="1"/>
  <c r="J348" i="521" s="1"/>
  <c r="H348" i="521"/>
  <c r="V347" i="521"/>
  <c r="N347" i="521"/>
  <c r="N368" i="521" s="1"/>
  <c r="K347" i="521" a="1"/>
  <c r="K347" i="521" s="1"/>
  <c r="M347" i="521" s="1"/>
  <c r="J347" i="521" a="1"/>
  <c r="J347" i="521" s="1"/>
  <c r="H347" i="521"/>
  <c r="X341" i="521"/>
  <c r="X340" i="521"/>
  <c r="X339" i="521"/>
  <c r="G339" i="521"/>
  <c r="C339" i="521"/>
  <c r="X338" i="521"/>
  <c r="I338" i="521"/>
  <c r="E338" i="521"/>
  <c r="K338" i="521" s="1"/>
  <c r="M338" i="521" s="1"/>
  <c r="I337" i="521"/>
  <c r="E337" i="521"/>
  <c r="K337" i="521" s="1"/>
  <c r="M337" i="521" s="1"/>
  <c r="I336" i="521"/>
  <c r="E336" i="521"/>
  <c r="K336" i="521" s="1"/>
  <c r="M336" i="521" s="1"/>
  <c r="X335" i="521"/>
  <c r="I335" i="521"/>
  <c r="I339" i="521" s="1"/>
  <c r="E335" i="521"/>
  <c r="K335" i="521" s="1"/>
  <c r="AA332" i="521"/>
  <c r="Z332" i="521"/>
  <c r="Y332" i="521"/>
  <c r="X332" i="521"/>
  <c r="U332" i="521"/>
  <c r="T332" i="521"/>
  <c r="S332" i="521"/>
  <c r="R332" i="521"/>
  <c r="Q332" i="521"/>
  <c r="P332" i="521"/>
  <c r="O332" i="521"/>
  <c r="I332" i="521"/>
  <c r="G332" i="521"/>
  <c r="K331" i="521" a="1"/>
  <c r="K331" i="521" s="1"/>
  <c r="H331" i="521"/>
  <c r="K330" i="521" a="1"/>
  <c r="K330" i="521" s="1"/>
  <c r="H330" i="521"/>
  <c r="K329" i="521"/>
  <c r="K329" i="521" a="1"/>
  <c r="H329" i="521"/>
  <c r="V328" i="521"/>
  <c r="W328" i="521" s="1"/>
  <c r="N328" i="521"/>
  <c r="K328" i="521" a="1"/>
  <c r="K328" i="521" s="1"/>
  <c r="H328" i="521"/>
  <c r="D328" i="521"/>
  <c r="H327" i="521"/>
  <c r="K326" i="521" a="1"/>
  <c r="K326" i="521" s="1"/>
  <c r="H326" i="521"/>
  <c r="H325" i="521"/>
  <c r="V324" i="521"/>
  <c r="W324" i="521" s="1"/>
  <c r="N324" i="521"/>
  <c r="K324" i="521" a="1"/>
  <c r="K324" i="521" s="1"/>
  <c r="M324" i="521" s="1"/>
  <c r="J324" i="521" a="1"/>
  <c r="J324" i="521" s="1"/>
  <c r="H324" i="521"/>
  <c r="V323" i="521"/>
  <c r="W323" i="521" s="1"/>
  <c r="N323" i="521"/>
  <c r="K323" i="521" a="1"/>
  <c r="K323" i="521" s="1"/>
  <c r="M323" i="521" s="1"/>
  <c r="J323" i="521" a="1"/>
  <c r="J323" i="521" s="1"/>
  <c r="H323" i="521"/>
  <c r="H322" i="521"/>
  <c r="V321" i="521"/>
  <c r="W321" i="521" s="1"/>
  <c r="N321" i="521"/>
  <c r="K321" i="521"/>
  <c r="M321" i="521" s="1"/>
  <c r="K321" i="521" a="1"/>
  <c r="J321" i="521"/>
  <c r="J321" i="521" a="1"/>
  <c r="H321" i="521"/>
  <c r="V320" i="521"/>
  <c r="W320" i="521" s="1"/>
  <c r="N320" i="521"/>
  <c r="K320" i="521" a="1"/>
  <c r="K320" i="521" s="1"/>
  <c r="M320" i="521" s="1"/>
  <c r="J320" i="521" a="1"/>
  <c r="J320" i="521" s="1"/>
  <c r="H320" i="521"/>
  <c r="V319" i="521"/>
  <c r="W319" i="521" s="1"/>
  <c r="N319" i="521"/>
  <c r="K319" i="521" a="1"/>
  <c r="K319" i="521" s="1"/>
  <c r="M319" i="521" s="1"/>
  <c r="J319" i="521" a="1"/>
  <c r="J319" i="521" s="1"/>
  <c r="H319" i="521"/>
  <c r="V318" i="521"/>
  <c r="V332" i="521" s="1"/>
  <c r="N318" i="521"/>
  <c r="N332" i="521" s="1"/>
  <c r="K318" i="521" a="1"/>
  <c r="K318" i="521" s="1"/>
  <c r="J318" i="521" a="1"/>
  <c r="J318" i="521" s="1"/>
  <c r="H318" i="521"/>
  <c r="H332" i="521" s="1"/>
  <c r="AA317" i="521"/>
  <c r="Z317" i="521"/>
  <c r="Y317" i="521"/>
  <c r="X317" i="521"/>
  <c r="U317" i="521"/>
  <c r="T317" i="521"/>
  <c r="S317" i="521"/>
  <c r="Q317" i="521"/>
  <c r="P317" i="521"/>
  <c r="O317" i="521"/>
  <c r="R339" i="521" s="1"/>
  <c r="I317" i="521"/>
  <c r="G317" i="521"/>
  <c r="J317" i="521" s="1" a="1"/>
  <c r="J317" i="521" s="1"/>
  <c r="W316" i="521"/>
  <c r="V316" i="521"/>
  <c r="N316" i="521"/>
  <c r="K316" i="521" a="1"/>
  <c r="K316" i="521" s="1"/>
  <c r="M316" i="521" s="1"/>
  <c r="J316" i="521" a="1"/>
  <c r="J316" i="521" s="1"/>
  <c r="H316" i="521"/>
  <c r="V312" i="521"/>
  <c r="W312" i="521" s="1"/>
  <c r="N312" i="521"/>
  <c r="K312" i="521" a="1"/>
  <c r="K312" i="521" s="1"/>
  <c r="M312" i="521" s="1"/>
  <c r="J312" i="521" a="1"/>
  <c r="J312" i="521" s="1"/>
  <c r="H312" i="521"/>
  <c r="V311" i="521"/>
  <c r="W311" i="521" s="1"/>
  <c r="N311" i="521"/>
  <c r="K311" i="521"/>
  <c r="M311" i="521" s="1"/>
  <c r="K311" i="521" a="1"/>
  <c r="J311" i="521"/>
  <c r="J311" i="521" a="1"/>
  <c r="H311" i="521"/>
  <c r="V310" i="521"/>
  <c r="W310" i="521" s="1"/>
  <c r="N310" i="521"/>
  <c r="K310" i="521" a="1"/>
  <c r="K310" i="521" s="1"/>
  <c r="M310" i="521" s="1"/>
  <c r="J310" i="521" a="1"/>
  <c r="J310" i="521" s="1"/>
  <c r="H310" i="521"/>
  <c r="V309" i="521"/>
  <c r="W309" i="521" s="1"/>
  <c r="N309" i="521"/>
  <c r="K309" i="521" a="1"/>
  <c r="K309" i="521" s="1"/>
  <c r="M309" i="521" s="1"/>
  <c r="J309" i="521" a="1"/>
  <c r="J309" i="521" s="1"/>
  <c r="H309" i="521"/>
  <c r="V308" i="521"/>
  <c r="N308" i="521"/>
  <c r="K308" i="521" a="1"/>
  <c r="K308" i="521" s="1"/>
  <c r="J308" i="521" a="1"/>
  <c r="J308" i="521" s="1"/>
  <c r="H308" i="521"/>
  <c r="AA307" i="521"/>
  <c r="Z307" i="521"/>
  <c r="Y307" i="521"/>
  <c r="X307" i="521"/>
  <c r="U307" i="521"/>
  <c r="T307" i="521"/>
  <c r="S307" i="521"/>
  <c r="Q307" i="521"/>
  <c r="P307" i="521"/>
  <c r="O307" i="521"/>
  <c r="R338" i="521" s="1"/>
  <c r="I307" i="521"/>
  <c r="G307" i="521"/>
  <c r="J307" i="521" s="1" a="1"/>
  <c r="J307" i="521" s="1"/>
  <c r="V306" i="521"/>
  <c r="W306" i="521" s="1"/>
  <c r="N306" i="521"/>
  <c r="K306" i="521" a="1"/>
  <c r="K306" i="521" s="1"/>
  <c r="M306" i="521" s="1"/>
  <c r="J306" i="521" a="1"/>
  <c r="J306" i="521" s="1"/>
  <c r="H306" i="521"/>
  <c r="V305" i="521"/>
  <c r="W305" i="521" s="1"/>
  <c r="N305" i="521"/>
  <c r="K305" i="521" a="1"/>
  <c r="K305" i="521" s="1"/>
  <c r="M305" i="521" s="1"/>
  <c r="J305" i="521" a="1"/>
  <c r="J305" i="521" s="1"/>
  <c r="H305" i="521"/>
  <c r="V304" i="521"/>
  <c r="W304" i="521" s="1"/>
  <c r="N304" i="521"/>
  <c r="K304" i="521"/>
  <c r="M304" i="521" s="1"/>
  <c r="K304" i="521" a="1"/>
  <c r="J304" i="521"/>
  <c r="J304" i="521" a="1"/>
  <c r="H304" i="521"/>
  <c r="V303" i="521"/>
  <c r="W303" i="521" s="1"/>
  <c r="N303" i="521"/>
  <c r="K303" i="521" a="1"/>
  <c r="K303" i="521" s="1"/>
  <c r="M303" i="521" s="1"/>
  <c r="J303" i="521" a="1"/>
  <c r="J303" i="521" s="1"/>
  <c r="H303" i="521"/>
  <c r="V302" i="521"/>
  <c r="W302" i="521" s="1"/>
  <c r="N302" i="521"/>
  <c r="K302" i="521" a="1"/>
  <c r="K302" i="521" s="1"/>
  <c r="M302" i="521" s="1"/>
  <c r="J302" i="521" a="1"/>
  <c r="J302" i="521" s="1"/>
  <c r="H302" i="521"/>
  <c r="V301" i="521"/>
  <c r="W301" i="521" s="1"/>
  <c r="N301" i="521"/>
  <c r="K301" i="521" a="1"/>
  <c r="K301" i="521" s="1"/>
  <c r="M301" i="521" s="1"/>
  <c r="J301" i="521" a="1"/>
  <c r="J301" i="521" s="1"/>
  <c r="H301" i="521"/>
  <c r="V300" i="521"/>
  <c r="W300" i="521" s="1"/>
  <c r="N300" i="521"/>
  <c r="K300" i="521"/>
  <c r="M300" i="521" s="1"/>
  <c r="K300" i="521" a="1"/>
  <c r="J300" i="521"/>
  <c r="J300" i="521" a="1"/>
  <c r="H300" i="521"/>
  <c r="V299" i="521"/>
  <c r="W299" i="521" s="1"/>
  <c r="N299" i="521"/>
  <c r="K299" i="521" a="1"/>
  <c r="K299" i="521" s="1"/>
  <c r="M299" i="521" s="1"/>
  <c r="J299" i="521" a="1"/>
  <c r="J299" i="521" s="1"/>
  <c r="H299" i="521"/>
  <c r="V298" i="521"/>
  <c r="W298" i="521" s="1"/>
  <c r="N298" i="521"/>
  <c r="K298" i="521"/>
  <c r="M298" i="521" s="1"/>
  <c r="K298" i="521" a="1"/>
  <c r="J298" i="521"/>
  <c r="J298" i="521" a="1"/>
  <c r="H298" i="521"/>
  <c r="V297" i="521"/>
  <c r="W297" i="521" s="1"/>
  <c r="N297" i="521"/>
  <c r="K297" i="521" a="1"/>
  <c r="K297" i="521" s="1"/>
  <c r="M297" i="521" s="1"/>
  <c r="J297" i="521" a="1"/>
  <c r="J297" i="521" s="1"/>
  <c r="H297" i="521"/>
  <c r="V296" i="521"/>
  <c r="W296" i="521" s="1"/>
  <c r="N296" i="521"/>
  <c r="K296" i="521" a="1"/>
  <c r="K296" i="521" s="1"/>
  <c r="M296" i="521" s="1"/>
  <c r="J296" i="521" a="1"/>
  <c r="J296" i="521" s="1"/>
  <c r="H296" i="521"/>
  <c r="V295" i="521"/>
  <c r="W295" i="521" s="1"/>
  <c r="N295" i="521"/>
  <c r="K295" i="521" a="1"/>
  <c r="K295" i="521" s="1"/>
  <c r="M295" i="521" s="1"/>
  <c r="J295" i="521" a="1"/>
  <c r="J295" i="521" s="1"/>
  <c r="H295" i="521"/>
  <c r="V294" i="521"/>
  <c r="W294" i="521" s="1"/>
  <c r="N294" i="521"/>
  <c r="K294" i="521"/>
  <c r="M294" i="521" s="1"/>
  <c r="K294" i="521" a="1"/>
  <c r="J294" i="521"/>
  <c r="J294" i="521" a="1"/>
  <c r="H294" i="521"/>
  <c r="V293" i="521"/>
  <c r="W293" i="521" s="1"/>
  <c r="N293" i="521"/>
  <c r="K293" i="521" a="1"/>
  <c r="K293" i="521" s="1"/>
  <c r="M293" i="521" s="1"/>
  <c r="J293" i="521" a="1"/>
  <c r="J293" i="521" s="1"/>
  <c r="H293" i="521"/>
  <c r="V292" i="521"/>
  <c r="V307" i="521" s="1"/>
  <c r="W307" i="521" s="1"/>
  <c r="N292" i="521"/>
  <c r="N307" i="521" s="1"/>
  <c r="K292" i="521"/>
  <c r="K292" i="521" a="1"/>
  <c r="J292" i="521"/>
  <c r="J292" i="521" a="1"/>
  <c r="H292" i="521"/>
  <c r="H307" i="521" s="1"/>
  <c r="AA291" i="521"/>
  <c r="Z291" i="521"/>
  <c r="Y291" i="521"/>
  <c r="X291" i="521"/>
  <c r="U291" i="521"/>
  <c r="T291" i="521"/>
  <c r="S291" i="521"/>
  <c r="R291" i="521"/>
  <c r="Q291" i="521"/>
  <c r="P291" i="521"/>
  <c r="O291" i="521"/>
  <c r="R337" i="521" s="1"/>
  <c r="I291" i="521"/>
  <c r="G291" i="521"/>
  <c r="J291" i="521" s="1" a="1"/>
  <c r="J291" i="521" s="1"/>
  <c r="V290" i="521"/>
  <c r="W290" i="521" s="1"/>
  <c r="N290" i="521"/>
  <c r="K290" i="521" a="1"/>
  <c r="K290" i="521" s="1"/>
  <c r="M290" i="521" s="1"/>
  <c r="J290" i="521" a="1"/>
  <c r="J290" i="521" s="1"/>
  <c r="H290" i="521"/>
  <c r="V289" i="521"/>
  <c r="W289" i="521" s="1"/>
  <c r="N289" i="521"/>
  <c r="K289" i="521" a="1"/>
  <c r="K289" i="521" s="1"/>
  <c r="M289" i="521" s="1"/>
  <c r="J289" i="521" a="1"/>
  <c r="J289" i="521" s="1"/>
  <c r="H289" i="521"/>
  <c r="V288" i="521"/>
  <c r="W288" i="521" s="1"/>
  <c r="N288" i="521"/>
  <c r="K288" i="521"/>
  <c r="M288" i="521" s="1"/>
  <c r="K288" i="521" a="1"/>
  <c r="J288" i="521"/>
  <c r="J288" i="521" a="1"/>
  <c r="H288" i="521"/>
  <c r="H287" i="521"/>
  <c r="H286" i="521"/>
  <c r="H285" i="521"/>
  <c r="V284" i="521"/>
  <c r="W284" i="521" s="1"/>
  <c r="N284" i="521"/>
  <c r="K284" i="521" a="1"/>
  <c r="K284" i="521" s="1"/>
  <c r="M284" i="521" s="1"/>
  <c r="J284" i="521" a="1"/>
  <c r="J284" i="521" s="1"/>
  <c r="H284" i="521"/>
  <c r="V283" i="521"/>
  <c r="W283" i="521" s="1"/>
  <c r="N283" i="521"/>
  <c r="K283" i="521" a="1"/>
  <c r="K283" i="521" s="1"/>
  <c r="M283" i="521" s="1"/>
  <c r="J283" i="521" a="1"/>
  <c r="J283" i="521" s="1"/>
  <c r="H283" i="521"/>
  <c r="N282" i="521"/>
  <c r="K282" i="521"/>
  <c r="M282" i="521" s="1"/>
  <c r="K282" i="521" a="1"/>
  <c r="H282" i="521"/>
  <c r="N281" i="521"/>
  <c r="K281" i="521" a="1"/>
  <c r="K281" i="521" s="1"/>
  <c r="M281" i="521" s="1"/>
  <c r="H281" i="521"/>
  <c r="N280" i="521"/>
  <c r="K280" i="521" a="1"/>
  <c r="K280" i="521" s="1"/>
  <c r="M280" i="521" s="1"/>
  <c r="H280" i="521"/>
  <c r="N279" i="521"/>
  <c r="K279" i="521" a="1"/>
  <c r="K279" i="521" s="1"/>
  <c r="M279" i="521" s="1"/>
  <c r="H279" i="521"/>
  <c r="N278" i="521"/>
  <c r="K278" i="521"/>
  <c r="M278" i="521" s="1"/>
  <c r="K278" i="521" a="1"/>
  <c r="H278" i="521"/>
  <c r="N277" i="521"/>
  <c r="K277" i="521" a="1"/>
  <c r="K277" i="521" s="1"/>
  <c r="M277" i="521" s="1"/>
  <c r="H277" i="521"/>
  <c r="V276" i="521"/>
  <c r="W276" i="521" s="1"/>
  <c r="N276" i="521"/>
  <c r="K276" i="521" a="1"/>
  <c r="K276" i="521" s="1"/>
  <c r="M276" i="521" s="1"/>
  <c r="J276" i="521" a="1"/>
  <c r="J276" i="521" s="1"/>
  <c r="H276" i="521"/>
  <c r="V275" i="521"/>
  <c r="W275" i="521" s="1"/>
  <c r="N275" i="521"/>
  <c r="K275" i="521" a="1"/>
  <c r="K275" i="521" s="1"/>
  <c r="M275" i="521" s="1"/>
  <c r="J275" i="521" a="1"/>
  <c r="J275" i="521" s="1"/>
  <c r="H275" i="521"/>
  <c r="V274" i="521"/>
  <c r="W274" i="521" s="1"/>
  <c r="N274" i="521"/>
  <c r="K274" i="521"/>
  <c r="M274" i="521" s="1"/>
  <c r="K274" i="521" a="1"/>
  <c r="J274" i="521"/>
  <c r="J274" i="521" a="1"/>
  <c r="H274" i="521"/>
  <c r="V273" i="521"/>
  <c r="W273" i="521" s="1"/>
  <c r="N273" i="521"/>
  <c r="K273" i="521" a="1"/>
  <c r="K273" i="521" s="1"/>
  <c r="M273" i="521" s="1"/>
  <c r="J273" i="521" a="1"/>
  <c r="J273" i="521" s="1"/>
  <c r="H273" i="521"/>
  <c r="V272" i="521"/>
  <c r="W272" i="521" s="1"/>
  <c r="N272" i="521"/>
  <c r="K272" i="521" a="1"/>
  <c r="K272" i="521" s="1"/>
  <c r="M272" i="521" s="1"/>
  <c r="J272" i="521" a="1"/>
  <c r="J272" i="521" s="1"/>
  <c r="H272" i="521"/>
  <c r="V271" i="521"/>
  <c r="W271" i="521" s="1"/>
  <c r="N271" i="521"/>
  <c r="K271" i="521" a="1"/>
  <c r="K271" i="521" s="1"/>
  <c r="M271" i="521" s="1"/>
  <c r="J271" i="521" a="1"/>
  <c r="J271" i="521" s="1"/>
  <c r="H271" i="521"/>
  <c r="V270" i="521"/>
  <c r="W270" i="521" s="1"/>
  <c r="N270" i="521"/>
  <c r="K270" i="521"/>
  <c r="M270" i="521" s="1"/>
  <c r="K270" i="521" a="1"/>
  <c r="J270" i="521"/>
  <c r="J270" i="521" a="1"/>
  <c r="H270" i="521"/>
  <c r="V269" i="521"/>
  <c r="W269" i="521" s="1"/>
  <c r="N269" i="521"/>
  <c r="K269" i="521" a="1"/>
  <c r="K269" i="521" s="1"/>
  <c r="M269" i="521" s="1"/>
  <c r="J269" i="521" a="1"/>
  <c r="J269" i="521" s="1"/>
  <c r="H269" i="521"/>
  <c r="W268" i="521"/>
  <c r="V268" i="521"/>
  <c r="N268" i="521"/>
  <c r="K268" i="521" a="1"/>
  <c r="K268" i="521" s="1"/>
  <c r="M268" i="521" s="1"/>
  <c r="J268" i="521" a="1"/>
  <c r="J268" i="521" s="1"/>
  <c r="H268" i="521"/>
  <c r="V267" i="521"/>
  <c r="W267" i="521" s="1"/>
  <c r="N267" i="521"/>
  <c r="K267" i="521" a="1"/>
  <c r="K267" i="521" s="1"/>
  <c r="M267" i="521" s="1"/>
  <c r="J267" i="521" a="1"/>
  <c r="J267" i="521" s="1"/>
  <c r="H267" i="521"/>
  <c r="V266" i="521"/>
  <c r="W266" i="521" s="1"/>
  <c r="N266" i="521"/>
  <c r="K266" i="521"/>
  <c r="M266" i="521" s="1"/>
  <c r="K266" i="521" a="1"/>
  <c r="J266" i="521"/>
  <c r="J266" i="521" a="1"/>
  <c r="H266" i="521"/>
  <c r="V265" i="521"/>
  <c r="W265" i="521" s="1"/>
  <c r="N265" i="521"/>
  <c r="K265" i="521" a="1"/>
  <c r="K265" i="521" s="1"/>
  <c r="M265" i="521" s="1"/>
  <c r="J265" i="521" a="1"/>
  <c r="J265" i="521" s="1"/>
  <c r="H265" i="521"/>
  <c r="N264" i="521"/>
  <c r="K264" i="521" a="1"/>
  <c r="K264" i="521" s="1"/>
  <c r="M264" i="521" s="1"/>
  <c r="H264" i="521"/>
  <c r="V263" i="521"/>
  <c r="W263" i="521" s="1"/>
  <c r="N263" i="521"/>
  <c r="K263" i="521" a="1"/>
  <c r="K263" i="521" s="1"/>
  <c r="M263" i="521" s="1"/>
  <c r="J263" i="521" a="1"/>
  <c r="J263" i="521" s="1"/>
  <c r="H263" i="521"/>
  <c r="V262" i="521"/>
  <c r="W262" i="521" s="1"/>
  <c r="N262" i="521"/>
  <c r="K262" i="521"/>
  <c r="M262" i="521" s="1"/>
  <c r="K262" i="521" a="1"/>
  <c r="J262" i="521"/>
  <c r="J262" i="521" a="1"/>
  <c r="H262" i="521"/>
  <c r="V261" i="521"/>
  <c r="W261" i="521" s="1"/>
  <c r="N261" i="521"/>
  <c r="K261" i="521" a="1"/>
  <c r="K261" i="521" s="1"/>
  <c r="M261" i="521" s="1"/>
  <c r="J261" i="521" a="1"/>
  <c r="J261" i="521" s="1"/>
  <c r="H261" i="521"/>
  <c r="V260" i="521"/>
  <c r="W260" i="521" s="1"/>
  <c r="N260" i="521"/>
  <c r="K260" i="521" a="1"/>
  <c r="K260" i="521" s="1"/>
  <c r="M260" i="521" s="1"/>
  <c r="J260" i="521" a="1"/>
  <c r="J260" i="521" s="1"/>
  <c r="H260" i="521"/>
  <c r="V259" i="521"/>
  <c r="W259" i="521" s="1"/>
  <c r="N259" i="521"/>
  <c r="K259" i="521" a="1"/>
  <c r="K259" i="521" s="1"/>
  <c r="M259" i="521" s="1"/>
  <c r="J259" i="521" a="1"/>
  <c r="J259" i="521" s="1"/>
  <c r="H259" i="521"/>
  <c r="V258" i="521"/>
  <c r="W258" i="521" s="1"/>
  <c r="N258" i="521"/>
  <c r="K258" i="521"/>
  <c r="M258" i="521" s="1"/>
  <c r="K258" i="521" a="1"/>
  <c r="J258" i="521"/>
  <c r="J258" i="521" a="1"/>
  <c r="H258" i="521"/>
  <c r="V257" i="521"/>
  <c r="N257" i="521"/>
  <c r="N291" i="521" s="1"/>
  <c r="K257" i="521" a="1"/>
  <c r="K257" i="521" s="1"/>
  <c r="J257" i="521" a="1"/>
  <c r="J257" i="521" s="1"/>
  <c r="H257" i="521"/>
  <c r="AA256" i="521"/>
  <c r="Z256" i="521"/>
  <c r="Y256" i="521"/>
  <c r="X256" i="521"/>
  <c r="U256" i="521"/>
  <c r="T256" i="521"/>
  <c r="S256" i="521"/>
  <c r="R256" i="521"/>
  <c r="Q256" i="521"/>
  <c r="P256" i="521"/>
  <c r="O256" i="521"/>
  <c r="R336" i="521" s="1"/>
  <c r="I256" i="521"/>
  <c r="G256" i="521"/>
  <c r="J256" i="521" s="1" a="1"/>
  <c r="J256" i="521" s="1"/>
  <c r="H255" i="521"/>
  <c r="H254" i="521"/>
  <c r="H253" i="521"/>
  <c r="H252" i="521"/>
  <c r="H251" i="521"/>
  <c r="H250" i="521"/>
  <c r="K249" i="521" a="1"/>
  <c r="K249" i="521" s="1"/>
  <c r="M249" i="521" s="1"/>
  <c r="H249" i="521"/>
  <c r="K248" i="521" a="1"/>
  <c r="K248" i="521" s="1"/>
  <c r="M248" i="521" s="1"/>
  <c r="H248" i="521"/>
  <c r="K247" i="521" a="1"/>
  <c r="K247" i="521" s="1"/>
  <c r="M247" i="521" s="1"/>
  <c r="H247" i="521"/>
  <c r="K246" i="521" a="1"/>
  <c r="K246" i="521" s="1"/>
  <c r="M246" i="521" s="1"/>
  <c r="H246" i="521"/>
  <c r="V245" i="521"/>
  <c r="W245" i="521" s="1"/>
  <c r="N245" i="521"/>
  <c r="K245" i="521" a="1"/>
  <c r="K245" i="521" s="1"/>
  <c r="M245" i="521" s="1"/>
  <c r="J245" i="521" a="1"/>
  <c r="J245" i="521" s="1"/>
  <c r="H245" i="521"/>
  <c r="V244" i="521"/>
  <c r="W244" i="521" s="1"/>
  <c r="N244" i="521"/>
  <c r="K244" i="521" a="1"/>
  <c r="K244" i="521" s="1"/>
  <c r="M244" i="521" s="1"/>
  <c r="J244" i="521" a="1"/>
  <c r="J244" i="521" s="1"/>
  <c r="H244" i="521"/>
  <c r="V243" i="521"/>
  <c r="W243" i="521" s="1"/>
  <c r="N243" i="521"/>
  <c r="K243" i="521"/>
  <c r="M243" i="521" s="1"/>
  <c r="K243" i="521" a="1"/>
  <c r="J243" i="521"/>
  <c r="J243" i="521" a="1"/>
  <c r="H243" i="521"/>
  <c r="V242" i="521"/>
  <c r="W242" i="521" s="1"/>
  <c r="N242" i="521"/>
  <c r="K242" i="521" a="1"/>
  <c r="K242" i="521" s="1"/>
  <c r="M242" i="521" s="1"/>
  <c r="J242" i="521" a="1"/>
  <c r="J242" i="521" s="1"/>
  <c r="H242" i="521"/>
  <c r="M241" i="521"/>
  <c r="H241" i="521"/>
  <c r="V240" i="521"/>
  <c r="W240" i="521" s="1"/>
  <c r="N240" i="521"/>
  <c r="K240" i="521" a="1"/>
  <c r="K240" i="521" s="1"/>
  <c r="M240" i="521" s="1"/>
  <c r="J240" i="521" a="1"/>
  <c r="J240" i="521" s="1"/>
  <c r="H240" i="521"/>
  <c r="V239" i="521"/>
  <c r="W239" i="521" s="1"/>
  <c r="N239" i="521"/>
  <c r="K239" i="521" a="1"/>
  <c r="K239" i="521" s="1"/>
  <c r="M239" i="521" s="1"/>
  <c r="J239" i="521" a="1"/>
  <c r="J239" i="521" s="1"/>
  <c r="H239" i="521"/>
  <c r="K238" i="521" a="1"/>
  <c r="K238" i="521" s="1"/>
  <c r="M238" i="521" s="1"/>
  <c r="H238" i="521"/>
  <c r="H237" i="521"/>
  <c r="V236" i="521"/>
  <c r="W236" i="521" s="1"/>
  <c r="N236" i="521"/>
  <c r="M236" i="521"/>
  <c r="K236" i="521" a="1"/>
  <c r="K236" i="521" s="1"/>
  <c r="J236" i="521" a="1"/>
  <c r="J236" i="521" s="1"/>
  <c r="H236" i="521"/>
  <c r="W235" i="521"/>
  <c r="V235" i="521"/>
  <c r="N235" i="521"/>
  <c r="K235" i="521" a="1"/>
  <c r="K235" i="521" s="1"/>
  <c r="M235" i="521" s="1"/>
  <c r="J235" i="521" a="1"/>
  <c r="J235" i="521" s="1"/>
  <c r="H235" i="521"/>
  <c r="W234" i="521"/>
  <c r="V234" i="521"/>
  <c r="N234" i="521"/>
  <c r="K234" i="521" a="1"/>
  <c r="K234" i="521" s="1"/>
  <c r="M234" i="521" s="1"/>
  <c r="J234" i="521" a="1"/>
  <c r="J234" i="521" s="1"/>
  <c r="H234" i="521"/>
  <c r="V233" i="521"/>
  <c r="W233" i="521" s="1"/>
  <c r="N233" i="521"/>
  <c r="K233" i="521" a="1"/>
  <c r="K233" i="521" s="1"/>
  <c r="M233" i="521" s="1"/>
  <c r="J233" i="521" a="1"/>
  <c r="J233" i="521" s="1"/>
  <c r="H233" i="521"/>
  <c r="V232" i="521"/>
  <c r="W232" i="521" s="1"/>
  <c r="N232" i="521"/>
  <c r="K232" i="521"/>
  <c r="M232" i="521" s="1"/>
  <c r="K232" i="521" a="1"/>
  <c r="J232" i="521"/>
  <c r="J232" i="521" a="1"/>
  <c r="H232" i="521"/>
  <c r="V231" i="521"/>
  <c r="W231" i="521" s="1"/>
  <c r="N231" i="521"/>
  <c r="K231" i="521" a="1"/>
  <c r="K231" i="521" s="1"/>
  <c r="M231" i="521" s="1"/>
  <c r="J231" i="521" a="1"/>
  <c r="J231" i="521" s="1"/>
  <c r="H231" i="521"/>
  <c r="V230" i="521"/>
  <c r="W230" i="521" s="1"/>
  <c r="N230" i="521"/>
  <c r="K230" i="521" a="1"/>
  <c r="K230" i="521" s="1"/>
  <c r="M230" i="521" s="1"/>
  <c r="J230" i="521" a="1"/>
  <c r="J230" i="521" s="1"/>
  <c r="H230" i="521"/>
  <c r="V229" i="521"/>
  <c r="W229" i="521" s="1"/>
  <c r="N229" i="521"/>
  <c r="K229" i="521" a="1"/>
  <c r="K229" i="521" s="1"/>
  <c r="M229" i="521" s="1"/>
  <c r="J229" i="521" a="1"/>
  <c r="J229" i="521" s="1"/>
  <c r="H229" i="521"/>
  <c r="V228" i="521"/>
  <c r="W228" i="521" s="1"/>
  <c r="N228" i="521"/>
  <c r="K228" i="521"/>
  <c r="M228" i="521" s="1"/>
  <c r="K228" i="521" a="1"/>
  <c r="J228" i="521"/>
  <c r="J228" i="521" a="1"/>
  <c r="H228" i="521"/>
  <c r="V227" i="521"/>
  <c r="W227" i="521" s="1"/>
  <c r="N227" i="521"/>
  <c r="K227" i="521" a="1"/>
  <c r="K227" i="521" s="1"/>
  <c r="M227" i="521" s="1"/>
  <c r="J227" i="521" a="1"/>
  <c r="J227" i="521" s="1"/>
  <c r="H227" i="521"/>
  <c r="N226" i="521"/>
  <c r="K226" i="521" a="1"/>
  <c r="K226" i="521" s="1"/>
  <c r="M226" i="521" s="1"/>
  <c r="H226" i="521"/>
  <c r="N225" i="521"/>
  <c r="K225" i="521" a="1"/>
  <c r="K225" i="521" s="1"/>
  <c r="M225" i="521" s="1"/>
  <c r="H225" i="521"/>
  <c r="N224" i="521"/>
  <c r="K224" i="521"/>
  <c r="M224" i="521" s="1"/>
  <c r="K224" i="521" a="1"/>
  <c r="H224" i="521"/>
  <c r="N223" i="521"/>
  <c r="K223" i="521" a="1"/>
  <c r="K223" i="521" s="1"/>
  <c r="M223" i="521" s="1"/>
  <c r="H223" i="521"/>
  <c r="N222" i="521"/>
  <c r="K222" i="521" a="1"/>
  <c r="K222" i="521" s="1"/>
  <c r="M222" i="521" s="1"/>
  <c r="H222" i="521"/>
  <c r="N221" i="521"/>
  <c r="K221" i="521" a="1"/>
  <c r="K221" i="521" s="1"/>
  <c r="M221" i="521" s="1"/>
  <c r="H221" i="521"/>
  <c r="N220" i="521"/>
  <c r="K220" i="521"/>
  <c r="M220" i="521" s="1"/>
  <c r="K220" i="521" a="1"/>
  <c r="H220" i="521"/>
  <c r="N219" i="521"/>
  <c r="K219" i="521" a="1"/>
  <c r="K219" i="521" s="1"/>
  <c r="M219" i="521" s="1"/>
  <c r="H219" i="521"/>
  <c r="V218" i="521"/>
  <c r="W218" i="521" s="1"/>
  <c r="N218" i="521"/>
  <c r="K218" i="521" a="1"/>
  <c r="K218" i="521" s="1"/>
  <c r="M218" i="521" s="1"/>
  <c r="J218" i="521" a="1"/>
  <c r="J218" i="521" s="1"/>
  <c r="H218" i="521"/>
  <c r="V217" i="521"/>
  <c r="W217" i="521" s="1"/>
  <c r="N217" i="521"/>
  <c r="K217" i="521" a="1"/>
  <c r="K217" i="521" s="1"/>
  <c r="M217" i="521" s="1"/>
  <c r="J217" i="521" a="1"/>
  <c r="J217" i="521" s="1"/>
  <c r="H217" i="521"/>
  <c r="V216" i="521"/>
  <c r="W216" i="521" s="1"/>
  <c r="N216" i="521"/>
  <c r="K216" i="521"/>
  <c r="M216" i="521" s="1"/>
  <c r="K216" i="521" a="1"/>
  <c r="J216" i="521"/>
  <c r="J216" i="521" a="1"/>
  <c r="H216" i="521"/>
  <c r="V215" i="521"/>
  <c r="W215" i="521" s="1"/>
  <c r="N215" i="521"/>
  <c r="K215" i="521" a="1"/>
  <c r="K215" i="521" s="1"/>
  <c r="M215" i="521" s="1"/>
  <c r="J215" i="521" a="1"/>
  <c r="J215" i="521" s="1"/>
  <c r="H215" i="521"/>
  <c r="V214" i="521"/>
  <c r="W214" i="521" s="1"/>
  <c r="N214" i="521"/>
  <c r="K214" i="521" a="1"/>
  <c r="K214" i="521" s="1"/>
  <c r="M214" i="521" s="1"/>
  <c r="J214" i="521" a="1"/>
  <c r="J214" i="521" s="1"/>
  <c r="H214" i="521"/>
  <c r="V213" i="521"/>
  <c r="W213" i="521" s="1"/>
  <c r="N213" i="521"/>
  <c r="K213" i="521" a="1"/>
  <c r="K213" i="521" s="1"/>
  <c r="M213" i="521" s="1"/>
  <c r="J213" i="521" a="1"/>
  <c r="J213" i="521" s="1"/>
  <c r="H213" i="521"/>
  <c r="V212" i="521"/>
  <c r="W212" i="521" s="1"/>
  <c r="N212" i="521"/>
  <c r="K212" i="521"/>
  <c r="M212" i="521" s="1"/>
  <c r="K212" i="521" a="1"/>
  <c r="J212" i="521"/>
  <c r="J212" i="521" a="1"/>
  <c r="H212" i="521"/>
  <c r="V211" i="521"/>
  <c r="W211" i="521" s="1"/>
  <c r="N211" i="521"/>
  <c r="K211" i="521" a="1"/>
  <c r="K211" i="521" s="1"/>
  <c r="M211" i="521" s="1"/>
  <c r="J211" i="521" a="1"/>
  <c r="J211" i="521" s="1"/>
  <c r="H211" i="521"/>
  <c r="V210" i="521"/>
  <c r="W210" i="521" s="1"/>
  <c r="N210" i="521"/>
  <c r="K210" i="521" a="1"/>
  <c r="K210" i="521" s="1"/>
  <c r="M210" i="521" s="1"/>
  <c r="J210" i="521" a="1"/>
  <c r="J210" i="521" s="1"/>
  <c r="H210" i="521"/>
  <c r="V209" i="521"/>
  <c r="W209" i="521" s="1"/>
  <c r="N209" i="521"/>
  <c r="K209" i="521" a="1"/>
  <c r="K209" i="521" s="1"/>
  <c r="M209" i="521" s="1"/>
  <c r="J209" i="521" a="1"/>
  <c r="J209" i="521" s="1"/>
  <c r="H209" i="521"/>
  <c r="V208" i="521"/>
  <c r="W208" i="521" s="1"/>
  <c r="N208" i="521"/>
  <c r="K208" i="521"/>
  <c r="M208" i="521" s="1"/>
  <c r="K208" i="521" a="1"/>
  <c r="J208" i="521"/>
  <c r="J208" i="521" a="1"/>
  <c r="H208" i="521"/>
  <c r="V207" i="521"/>
  <c r="W207" i="521" s="1"/>
  <c r="N207" i="521"/>
  <c r="K207" i="521" a="1"/>
  <c r="K207" i="521" s="1"/>
  <c r="M207" i="521" s="1"/>
  <c r="J207" i="521" a="1"/>
  <c r="J207" i="521" s="1"/>
  <c r="H207" i="521"/>
  <c r="H206" i="521"/>
  <c r="H205" i="521"/>
  <c r="H204" i="521"/>
  <c r="V203" i="521"/>
  <c r="W203" i="521" s="1"/>
  <c r="N203" i="521"/>
  <c r="K203" i="521" a="1"/>
  <c r="K203" i="521" s="1"/>
  <c r="M203" i="521" s="1"/>
  <c r="J203" i="521" a="1"/>
  <c r="J203" i="521" s="1"/>
  <c r="H203" i="521"/>
  <c r="V202" i="521"/>
  <c r="W202" i="521" s="1"/>
  <c r="N202" i="521"/>
  <c r="K202" i="521" a="1"/>
  <c r="K202" i="521" s="1"/>
  <c r="M202" i="521" s="1"/>
  <c r="J202" i="521" a="1"/>
  <c r="J202" i="521" s="1"/>
  <c r="H202" i="521"/>
  <c r="V201" i="521"/>
  <c r="W201" i="521" s="1"/>
  <c r="N201" i="521"/>
  <c r="K201" i="521" a="1"/>
  <c r="K201" i="521" s="1"/>
  <c r="M201" i="521" s="1"/>
  <c r="J201" i="521" a="1"/>
  <c r="J201" i="521" s="1"/>
  <c r="H201" i="521"/>
  <c r="H200" i="521"/>
  <c r="V199" i="521"/>
  <c r="V256" i="521" s="1"/>
  <c r="W256" i="521" s="1"/>
  <c r="N199" i="521"/>
  <c r="K199" i="521" a="1"/>
  <c r="K199" i="521" s="1"/>
  <c r="J199" i="521" a="1"/>
  <c r="J199" i="521" s="1"/>
  <c r="H199" i="521"/>
  <c r="AA198" i="521"/>
  <c r="AA333" i="521" s="1"/>
  <c r="Z198" i="521"/>
  <c r="Z333" i="521" s="1"/>
  <c r="Y198" i="521"/>
  <c r="Y333" i="521" s="1"/>
  <c r="X198" i="521"/>
  <c r="X333" i="521" s="1"/>
  <c r="U198" i="521"/>
  <c r="U333" i="521" s="1"/>
  <c r="T198" i="521"/>
  <c r="T333" i="521" s="1"/>
  <c r="S198" i="521"/>
  <c r="S333" i="521" s="1"/>
  <c r="R198" i="521"/>
  <c r="R333" i="521" s="1"/>
  <c r="Q198" i="521"/>
  <c r="Q333" i="521" s="1"/>
  <c r="P198" i="521"/>
  <c r="O198" i="521"/>
  <c r="I198" i="521"/>
  <c r="I333" i="521" s="1"/>
  <c r="B341" i="521" s="1"/>
  <c r="G198" i="521"/>
  <c r="G333" i="521" s="1"/>
  <c r="V197" i="521"/>
  <c r="W197" i="521" s="1"/>
  <c r="N197" i="521"/>
  <c r="K197" i="521" a="1"/>
  <c r="K197" i="521" s="1"/>
  <c r="M197" i="521" s="1"/>
  <c r="J197" i="521" a="1"/>
  <c r="J197" i="521" s="1"/>
  <c r="H197" i="521"/>
  <c r="V196" i="521"/>
  <c r="W196" i="521" s="1"/>
  <c r="N196" i="521"/>
  <c r="K196" i="521"/>
  <c r="M196" i="521" s="1"/>
  <c r="K196" i="521" a="1"/>
  <c r="J196" i="521"/>
  <c r="J196" i="521" a="1"/>
  <c r="H196" i="521"/>
  <c r="K195" i="521" a="1"/>
  <c r="K195" i="521" s="1"/>
  <c r="M195" i="521" s="1"/>
  <c r="H195" i="521"/>
  <c r="K194" i="521"/>
  <c r="M194" i="521" s="1"/>
  <c r="K194" i="521" a="1"/>
  <c r="H194" i="521"/>
  <c r="K193" i="521" a="1"/>
  <c r="K193" i="521" s="1"/>
  <c r="M193" i="521" s="1"/>
  <c r="H193" i="521"/>
  <c r="K192" i="521"/>
  <c r="M192" i="521" s="1"/>
  <c r="K192" i="521" a="1"/>
  <c r="H192" i="521"/>
  <c r="V191" i="521"/>
  <c r="W191" i="521" s="1"/>
  <c r="N191" i="521"/>
  <c r="K191" i="521" a="1"/>
  <c r="K191" i="521" s="1"/>
  <c r="M191" i="521" s="1"/>
  <c r="J191" i="521" a="1"/>
  <c r="J191" i="521" s="1"/>
  <c r="H191" i="521"/>
  <c r="V190" i="521"/>
  <c r="W190" i="521" s="1"/>
  <c r="N190" i="521"/>
  <c r="K190" i="521" a="1"/>
  <c r="K190" i="521" s="1"/>
  <c r="M190" i="521" s="1"/>
  <c r="J190" i="521" a="1"/>
  <c r="J190" i="521" s="1"/>
  <c r="H190" i="521"/>
  <c r="V189" i="521"/>
  <c r="W189" i="521" s="1"/>
  <c r="N189" i="521"/>
  <c r="K189" i="521" a="1"/>
  <c r="K189" i="521" s="1"/>
  <c r="M189" i="521" s="1"/>
  <c r="J189" i="521" a="1"/>
  <c r="J189" i="521" s="1"/>
  <c r="H189" i="521"/>
  <c r="N188" i="521"/>
  <c r="K188" i="521"/>
  <c r="M188" i="521" s="1"/>
  <c r="K188" i="521" a="1"/>
  <c r="J188" i="521"/>
  <c r="J188" i="521" a="1"/>
  <c r="H188" i="521"/>
  <c r="N187" i="521"/>
  <c r="K187" i="521" a="1"/>
  <c r="K187" i="521" s="1"/>
  <c r="M187" i="521" s="1"/>
  <c r="J187" i="521" a="1"/>
  <c r="J187" i="521" s="1"/>
  <c r="H187" i="521"/>
  <c r="V186" i="521"/>
  <c r="W186" i="521" s="1"/>
  <c r="N186" i="521"/>
  <c r="K186" i="521"/>
  <c r="M186" i="521" s="1"/>
  <c r="K186" i="521" a="1"/>
  <c r="J186" i="521"/>
  <c r="J186" i="521" a="1"/>
  <c r="H186" i="521"/>
  <c r="V185" i="521"/>
  <c r="W185" i="521" s="1"/>
  <c r="N185" i="521"/>
  <c r="K185" i="521" a="1"/>
  <c r="K185" i="521" s="1"/>
  <c r="M185" i="521" s="1"/>
  <c r="J185" i="521" a="1"/>
  <c r="J185" i="521" s="1"/>
  <c r="H185" i="521"/>
  <c r="N184" i="521"/>
  <c r="K184" i="521" a="1"/>
  <c r="K184" i="521" s="1"/>
  <c r="M184" i="521" s="1"/>
  <c r="H184" i="521"/>
  <c r="N183" i="521"/>
  <c r="K183" i="521" a="1"/>
  <c r="K183" i="521" s="1"/>
  <c r="M183" i="521" s="1"/>
  <c r="H183" i="521"/>
  <c r="V182" i="521"/>
  <c r="W182" i="521" s="1"/>
  <c r="N182" i="521"/>
  <c r="K182" i="521"/>
  <c r="M182" i="521" s="1"/>
  <c r="K182" i="521" a="1"/>
  <c r="J182" i="521"/>
  <c r="J182" i="521" a="1"/>
  <c r="H182" i="521"/>
  <c r="V181" i="521"/>
  <c r="W181" i="521" s="1"/>
  <c r="N181" i="521"/>
  <c r="K181" i="521" a="1"/>
  <c r="K181" i="521" s="1"/>
  <c r="M181" i="521" s="1"/>
  <c r="J181" i="521" a="1"/>
  <c r="J181" i="521" s="1"/>
  <c r="H181" i="521"/>
  <c r="V180" i="521"/>
  <c r="W180" i="521" s="1"/>
  <c r="N180" i="521"/>
  <c r="K180" i="521" a="1"/>
  <c r="K180" i="521" s="1"/>
  <c r="M180" i="521" s="1"/>
  <c r="J180" i="521" a="1"/>
  <c r="J180" i="521" s="1"/>
  <c r="H180" i="521"/>
  <c r="V179" i="521"/>
  <c r="W179" i="521" s="1"/>
  <c r="N179" i="521"/>
  <c r="K179" i="521" a="1"/>
  <c r="K179" i="521" s="1"/>
  <c r="M179" i="521" s="1"/>
  <c r="J179" i="521" a="1"/>
  <c r="J179" i="521" s="1"/>
  <c r="H179" i="521"/>
  <c r="V178" i="521"/>
  <c r="W178" i="521" s="1"/>
  <c r="N178" i="521"/>
  <c r="K178" i="521"/>
  <c r="M178" i="521" s="1"/>
  <c r="K178" i="521" a="1"/>
  <c r="J178" i="521"/>
  <c r="J178" i="521" a="1"/>
  <c r="H178" i="521"/>
  <c r="V177" i="521"/>
  <c r="V198" i="521" s="1"/>
  <c r="N177" i="521"/>
  <c r="N198" i="521" s="1"/>
  <c r="K177" i="521" a="1"/>
  <c r="K177" i="521" s="1"/>
  <c r="J177" i="521" a="1"/>
  <c r="J177" i="521" s="1"/>
  <c r="H177" i="521"/>
  <c r="H198" i="521" s="1"/>
  <c r="X170" i="521"/>
  <c r="Q526" i="521" s="1"/>
  <c r="X169" i="521"/>
  <c r="Q525" i="521" s="1"/>
  <c r="G169" i="521"/>
  <c r="C169" i="521"/>
  <c r="X168" i="521"/>
  <c r="Q524" i="521" s="1"/>
  <c r="I168" i="521"/>
  <c r="E168" i="521"/>
  <c r="K168" i="521" s="1"/>
  <c r="M168" i="521" s="1"/>
  <c r="I167" i="521"/>
  <c r="E167" i="521"/>
  <c r="K167" i="521" s="1"/>
  <c r="M167" i="521" s="1"/>
  <c r="I166" i="521"/>
  <c r="E166" i="521"/>
  <c r="K166" i="521" s="1"/>
  <c r="M166" i="521" s="1"/>
  <c r="X165" i="521"/>
  <c r="Q521" i="521" s="1"/>
  <c r="I165" i="521"/>
  <c r="I169" i="521" s="1"/>
  <c r="E165" i="521"/>
  <c r="E169" i="521" s="1"/>
  <c r="AA162" i="521"/>
  <c r="Z162" i="521"/>
  <c r="Y162" i="521"/>
  <c r="X162" i="521"/>
  <c r="U162" i="521"/>
  <c r="T162" i="521"/>
  <c r="S162" i="521"/>
  <c r="R162" i="521"/>
  <c r="Q162" i="521"/>
  <c r="P162" i="521"/>
  <c r="O162" i="521"/>
  <c r="I162" i="521"/>
  <c r="G162" i="521"/>
  <c r="C526" i="521" s="1"/>
  <c r="H161" i="521"/>
  <c r="H160" i="521"/>
  <c r="H159" i="521"/>
  <c r="V158" i="521"/>
  <c r="W158" i="521" s="1"/>
  <c r="N158" i="521"/>
  <c r="K158" i="521"/>
  <c r="K158" i="521" a="1"/>
  <c r="J158" i="521" a="1"/>
  <c r="J158" i="521" s="1"/>
  <c r="H158" i="521"/>
  <c r="D158" i="521"/>
  <c r="V157" i="521"/>
  <c r="W157" i="521" s="1"/>
  <c r="N157" i="521"/>
  <c r="K157" i="521" a="1"/>
  <c r="K157" i="521" s="1"/>
  <c r="M157" i="521" s="1"/>
  <c r="J157" i="521" a="1"/>
  <c r="J157" i="521" s="1"/>
  <c r="H157" i="521"/>
  <c r="H156" i="521"/>
  <c r="H155" i="521"/>
  <c r="V154" i="521"/>
  <c r="W154" i="521" s="1"/>
  <c r="N154" i="521"/>
  <c r="K154" i="521" a="1"/>
  <c r="K154" i="521" s="1"/>
  <c r="M154" i="521" s="1"/>
  <c r="J154" i="521" a="1"/>
  <c r="J154" i="521" s="1"/>
  <c r="H154" i="521"/>
  <c r="V153" i="521"/>
  <c r="W153" i="521" s="1"/>
  <c r="N153" i="521"/>
  <c r="K153" i="521"/>
  <c r="M153" i="521" s="1"/>
  <c r="K153" i="521" a="1"/>
  <c r="J153" i="521"/>
  <c r="J153" i="521" a="1"/>
  <c r="H153" i="521"/>
  <c r="H152" i="521"/>
  <c r="V151" i="521"/>
  <c r="W151" i="521" s="1"/>
  <c r="N151" i="521"/>
  <c r="K151" i="521" a="1"/>
  <c r="K151" i="521" s="1"/>
  <c r="M151" i="521" s="1"/>
  <c r="J151" i="521" a="1"/>
  <c r="J151" i="521" s="1"/>
  <c r="H151" i="521"/>
  <c r="V150" i="521"/>
  <c r="W150" i="521" s="1"/>
  <c r="N150" i="521"/>
  <c r="K150" i="521" a="1"/>
  <c r="K150" i="521" s="1"/>
  <c r="M150" i="521" s="1"/>
  <c r="J150" i="521" a="1"/>
  <c r="J150" i="521" s="1"/>
  <c r="H150" i="521"/>
  <c r="V149" i="521"/>
  <c r="W149" i="521" s="1"/>
  <c r="N149" i="521"/>
  <c r="K149" i="521"/>
  <c r="M149" i="521" s="1"/>
  <c r="K149" i="521" a="1"/>
  <c r="J149" i="521"/>
  <c r="J149" i="521" a="1"/>
  <c r="H149" i="521"/>
  <c r="V148" i="521"/>
  <c r="W148" i="521" s="1"/>
  <c r="N148" i="521"/>
  <c r="N162" i="521" s="1"/>
  <c r="K148" i="521" a="1"/>
  <c r="K148" i="521" s="1"/>
  <c r="J148" i="521" a="1"/>
  <c r="J148" i="521" s="1"/>
  <c r="H148" i="521"/>
  <c r="AA147" i="521"/>
  <c r="Z147" i="521"/>
  <c r="Y147" i="521"/>
  <c r="X147" i="521"/>
  <c r="U147" i="521"/>
  <c r="T147" i="521"/>
  <c r="S147" i="521"/>
  <c r="Q147" i="521"/>
  <c r="P147" i="521"/>
  <c r="O147" i="521"/>
  <c r="I147" i="521"/>
  <c r="G147" i="521"/>
  <c r="C525" i="521" s="1"/>
  <c r="V146" i="521"/>
  <c r="W146" i="521" s="1"/>
  <c r="N146" i="521"/>
  <c r="K146" i="521"/>
  <c r="M146" i="521" s="1"/>
  <c r="K146" i="521" a="1"/>
  <c r="J146" i="521"/>
  <c r="J146" i="521" a="1"/>
  <c r="H146" i="521"/>
  <c r="H143" i="521"/>
  <c r="V142" i="521"/>
  <c r="W142" i="521" s="1"/>
  <c r="N142" i="521"/>
  <c r="K142" i="521" a="1"/>
  <c r="K142" i="521" s="1"/>
  <c r="M142" i="521" s="1"/>
  <c r="J142" i="521" a="1"/>
  <c r="J142" i="521" s="1"/>
  <c r="H142" i="521"/>
  <c r="V141" i="521"/>
  <c r="W141" i="521" s="1"/>
  <c r="N141" i="521"/>
  <c r="K141" i="521" a="1"/>
  <c r="K141" i="521" s="1"/>
  <c r="M141" i="521" s="1"/>
  <c r="J141" i="521" a="1"/>
  <c r="J141" i="521" s="1"/>
  <c r="H141" i="521"/>
  <c r="V140" i="521"/>
  <c r="W140" i="521" s="1"/>
  <c r="N140" i="521"/>
  <c r="K140" i="521"/>
  <c r="M140" i="521" s="1"/>
  <c r="K140" i="521" a="1"/>
  <c r="J140" i="521"/>
  <c r="J140" i="521" a="1"/>
  <c r="H140" i="521"/>
  <c r="V139" i="521"/>
  <c r="W139" i="521" s="1"/>
  <c r="N139" i="521"/>
  <c r="K139" i="521" a="1"/>
  <c r="K139" i="521" s="1"/>
  <c r="M139" i="521" s="1"/>
  <c r="J139" i="521" a="1"/>
  <c r="J139" i="521" s="1"/>
  <c r="H139" i="521"/>
  <c r="V138" i="521"/>
  <c r="V147" i="521" s="1"/>
  <c r="W147" i="521" s="1"/>
  <c r="N138" i="521"/>
  <c r="K138" i="521" a="1"/>
  <c r="K138" i="521" s="1"/>
  <c r="M138" i="521" s="1"/>
  <c r="M147" i="521" s="1"/>
  <c r="J138" i="521" a="1"/>
  <c r="J138" i="521" s="1"/>
  <c r="H138" i="521"/>
  <c r="H147" i="521" s="1"/>
  <c r="AA137" i="521"/>
  <c r="Z137" i="521"/>
  <c r="Y137" i="521"/>
  <c r="X137" i="521"/>
  <c r="U137" i="521"/>
  <c r="T137" i="521"/>
  <c r="S137" i="521"/>
  <c r="Q137" i="521"/>
  <c r="P137" i="521"/>
  <c r="O137" i="521"/>
  <c r="I137" i="521"/>
  <c r="G137" i="521"/>
  <c r="C524" i="521" s="1"/>
  <c r="V136" i="521"/>
  <c r="W136" i="521" s="1"/>
  <c r="N136" i="521"/>
  <c r="K136" i="521" a="1"/>
  <c r="K136" i="521" s="1"/>
  <c r="M136" i="521" s="1"/>
  <c r="J136" i="521" a="1"/>
  <c r="J136" i="521" s="1"/>
  <c r="H136" i="521"/>
  <c r="V135" i="521"/>
  <c r="W135" i="521" s="1"/>
  <c r="N135" i="521"/>
  <c r="K135" i="521"/>
  <c r="M135" i="521" s="1"/>
  <c r="K135" i="521" a="1"/>
  <c r="J135" i="521"/>
  <c r="J135" i="521" a="1"/>
  <c r="H135" i="521"/>
  <c r="V134" i="521"/>
  <c r="W134" i="521" s="1"/>
  <c r="N134" i="521"/>
  <c r="K134" i="521" a="1"/>
  <c r="K134" i="521" s="1"/>
  <c r="M134" i="521" s="1"/>
  <c r="J134" i="521" a="1"/>
  <c r="J134" i="521" s="1"/>
  <c r="H134" i="521"/>
  <c r="V133" i="521"/>
  <c r="W133" i="521" s="1"/>
  <c r="N133" i="521"/>
  <c r="K133" i="521"/>
  <c r="M133" i="521" s="1"/>
  <c r="K133" i="521" a="1"/>
  <c r="J133" i="521"/>
  <c r="J133" i="521" a="1"/>
  <c r="H133" i="521"/>
  <c r="V132" i="521"/>
  <c r="W132" i="521" s="1"/>
  <c r="N132" i="521"/>
  <c r="K132" i="521" a="1"/>
  <c r="K132" i="521" s="1"/>
  <c r="M132" i="521" s="1"/>
  <c r="J132" i="521" a="1"/>
  <c r="J132" i="521" s="1"/>
  <c r="H132" i="521"/>
  <c r="V131" i="521"/>
  <c r="W131" i="521" s="1"/>
  <c r="N131" i="521"/>
  <c r="K131" i="521" a="1"/>
  <c r="K131" i="521" s="1"/>
  <c r="M131" i="521" s="1"/>
  <c r="J131" i="521" a="1"/>
  <c r="J131" i="521" s="1"/>
  <c r="H131" i="521"/>
  <c r="V130" i="521"/>
  <c r="W130" i="521" s="1"/>
  <c r="N130" i="521"/>
  <c r="K130" i="521" a="1"/>
  <c r="K130" i="521" s="1"/>
  <c r="M130" i="521" s="1"/>
  <c r="J130" i="521" a="1"/>
  <c r="J130" i="521" s="1"/>
  <c r="H130" i="521"/>
  <c r="V129" i="521"/>
  <c r="W129" i="521" s="1"/>
  <c r="N129" i="521"/>
  <c r="K129" i="521"/>
  <c r="M129" i="521" s="1"/>
  <c r="K129" i="521" a="1"/>
  <c r="J129" i="521"/>
  <c r="J129" i="521" a="1"/>
  <c r="H129" i="521"/>
  <c r="V128" i="521"/>
  <c r="W128" i="521" s="1"/>
  <c r="N128" i="521"/>
  <c r="K128" i="521" a="1"/>
  <c r="K128" i="521" s="1"/>
  <c r="M128" i="521" s="1"/>
  <c r="J128" i="521" a="1"/>
  <c r="J128" i="521" s="1"/>
  <c r="H128" i="521"/>
  <c r="V127" i="521"/>
  <c r="W127" i="521" s="1"/>
  <c r="N127" i="521"/>
  <c r="K127" i="521" a="1"/>
  <c r="K127" i="521" s="1"/>
  <c r="M127" i="521" s="1"/>
  <c r="J127" i="521" a="1"/>
  <c r="J127" i="521" s="1"/>
  <c r="H127" i="521"/>
  <c r="V126" i="521"/>
  <c r="W126" i="521" s="1"/>
  <c r="N126" i="521"/>
  <c r="K126" i="521" a="1"/>
  <c r="K126" i="521" s="1"/>
  <c r="M126" i="521" s="1"/>
  <c r="J126" i="521" a="1"/>
  <c r="J126" i="521" s="1"/>
  <c r="H126" i="521"/>
  <c r="V125" i="521"/>
  <c r="W125" i="521" s="1"/>
  <c r="N125" i="521"/>
  <c r="K125" i="521"/>
  <c r="M125" i="521" s="1"/>
  <c r="K125" i="521" a="1"/>
  <c r="J125" i="521"/>
  <c r="J125" i="521" a="1"/>
  <c r="H125" i="521"/>
  <c r="V124" i="521"/>
  <c r="W124" i="521" s="1"/>
  <c r="N124" i="521"/>
  <c r="K124" i="521" a="1"/>
  <c r="K124" i="521" s="1"/>
  <c r="M124" i="521" s="1"/>
  <c r="J124" i="521" a="1"/>
  <c r="J124" i="521" s="1"/>
  <c r="H124" i="521"/>
  <c r="V123" i="521"/>
  <c r="W123" i="521" s="1"/>
  <c r="N123" i="521"/>
  <c r="K123" i="521" a="1"/>
  <c r="K123" i="521" s="1"/>
  <c r="M123" i="521" s="1"/>
  <c r="J123" i="521" a="1"/>
  <c r="J123" i="521" s="1"/>
  <c r="H123" i="521"/>
  <c r="V122" i="521"/>
  <c r="W122" i="521" s="1"/>
  <c r="N122" i="521"/>
  <c r="K122" i="521" a="1"/>
  <c r="K122" i="521" s="1"/>
  <c r="J122" i="521" a="1"/>
  <c r="J122" i="521" s="1"/>
  <c r="H122" i="521"/>
  <c r="AA121" i="521"/>
  <c r="Z121" i="521"/>
  <c r="Y121" i="521"/>
  <c r="X121" i="521"/>
  <c r="U121" i="521"/>
  <c r="T121" i="521"/>
  <c r="S121" i="521"/>
  <c r="R121" i="521"/>
  <c r="Q121" i="521"/>
  <c r="P121" i="521"/>
  <c r="O121" i="521"/>
  <c r="R167" i="521" s="1"/>
  <c r="I121" i="521"/>
  <c r="C523" i="521"/>
  <c r="V120" i="521"/>
  <c r="W120" i="521" s="1"/>
  <c r="N120" i="521"/>
  <c r="K120" i="521" a="1"/>
  <c r="K120" i="521" s="1"/>
  <c r="M120" i="521" s="1"/>
  <c r="J120" i="521" a="1"/>
  <c r="J120" i="521" s="1"/>
  <c r="H120" i="521"/>
  <c r="V119" i="521"/>
  <c r="W119" i="521" s="1"/>
  <c r="N119" i="521"/>
  <c r="K119" i="521" a="1"/>
  <c r="K119" i="521" s="1"/>
  <c r="M119" i="521" s="1"/>
  <c r="J119" i="521" a="1"/>
  <c r="J119" i="521" s="1"/>
  <c r="H119" i="521"/>
  <c r="V118" i="521"/>
  <c r="W118" i="521" s="1"/>
  <c r="N118" i="521"/>
  <c r="K118" i="521" a="1"/>
  <c r="K118" i="521" s="1"/>
  <c r="M118" i="521" s="1"/>
  <c r="J118" i="521" a="1"/>
  <c r="J118" i="521" s="1"/>
  <c r="H118" i="521"/>
  <c r="K117" i="521" a="1"/>
  <c r="K117" i="521" s="1"/>
  <c r="H117" i="521"/>
  <c r="K116" i="521" a="1"/>
  <c r="K116" i="521" s="1"/>
  <c r="H116" i="521"/>
  <c r="K115" i="521"/>
  <c r="K115" i="521" a="1"/>
  <c r="H115" i="521"/>
  <c r="V114" i="521"/>
  <c r="W114" i="521" s="1"/>
  <c r="N114" i="521"/>
  <c r="K114" i="521" a="1"/>
  <c r="K114" i="521" s="1"/>
  <c r="M114" i="521" s="1"/>
  <c r="J114" i="521" a="1"/>
  <c r="J114" i="521" s="1"/>
  <c r="H114" i="521"/>
  <c r="V113" i="521"/>
  <c r="W113" i="521" s="1"/>
  <c r="N113" i="521"/>
  <c r="K113" i="521" a="1"/>
  <c r="K113" i="521" s="1"/>
  <c r="M113" i="521" s="1"/>
  <c r="J113" i="521" a="1"/>
  <c r="J113" i="521" s="1"/>
  <c r="H113" i="521"/>
  <c r="N112" i="521"/>
  <c r="K112" i="521" a="1"/>
  <c r="K112" i="521" s="1"/>
  <c r="M112" i="521" s="1"/>
  <c r="H112" i="521"/>
  <c r="N111" i="521"/>
  <c r="K111" i="521" a="1"/>
  <c r="K111" i="521" s="1"/>
  <c r="M111" i="521" s="1"/>
  <c r="H111" i="521"/>
  <c r="N110" i="521"/>
  <c r="K110" i="521" a="1"/>
  <c r="K110" i="521" s="1"/>
  <c r="M110" i="521" s="1"/>
  <c r="H110" i="521"/>
  <c r="N109" i="521"/>
  <c r="K109" i="521" a="1"/>
  <c r="K109" i="521" s="1"/>
  <c r="M109" i="521" s="1"/>
  <c r="H109" i="521"/>
  <c r="N108" i="521"/>
  <c r="K108" i="521" a="1"/>
  <c r="K108" i="521" s="1"/>
  <c r="M108" i="521" s="1"/>
  <c r="H108" i="521"/>
  <c r="N107" i="521"/>
  <c r="K107" i="521" a="1"/>
  <c r="K107" i="521" s="1"/>
  <c r="M107" i="521" s="1"/>
  <c r="H107" i="521"/>
  <c r="V106" i="521"/>
  <c r="W106" i="521" s="1"/>
  <c r="N106" i="521"/>
  <c r="K106" i="521" a="1"/>
  <c r="K106" i="521" s="1"/>
  <c r="M106" i="521" s="1"/>
  <c r="J106" i="521" a="1"/>
  <c r="J106" i="521" s="1"/>
  <c r="H106" i="521"/>
  <c r="V105" i="521"/>
  <c r="W105" i="521" s="1"/>
  <c r="N105" i="521"/>
  <c r="K105" i="521"/>
  <c r="M105" i="521" s="1"/>
  <c r="K105" i="521" a="1"/>
  <c r="J105" i="521"/>
  <c r="J105" i="521" a="1"/>
  <c r="H105" i="521"/>
  <c r="V104" i="521"/>
  <c r="W104" i="521" s="1"/>
  <c r="N104" i="521"/>
  <c r="K104" i="521" a="1"/>
  <c r="K104" i="521" s="1"/>
  <c r="M104" i="521" s="1"/>
  <c r="J104" i="521" a="1"/>
  <c r="J104" i="521" s="1"/>
  <c r="H104" i="521"/>
  <c r="V103" i="521"/>
  <c r="W103" i="521" s="1"/>
  <c r="N103" i="521"/>
  <c r="K103" i="521" a="1"/>
  <c r="K103" i="521" s="1"/>
  <c r="M103" i="521" s="1"/>
  <c r="J103" i="521" a="1"/>
  <c r="J103" i="521" s="1"/>
  <c r="H103" i="521"/>
  <c r="V102" i="521"/>
  <c r="W102" i="521" s="1"/>
  <c r="N102" i="521"/>
  <c r="K102" i="521" a="1"/>
  <c r="K102" i="521" s="1"/>
  <c r="M102" i="521" s="1"/>
  <c r="J102" i="521" a="1"/>
  <c r="J102" i="521" s="1"/>
  <c r="H102" i="521"/>
  <c r="V101" i="521"/>
  <c r="W101" i="521" s="1"/>
  <c r="N101" i="521"/>
  <c r="K101" i="521"/>
  <c r="M101" i="521" s="1"/>
  <c r="K101" i="521" a="1"/>
  <c r="J101" i="521"/>
  <c r="J101" i="521" a="1"/>
  <c r="H101" i="521"/>
  <c r="V100" i="521"/>
  <c r="W100" i="521" s="1"/>
  <c r="N100" i="521"/>
  <c r="K100" i="521" a="1"/>
  <c r="K100" i="521" s="1"/>
  <c r="M100" i="521" s="1"/>
  <c r="J100" i="521" a="1"/>
  <c r="J100" i="521" s="1"/>
  <c r="H100" i="521"/>
  <c r="V99" i="521"/>
  <c r="W99" i="521" s="1"/>
  <c r="N99" i="521"/>
  <c r="K99" i="521" a="1"/>
  <c r="K99" i="521" s="1"/>
  <c r="M99" i="521" s="1"/>
  <c r="J99" i="521" a="1"/>
  <c r="J99" i="521" s="1"/>
  <c r="H99" i="521"/>
  <c r="V98" i="521"/>
  <c r="W98" i="521" s="1"/>
  <c r="N98" i="521"/>
  <c r="K98" i="521" a="1"/>
  <c r="K98" i="521" s="1"/>
  <c r="M98" i="521" s="1"/>
  <c r="J98" i="521" a="1"/>
  <c r="J98" i="521" s="1"/>
  <c r="H98" i="521"/>
  <c r="V97" i="521"/>
  <c r="W97" i="521" s="1"/>
  <c r="N97" i="521"/>
  <c r="K97" i="521"/>
  <c r="M97" i="521" s="1"/>
  <c r="K97" i="521" a="1"/>
  <c r="J97" i="521"/>
  <c r="J97" i="521" a="1"/>
  <c r="H97" i="521"/>
  <c r="V96" i="521"/>
  <c r="W96" i="521" s="1"/>
  <c r="N96" i="521"/>
  <c r="K96" i="521" a="1"/>
  <c r="K96" i="521" s="1"/>
  <c r="M96" i="521" s="1"/>
  <c r="J96" i="521" a="1"/>
  <c r="J96" i="521" s="1"/>
  <c r="H96" i="521"/>
  <c r="V95" i="521"/>
  <c r="W95" i="521" s="1"/>
  <c r="N95" i="521"/>
  <c r="K95" i="521" a="1"/>
  <c r="K95" i="521" s="1"/>
  <c r="M95" i="521" s="1"/>
  <c r="J95" i="521" a="1"/>
  <c r="J95" i="521" s="1"/>
  <c r="H95" i="521"/>
  <c r="K94" i="521"/>
  <c r="M94" i="521" s="1"/>
  <c r="K94" i="521" a="1"/>
  <c r="H94" i="521"/>
  <c r="V93" i="521"/>
  <c r="W93" i="521" s="1"/>
  <c r="N93" i="521"/>
  <c r="K93" i="521" a="1"/>
  <c r="K93" i="521" s="1"/>
  <c r="M93" i="521" s="1"/>
  <c r="J93" i="521" a="1"/>
  <c r="J93" i="521" s="1"/>
  <c r="H93" i="521"/>
  <c r="V92" i="521"/>
  <c r="W92" i="521" s="1"/>
  <c r="N92" i="521"/>
  <c r="K92" i="521" a="1"/>
  <c r="K92" i="521" s="1"/>
  <c r="M92" i="521" s="1"/>
  <c r="J92" i="521" a="1"/>
  <c r="J92" i="521" s="1"/>
  <c r="H92" i="521"/>
  <c r="V91" i="521"/>
  <c r="W91" i="521" s="1"/>
  <c r="N91" i="521"/>
  <c r="K91" i="521" a="1"/>
  <c r="K91" i="521" s="1"/>
  <c r="M91" i="521" s="1"/>
  <c r="J91" i="521" a="1"/>
  <c r="J91" i="521" s="1"/>
  <c r="H91" i="521"/>
  <c r="V90" i="521"/>
  <c r="W90" i="521" s="1"/>
  <c r="N90" i="521"/>
  <c r="K90" i="521" a="1"/>
  <c r="K90" i="521" s="1"/>
  <c r="M90" i="521" s="1"/>
  <c r="J90" i="521" a="1"/>
  <c r="J90" i="521" s="1"/>
  <c r="H90" i="521"/>
  <c r="V89" i="521"/>
  <c r="W89" i="521" s="1"/>
  <c r="N89" i="521"/>
  <c r="K89" i="521" a="1"/>
  <c r="K89" i="521" s="1"/>
  <c r="M89" i="521" s="1"/>
  <c r="J89" i="521" a="1"/>
  <c r="J89" i="521" s="1"/>
  <c r="H89" i="521"/>
  <c r="V88" i="521"/>
  <c r="W88" i="521" s="1"/>
  <c r="N88" i="521"/>
  <c r="K88" i="521"/>
  <c r="M88" i="521" s="1"/>
  <c r="K88" i="521" a="1"/>
  <c r="J88" i="521"/>
  <c r="J88" i="521" a="1"/>
  <c r="H88" i="521"/>
  <c r="V87" i="521"/>
  <c r="V121" i="521" s="1"/>
  <c r="W121" i="521" s="1"/>
  <c r="N87" i="521"/>
  <c r="K87" i="521" a="1"/>
  <c r="K87" i="521" s="1"/>
  <c r="J87" i="521" a="1"/>
  <c r="J87" i="521" s="1"/>
  <c r="H87" i="521"/>
  <c r="H121" i="521" s="1"/>
  <c r="AA86" i="521"/>
  <c r="Z86" i="521"/>
  <c r="Y86" i="521"/>
  <c r="X86" i="521"/>
  <c r="U86" i="521"/>
  <c r="T86" i="521"/>
  <c r="S86" i="521"/>
  <c r="R86" i="521"/>
  <c r="Q86" i="521"/>
  <c r="P86" i="521"/>
  <c r="O86" i="521"/>
  <c r="R166" i="521" s="1"/>
  <c r="I86" i="521"/>
  <c r="G86" i="521"/>
  <c r="C522" i="521" s="1"/>
  <c r="K85" i="521" a="1"/>
  <c r="K85" i="521" s="1"/>
  <c r="H85" i="521"/>
  <c r="K84" i="521" a="1"/>
  <c r="K84" i="521" s="1"/>
  <c r="H84" i="521"/>
  <c r="K83" i="521" a="1"/>
  <c r="K83" i="521" s="1"/>
  <c r="H83" i="521"/>
  <c r="K82" i="521"/>
  <c r="K82" i="521" a="1"/>
  <c r="H82" i="521"/>
  <c r="K81" i="521" a="1"/>
  <c r="K81" i="521" s="1"/>
  <c r="H81" i="521"/>
  <c r="K80" i="521" a="1"/>
  <c r="K80" i="521" s="1"/>
  <c r="H80" i="521"/>
  <c r="K79" i="521"/>
  <c r="M79" i="521" s="1"/>
  <c r="K79" i="521" a="1"/>
  <c r="H79" i="521"/>
  <c r="K78" i="521" a="1"/>
  <c r="K78" i="521" s="1"/>
  <c r="M78" i="521" s="1"/>
  <c r="H78" i="521"/>
  <c r="K77" i="521"/>
  <c r="M77" i="521" s="1"/>
  <c r="K77" i="521" a="1"/>
  <c r="H77" i="521"/>
  <c r="K76" i="521" a="1"/>
  <c r="K76" i="521" s="1"/>
  <c r="M76" i="521" s="1"/>
  <c r="H76" i="521"/>
  <c r="V75" i="521"/>
  <c r="W75" i="521" s="1"/>
  <c r="N75" i="521"/>
  <c r="K75" i="521" a="1"/>
  <c r="K75" i="521" s="1"/>
  <c r="M75" i="521" s="1"/>
  <c r="J75" i="521" a="1"/>
  <c r="J75" i="521" s="1"/>
  <c r="H75" i="521"/>
  <c r="V74" i="521"/>
  <c r="W74" i="521" s="1"/>
  <c r="N74" i="521"/>
  <c r="K74" i="521"/>
  <c r="M74" i="521" s="1"/>
  <c r="K74" i="521" a="1"/>
  <c r="J74" i="521"/>
  <c r="J74" i="521" a="1"/>
  <c r="H74" i="521"/>
  <c r="V73" i="521"/>
  <c r="W73" i="521" s="1"/>
  <c r="N73" i="521"/>
  <c r="K73" i="521" a="1"/>
  <c r="K73" i="521" s="1"/>
  <c r="M73" i="521" s="1"/>
  <c r="J73" i="521" a="1"/>
  <c r="J73" i="521" s="1"/>
  <c r="H73" i="521"/>
  <c r="V72" i="521"/>
  <c r="W72" i="521" s="1"/>
  <c r="N72" i="521"/>
  <c r="K72" i="521" a="1"/>
  <c r="K72" i="521" s="1"/>
  <c r="M72" i="521" s="1"/>
  <c r="J72" i="521" a="1"/>
  <c r="J72" i="521" s="1"/>
  <c r="H72" i="521"/>
  <c r="H71" i="521"/>
  <c r="V70" i="521"/>
  <c r="W70" i="521" s="1"/>
  <c r="N70" i="521"/>
  <c r="K70" i="521"/>
  <c r="M70" i="521" s="1"/>
  <c r="K70" i="521" a="1"/>
  <c r="J70" i="521"/>
  <c r="J70" i="521" a="1"/>
  <c r="H70" i="521"/>
  <c r="V69" i="521"/>
  <c r="W69" i="521" s="1"/>
  <c r="N69" i="521"/>
  <c r="K69" i="521" a="1"/>
  <c r="K69" i="521" s="1"/>
  <c r="M69" i="521" s="1"/>
  <c r="J69" i="521" a="1"/>
  <c r="J69" i="521" s="1"/>
  <c r="H69" i="521"/>
  <c r="K68" i="521"/>
  <c r="K68" i="521" a="1"/>
  <c r="H68" i="521"/>
  <c r="K67" i="521" a="1"/>
  <c r="K67" i="521" s="1"/>
  <c r="H67" i="521"/>
  <c r="V66" i="521"/>
  <c r="W66" i="521" s="1"/>
  <c r="N66" i="521"/>
  <c r="K66" i="521"/>
  <c r="M66" i="521" s="1"/>
  <c r="K66" i="521" a="1"/>
  <c r="J66" i="521"/>
  <c r="J66" i="521" a="1"/>
  <c r="H66" i="521"/>
  <c r="V65" i="521"/>
  <c r="W65" i="521" s="1"/>
  <c r="N65" i="521"/>
  <c r="K65" i="521" a="1"/>
  <c r="K65" i="521" s="1"/>
  <c r="M65" i="521" s="1"/>
  <c r="J65" i="521" a="1"/>
  <c r="J65" i="521" s="1"/>
  <c r="H65" i="521"/>
  <c r="V64" i="521"/>
  <c r="W64" i="521" s="1"/>
  <c r="N64" i="521"/>
  <c r="K64" i="521" a="1"/>
  <c r="K64" i="521" s="1"/>
  <c r="M64" i="521" s="1"/>
  <c r="J64" i="521" a="1"/>
  <c r="J64" i="521" s="1"/>
  <c r="H64" i="521"/>
  <c r="V63" i="521"/>
  <c r="W63" i="521" s="1"/>
  <c r="N63" i="521"/>
  <c r="K63" i="521" a="1"/>
  <c r="K63" i="521" s="1"/>
  <c r="M63" i="521" s="1"/>
  <c r="J63" i="521" a="1"/>
  <c r="J63" i="521" s="1"/>
  <c r="H63" i="521"/>
  <c r="V62" i="521"/>
  <c r="W62" i="521" s="1"/>
  <c r="N62" i="521"/>
  <c r="K62" i="521"/>
  <c r="M62" i="521" s="1"/>
  <c r="K62" i="521" a="1"/>
  <c r="J62" i="521"/>
  <c r="J62" i="521" a="1"/>
  <c r="H62" i="521"/>
  <c r="V61" i="521"/>
  <c r="W61" i="521" s="1"/>
  <c r="N61" i="521"/>
  <c r="K61" i="521" a="1"/>
  <c r="K61" i="521" s="1"/>
  <c r="M61" i="521" s="1"/>
  <c r="J61" i="521" a="1"/>
  <c r="J61" i="521" s="1"/>
  <c r="H61" i="521"/>
  <c r="V60" i="521"/>
  <c r="W60" i="521" s="1"/>
  <c r="N60" i="521"/>
  <c r="K60" i="521" a="1"/>
  <c r="K60" i="521" s="1"/>
  <c r="M60" i="521" s="1"/>
  <c r="J60" i="521" a="1"/>
  <c r="J60" i="521" s="1"/>
  <c r="H60" i="521"/>
  <c r="V59" i="521"/>
  <c r="W59" i="521" s="1"/>
  <c r="N59" i="521"/>
  <c r="K59" i="521" a="1"/>
  <c r="K59" i="521" s="1"/>
  <c r="M59" i="521" s="1"/>
  <c r="J59" i="521" a="1"/>
  <c r="J59" i="521" s="1"/>
  <c r="H59" i="521"/>
  <c r="V58" i="521"/>
  <c r="W58" i="521" s="1"/>
  <c r="N58" i="521"/>
  <c r="K58" i="521"/>
  <c r="M58" i="521" s="1"/>
  <c r="K58" i="521" a="1"/>
  <c r="J58" i="521"/>
  <c r="J58" i="521" a="1"/>
  <c r="H58" i="521"/>
  <c r="V57" i="521"/>
  <c r="W57" i="521" s="1"/>
  <c r="N57" i="521"/>
  <c r="K57" i="521" a="1"/>
  <c r="K57" i="521" s="1"/>
  <c r="M57" i="521" s="1"/>
  <c r="J57" i="521" a="1"/>
  <c r="J57" i="521" s="1"/>
  <c r="H57" i="521"/>
  <c r="K56" i="521" a="1"/>
  <c r="K56" i="521" s="1"/>
  <c r="M56" i="521" s="1"/>
  <c r="H56" i="521"/>
  <c r="K55" i="521" a="1"/>
  <c r="K55" i="521" s="1"/>
  <c r="M55" i="521" s="1"/>
  <c r="H55" i="521"/>
  <c r="K54" i="521" a="1"/>
  <c r="K54" i="521" s="1"/>
  <c r="M54" i="521" s="1"/>
  <c r="H54" i="521"/>
  <c r="K53" i="521" a="1"/>
  <c r="K53" i="521" s="1"/>
  <c r="M53" i="521" s="1"/>
  <c r="H53" i="521"/>
  <c r="N52" i="521"/>
  <c r="K52" i="521" a="1"/>
  <c r="K52" i="521" s="1"/>
  <c r="M52" i="521" s="1"/>
  <c r="H52" i="521"/>
  <c r="N51" i="521"/>
  <c r="K51" i="521" a="1"/>
  <c r="K51" i="521" s="1"/>
  <c r="M51" i="521" s="1"/>
  <c r="H51" i="521"/>
  <c r="N50" i="521"/>
  <c r="K50" i="521"/>
  <c r="M50" i="521" s="1"/>
  <c r="K50" i="521" a="1"/>
  <c r="H50" i="521"/>
  <c r="N49" i="521"/>
  <c r="K49" i="521" a="1"/>
  <c r="K49" i="521" s="1"/>
  <c r="M49" i="521" s="1"/>
  <c r="H49" i="521"/>
  <c r="V48" i="521"/>
  <c r="W48" i="521" s="1"/>
  <c r="N48" i="521"/>
  <c r="K48" i="521" a="1"/>
  <c r="K48" i="521" s="1"/>
  <c r="M48" i="521" s="1"/>
  <c r="J48" i="521" a="1"/>
  <c r="J48" i="521" s="1"/>
  <c r="H48" i="521"/>
  <c r="V47" i="521"/>
  <c r="W47" i="521" s="1"/>
  <c r="N47" i="521"/>
  <c r="K47" i="521" a="1"/>
  <c r="K47" i="521" s="1"/>
  <c r="M47" i="521" s="1"/>
  <c r="J47" i="521" a="1"/>
  <c r="J47" i="521" s="1"/>
  <c r="H47" i="521"/>
  <c r="V46" i="521"/>
  <c r="W46" i="521" s="1"/>
  <c r="N46" i="521"/>
  <c r="K46" i="521"/>
  <c r="M46" i="521" s="1"/>
  <c r="K46" i="521" a="1"/>
  <c r="J46" i="521"/>
  <c r="J46" i="521" a="1"/>
  <c r="H46" i="521"/>
  <c r="V45" i="521"/>
  <c r="W45" i="521" s="1"/>
  <c r="N45" i="521"/>
  <c r="K45" i="521" a="1"/>
  <c r="K45" i="521" s="1"/>
  <c r="M45" i="521" s="1"/>
  <c r="J45" i="521" a="1"/>
  <c r="J45" i="521" s="1"/>
  <c r="H45" i="521"/>
  <c r="V44" i="521"/>
  <c r="W44" i="521" s="1"/>
  <c r="N44" i="521"/>
  <c r="K44" i="521"/>
  <c r="M44" i="521" s="1"/>
  <c r="K44" i="521" a="1"/>
  <c r="J44" i="521"/>
  <c r="J44" i="521" a="1"/>
  <c r="H44" i="521"/>
  <c r="V43" i="521"/>
  <c r="W43" i="521" s="1"/>
  <c r="N43" i="521"/>
  <c r="K43" i="521" a="1"/>
  <c r="K43" i="521" s="1"/>
  <c r="M43" i="521" s="1"/>
  <c r="J43" i="521" a="1"/>
  <c r="J43" i="521" s="1"/>
  <c r="H43" i="521"/>
  <c r="V42" i="521"/>
  <c r="W42" i="521" s="1"/>
  <c r="N42" i="521"/>
  <c r="K42" i="521" a="1"/>
  <c r="K42" i="521" s="1"/>
  <c r="M42" i="521" s="1"/>
  <c r="J42" i="521" a="1"/>
  <c r="J42" i="521" s="1"/>
  <c r="H42" i="521"/>
  <c r="V41" i="521"/>
  <c r="W41" i="521" s="1"/>
  <c r="N41" i="521"/>
  <c r="K41" i="521"/>
  <c r="M41" i="521" s="1"/>
  <c r="K41" i="521" a="1"/>
  <c r="J41" i="521"/>
  <c r="J41" i="521" a="1"/>
  <c r="H41" i="521"/>
  <c r="V40" i="521"/>
  <c r="W40" i="521" s="1"/>
  <c r="N40" i="521"/>
  <c r="K40" i="521" a="1"/>
  <c r="K40" i="521" s="1"/>
  <c r="M40" i="521" s="1"/>
  <c r="J40" i="521" a="1"/>
  <c r="J40" i="521" s="1"/>
  <c r="H40" i="521"/>
  <c r="V39" i="521"/>
  <c r="W39" i="521" s="1"/>
  <c r="N39" i="521"/>
  <c r="K39" i="521" a="1"/>
  <c r="K39" i="521" s="1"/>
  <c r="M39" i="521" s="1"/>
  <c r="J39" i="521" a="1"/>
  <c r="J39" i="521" s="1"/>
  <c r="H39" i="521"/>
  <c r="V38" i="521"/>
  <c r="W38" i="521" s="1"/>
  <c r="N38" i="521"/>
  <c r="K38" i="521" a="1"/>
  <c r="K38" i="521" s="1"/>
  <c r="M38" i="521" s="1"/>
  <c r="J38" i="521" a="1"/>
  <c r="J38" i="521" s="1"/>
  <c r="H38" i="521"/>
  <c r="V37" i="521"/>
  <c r="W37" i="521" s="1"/>
  <c r="N37" i="521"/>
  <c r="K37" i="521"/>
  <c r="M37" i="521" s="1"/>
  <c r="K37" i="521" a="1"/>
  <c r="J37" i="521"/>
  <c r="J37" i="521" a="1"/>
  <c r="H37" i="521"/>
  <c r="H36" i="521"/>
  <c r="H35" i="521"/>
  <c r="H34" i="521"/>
  <c r="W33" i="521"/>
  <c r="V33" i="521"/>
  <c r="N33" i="521"/>
  <c r="K33" i="521" a="1"/>
  <c r="K33" i="521" s="1"/>
  <c r="M33" i="521" s="1"/>
  <c r="J33" i="521" a="1"/>
  <c r="J33" i="521" s="1"/>
  <c r="H33" i="521"/>
  <c r="V32" i="521"/>
  <c r="W32" i="521" s="1"/>
  <c r="N32" i="521"/>
  <c r="K32" i="521" a="1"/>
  <c r="K32" i="521" s="1"/>
  <c r="M32" i="521" s="1"/>
  <c r="J32" i="521" a="1"/>
  <c r="J32" i="521" s="1"/>
  <c r="H32" i="521"/>
  <c r="V31" i="521"/>
  <c r="W31" i="521" s="1"/>
  <c r="N31" i="521"/>
  <c r="K31" i="521"/>
  <c r="M31" i="521" s="1"/>
  <c r="K31" i="521" a="1"/>
  <c r="J31" i="521"/>
  <c r="J31" i="521" a="1"/>
  <c r="H31" i="521"/>
  <c r="K30" i="521" a="1"/>
  <c r="K30" i="521" s="1"/>
  <c r="H30" i="521"/>
  <c r="V29" i="521"/>
  <c r="W29" i="521" s="1"/>
  <c r="N29" i="521"/>
  <c r="N86" i="521" s="1"/>
  <c r="K29" i="521"/>
  <c r="K29" i="521" a="1"/>
  <c r="J29" i="521" a="1"/>
  <c r="J29" i="521" s="1"/>
  <c r="H29" i="521"/>
  <c r="H86" i="521" s="1"/>
  <c r="AA28" i="521"/>
  <c r="AA163" i="521" s="1"/>
  <c r="Z28" i="521"/>
  <c r="Z163" i="521" s="1"/>
  <c r="Y28" i="521"/>
  <c r="Y163" i="521" s="1"/>
  <c r="X28" i="521"/>
  <c r="X163" i="521" s="1"/>
  <c r="U28" i="521"/>
  <c r="U163" i="521" s="1"/>
  <c r="T28" i="521"/>
  <c r="T163" i="521" s="1"/>
  <c r="S28" i="521"/>
  <c r="S163" i="521" s="1"/>
  <c r="R28" i="521"/>
  <c r="R163" i="521" s="1"/>
  <c r="Q28" i="521"/>
  <c r="Q163" i="521" s="1"/>
  <c r="P28" i="521"/>
  <c r="O28" i="521"/>
  <c r="I28" i="521"/>
  <c r="I163" i="521" s="1"/>
  <c r="B171" i="521" s="1"/>
  <c r="G28" i="521"/>
  <c r="J28" i="521" s="1" a="1"/>
  <c r="J28" i="521" s="1"/>
  <c r="W27" i="521"/>
  <c r="V27" i="521"/>
  <c r="N27" i="521"/>
  <c r="K27" i="521" a="1"/>
  <c r="K27" i="521" s="1"/>
  <c r="M27" i="521" s="1"/>
  <c r="J27" i="521" a="1"/>
  <c r="J27" i="521" s="1"/>
  <c r="H27" i="521"/>
  <c r="V26" i="521"/>
  <c r="W26" i="521" s="1"/>
  <c r="N26" i="521"/>
  <c r="K26" i="521" a="1"/>
  <c r="K26" i="521" s="1"/>
  <c r="M26" i="521" s="1"/>
  <c r="J26" i="521" a="1"/>
  <c r="J26" i="521" s="1"/>
  <c r="H26" i="521"/>
  <c r="K25" i="521" a="1"/>
  <c r="K25" i="521" s="1"/>
  <c r="M25" i="521" s="1"/>
  <c r="J25" i="521" a="1"/>
  <c r="J25" i="521" s="1"/>
  <c r="H25" i="521"/>
  <c r="K24" i="521" a="1"/>
  <c r="K24" i="521" s="1"/>
  <c r="M24" i="521" s="1"/>
  <c r="J24" i="521" a="1"/>
  <c r="J24" i="521" s="1"/>
  <c r="H24" i="521"/>
  <c r="K23" i="521" a="1"/>
  <c r="K23" i="521" s="1"/>
  <c r="M23" i="521" s="1"/>
  <c r="J23" i="521" a="1"/>
  <c r="J23" i="521" s="1"/>
  <c r="H23" i="521"/>
  <c r="K22" i="521" a="1"/>
  <c r="K22" i="521" s="1"/>
  <c r="M22" i="521" s="1"/>
  <c r="J22" i="521" a="1"/>
  <c r="J22" i="521" s="1"/>
  <c r="H22" i="521"/>
  <c r="V21" i="521"/>
  <c r="W21" i="521" s="1"/>
  <c r="N21" i="521"/>
  <c r="K21" i="521"/>
  <c r="M21" i="521" s="1"/>
  <c r="K21" i="521" a="1"/>
  <c r="J21" i="521"/>
  <c r="J21" i="521" a="1"/>
  <c r="H21" i="521"/>
  <c r="V20" i="521"/>
  <c r="W20" i="521" s="1"/>
  <c r="N20" i="521"/>
  <c r="K20" i="521" a="1"/>
  <c r="K20" i="521" s="1"/>
  <c r="M20" i="521" s="1"/>
  <c r="J20" i="521" a="1"/>
  <c r="J20" i="521" s="1"/>
  <c r="H20" i="521"/>
  <c r="V19" i="521"/>
  <c r="W19" i="521" s="1"/>
  <c r="N19" i="521"/>
  <c r="K19" i="521" a="1"/>
  <c r="K19" i="521" s="1"/>
  <c r="M19" i="521" s="1"/>
  <c r="J19" i="521" a="1"/>
  <c r="J19" i="521" s="1"/>
  <c r="H19" i="521"/>
  <c r="N18" i="521"/>
  <c r="K18" i="521" a="1"/>
  <c r="K18" i="521" s="1"/>
  <c r="M18" i="521" s="1"/>
  <c r="J18" i="521" a="1"/>
  <c r="J18" i="521" s="1"/>
  <c r="H18" i="521"/>
  <c r="N17" i="521"/>
  <c r="K17" i="521" a="1"/>
  <c r="K17" i="521" s="1"/>
  <c r="M17" i="521" s="1"/>
  <c r="J17" i="521" a="1"/>
  <c r="J17" i="521" s="1"/>
  <c r="H17" i="521"/>
  <c r="V16" i="521"/>
  <c r="W16" i="521" s="1"/>
  <c r="N16" i="521"/>
  <c r="K16" i="521" a="1"/>
  <c r="K16" i="521" s="1"/>
  <c r="M16" i="521" s="1"/>
  <c r="J16" i="521" a="1"/>
  <c r="J16" i="521" s="1"/>
  <c r="H16" i="521"/>
  <c r="V15" i="521"/>
  <c r="W15" i="521" s="1"/>
  <c r="N15" i="521"/>
  <c r="K15" i="521"/>
  <c r="M15" i="521" s="1"/>
  <c r="K15" i="521" a="1"/>
  <c r="J15" i="521"/>
  <c r="J15" i="521" a="1"/>
  <c r="H15" i="521"/>
  <c r="N14" i="521"/>
  <c r="K14" i="521" a="1"/>
  <c r="K14" i="521" s="1"/>
  <c r="M14" i="521" s="1"/>
  <c r="H14" i="521"/>
  <c r="N13" i="521"/>
  <c r="K13" i="521" a="1"/>
  <c r="K13" i="521" s="1"/>
  <c r="M13" i="521" s="1"/>
  <c r="H13" i="521"/>
  <c r="V12" i="521"/>
  <c r="W12" i="521" s="1"/>
  <c r="N12" i="521"/>
  <c r="K12" i="521" a="1"/>
  <c r="K12" i="521" s="1"/>
  <c r="M12" i="521" s="1"/>
  <c r="J12" i="521" a="1"/>
  <c r="J12" i="521" s="1"/>
  <c r="H12" i="521"/>
  <c r="V11" i="521"/>
  <c r="W11" i="521" s="1"/>
  <c r="N11" i="521"/>
  <c r="K11" i="521"/>
  <c r="M11" i="521" s="1"/>
  <c r="K11" i="521" a="1"/>
  <c r="J11" i="521"/>
  <c r="J11" i="521" a="1"/>
  <c r="H11" i="521"/>
  <c r="V10" i="521"/>
  <c r="W10" i="521" s="1"/>
  <c r="N10" i="521"/>
  <c r="K10" i="521" a="1"/>
  <c r="K10" i="521" s="1"/>
  <c r="M10" i="521" s="1"/>
  <c r="J10" i="521" a="1"/>
  <c r="J10" i="521" s="1"/>
  <c r="H10" i="521"/>
  <c r="V9" i="521"/>
  <c r="W9" i="521" s="1"/>
  <c r="N9" i="521"/>
  <c r="K9" i="521" a="1"/>
  <c r="K9" i="521" s="1"/>
  <c r="M9" i="521" s="1"/>
  <c r="J9" i="521" a="1"/>
  <c r="J9" i="521" s="1"/>
  <c r="H9" i="521"/>
  <c r="V8" i="521"/>
  <c r="W8" i="521" s="1"/>
  <c r="N8" i="521"/>
  <c r="K8" i="521" a="1"/>
  <c r="K8" i="521" s="1"/>
  <c r="M8" i="521" s="1"/>
  <c r="J8" i="521" a="1"/>
  <c r="J8" i="521" s="1"/>
  <c r="H8" i="521"/>
  <c r="V7" i="521"/>
  <c r="V28" i="521" s="1"/>
  <c r="N7" i="521"/>
  <c r="K7" i="521"/>
  <c r="M7" i="521" s="1"/>
  <c r="K7" i="521" a="1"/>
  <c r="J7" i="521"/>
  <c r="J7" i="521" a="1"/>
  <c r="H7" i="521"/>
  <c r="H28" i="521" s="1"/>
  <c r="G320" i="516"/>
  <c r="G310" i="516"/>
  <c r="H368" i="521" l="1"/>
  <c r="V368" i="521"/>
  <c r="H477" i="521"/>
  <c r="N147" i="521"/>
  <c r="H317" i="521"/>
  <c r="V317" i="521"/>
  <c r="W317" i="521" s="1"/>
  <c r="H137" i="521"/>
  <c r="W138" i="521"/>
  <c r="J531" i="521"/>
  <c r="Q531" i="521" s="1"/>
  <c r="D532" i="522"/>
  <c r="J532" i="521"/>
  <c r="Q532" i="521" s="1"/>
  <c r="C530" i="521"/>
  <c r="D530" i="522"/>
  <c r="D531" i="522"/>
  <c r="M513" i="522" a="1"/>
  <c r="M513" i="522" s="1"/>
  <c r="K518" i="522"/>
  <c r="O518" i="522" s="1" a="1"/>
  <c r="O518" i="522" s="1"/>
  <c r="S524" i="522"/>
  <c r="S526" i="522"/>
  <c r="S525" i="522"/>
  <c r="S521" i="522" a="1"/>
  <c r="S521" i="522" s="1"/>
  <c r="S522" i="522"/>
  <c r="M526" i="522"/>
  <c r="M523" i="522"/>
  <c r="M524" i="522"/>
  <c r="M525" i="522"/>
  <c r="M522" i="522"/>
  <c r="S523" i="522"/>
  <c r="K516" i="522"/>
  <c r="D533" i="521"/>
  <c r="W478" i="521"/>
  <c r="K477" i="521"/>
  <c r="M487" i="521"/>
  <c r="V461" i="521"/>
  <c r="W461" i="521" s="1"/>
  <c r="M368" i="521"/>
  <c r="W347" i="521"/>
  <c r="N426" i="521"/>
  <c r="W369" i="521"/>
  <c r="R170" i="521"/>
  <c r="R168" i="521"/>
  <c r="R169" i="521"/>
  <c r="N137" i="521"/>
  <c r="J147" i="521" a="1"/>
  <c r="J147" i="521" s="1"/>
  <c r="N121" i="521"/>
  <c r="M28" i="521"/>
  <c r="N28" i="521"/>
  <c r="N163" i="521" s="1"/>
  <c r="B172" i="521" s="1"/>
  <c r="W7" i="521"/>
  <c r="H162" i="521"/>
  <c r="H163" i="521" s="1"/>
  <c r="E170" i="521" s="1"/>
  <c r="H291" i="521"/>
  <c r="V291" i="521"/>
  <c r="W291" i="521" s="1"/>
  <c r="K307" i="521"/>
  <c r="W292" i="521"/>
  <c r="N317" i="521"/>
  <c r="J162" i="521" a="1"/>
  <c r="J162" i="521" s="1"/>
  <c r="W28" i="521"/>
  <c r="E172" i="521"/>
  <c r="K28" i="521"/>
  <c r="X166" i="521"/>
  <c r="P163" i="521"/>
  <c r="X167" i="521" s="1"/>
  <c r="K86" i="521"/>
  <c r="K121" i="521"/>
  <c r="M87" i="521"/>
  <c r="M121" i="521" s="1"/>
  <c r="K137" i="521"/>
  <c r="M122" i="521"/>
  <c r="M137" i="521" s="1"/>
  <c r="K524" i="521"/>
  <c r="K525" i="521"/>
  <c r="K162" i="521"/>
  <c r="M148" i="521"/>
  <c r="M162" i="521" s="1"/>
  <c r="K526" i="521"/>
  <c r="K256" i="521"/>
  <c r="M199" i="521"/>
  <c r="M256" i="521" s="1"/>
  <c r="C521" i="521"/>
  <c r="G163" i="521"/>
  <c r="C517" i="521"/>
  <c r="O163" i="521"/>
  <c r="R165" i="521"/>
  <c r="M29" i="521"/>
  <c r="M86" i="521" s="1"/>
  <c r="V86" i="521"/>
  <c r="W86" i="521" s="1"/>
  <c r="K522" i="521"/>
  <c r="K523" i="521"/>
  <c r="K198" i="521"/>
  <c r="M177" i="521"/>
  <c r="M198" i="521" s="1"/>
  <c r="V137" i="521"/>
  <c r="W137" i="521" s="1"/>
  <c r="K147" i="521"/>
  <c r="V162" i="521"/>
  <c r="W162" i="521" s="1"/>
  <c r="K165" i="521"/>
  <c r="B340" i="521"/>
  <c r="J333" i="521" a="1"/>
  <c r="J333" i="521" s="1"/>
  <c r="M340" i="521" s="1"/>
  <c r="R335" i="521"/>
  <c r="O333" i="521"/>
  <c r="K339" i="521"/>
  <c r="M335" i="521"/>
  <c r="J86" i="521" a="1"/>
  <c r="J86" i="521" s="1"/>
  <c r="W87" i="521"/>
  <c r="J121" i="521" a="1"/>
  <c r="J121" i="521" s="1"/>
  <c r="J137" i="521" a="1"/>
  <c r="J137" i="521" s="1"/>
  <c r="W177" i="521"/>
  <c r="W198" i="521" s="1"/>
  <c r="J198" i="521" a="1"/>
  <c r="J198" i="521" s="1"/>
  <c r="X336" i="521"/>
  <c r="P333" i="521"/>
  <c r="X337" i="521" s="1"/>
  <c r="H256" i="521"/>
  <c r="H333" i="521" s="1"/>
  <c r="E340" i="521" s="1"/>
  <c r="N256" i="521"/>
  <c r="N333" i="521" s="1"/>
  <c r="B342" i="521" s="1"/>
  <c r="W199" i="521"/>
  <c r="K291" i="521"/>
  <c r="M257" i="521"/>
  <c r="M291" i="521" s="1"/>
  <c r="K317" i="521"/>
  <c r="M308" i="521"/>
  <c r="M317" i="521" s="1"/>
  <c r="K332" i="521"/>
  <c r="M318" i="521"/>
  <c r="M332" i="521" s="1"/>
  <c r="W257" i="521"/>
  <c r="M292" i="521"/>
  <c r="M307" i="521" s="1"/>
  <c r="W308" i="521"/>
  <c r="W318" i="521"/>
  <c r="W332" i="521" s="1"/>
  <c r="R340" i="521"/>
  <c r="X342" i="521"/>
  <c r="Z335" i="521" s="1" a="1"/>
  <c r="Z335" i="521" s="1"/>
  <c r="E339" i="521"/>
  <c r="Z341" i="521"/>
  <c r="W368" i="521"/>
  <c r="K426" i="521"/>
  <c r="K461" i="521"/>
  <c r="M427" i="521"/>
  <c r="M461" i="521" s="1"/>
  <c r="J368" i="521" a="1"/>
  <c r="J368" i="521" s="1"/>
  <c r="K368" i="521"/>
  <c r="M477" i="521"/>
  <c r="W462" i="521"/>
  <c r="V477" i="521"/>
  <c r="W477" i="521" s="1"/>
  <c r="B511" i="521"/>
  <c r="J504" i="521" a="1"/>
  <c r="J504" i="521" s="1"/>
  <c r="M511" i="521" s="1"/>
  <c r="X506" i="521"/>
  <c r="O504" i="521"/>
  <c r="X507" i="521" s="1"/>
  <c r="R506" i="521"/>
  <c r="M369" i="521"/>
  <c r="M426" i="521" s="1"/>
  <c r="M504" i="521" s="1"/>
  <c r="H461" i="521"/>
  <c r="H504" i="521" s="1"/>
  <c r="E511" i="521" s="1"/>
  <c r="N461" i="521"/>
  <c r="N504" i="521" s="1"/>
  <c r="B513" i="521" s="1"/>
  <c r="E513" i="521" s="1"/>
  <c r="W427" i="521"/>
  <c r="J461" i="521" a="1"/>
  <c r="J461" i="521" s="1"/>
  <c r="N477" i="521"/>
  <c r="K503" i="521"/>
  <c r="M488" i="521"/>
  <c r="M503" i="521" s="1"/>
  <c r="K487" i="521"/>
  <c r="R531" i="521"/>
  <c r="S531" i="521" a="1"/>
  <c r="S531" i="521" s="1"/>
  <c r="R510" i="521"/>
  <c r="W488" i="521"/>
  <c r="W503" i="521" s="1"/>
  <c r="K506" i="521"/>
  <c r="R532" i="521"/>
  <c r="S532" i="521" a="1"/>
  <c r="S532" i="521" s="1"/>
  <c r="T530" i="521" a="1"/>
  <c r="T530" i="521" s="1"/>
  <c r="T531" i="521" a="1"/>
  <c r="T531" i="521" s="1"/>
  <c r="T532" i="521" a="1"/>
  <c r="T532" i="521" s="1"/>
  <c r="C533" i="521"/>
  <c r="T533" i="521" s="1" a="1"/>
  <c r="T533" i="521" s="1"/>
  <c r="M326" i="520"/>
  <c r="J326" i="520" a="1"/>
  <c r="J326" i="520" s="1"/>
  <c r="M156" i="520"/>
  <c r="K156" i="520"/>
  <c r="K156" i="520" a="1"/>
  <c r="J156" i="520" a="1"/>
  <c r="J156" i="520" s="1"/>
  <c r="J94" i="520" a="1"/>
  <c r="J94" i="520" s="1"/>
  <c r="D531" i="523" l="1"/>
  <c r="C531" i="522"/>
  <c r="C530" i="522"/>
  <c r="D530" i="523"/>
  <c r="D533" i="522"/>
  <c r="J530" i="521"/>
  <c r="D532" i="523"/>
  <c r="C532" i="522"/>
  <c r="S527" i="522"/>
  <c r="M163" i="521"/>
  <c r="Z340" i="521"/>
  <c r="V333" i="521"/>
  <c r="I342" i="521" s="1"/>
  <c r="M342" i="521" s="1" a="1"/>
  <c r="M342" i="521" s="1"/>
  <c r="E342" i="521"/>
  <c r="C518" i="521"/>
  <c r="G518" i="521" s="1"/>
  <c r="G516" i="521"/>
  <c r="K504" i="521"/>
  <c r="V504" i="521"/>
  <c r="Z336" i="521"/>
  <c r="W333" i="521"/>
  <c r="Z339" i="521"/>
  <c r="M339" i="521"/>
  <c r="R342" i="521"/>
  <c r="T340" i="521" s="1"/>
  <c r="M165" i="521"/>
  <c r="K169" i="521"/>
  <c r="M169" i="521" s="1"/>
  <c r="M333" i="521"/>
  <c r="C527" i="521"/>
  <c r="E521" i="521" s="1"/>
  <c r="Q522" i="521"/>
  <c r="X172" i="521"/>
  <c r="Z166" i="521" s="1"/>
  <c r="W163" i="521"/>
  <c r="K510" i="521"/>
  <c r="M510" i="521" s="1"/>
  <c r="M506" i="521"/>
  <c r="R513" i="521"/>
  <c r="T510" i="521" s="1"/>
  <c r="X513" i="521"/>
  <c r="Z506" i="521" s="1" a="1"/>
  <c r="Z506" i="521" s="1"/>
  <c r="Z338" i="521"/>
  <c r="Z337" i="521"/>
  <c r="K333" i="521"/>
  <c r="K521" i="521"/>
  <c r="R172" i="521"/>
  <c r="T165" i="521" s="1" a="1"/>
  <c r="T165" i="521" s="1"/>
  <c r="J163" i="521" a="1"/>
  <c r="J163" i="521" s="1"/>
  <c r="M170" i="521" s="1"/>
  <c r="B170" i="521"/>
  <c r="C516" i="521" s="1"/>
  <c r="Q523" i="521"/>
  <c r="K163" i="521"/>
  <c r="E171" i="521" s="1"/>
  <c r="V163" i="521"/>
  <c r="I172" i="521" s="1"/>
  <c r="I433" i="520"/>
  <c r="I430" i="520"/>
  <c r="I432" i="520"/>
  <c r="I180" i="520"/>
  <c r="I290" i="520"/>
  <c r="I289" i="520"/>
  <c r="I263" i="520"/>
  <c r="I260" i="520"/>
  <c r="K326" i="520" a="1"/>
  <c r="K326" i="520" s="1"/>
  <c r="I326" i="520"/>
  <c r="I120" i="520"/>
  <c r="I41" i="520"/>
  <c r="I40" i="520"/>
  <c r="I44" i="520"/>
  <c r="I10" i="520"/>
  <c r="I156" i="520"/>
  <c r="J532" i="522" l="1"/>
  <c r="Q532" i="522" s="1"/>
  <c r="T532" i="522" a="1"/>
  <c r="T532" i="522" s="1"/>
  <c r="J530" i="522"/>
  <c r="T530" i="522" a="1"/>
  <c r="T530" i="522" s="1"/>
  <c r="C533" i="522"/>
  <c r="T533" i="522" s="1" a="1"/>
  <c r="T533" i="522" s="1"/>
  <c r="D531" i="524"/>
  <c r="C531" i="523"/>
  <c r="C532" i="523"/>
  <c r="D532" i="524"/>
  <c r="J533" i="521"/>
  <c r="Q530" i="521"/>
  <c r="C530" i="523"/>
  <c r="D530" i="524"/>
  <c r="D533" i="523"/>
  <c r="J531" i="522"/>
  <c r="Q531" i="522" s="1"/>
  <c r="T531" i="522" a="1"/>
  <c r="T531" i="522" s="1"/>
  <c r="T506" i="521" a="1"/>
  <c r="T506" i="521" s="1"/>
  <c r="Z167" i="521"/>
  <c r="T335" i="521" a="1"/>
  <c r="T335" i="521" s="1"/>
  <c r="M172" i="521" a="1"/>
  <c r="M172" i="521" s="1"/>
  <c r="O516" i="521" a="1"/>
  <c r="O516" i="521" s="1"/>
  <c r="E512" i="521"/>
  <c r="I512" i="521" s="1"/>
  <c r="M512" i="521" s="1"/>
  <c r="L504" i="521"/>
  <c r="I511" i="521" s="1"/>
  <c r="I171" i="521"/>
  <c r="M171" i="521" s="1"/>
  <c r="L163" i="521"/>
  <c r="I170" i="521" s="1"/>
  <c r="K527" i="521"/>
  <c r="T171" i="521"/>
  <c r="T166" i="521"/>
  <c r="T167" i="521"/>
  <c r="T168" i="521"/>
  <c r="T169" i="521"/>
  <c r="T170" i="521"/>
  <c r="E341" i="521"/>
  <c r="I341" i="521" s="1"/>
  <c r="M341" i="521" s="1"/>
  <c r="L333" i="521"/>
  <c r="I340" i="521" s="1"/>
  <c r="Z512" i="521"/>
  <c r="Z511" i="521"/>
  <c r="Z510" i="521"/>
  <c r="Z509" i="521"/>
  <c r="Z508" i="521"/>
  <c r="T512" i="521"/>
  <c r="T507" i="521"/>
  <c r="T508" i="521"/>
  <c r="T509" i="521"/>
  <c r="T511" i="521"/>
  <c r="Z171" i="521"/>
  <c r="Z165" i="521" a="1"/>
  <c r="Z165" i="521" s="1"/>
  <c r="Z168" i="521"/>
  <c r="Z170" i="521"/>
  <c r="Z169" i="521"/>
  <c r="Q527" i="521"/>
  <c r="E523" i="521"/>
  <c r="E525" i="521"/>
  <c r="E522" i="521"/>
  <c r="E524" i="521"/>
  <c r="E526" i="521"/>
  <c r="T341" i="521"/>
  <c r="T337" i="521"/>
  <c r="T338" i="521"/>
  <c r="T336" i="521"/>
  <c r="T339" i="521"/>
  <c r="I513" i="521"/>
  <c r="M513" i="521" s="1" a="1"/>
  <c r="M513" i="521" s="1"/>
  <c r="W504" i="521"/>
  <c r="Z507" i="521"/>
  <c r="G433" i="520"/>
  <c r="G10" i="520"/>
  <c r="S531" i="522" l="1" a="1"/>
  <c r="S531" i="522" s="1"/>
  <c r="R531" i="522"/>
  <c r="J530" i="523"/>
  <c r="T530" i="523" a="1"/>
  <c r="T530" i="523" s="1"/>
  <c r="C533" i="523"/>
  <c r="T533" i="523" s="1" a="1"/>
  <c r="T533" i="523" s="1"/>
  <c r="J532" i="523"/>
  <c r="Q532" i="523" s="1"/>
  <c r="T532" i="523" a="1"/>
  <c r="T532" i="523" s="1"/>
  <c r="J531" i="523"/>
  <c r="Q531" i="523" s="1"/>
  <c r="T531" i="523" a="1"/>
  <c r="T531" i="523" s="1"/>
  <c r="J533" i="522"/>
  <c r="Q530" i="522"/>
  <c r="C530" i="524"/>
  <c r="D530" i="525"/>
  <c r="D530" i="526" s="1"/>
  <c r="D533" i="524"/>
  <c r="Q533" i="521"/>
  <c r="S533" i="521" s="1" a="1"/>
  <c r="S533" i="521" s="1"/>
  <c r="R530" i="521"/>
  <c r="R533" i="521" s="1"/>
  <c r="S530" i="521" a="1"/>
  <c r="S530" i="521" s="1"/>
  <c r="D532" i="525"/>
  <c r="D532" i="526" s="1"/>
  <c r="C532" i="526" s="1"/>
  <c r="C532" i="524"/>
  <c r="D531" i="525"/>
  <c r="D531" i="526" s="1"/>
  <c r="C531" i="526" s="1"/>
  <c r="C531" i="524"/>
  <c r="R532" i="522"/>
  <c r="S532" i="522" a="1"/>
  <c r="S532" i="522" s="1"/>
  <c r="E527" i="521"/>
  <c r="S524" i="521"/>
  <c r="S526" i="521"/>
  <c r="S521" i="521" a="1"/>
  <c r="S521" i="521" s="1"/>
  <c r="S525" i="521"/>
  <c r="S522" i="521"/>
  <c r="M522" i="521"/>
  <c r="M525" i="521"/>
  <c r="M523" i="521"/>
  <c r="M526" i="521"/>
  <c r="M524" i="521"/>
  <c r="S523" i="521"/>
  <c r="G517" i="521"/>
  <c r="M521" i="521" a="1"/>
  <c r="M521" i="521" s="1"/>
  <c r="K518" i="521"/>
  <c r="O518" i="521" s="1" a="1"/>
  <c r="O518" i="521" s="1"/>
  <c r="G156" i="520"/>
  <c r="G326" i="520"/>
  <c r="G180" i="520"/>
  <c r="G290" i="520"/>
  <c r="G289" i="520"/>
  <c r="G260" i="520"/>
  <c r="G214" i="520"/>
  <c r="G432" i="520"/>
  <c r="G430" i="520"/>
  <c r="G120" i="520"/>
  <c r="T531" i="526" l="1" a="1"/>
  <c r="T531" i="526" s="1"/>
  <c r="D531" i="527"/>
  <c r="C531" i="527" s="1"/>
  <c r="J531" i="526"/>
  <c r="Q531" i="526" s="1"/>
  <c r="T532" i="526" a="1"/>
  <c r="T532" i="526" s="1"/>
  <c r="D532" i="527"/>
  <c r="C532" i="527" s="1"/>
  <c r="J532" i="526"/>
  <c r="Q532" i="526" s="1"/>
  <c r="D533" i="526"/>
  <c r="C530" i="526"/>
  <c r="J531" i="524"/>
  <c r="Q531" i="524" s="1"/>
  <c r="T531" i="524" a="1"/>
  <c r="T531" i="524" s="1"/>
  <c r="J532" i="524"/>
  <c r="Q532" i="524" s="1"/>
  <c r="T532" i="524" a="1"/>
  <c r="T532" i="524" s="1"/>
  <c r="D533" i="525"/>
  <c r="C530" i="525"/>
  <c r="R530" i="522"/>
  <c r="R533" i="522" s="1"/>
  <c r="S530" i="522" a="1"/>
  <c r="S530" i="522" s="1"/>
  <c r="Q533" i="522"/>
  <c r="S533" i="522" s="1" a="1"/>
  <c r="S533" i="522" s="1"/>
  <c r="C531" i="525"/>
  <c r="C532" i="525"/>
  <c r="J530" i="524"/>
  <c r="C533" i="524"/>
  <c r="T533" i="524" s="1" a="1"/>
  <c r="T533" i="524" s="1"/>
  <c r="T530" i="524" a="1"/>
  <c r="T530" i="524" s="1"/>
  <c r="S531" i="523" a="1"/>
  <c r="S531" i="523" s="1"/>
  <c r="R531" i="523"/>
  <c r="R532" i="523"/>
  <c r="S532" i="523" a="1"/>
  <c r="S532" i="523" s="1"/>
  <c r="J533" i="523"/>
  <c r="Q530" i="523"/>
  <c r="K517" i="521"/>
  <c r="O517" i="521" s="1"/>
  <c r="K516" i="521"/>
  <c r="S527" i="521"/>
  <c r="G44" i="520"/>
  <c r="G41" i="520"/>
  <c r="G40" i="520"/>
  <c r="P533" i="520"/>
  <c r="O533" i="520"/>
  <c r="N533" i="520"/>
  <c r="M533" i="520"/>
  <c r="L533" i="520"/>
  <c r="K533" i="520"/>
  <c r="I533" i="520"/>
  <c r="H533" i="520"/>
  <c r="G533" i="520"/>
  <c r="F533" i="520"/>
  <c r="E533" i="520"/>
  <c r="D533" i="520"/>
  <c r="C532" i="520"/>
  <c r="J532" i="520" s="1"/>
  <c r="Q532" i="520" s="1"/>
  <c r="C531" i="520"/>
  <c r="J531" i="520" s="1"/>
  <c r="Q531" i="520" s="1"/>
  <c r="C530" i="520"/>
  <c r="J530" i="520" s="1"/>
  <c r="G514" i="520"/>
  <c r="N514" i="520" s="1"/>
  <c r="X512" i="520"/>
  <c r="X511" i="520"/>
  <c r="X510" i="520"/>
  <c r="G510" i="520"/>
  <c r="C510" i="520"/>
  <c r="X509" i="520"/>
  <c r="I509" i="520"/>
  <c r="E509" i="520"/>
  <c r="K509" i="520" s="1"/>
  <c r="M509" i="520" s="1"/>
  <c r="X508" i="520"/>
  <c r="I508" i="520"/>
  <c r="E508" i="520"/>
  <c r="K508" i="520" s="1"/>
  <c r="M508" i="520" s="1"/>
  <c r="I507" i="520"/>
  <c r="E507" i="520"/>
  <c r="K507" i="520" s="1"/>
  <c r="M507" i="520" s="1"/>
  <c r="I506" i="520"/>
  <c r="I510" i="520" s="1"/>
  <c r="E506" i="520"/>
  <c r="E510" i="520" s="1"/>
  <c r="AA503" i="520"/>
  <c r="Z503" i="520"/>
  <c r="Y503" i="520"/>
  <c r="X503" i="520"/>
  <c r="U503" i="520"/>
  <c r="T503" i="520"/>
  <c r="S503" i="520"/>
  <c r="R503" i="520"/>
  <c r="Q503" i="520"/>
  <c r="P503" i="520"/>
  <c r="O503" i="520"/>
  <c r="R511" i="520" s="1"/>
  <c r="I503" i="520"/>
  <c r="G503" i="520"/>
  <c r="J503" i="520" s="1" a="1"/>
  <c r="J503" i="520" s="1"/>
  <c r="H502" i="520"/>
  <c r="H501" i="520"/>
  <c r="H500" i="520"/>
  <c r="D499" i="520"/>
  <c r="H499" i="520" s="1"/>
  <c r="V498" i="520"/>
  <c r="W498" i="520" s="1"/>
  <c r="N498" i="520"/>
  <c r="K498" i="520" a="1"/>
  <c r="K498" i="520" s="1"/>
  <c r="M498" i="520" s="1"/>
  <c r="J498" i="520" a="1"/>
  <c r="J498" i="520" s="1"/>
  <c r="H498" i="520"/>
  <c r="H497" i="520"/>
  <c r="H496" i="520"/>
  <c r="V495" i="520"/>
  <c r="W495" i="520" s="1"/>
  <c r="N495" i="520"/>
  <c r="K495" i="520"/>
  <c r="M495" i="520" s="1"/>
  <c r="K495" i="520" a="1"/>
  <c r="J495" i="520"/>
  <c r="J495" i="520" a="1"/>
  <c r="H495" i="520"/>
  <c r="V494" i="520"/>
  <c r="W494" i="520" s="1"/>
  <c r="N494" i="520"/>
  <c r="K494" i="520" a="1"/>
  <c r="K494" i="520" s="1"/>
  <c r="M494" i="520" s="1"/>
  <c r="J494" i="520" a="1"/>
  <c r="J494" i="520" s="1"/>
  <c r="H494" i="520"/>
  <c r="H493" i="520"/>
  <c r="H492" i="520"/>
  <c r="V491" i="520"/>
  <c r="W491" i="520" s="1"/>
  <c r="N491" i="520"/>
  <c r="K491" i="520" a="1"/>
  <c r="K491" i="520" s="1"/>
  <c r="M491" i="520" s="1"/>
  <c r="J491" i="520" a="1"/>
  <c r="J491" i="520" s="1"/>
  <c r="H491" i="520"/>
  <c r="V490" i="520"/>
  <c r="W490" i="520" s="1"/>
  <c r="N490" i="520"/>
  <c r="K490" i="520" a="1"/>
  <c r="K490" i="520" s="1"/>
  <c r="M490" i="520" s="1"/>
  <c r="J490" i="520" a="1"/>
  <c r="J490" i="520" s="1"/>
  <c r="H490" i="520"/>
  <c r="V489" i="520"/>
  <c r="W489" i="520" s="1"/>
  <c r="N489" i="520"/>
  <c r="K489" i="520"/>
  <c r="M489" i="520" s="1"/>
  <c r="K489" i="520" a="1"/>
  <c r="J489" i="520"/>
  <c r="J489" i="520" a="1"/>
  <c r="H489" i="520"/>
  <c r="V488" i="520"/>
  <c r="V503" i="520" s="1"/>
  <c r="N488" i="520"/>
  <c r="N503" i="520" s="1"/>
  <c r="K488" i="520" a="1"/>
  <c r="K488" i="520" s="1"/>
  <c r="J488" i="520" a="1"/>
  <c r="J488" i="520" s="1"/>
  <c r="H488" i="520"/>
  <c r="H503" i="520" s="1"/>
  <c r="AA487" i="520"/>
  <c r="Z487" i="520"/>
  <c r="Y487" i="520"/>
  <c r="X487" i="520"/>
  <c r="U487" i="520"/>
  <c r="T487" i="520"/>
  <c r="S487" i="520"/>
  <c r="Q487" i="520"/>
  <c r="P487" i="520"/>
  <c r="O487" i="520"/>
  <c r="I487" i="520"/>
  <c r="G487" i="520"/>
  <c r="J487" i="520" s="1" a="1"/>
  <c r="J487" i="520" s="1"/>
  <c r="V486" i="520"/>
  <c r="W486" i="520" s="1"/>
  <c r="N486" i="520"/>
  <c r="K486" i="520" a="1"/>
  <c r="K486" i="520" s="1"/>
  <c r="M486" i="520" s="1"/>
  <c r="J486" i="520" a="1"/>
  <c r="J486" i="520" s="1"/>
  <c r="H486" i="520"/>
  <c r="H483" i="520"/>
  <c r="V482" i="520"/>
  <c r="W482" i="520" s="1"/>
  <c r="N482" i="520"/>
  <c r="K482" i="520"/>
  <c r="M482" i="520" s="1"/>
  <c r="K482" i="520" a="1"/>
  <c r="J482" i="520" a="1"/>
  <c r="J482" i="520" s="1"/>
  <c r="H482" i="520"/>
  <c r="V481" i="520"/>
  <c r="W481" i="520" s="1"/>
  <c r="N481" i="520"/>
  <c r="K481" i="520" a="1"/>
  <c r="K481" i="520" s="1"/>
  <c r="M481" i="520" s="1"/>
  <c r="J481" i="520" a="1"/>
  <c r="J481" i="520" s="1"/>
  <c r="H481" i="520"/>
  <c r="V480" i="520"/>
  <c r="W480" i="520" s="1"/>
  <c r="N480" i="520"/>
  <c r="K480" i="520"/>
  <c r="M480" i="520" s="1"/>
  <c r="K480" i="520" a="1"/>
  <c r="J480" i="520"/>
  <c r="J480" i="520" a="1"/>
  <c r="H480" i="520"/>
  <c r="V479" i="520"/>
  <c r="W479" i="520" s="1"/>
  <c r="N479" i="520"/>
  <c r="K479" i="520" a="1"/>
  <c r="K479" i="520" s="1"/>
  <c r="M479" i="520" s="1"/>
  <c r="J479" i="520" a="1"/>
  <c r="J479" i="520" s="1"/>
  <c r="H479" i="520"/>
  <c r="V478" i="520"/>
  <c r="N478" i="520"/>
  <c r="N487" i="520" s="1"/>
  <c r="K478" i="520"/>
  <c r="M478" i="520" s="1"/>
  <c r="K478" i="520" a="1"/>
  <c r="J478" i="520"/>
  <c r="J478" i="520" a="1"/>
  <c r="H478" i="520"/>
  <c r="AA477" i="520"/>
  <c r="Z477" i="520"/>
  <c r="Y477" i="520"/>
  <c r="X477" i="520"/>
  <c r="U477" i="520"/>
  <c r="T477" i="520"/>
  <c r="S477" i="520"/>
  <c r="Q477" i="520"/>
  <c r="P477" i="520"/>
  <c r="O477" i="520"/>
  <c r="R509" i="520" s="1"/>
  <c r="I477" i="520"/>
  <c r="G477" i="520"/>
  <c r="J477" i="520" s="1" a="1"/>
  <c r="J477" i="520" s="1"/>
  <c r="V476" i="520"/>
  <c r="W476" i="520" s="1"/>
  <c r="N476" i="520"/>
  <c r="K476" i="520" a="1"/>
  <c r="K476" i="520" s="1"/>
  <c r="M476" i="520" s="1"/>
  <c r="J476" i="520" a="1"/>
  <c r="J476" i="520" s="1"/>
  <c r="H476" i="520"/>
  <c r="V475" i="520"/>
  <c r="W475" i="520" s="1"/>
  <c r="N475" i="520"/>
  <c r="K475" i="520" a="1"/>
  <c r="K475" i="520" s="1"/>
  <c r="M475" i="520" s="1"/>
  <c r="J475" i="520" a="1"/>
  <c r="J475" i="520" s="1"/>
  <c r="H475" i="520"/>
  <c r="V474" i="520"/>
  <c r="W474" i="520" s="1"/>
  <c r="N474" i="520"/>
  <c r="K474" i="520" a="1"/>
  <c r="K474" i="520" s="1"/>
  <c r="M474" i="520" s="1"/>
  <c r="J474" i="520" a="1"/>
  <c r="J474" i="520" s="1"/>
  <c r="H474" i="520"/>
  <c r="V473" i="520"/>
  <c r="W473" i="520" s="1"/>
  <c r="N473" i="520"/>
  <c r="K473" i="520"/>
  <c r="M473" i="520" s="1"/>
  <c r="K473" i="520" a="1"/>
  <c r="J473" i="520"/>
  <c r="J473" i="520" a="1"/>
  <c r="H473" i="520"/>
  <c r="V472" i="520"/>
  <c r="W472" i="520" s="1"/>
  <c r="N472" i="520"/>
  <c r="K472" i="520" a="1"/>
  <c r="K472" i="520" s="1"/>
  <c r="M472" i="520" s="1"/>
  <c r="J472" i="520" a="1"/>
  <c r="J472" i="520" s="1"/>
  <c r="H472" i="520"/>
  <c r="V471" i="520"/>
  <c r="W471" i="520" s="1"/>
  <c r="N471" i="520"/>
  <c r="K471" i="520" a="1"/>
  <c r="K471" i="520" s="1"/>
  <c r="M471" i="520" s="1"/>
  <c r="J471" i="520" a="1"/>
  <c r="J471" i="520" s="1"/>
  <c r="H471" i="520"/>
  <c r="V470" i="520"/>
  <c r="W470" i="520" s="1"/>
  <c r="N470" i="520"/>
  <c r="K470" i="520" a="1"/>
  <c r="K470" i="520" s="1"/>
  <c r="M470" i="520" s="1"/>
  <c r="J470" i="520" a="1"/>
  <c r="J470" i="520" s="1"/>
  <c r="H470" i="520"/>
  <c r="V469" i="520"/>
  <c r="W469" i="520" s="1"/>
  <c r="N469" i="520"/>
  <c r="K469" i="520"/>
  <c r="M469" i="520" s="1"/>
  <c r="K469" i="520" a="1"/>
  <c r="J469" i="520"/>
  <c r="J469" i="520" a="1"/>
  <c r="H469" i="520"/>
  <c r="V468" i="520"/>
  <c r="W468" i="520" s="1"/>
  <c r="N468" i="520"/>
  <c r="K468" i="520" a="1"/>
  <c r="K468" i="520" s="1"/>
  <c r="M468" i="520" s="1"/>
  <c r="J468" i="520" a="1"/>
  <c r="J468" i="520" s="1"/>
  <c r="H468" i="520"/>
  <c r="V467" i="520"/>
  <c r="W467" i="520" s="1"/>
  <c r="N467" i="520"/>
  <c r="K467" i="520" a="1"/>
  <c r="K467" i="520" s="1"/>
  <c r="M467" i="520" s="1"/>
  <c r="J467" i="520" a="1"/>
  <c r="J467" i="520" s="1"/>
  <c r="H467" i="520"/>
  <c r="V466" i="520"/>
  <c r="W466" i="520" s="1"/>
  <c r="N466" i="520"/>
  <c r="M466" i="520"/>
  <c r="K466" i="520" a="1"/>
  <c r="K466" i="520" s="1"/>
  <c r="J466" i="520" a="1"/>
  <c r="J466" i="520" s="1"/>
  <c r="H466" i="520"/>
  <c r="V465" i="520"/>
  <c r="W465" i="520" s="1"/>
  <c r="N465" i="520"/>
  <c r="K465" i="520" a="1"/>
  <c r="K465" i="520" s="1"/>
  <c r="M465" i="520" s="1"/>
  <c r="J465" i="520" a="1"/>
  <c r="J465" i="520" s="1"/>
  <c r="H465" i="520"/>
  <c r="V464" i="520"/>
  <c r="W464" i="520" s="1"/>
  <c r="N464" i="520"/>
  <c r="M464" i="520"/>
  <c r="K464" i="520" a="1"/>
  <c r="K464" i="520" s="1"/>
  <c r="J464" i="520" a="1"/>
  <c r="J464" i="520" s="1"/>
  <c r="H464" i="520"/>
  <c r="V463" i="520"/>
  <c r="W463" i="520" s="1"/>
  <c r="N463" i="520"/>
  <c r="K463" i="520" a="1"/>
  <c r="K463" i="520" s="1"/>
  <c r="M463" i="520" s="1"/>
  <c r="J463" i="520" a="1"/>
  <c r="J463" i="520" s="1"/>
  <c r="H463" i="520"/>
  <c r="V462" i="520"/>
  <c r="N462" i="520"/>
  <c r="M462" i="520"/>
  <c r="K462" i="520" a="1"/>
  <c r="K462" i="520" s="1"/>
  <c r="J462" i="520" a="1"/>
  <c r="J462" i="520" s="1"/>
  <c r="H462" i="520"/>
  <c r="H477" i="520" s="1"/>
  <c r="AA461" i="520"/>
  <c r="Z461" i="520"/>
  <c r="Y461" i="520"/>
  <c r="X461" i="520"/>
  <c r="U461" i="520"/>
  <c r="T461" i="520"/>
  <c r="S461" i="520"/>
  <c r="R461" i="520"/>
  <c r="Q461" i="520"/>
  <c r="P461" i="520"/>
  <c r="O461" i="520"/>
  <c r="R508" i="520" s="1"/>
  <c r="I461" i="520"/>
  <c r="G461" i="520"/>
  <c r="V460" i="520"/>
  <c r="W460" i="520" s="1"/>
  <c r="N460" i="520"/>
  <c r="K460" i="520" a="1"/>
  <c r="K460" i="520" s="1"/>
  <c r="M460" i="520" s="1"/>
  <c r="J460" i="520" a="1"/>
  <c r="J460" i="520" s="1"/>
  <c r="H460" i="520"/>
  <c r="V459" i="520"/>
  <c r="W459" i="520" s="1"/>
  <c r="N459" i="520"/>
  <c r="K459" i="520"/>
  <c r="M459" i="520" s="1"/>
  <c r="K459" i="520" a="1"/>
  <c r="J459" i="520"/>
  <c r="J459" i="520" a="1"/>
  <c r="H459" i="520"/>
  <c r="V458" i="520"/>
  <c r="W458" i="520" s="1"/>
  <c r="N458" i="520"/>
  <c r="K458" i="520" a="1"/>
  <c r="K458" i="520" s="1"/>
  <c r="M458" i="520" s="1"/>
  <c r="J458" i="520" a="1"/>
  <c r="J458" i="520" s="1"/>
  <c r="H458" i="520"/>
  <c r="K457" i="520" a="1"/>
  <c r="K457" i="520" s="1"/>
  <c r="M457" i="520" s="1"/>
  <c r="H457" i="520"/>
  <c r="K456" i="520" a="1"/>
  <c r="K456" i="520" s="1"/>
  <c r="M456" i="520" s="1"/>
  <c r="H456" i="520"/>
  <c r="K455" i="520" a="1"/>
  <c r="K455" i="520" s="1"/>
  <c r="M455" i="520" s="1"/>
  <c r="H455" i="520"/>
  <c r="V454" i="520"/>
  <c r="W454" i="520" s="1"/>
  <c r="N454" i="520"/>
  <c r="K454" i="520" a="1"/>
  <c r="K454" i="520" s="1"/>
  <c r="M454" i="520" s="1"/>
  <c r="J454" i="520" a="1"/>
  <c r="J454" i="520" s="1"/>
  <c r="H454" i="520"/>
  <c r="V453" i="520"/>
  <c r="W453" i="520" s="1"/>
  <c r="N453" i="520"/>
  <c r="K453" i="520" a="1"/>
  <c r="K453" i="520" s="1"/>
  <c r="M453" i="520" s="1"/>
  <c r="J453" i="520" a="1"/>
  <c r="J453" i="520" s="1"/>
  <c r="H453" i="520"/>
  <c r="N452" i="520"/>
  <c r="K452" i="520"/>
  <c r="M452" i="520" s="1"/>
  <c r="K452" i="520" a="1"/>
  <c r="H452" i="520"/>
  <c r="N451" i="520"/>
  <c r="K451" i="520" a="1"/>
  <c r="K451" i="520" s="1"/>
  <c r="M451" i="520" s="1"/>
  <c r="H451" i="520"/>
  <c r="N450" i="520"/>
  <c r="K450" i="520" a="1"/>
  <c r="K450" i="520" s="1"/>
  <c r="M450" i="520" s="1"/>
  <c r="H450" i="520"/>
  <c r="N449" i="520"/>
  <c r="K449" i="520" a="1"/>
  <c r="K449" i="520" s="1"/>
  <c r="M449" i="520" s="1"/>
  <c r="H449" i="520"/>
  <c r="N448" i="520"/>
  <c r="K448" i="520"/>
  <c r="M448" i="520" s="1"/>
  <c r="K448" i="520" a="1"/>
  <c r="H448" i="520"/>
  <c r="N447" i="520"/>
  <c r="K447" i="520" a="1"/>
  <c r="K447" i="520" s="1"/>
  <c r="M447" i="520" s="1"/>
  <c r="H447" i="520"/>
  <c r="V446" i="520"/>
  <c r="W446" i="520" s="1"/>
  <c r="N446" i="520"/>
  <c r="K446" i="520" a="1"/>
  <c r="K446" i="520" s="1"/>
  <c r="M446" i="520" s="1"/>
  <c r="J446" i="520" a="1"/>
  <c r="J446" i="520" s="1"/>
  <c r="H446" i="520"/>
  <c r="V445" i="520"/>
  <c r="W445" i="520" s="1"/>
  <c r="N445" i="520"/>
  <c r="K445" i="520" a="1"/>
  <c r="K445" i="520" s="1"/>
  <c r="M445" i="520" s="1"/>
  <c r="J445" i="520" a="1"/>
  <c r="J445" i="520" s="1"/>
  <c r="H445" i="520"/>
  <c r="V444" i="520"/>
  <c r="W444" i="520" s="1"/>
  <c r="N444" i="520"/>
  <c r="K444" i="520"/>
  <c r="M444" i="520" s="1"/>
  <c r="K444" i="520" a="1"/>
  <c r="J444" i="520"/>
  <c r="J444" i="520" a="1"/>
  <c r="H444" i="520"/>
  <c r="V443" i="520"/>
  <c r="W443" i="520" s="1"/>
  <c r="N443" i="520"/>
  <c r="K443" i="520" a="1"/>
  <c r="K443" i="520" s="1"/>
  <c r="M443" i="520" s="1"/>
  <c r="J443" i="520" a="1"/>
  <c r="J443" i="520" s="1"/>
  <c r="H443" i="520"/>
  <c r="V442" i="520"/>
  <c r="W442" i="520" s="1"/>
  <c r="N442" i="520"/>
  <c r="K442" i="520" a="1"/>
  <c r="K442" i="520" s="1"/>
  <c r="M442" i="520" s="1"/>
  <c r="J442" i="520" a="1"/>
  <c r="J442" i="520" s="1"/>
  <c r="H442" i="520"/>
  <c r="V441" i="520"/>
  <c r="W441" i="520" s="1"/>
  <c r="N441" i="520"/>
  <c r="K441" i="520" a="1"/>
  <c r="K441" i="520" s="1"/>
  <c r="M441" i="520" s="1"/>
  <c r="J441" i="520" a="1"/>
  <c r="J441" i="520" s="1"/>
  <c r="H441" i="520"/>
  <c r="V440" i="520"/>
  <c r="W440" i="520" s="1"/>
  <c r="N440" i="520"/>
  <c r="K440" i="520"/>
  <c r="M440" i="520" s="1"/>
  <c r="K440" i="520" a="1"/>
  <c r="J440" i="520"/>
  <c r="J440" i="520" a="1"/>
  <c r="H440" i="520"/>
  <c r="V439" i="520"/>
  <c r="W439" i="520" s="1"/>
  <c r="N439" i="520"/>
  <c r="K439" i="520" a="1"/>
  <c r="K439" i="520" s="1"/>
  <c r="M439" i="520" s="1"/>
  <c r="J439" i="520" a="1"/>
  <c r="J439" i="520" s="1"/>
  <c r="H439" i="520"/>
  <c r="W438" i="520"/>
  <c r="V438" i="520"/>
  <c r="N438" i="520"/>
  <c r="K438" i="520" a="1"/>
  <c r="K438" i="520" s="1"/>
  <c r="M438" i="520" s="1"/>
  <c r="J438" i="520" a="1"/>
  <c r="J438" i="520" s="1"/>
  <c r="H438" i="520"/>
  <c r="V437" i="520"/>
  <c r="W437" i="520" s="1"/>
  <c r="N437" i="520"/>
  <c r="K437" i="520" a="1"/>
  <c r="K437" i="520" s="1"/>
  <c r="M437" i="520" s="1"/>
  <c r="J437" i="520" a="1"/>
  <c r="J437" i="520" s="1"/>
  <c r="H437" i="520"/>
  <c r="V436" i="520"/>
  <c r="W436" i="520" s="1"/>
  <c r="N436" i="520"/>
  <c r="K436" i="520"/>
  <c r="M436" i="520" s="1"/>
  <c r="K436" i="520" a="1"/>
  <c r="J436" i="520"/>
  <c r="J436" i="520" a="1"/>
  <c r="H436" i="520"/>
  <c r="V435" i="520"/>
  <c r="W435" i="520" s="1"/>
  <c r="N435" i="520"/>
  <c r="K435" i="520" a="1"/>
  <c r="K435" i="520" s="1"/>
  <c r="M435" i="520" s="1"/>
  <c r="J435" i="520" a="1"/>
  <c r="J435" i="520" s="1"/>
  <c r="H435" i="520"/>
  <c r="N434" i="520"/>
  <c r="K434" i="520" a="1"/>
  <c r="K434" i="520" s="1"/>
  <c r="M434" i="520" s="1"/>
  <c r="H434" i="520"/>
  <c r="V433" i="520"/>
  <c r="W433" i="520" s="1"/>
  <c r="N433" i="520"/>
  <c r="K433" i="520" a="1"/>
  <c r="K433" i="520" s="1"/>
  <c r="M433" i="520" s="1"/>
  <c r="J433" i="520" a="1"/>
  <c r="J433" i="520" s="1"/>
  <c r="H433" i="520"/>
  <c r="V432" i="520"/>
  <c r="W432" i="520" s="1"/>
  <c r="N432" i="520"/>
  <c r="K432" i="520" a="1"/>
  <c r="K432" i="520" s="1"/>
  <c r="M432" i="520" s="1"/>
  <c r="J432" i="520" a="1"/>
  <c r="J432" i="520" s="1"/>
  <c r="H432" i="520"/>
  <c r="V431" i="520"/>
  <c r="W431" i="520" s="1"/>
  <c r="N431" i="520"/>
  <c r="K431" i="520" a="1"/>
  <c r="K431" i="520" s="1"/>
  <c r="M431" i="520" s="1"/>
  <c r="J431" i="520" a="1"/>
  <c r="J431" i="520" s="1"/>
  <c r="H431" i="520"/>
  <c r="V430" i="520"/>
  <c r="W430" i="520" s="1"/>
  <c r="N430" i="520"/>
  <c r="K430" i="520" a="1"/>
  <c r="K430" i="520" s="1"/>
  <c r="M430" i="520" s="1"/>
  <c r="J430" i="520" a="1"/>
  <c r="J430" i="520" s="1"/>
  <c r="H430" i="520"/>
  <c r="V429" i="520"/>
  <c r="W429" i="520" s="1"/>
  <c r="N429" i="520"/>
  <c r="K429" i="520" a="1"/>
  <c r="K429" i="520" s="1"/>
  <c r="M429" i="520" s="1"/>
  <c r="J429" i="520" a="1"/>
  <c r="J429" i="520" s="1"/>
  <c r="H429" i="520"/>
  <c r="V428" i="520"/>
  <c r="W428" i="520" s="1"/>
  <c r="N428" i="520"/>
  <c r="K428" i="520"/>
  <c r="M428" i="520" s="1"/>
  <c r="K428" i="520" a="1"/>
  <c r="J428" i="520"/>
  <c r="J428" i="520" a="1"/>
  <c r="H428" i="520"/>
  <c r="V427" i="520"/>
  <c r="V461" i="520" s="1"/>
  <c r="W461" i="520" s="1"/>
  <c r="N427" i="520"/>
  <c r="K427" i="520" a="1"/>
  <c r="K427" i="520" s="1"/>
  <c r="J427" i="520" a="1"/>
  <c r="J427" i="520" s="1"/>
  <c r="H427" i="520"/>
  <c r="AA426" i="520"/>
  <c r="Z426" i="520"/>
  <c r="Y426" i="520"/>
  <c r="X426" i="520"/>
  <c r="U426" i="520"/>
  <c r="T426" i="520"/>
  <c r="S426" i="520"/>
  <c r="R426" i="520"/>
  <c r="Q426" i="520"/>
  <c r="P426" i="520"/>
  <c r="O426" i="520"/>
  <c r="R507" i="520" s="1"/>
  <c r="I426" i="520"/>
  <c r="G426" i="520"/>
  <c r="J426" i="520" s="1" a="1"/>
  <c r="J426" i="520" s="1"/>
  <c r="K425" i="520" a="1"/>
  <c r="K425" i="520" s="1"/>
  <c r="M425" i="520" s="1"/>
  <c r="H425" i="520"/>
  <c r="K424" i="520"/>
  <c r="M424" i="520" s="1"/>
  <c r="K424" i="520" a="1"/>
  <c r="H424" i="520"/>
  <c r="K423" i="520" a="1"/>
  <c r="K423" i="520" s="1"/>
  <c r="M423" i="520" s="1"/>
  <c r="H423" i="520"/>
  <c r="K422" i="520"/>
  <c r="M422" i="520" s="1"/>
  <c r="K422" i="520" a="1"/>
  <c r="H422" i="520"/>
  <c r="K421" i="520" a="1"/>
  <c r="K421" i="520" s="1"/>
  <c r="M421" i="520" s="1"/>
  <c r="H421" i="520"/>
  <c r="K420" i="520"/>
  <c r="M420" i="520" s="1"/>
  <c r="K420" i="520" a="1"/>
  <c r="H420" i="520"/>
  <c r="K419" i="520" a="1"/>
  <c r="K419" i="520" s="1"/>
  <c r="M419" i="520" s="1"/>
  <c r="H419" i="520"/>
  <c r="K418" i="520"/>
  <c r="M418" i="520" s="1"/>
  <c r="K418" i="520" a="1"/>
  <c r="H418" i="520"/>
  <c r="K417" i="520" a="1"/>
  <c r="K417" i="520" s="1"/>
  <c r="M417" i="520" s="1"/>
  <c r="H417" i="520"/>
  <c r="K416" i="520"/>
  <c r="M416" i="520" s="1"/>
  <c r="K416" i="520" a="1"/>
  <c r="H416" i="520"/>
  <c r="V415" i="520"/>
  <c r="W415" i="520" s="1"/>
  <c r="N415" i="520"/>
  <c r="K415" i="520" a="1"/>
  <c r="K415" i="520" s="1"/>
  <c r="M415" i="520" s="1"/>
  <c r="J415" i="520" a="1"/>
  <c r="J415" i="520" s="1"/>
  <c r="H415" i="520"/>
  <c r="V414" i="520"/>
  <c r="W414" i="520" s="1"/>
  <c r="N414" i="520"/>
  <c r="K414" i="520"/>
  <c r="M414" i="520" s="1"/>
  <c r="K414" i="520" a="1"/>
  <c r="J414" i="520"/>
  <c r="J414" i="520" a="1"/>
  <c r="H414" i="520"/>
  <c r="V413" i="520"/>
  <c r="W413" i="520" s="1"/>
  <c r="N413" i="520"/>
  <c r="K413" i="520" a="1"/>
  <c r="K413" i="520" s="1"/>
  <c r="M413" i="520" s="1"/>
  <c r="J413" i="520" a="1"/>
  <c r="J413" i="520" s="1"/>
  <c r="H413" i="520"/>
  <c r="V412" i="520"/>
  <c r="W412" i="520" s="1"/>
  <c r="N412" i="520"/>
  <c r="K412" i="520" a="1"/>
  <c r="K412" i="520" s="1"/>
  <c r="M412" i="520" s="1"/>
  <c r="J412" i="520" a="1"/>
  <c r="J412" i="520" s="1"/>
  <c r="H412" i="520"/>
  <c r="H411" i="520"/>
  <c r="V410" i="520"/>
  <c r="W410" i="520" s="1"/>
  <c r="N410" i="520"/>
  <c r="K410" i="520"/>
  <c r="M410" i="520" s="1"/>
  <c r="K410" i="520" a="1"/>
  <c r="J410" i="520"/>
  <c r="J410" i="520" a="1"/>
  <c r="H410" i="520"/>
  <c r="V409" i="520"/>
  <c r="W409" i="520" s="1"/>
  <c r="N409" i="520"/>
  <c r="K409" i="520" a="1"/>
  <c r="K409" i="520" s="1"/>
  <c r="M409" i="520" s="1"/>
  <c r="J409" i="520" a="1"/>
  <c r="J409" i="520" s="1"/>
  <c r="H409" i="520"/>
  <c r="H408" i="520"/>
  <c r="K407" i="520" a="1"/>
  <c r="K407" i="520" s="1"/>
  <c r="H407" i="520"/>
  <c r="V406" i="520"/>
  <c r="W406" i="520" s="1"/>
  <c r="N406" i="520"/>
  <c r="K406" i="520"/>
  <c r="M406" i="520" s="1"/>
  <c r="K406" i="520" a="1"/>
  <c r="J406" i="520"/>
  <c r="J406" i="520" a="1"/>
  <c r="H406" i="520"/>
  <c r="V405" i="520"/>
  <c r="W405" i="520" s="1"/>
  <c r="N405" i="520"/>
  <c r="K405" i="520" a="1"/>
  <c r="K405" i="520" s="1"/>
  <c r="M405" i="520" s="1"/>
  <c r="J405" i="520" a="1"/>
  <c r="J405" i="520" s="1"/>
  <c r="H405" i="520"/>
  <c r="V404" i="520"/>
  <c r="W404" i="520" s="1"/>
  <c r="N404" i="520"/>
  <c r="K404" i="520" a="1"/>
  <c r="K404" i="520" s="1"/>
  <c r="M404" i="520" s="1"/>
  <c r="J404" i="520" a="1"/>
  <c r="J404" i="520" s="1"/>
  <c r="H404" i="520"/>
  <c r="V403" i="520"/>
  <c r="W403" i="520" s="1"/>
  <c r="N403" i="520"/>
  <c r="K403" i="520" a="1"/>
  <c r="K403" i="520" s="1"/>
  <c r="M403" i="520" s="1"/>
  <c r="J403" i="520" a="1"/>
  <c r="J403" i="520" s="1"/>
  <c r="H403" i="520"/>
  <c r="V402" i="520"/>
  <c r="W402" i="520" s="1"/>
  <c r="N402" i="520"/>
  <c r="K402" i="520"/>
  <c r="M402" i="520" s="1"/>
  <c r="K402" i="520" a="1"/>
  <c r="J402" i="520"/>
  <c r="J402" i="520" a="1"/>
  <c r="H402" i="520"/>
  <c r="V401" i="520"/>
  <c r="W401" i="520" s="1"/>
  <c r="N401" i="520"/>
  <c r="K401" i="520" a="1"/>
  <c r="K401" i="520" s="1"/>
  <c r="M401" i="520" s="1"/>
  <c r="J401" i="520" a="1"/>
  <c r="J401" i="520" s="1"/>
  <c r="H401" i="520"/>
  <c r="V400" i="520"/>
  <c r="W400" i="520" s="1"/>
  <c r="N400" i="520"/>
  <c r="K400" i="520" a="1"/>
  <c r="K400" i="520" s="1"/>
  <c r="M400" i="520" s="1"/>
  <c r="J400" i="520" a="1"/>
  <c r="J400" i="520" s="1"/>
  <c r="H400" i="520"/>
  <c r="V399" i="520"/>
  <c r="W399" i="520" s="1"/>
  <c r="N399" i="520"/>
  <c r="K399" i="520" a="1"/>
  <c r="K399" i="520" s="1"/>
  <c r="M399" i="520" s="1"/>
  <c r="J399" i="520" a="1"/>
  <c r="J399" i="520" s="1"/>
  <c r="H399" i="520"/>
  <c r="V398" i="520"/>
  <c r="W398" i="520" s="1"/>
  <c r="N398" i="520"/>
  <c r="K398" i="520"/>
  <c r="M398" i="520" s="1"/>
  <c r="K398" i="520" a="1"/>
  <c r="J398" i="520"/>
  <c r="J398" i="520" a="1"/>
  <c r="H398" i="520"/>
  <c r="V397" i="520"/>
  <c r="W397" i="520" s="1"/>
  <c r="N397" i="520"/>
  <c r="K397" i="520" a="1"/>
  <c r="K397" i="520" s="1"/>
  <c r="M397" i="520" s="1"/>
  <c r="J397" i="520" a="1"/>
  <c r="J397" i="520" s="1"/>
  <c r="H397" i="520"/>
  <c r="K396" i="520" a="1"/>
  <c r="K396" i="520" s="1"/>
  <c r="M396" i="520" s="1"/>
  <c r="H396" i="520"/>
  <c r="K395" i="520" a="1"/>
  <c r="K395" i="520" s="1"/>
  <c r="M395" i="520" s="1"/>
  <c r="H395" i="520"/>
  <c r="K394" i="520" a="1"/>
  <c r="K394" i="520" s="1"/>
  <c r="M394" i="520" s="1"/>
  <c r="H394" i="520"/>
  <c r="K393" i="520" a="1"/>
  <c r="K393" i="520" s="1"/>
  <c r="M393" i="520" s="1"/>
  <c r="H393" i="520"/>
  <c r="N392" i="520"/>
  <c r="K392" i="520" a="1"/>
  <c r="K392" i="520" s="1"/>
  <c r="M392" i="520" s="1"/>
  <c r="H392" i="520"/>
  <c r="N391" i="520"/>
  <c r="K391" i="520" a="1"/>
  <c r="K391" i="520" s="1"/>
  <c r="M391" i="520" s="1"/>
  <c r="H391" i="520"/>
  <c r="N390" i="520"/>
  <c r="K390" i="520"/>
  <c r="M390" i="520" s="1"/>
  <c r="K390" i="520" a="1"/>
  <c r="H390" i="520"/>
  <c r="N389" i="520"/>
  <c r="K389" i="520" a="1"/>
  <c r="K389" i="520" s="1"/>
  <c r="M389" i="520" s="1"/>
  <c r="H389" i="520"/>
  <c r="W388" i="520"/>
  <c r="V388" i="520"/>
  <c r="N388" i="520"/>
  <c r="K388" i="520" a="1"/>
  <c r="K388" i="520" s="1"/>
  <c r="M388" i="520" s="1"/>
  <c r="J388" i="520" a="1"/>
  <c r="J388" i="520" s="1"/>
  <c r="H388" i="520"/>
  <c r="V387" i="520"/>
  <c r="W387" i="520" s="1"/>
  <c r="N387" i="520"/>
  <c r="K387" i="520" a="1"/>
  <c r="K387" i="520" s="1"/>
  <c r="M387" i="520" s="1"/>
  <c r="J387" i="520" a="1"/>
  <c r="J387" i="520" s="1"/>
  <c r="H387" i="520"/>
  <c r="V386" i="520"/>
  <c r="W386" i="520" s="1"/>
  <c r="N386" i="520"/>
  <c r="K386" i="520"/>
  <c r="M386" i="520" s="1"/>
  <c r="K386" i="520" a="1"/>
  <c r="J386" i="520"/>
  <c r="J386" i="520" a="1"/>
  <c r="H386" i="520"/>
  <c r="V385" i="520"/>
  <c r="W385" i="520" s="1"/>
  <c r="N385" i="520"/>
  <c r="K385" i="520" a="1"/>
  <c r="K385" i="520" s="1"/>
  <c r="M385" i="520" s="1"/>
  <c r="J385" i="520" a="1"/>
  <c r="J385" i="520" s="1"/>
  <c r="H385" i="520"/>
  <c r="V384" i="520"/>
  <c r="W384" i="520" s="1"/>
  <c r="N384" i="520"/>
  <c r="K384" i="520" a="1"/>
  <c r="K384" i="520" s="1"/>
  <c r="M384" i="520" s="1"/>
  <c r="J384" i="520" a="1"/>
  <c r="J384" i="520" s="1"/>
  <c r="H384" i="520"/>
  <c r="V383" i="520"/>
  <c r="W383" i="520" s="1"/>
  <c r="N383" i="520"/>
  <c r="K383" i="520" a="1"/>
  <c r="K383" i="520" s="1"/>
  <c r="M383" i="520" s="1"/>
  <c r="J383" i="520" a="1"/>
  <c r="J383" i="520" s="1"/>
  <c r="H383" i="520"/>
  <c r="V382" i="520"/>
  <c r="W382" i="520" s="1"/>
  <c r="N382" i="520"/>
  <c r="K382" i="520"/>
  <c r="M382" i="520" s="1"/>
  <c r="K382" i="520" a="1"/>
  <c r="J382" i="520"/>
  <c r="J382" i="520" a="1"/>
  <c r="H382" i="520"/>
  <c r="V381" i="520"/>
  <c r="W381" i="520" s="1"/>
  <c r="N381" i="520"/>
  <c r="K381" i="520" a="1"/>
  <c r="K381" i="520" s="1"/>
  <c r="M381" i="520" s="1"/>
  <c r="J381" i="520" a="1"/>
  <c r="J381" i="520" s="1"/>
  <c r="H381" i="520"/>
  <c r="V380" i="520"/>
  <c r="W380" i="520" s="1"/>
  <c r="N380" i="520"/>
  <c r="K380" i="520" a="1"/>
  <c r="K380" i="520" s="1"/>
  <c r="M380" i="520" s="1"/>
  <c r="J380" i="520" a="1"/>
  <c r="J380" i="520" s="1"/>
  <c r="H380" i="520"/>
  <c r="V379" i="520"/>
  <c r="W379" i="520" s="1"/>
  <c r="N379" i="520"/>
  <c r="K379" i="520" a="1"/>
  <c r="K379" i="520" s="1"/>
  <c r="M379" i="520" s="1"/>
  <c r="J379" i="520" a="1"/>
  <c r="J379" i="520" s="1"/>
  <c r="H379" i="520"/>
  <c r="V378" i="520"/>
  <c r="W378" i="520" s="1"/>
  <c r="N378" i="520"/>
  <c r="K378" i="520"/>
  <c r="M378" i="520" s="1"/>
  <c r="K378" i="520" a="1"/>
  <c r="J378" i="520"/>
  <c r="J378" i="520" a="1"/>
  <c r="H378" i="520"/>
  <c r="V377" i="520"/>
  <c r="W377" i="520" s="1"/>
  <c r="N377" i="520"/>
  <c r="K377" i="520" a="1"/>
  <c r="K377" i="520" s="1"/>
  <c r="M377" i="520" s="1"/>
  <c r="J377" i="520" a="1"/>
  <c r="J377" i="520" s="1"/>
  <c r="H377" i="520"/>
  <c r="K376" i="520" a="1"/>
  <c r="K376" i="520" s="1"/>
  <c r="M376" i="520" s="1"/>
  <c r="H376" i="520"/>
  <c r="K375" i="520" a="1"/>
  <c r="K375" i="520" s="1"/>
  <c r="M375" i="520" s="1"/>
  <c r="H375" i="520"/>
  <c r="K374" i="520" a="1"/>
  <c r="K374" i="520" s="1"/>
  <c r="M374" i="520" s="1"/>
  <c r="H374" i="520"/>
  <c r="V373" i="520"/>
  <c r="W373" i="520" s="1"/>
  <c r="N373" i="520"/>
  <c r="K373" i="520" a="1"/>
  <c r="K373" i="520" s="1"/>
  <c r="M373" i="520" s="1"/>
  <c r="J373" i="520" a="1"/>
  <c r="J373" i="520" s="1"/>
  <c r="H373" i="520"/>
  <c r="V372" i="520"/>
  <c r="W372" i="520" s="1"/>
  <c r="N372" i="520"/>
  <c r="K372" i="520" a="1"/>
  <c r="K372" i="520" s="1"/>
  <c r="M372" i="520" s="1"/>
  <c r="J372" i="520" a="1"/>
  <c r="J372" i="520" s="1"/>
  <c r="H372" i="520"/>
  <c r="V371" i="520"/>
  <c r="W371" i="520" s="1"/>
  <c r="N371" i="520"/>
  <c r="K371" i="520"/>
  <c r="M371" i="520" s="1"/>
  <c r="K371" i="520" a="1"/>
  <c r="J371" i="520"/>
  <c r="J371" i="520" a="1"/>
  <c r="H371" i="520"/>
  <c r="K370" i="520" a="1"/>
  <c r="K370" i="520" s="1"/>
  <c r="H370" i="520"/>
  <c r="V369" i="520"/>
  <c r="V426" i="520" s="1"/>
  <c r="W426" i="520" s="1"/>
  <c r="N369" i="520"/>
  <c r="K369" i="520"/>
  <c r="K369" i="520" a="1"/>
  <c r="J369" i="520"/>
  <c r="J369" i="520" a="1"/>
  <c r="H369" i="520"/>
  <c r="H426" i="520" s="1"/>
  <c r="AA368" i="520"/>
  <c r="AA504" i="520" s="1"/>
  <c r="Z368" i="520"/>
  <c r="Z504" i="520" s="1"/>
  <c r="Y368" i="520"/>
  <c r="Y504" i="520" s="1"/>
  <c r="X368" i="520"/>
  <c r="X504" i="520" s="1"/>
  <c r="U368" i="520"/>
  <c r="U504" i="520" s="1"/>
  <c r="T368" i="520"/>
  <c r="T504" i="520" s="1"/>
  <c r="S368" i="520"/>
  <c r="S504" i="520" s="1"/>
  <c r="R368" i="520"/>
  <c r="R504" i="520" s="1"/>
  <c r="Q368" i="520"/>
  <c r="Q504" i="520" s="1"/>
  <c r="P368" i="520"/>
  <c r="P504" i="520" s="1"/>
  <c r="O368" i="520"/>
  <c r="I368" i="520"/>
  <c r="I504" i="520" s="1"/>
  <c r="B512" i="520" s="1"/>
  <c r="G368" i="520"/>
  <c r="G504" i="520" s="1"/>
  <c r="V367" i="520"/>
  <c r="W367" i="520" s="1"/>
  <c r="N367" i="520"/>
  <c r="K367" i="520" a="1"/>
  <c r="K367" i="520" s="1"/>
  <c r="M367" i="520" s="1"/>
  <c r="J367" i="520" a="1"/>
  <c r="J367" i="520" s="1"/>
  <c r="H367" i="520"/>
  <c r="V366" i="520"/>
  <c r="W366" i="520" s="1"/>
  <c r="N366" i="520"/>
  <c r="K366" i="520"/>
  <c r="M366" i="520" s="1"/>
  <c r="K366" i="520" a="1"/>
  <c r="J366" i="520"/>
  <c r="J366" i="520" a="1"/>
  <c r="H366" i="520"/>
  <c r="K365" i="520" a="1"/>
  <c r="K365" i="520" s="1"/>
  <c r="M365" i="520" s="1"/>
  <c r="H365" i="520"/>
  <c r="K364" i="520"/>
  <c r="M364" i="520" s="1"/>
  <c r="K364" i="520" a="1"/>
  <c r="H364" i="520"/>
  <c r="K363" i="520" a="1"/>
  <c r="K363" i="520" s="1"/>
  <c r="M363" i="520" s="1"/>
  <c r="H363" i="520"/>
  <c r="K362" i="520" a="1"/>
  <c r="K362" i="520" s="1"/>
  <c r="M362" i="520" s="1"/>
  <c r="H362" i="520"/>
  <c r="V361" i="520"/>
  <c r="W361" i="520" s="1"/>
  <c r="N361" i="520"/>
  <c r="K361" i="520"/>
  <c r="M361" i="520" s="1"/>
  <c r="K361" i="520" a="1"/>
  <c r="J361" i="520"/>
  <c r="J361" i="520" a="1"/>
  <c r="H361" i="520"/>
  <c r="V360" i="520"/>
  <c r="W360" i="520" s="1"/>
  <c r="N360" i="520"/>
  <c r="K360" i="520" a="1"/>
  <c r="K360" i="520" s="1"/>
  <c r="M360" i="520" s="1"/>
  <c r="J360" i="520" a="1"/>
  <c r="J360" i="520" s="1"/>
  <c r="H360" i="520"/>
  <c r="V359" i="520"/>
  <c r="W359" i="520" s="1"/>
  <c r="N359" i="520"/>
  <c r="K359" i="520" a="1"/>
  <c r="K359" i="520" s="1"/>
  <c r="M359" i="520" s="1"/>
  <c r="J359" i="520" a="1"/>
  <c r="J359" i="520" s="1"/>
  <c r="H359" i="520"/>
  <c r="H358" i="520"/>
  <c r="H357" i="520"/>
  <c r="V356" i="520"/>
  <c r="W356" i="520" s="1"/>
  <c r="N356" i="520"/>
  <c r="K356" i="520" a="1"/>
  <c r="K356" i="520" s="1"/>
  <c r="M356" i="520" s="1"/>
  <c r="J356" i="520" a="1"/>
  <c r="J356" i="520" s="1"/>
  <c r="H356" i="520"/>
  <c r="V355" i="520"/>
  <c r="W355" i="520" s="1"/>
  <c r="N355" i="520"/>
  <c r="K355" i="520"/>
  <c r="M355" i="520" s="1"/>
  <c r="K355" i="520" a="1"/>
  <c r="J355" i="520" a="1"/>
  <c r="J355" i="520" s="1"/>
  <c r="H355" i="520"/>
  <c r="K354" i="520" a="1"/>
  <c r="K354" i="520" s="1"/>
  <c r="M354" i="520" s="1"/>
  <c r="H354" i="520"/>
  <c r="K353" i="520" a="1"/>
  <c r="K353" i="520" s="1"/>
  <c r="M353" i="520" s="1"/>
  <c r="H353" i="520"/>
  <c r="V352" i="520"/>
  <c r="W352" i="520" s="1"/>
  <c r="N352" i="520"/>
  <c r="K352" i="520" a="1"/>
  <c r="K352" i="520" s="1"/>
  <c r="M352" i="520" s="1"/>
  <c r="J352" i="520" a="1"/>
  <c r="J352" i="520" s="1"/>
  <c r="H352" i="520"/>
  <c r="V351" i="520"/>
  <c r="W351" i="520" s="1"/>
  <c r="N351" i="520"/>
  <c r="K351" i="520" a="1"/>
  <c r="K351" i="520" s="1"/>
  <c r="M351" i="520" s="1"/>
  <c r="J351" i="520" a="1"/>
  <c r="J351" i="520" s="1"/>
  <c r="H351" i="520"/>
  <c r="V350" i="520"/>
  <c r="W350" i="520" s="1"/>
  <c r="N350" i="520"/>
  <c r="K350" i="520"/>
  <c r="M350" i="520" s="1"/>
  <c r="K350" i="520" a="1"/>
  <c r="J350" i="520"/>
  <c r="J350" i="520" a="1"/>
  <c r="H350" i="520"/>
  <c r="V349" i="520"/>
  <c r="W349" i="520" s="1"/>
  <c r="N349" i="520"/>
  <c r="K349" i="520" a="1"/>
  <c r="K349" i="520" s="1"/>
  <c r="M349" i="520" s="1"/>
  <c r="J349" i="520" a="1"/>
  <c r="J349" i="520" s="1"/>
  <c r="H349" i="520"/>
  <c r="V348" i="520"/>
  <c r="W348" i="520" s="1"/>
  <c r="N348" i="520"/>
  <c r="K348" i="520" a="1"/>
  <c r="K348" i="520" s="1"/>
  <c r="M348" i="520" s="1"/>
  <c r="J348" i="520" a="1"/>
  <c r="J348" i="520" s="1"/>
  <c r="H348" i="520"/>
  <c r="V347" i="520"/>
  <c r="N347" i="520"/>
  <c r="K347" i="520" a="1"/>
  <c r="K347" i="520" s="1"/>
  <c r="J347" i="520" a="1"/>
  <c r="J347" i="520" s="1"/>
  <c r="H347" i="520"/>
  <c r="X341" i="520"/>
  <c r="X340" i="520"/>
  <c r="X339" i="520"/>
  <c r="G339" i="520"/>
  <c r="C339" i="520"/>
  <c r="X338" i="520"/>
  <c r="I338" i="520"/>
  <c r="E338" i="520"/>
  <c r="K338" i="520" s="1"/>
  <c r="M338" i="520" s="1"/>
  <c r="I337" i="520"/>
  <c r="E337" i="520"/>
  <c r="K337" i="520" s="1"/>
  <c r="M337" i="520" s="1"/>
  <c r="I336" i="520"/>
  <c r="E336" i="520"/>
  <c r="K336" i="520" s="1"/>
  <c r="M336" i="520" s="1"/>
  <c r="X335" i="520"/>
  <c r="I335" i="520"/>
  <c r="I339" i="520" s="1"/>
  <c r="E335" i="520"/>
  <c r="E339" i="520" s="1"/>
  <c r="AA332" i="520"/>
  <c r="Z332" i="520"/>
  <c r="Y332" i="520"/>
  <c r="X332" i="520"/>
  <c r="U332" i="520"/>
  <c r="T332" i="520"/>
  <c r="S332" i="520"/>
  <c r="R332" i="520"/>
  <c r="Q332" i="520"/>
  <c r="P332" i="520"/>
  <c r="O332" i="520"/>
  <c r="R340" i="520" s="1"/>
  <c r="I332" i="520"/>
  <c r="G332" i="520"/>
  <c r="K331" i="520" a="1"/>
  <c r="K331" i="520" s="1"/>
  <c r="H331" i="520"/>
  <c r="K330" i="520" a="1"/>
  <c r="K330" i="520" s="1"/>
  <c r="H330" i="520"/>
  <c r="K329" i="520"/>
  <c r="K329" i="520" a="1"/>
  <c r="H329" i="520"/>
  <c r="V328" i="520"/>
  <c r="W328" i="520" s="1"/>
  <c r="N328" i="520"/>
  <c r="K328" i="520" a="1"/>
  <c r="K328" i="520" s="1"/>
  <c r="H328" i="520"/>
  <c r="D328" i="520"/>
  <c r="H327" i="520"/>
  <c r="H326" i="520"/>
  <c r="H325" i="520"/>
  <c r="V324" i="520"/>
  <c r="W324" i="520" s="1"/>
  <c r="N324" i="520"/>
  <c r="K324" i="520" a="1"/>
  <c r="K324" i="520" s="1"/>
  <c r="M324" i="520" s="1"/>
  <c r="J324" i="520" a="1"/>
  <c r="J324" i="520" s="1"/>
  <c r="H324" i="520"/>
  <c r="V323" i="520"/>
  <c r="W323" i="520" s="1"/>
  <c r="N323" i="520"/>
  <c r="K323" i="520"/>
  <c r="M323" i="520" s="1"/>
  <c r="K323" i="520" a="1"/>
  <c r="J323" i="520" a="1"/>
  <c r="J323" i="520" s="1"/>
  <c r="H323" i="520"/>
  <c r="H322" i="520"/>
  <c r="V321" i="520"/>
  <c r="W321" i="520" s="1"/>
  <c r="N321" i="520"/>
  <c r="K321" i="520" a="1"/>
  <c r="K321" i="520" s="1"/>
  <c r="M321" i="520" s="1"/>
  <c r="J321" i="520" a="1"/>
  <c r="J321" i="520" s="1"/>
  <c r="H321" i="520"/>
  <c r="V320" i="520"/>
  <c r="W320" i="520" s="1"/>
  <c r="N320" i="520"/>
  <c r="K320" i="520" a="1"/>
  <c r="K320" i="520" s="1"/>
  <c r="M320" i="520" s="1"/>
  <c r="J320" i="520" a="1"/>
  <c r="J320" i="520" s="1"/>
  <c r="H320" i="520"/>
  <c r="V319" i="520"/>
  <c r="W319" i="520" s="1"/>
  <c r="N319" i="520"/>
  <c r="K319" i="520"/>
  <c r="M319" i="520" s="1"/>
  <c r="K319" i="520" a="1"/>
  <c r="J319" i="520"/>
  <c r="J319" i="520" a="1"/>
  <c r="H319" i="520"/>
  <c r="V318" i="520"/>
  <c r="W318" i="520" s="1"/>
  <c r="N318" i="520"/>
  <c r="N332" i="520" s="1"/>
  <c r="K318" i="520" a="1"/>
  <c r="K318" i="520" s="1"/>
  <c r="J318" i="520" a="1"/>
  <c r="J318" i="520" s="1"/>
  <c r="H318" i="520"/>
  <c r="H332" i="520" s="1"/>
  <c r="AA317" i="520"/>
  <c r="Z317" i="520"/>
  <c r="Y317" i="520"/>
  <c r="X317" i="520"/>
  <c r="U317" i="520"/>
  <c r="T317" i="520"/>
  <c r="S317" i="520"/>
  <c r="Q317" i="520"/>
  <c r="P317" i="520"/>
  <c r="O317" i="520"/>
  <c r="R339" i="520" s="1"/>
  <c r="I317" i="520"/>
  <c r="G317" i="520"/>
  <c r="J317" i="520" s="1" a="1"/>
  <c r="J317" i="520" s="1"/>
  <c r="V316" i="520"/>
  <c r="W316" i="520" s="1"/>
  <c r="N316" i="520"/>
  <c r="K316" i="520" a="1"/>
  <c r="K316" i="520" s="1"/>
  <c r="M316" i="520" s="1"/>
  <c r="J316" i="520" a="1"/>
  <c r="J316" i="520" s="1"/>
  <c r="H316" i="520"/>
  <c r="V312" i="520"/>
  <c r="W312" i="520" s="1"/>
  <c r="N312" i="520"/>
  <c r="K312" i="520" a="1"/>
  <c r="K312" i="520" s="1"/>
  <c r="M312" i="520" s="1"/>
  <c r="J312" i="520" a="1"/>
  <c r="J312" i="520" s="1"/>
  <c r="H312" i="520"/>
  <c r="V311" i="520"/>
  <c r="W311" i="520" s="1"/>
  <c r="N311" i="520"/>
  <c r="K311" i="520"/>
  <c r="M311" i="520" s="1"/>
  <c r="K311" i="520" a="1"/>
  <c r="J311" i="520"/>
  <c r="J311" i="520" a="1"/>
  <c r="H311" i="520"/>
  <c r="V310" i="520"/>
  <c r="W310" i="520" s="1"/>
  <c r="N310" i="520"/>
  <c r="K310" i="520" a="1"/>
  <c r="K310" i="520" s="1"/>
  <c r="M310" i="520" s="1"/>
  <c r="J310" i="520" a="1"/>
  <c r="J310" i="520" s="1"/>
  <c r="H310" i="520"/>
  <c r="V309" i="520"/>
  <c r="W309" i="520" s="1"/>
  <c r="N309" i="520"/>
  <c r="K309" i="520" a="1"/>
  <c r="K309" i="520" s="1"/>
  <c r="M309" i="520" s="1"/>
  <c r="J309" i="520" a="1"/>
  <c r="J309" i="520" s="1"/>
  <c r="H309" i="520"/>
  <c r="V308" i="520"/>
  <c r="V317" i="520" s="1"/>
  <c r="W317" i="520" s="1"/>
  <c r="N308" i="520"/>
  <c r="N317" i="520" s="1"/>
  <c r="K308" i="520" a="1"/>
  <c r="K308" i="520" s="1"/>
  <c r="J308" i="520" a="1"/>
  <c r="J308" i="520" s="1"/>
  <c r="H308" i="520"/>
  <c r="H317" i="520" s="1"/>
  <c r="AA307" i="520"/>
  <c r="Z307" i="520"/>
  <c r="Y307" i="520"/>
  <c r="X307" i="520"/>
  <c r="U307" i="520"/>
  <c r="T307" i="520"/>
  <c r="S307" i="520"/>
  <c r="Q307" i="520"/>
  <c r="P307" i="520"/>
  <c r="O307" i="520"/>
  <c r="R338" i="520" s="1"/>
  <c r="I307" i="520"/>
  <c r="G307" i="520"/>
  <c r="J307" i="520" s="1" a="1"/>
  <c r="J307" i="520" s="1"/>
  <c r="V306" i="520"/>
  <c r="W306" i="520" s="1"/>
  <c r="N306" i="520"/>
  <c r="K306" i="520" a="1"/>
  <c r="K306" i="520" s="1"/>
  <c r="M306" i="520" s="1"/>
  <c r="J306" i="520" a="1"/>
  <c r="J306" i="520" s="1"/>
  <c r="H306" i="520"/>
  <c r="V305" i="520"/>
  <c r="W305" i="520" s="1"/>
  <c r="N305" i="520"/>
  <c r="K305" i="520" a="1"/>
  <c r="K305" i="520" s="1"/>
  <c r="M305" i="520" s="1"/>
  <c r="J305" i="520" a="1"/>
  <c r="J305" i="520" s="1"/>
  <c r="H305" i="520"/>
  <c r="V304" i="520"/>
  <c r="W304" i="520" s="1"/>
  <c r="N304" i="520"/>
  <c r="K304" i="520"/>
  <c r="M304" i="520" s="1"/>
  <c r="K304" i="520" a="1"/>
  <c r="J304" i="520"/>
  <c r="J304" i="520" a="1"/>
  <c r="H304" i="520"/>
  <c r="V303" i="520"/>
  <c r="W303" i="520" s="1"/>
  <c r="N303" i="520"/>
  <c r="K303" i="520" a="1"/>
  <c r="K303" i="520" s="1"/>
  <c r="M303" i="520" s="1"/>
  <c r="J303" i="520" a="1"/>
  <c r="J303" i="520" s="1"/>
  <c r="H303" i="520"/>
  <c r="V302" i="520"/>
  <c r="W302" i="520" s="1"/>
  <c r="N302" i="520"/>
  <c r="K302" i="520" a="1"/>
  <c r="K302" i="520" s="1"/>
  <c r="M302" i="520" s="1"/>
  <c r="J302" i="520" a="1"/>
  <c r="J302" i="520" s="1"/>
  <c r="H302" i="520"/>
  <c r="V301" i="520"/>
  <c r="W301" i="520" s="1"/>
  <c r="N301" i="520"/>
  <c r="K301" i="520" a="1"/>
  <c r="K301" i="520" s="1"/>
  <c r="M301" i="520" s="1"/>
  <c r="J301" i="520" a="1"/>
  <c r="J301" i="520" s="1"/>
  <c r="H301" i="520"/>
  <c r="V300" i="520"/>
  <c r="W300" i="520" s="1"/>
  <c r="N300" i="520"/>
  <c r="K300" i="520"/>
  <c r="M300" i="520" s="1"/>
  <c r="K300" i="520" a="1"/>
  <c r="J300" i="520"/>
  <c r="J300" i="520" a="1"/>
  <c r="H300" i="520"/>
  <c r="V299" i="520"/>
  <c r="W299" i="520" s="1"/>
  <c r="N299" i="520"/>
  <c r="K299" i="520" a="1"/>
  <c r="K299" i="520" s="1"/>
  <c r="M299" i="520" s="1"/>
  <c r="J299" i="520" a="1"/>
  <c r="J299" i="520" s="1"/>
  <c r="H299" i="520"/>
  <c r="W298" i="520"/>
  <c r="V298" i="520"/>
  <c r="N298" i="520"/>
  <c r="K298" i="520" a="1"/>
  <c r="K298" i="520" s="1"/>
  <c r="M298" i="520" s="1"/>
  <c r="J298" i="520" a="1"/>
  <c r="J298" i="520" s="1"/>
  <c r="H298" i="520"/>
  <c r="V297" i="520"/>
  <c r="W297" i="520" s="1"/>
  <c r="N297" i="520"/>
  <c r="K297" i="520" a="1"/>
  <c r="K297" i="520" s="1"/>
  <c r="M297" i="520" s="1"/>
  <c r="J297" i="520" a="1"/>
  <c r="J297" i="520" s="1"/>
  <c r="H297" i="520"/>
  <c r="V296" i="520"/>
  <c r="W296" i="520" s="1"/>
  <c r="N296" i="520"/>
  <c r="K296" i="520"/>
  <c r="M296" i="520" s="1"/>
  <c r="K296" i="520" a="1"/>
  <c r="J296" i="520"/>
  <c r="J296" i="520" a="1"/>
  <c r="H296" i="520"/>
  <c r="V295" i="520"/>
  <c r="W295" i="520" s="1"/>
  <c r="N295" i="520"/>
  <c r="K295" i="520" a="1"/>
  <c r="K295" i="520" s="1"/>
  <c r="M295" i="520" s="1"/>
  <c r="J295" i="520" a="1"/>
  <c r="J295" i="520" s="1"/>
  <c r="H295" i="520"/>
  <c r="V294" i="520"/>
  <c r="W294" i="520" s="1"/>
  <c r="N294" i="520"/>
  <c r="K294" i="520" a="1"/>
  <c r="K294" i="520" s="1"/>
  <c r="M294" i="520" s="1"/>
  <c r="J294" i="520" a="1"/>
  <c r="J294" i="520" s="1"/>
  <c r="H294" i="520"/>
  <c r="V293" i="520"/>
  <c r="W293" i="520" s="1"/>
  <c r="N293" i="520"/>
  <c r="K293" i="520" a="1"/>
  <c r="K293" i="520" s="1"/>
  <c r="M293" i="520" s="1"/>
  <c r="J293" i="520" a="1"/>
  <c r="J293" i="520" s="1"/>
  <c r="H293" i="520"/>
  <c r="V292" i="520"/>
  <c r="V307" i="520" s="1"/>
  <c r="W307" i="520" s="1"/>
  <c r="N292" i="520"/>
  <c r="K292" i="520"/>
  <c r="M292" i="520" s="1"/>
  <c r="K292" i="520" a="1"/>
  <c r="J292" i="520"/>
  <c r="J292" i="520" a="1"/>
  <c r="H292" i="520"/>
  <c r="H307" i="520" s="1"/>
  <c r="AA291" i="520"/>
  <c r="Z291" i="520"/>
  <c r="Y291" i="520"/>
  <c r="X291" i="520"/>
  <c r="U291" i="520"/>
  <c r="T291" i="520"/>
  <c r="S291" i="520"/>
  <c r="R291" i="520"/>
  <c r="Q291" i="520"/>
  <c r="P291" i="520"/>
  <c r="O291" i="520"/>
  <c r="R337" i="520" s="1"/>
  <c r="I291" i="520"/>
  <c r="G291" i="520"/>
  <c r="V290" i="520"/>
  <c r="W290" i="520" s="1"/>
  <c r="N290" i="520"/>
  <c r="K290" i="520" a="1"/>
  <c r="K290" i="520" s="1"/>
  <c r="M290" i="520" s="1"/>
  <c r="J290" i="520" a="1"/>
  <c r="J290" i="520" s="1"/>
  <c r="H290" i="520"/>
  <c r="V289" i="520"/>
  <c r="W289" i="520" s="1"/>
  <c r="N289" i="520"/>
  <c r="K289" i="520" a="1"/>
  <c r="K289" i="520" s="1"/>
  <c r="M289" i="520" s="1"/>
  <c r="J289" i="520" a="1"/>
  <c r="J289" i="520" s="1"/>
  <c r="H289" i="520"/>
  <c r="V288" i="520"/>
  <c r="W288" i="520" s="1"/>
  <c r="N288" i="520"/>
  <c r="K288" i="520" a="1"/>
  <c r="K288" i="520" s="1"/>
  <c r="M288" i="520" s="1"/>
  <c r="J288" i="520" a="1"/>
  <c r="J288" i="520" s="1"/>
  <c r="H288" i="520"/>
  <c r="H287" i="520"/>
  <c r="H286" i="520"/>
  <c r="H285" i="520"/>
  <c r="V284" i="520"/>
  <c r="W284" i="520" s="1"/>
  <c r="N284" i="520"/>
  <c r="K284" i="520" a="1"/>
  <c r="K284" i="520" s="1"/>
  <c r="M284" i="520" s="1"/>
  <c r="J284" i="520" a="1"/>
  <c r="J284" i="520" s="1"/>
  <c r="H284" i="520"/>
  <c r="V283" i="520"/>
  <c r="W283" i="520" s="1"/>
  <c r="N283" i="520"/>
  <c r="K283" i="520"/>
  <c r="M283" i="520" s="1"/>
  <c r="K283" i="520" a="1"/>
  <c r="J283" i="520"/>
  <c r="J283" i="520" a="1"/>
  <c r="H283" i="520"/>
  <c r="N282" i="520"/>
  <c r="K282" i="520" a="1"/>
  <c r="K282" i="520" s="1"/>
  <c r="M282" i="520" s="1"/>
  <c r="H282" i="520"/>
  <c r="N281" i="520"/>
  <c r="K281" i="520" a="1"/>
  <c r="K281" i="520" s="1"/>
  <c r="M281" i="520" s="1"/>
  <c r="H281" i="520"/>
  <c r="N280" i="520"/>
  <c r="K280" i="520" a="1"/>
  <c r="K280" i="520" s="1"/>
  <c r="M280" i="520" s="1"/>
  <c r="H280" i="520"/>
  <c r="N279" i="520"/>
  <c r="K279" i="520" a="1"/>
  <c r="K279" i="520" s="1"/>
  <c r="M279" i="520" s="1"/>
  <c r="H279" i="520"/>
  <c r="N278" i="520"/>
  <c r="K278" i="520" a="1"/>
  <c r="K278" i="520" s="1"/>
  <c r="M278" i="520" s="1"/>
  <c r="H278" i="520"/>
  <c r="N277" i="520"/>
  <c r="K277" i="520" a="1"/>
  <c r="K277" i="520" s="1"/>
  <c r="M277" i="520" s="1"/>
  <c r="H277" i="520"/>
  <c r="V276" i="520"/>
  <c r="W276" i="520" s="1"/>
  <c r="N276" i="520"/>
  <c r="K276" i="520" a="1"/>
  <c r="K276" i="520" s="1"/>
  <c r="M276" i="520" s="1"/>
  <c r="J276" i="520" a="1"/>
  <c r="J276" i="520" s="1"/>
  <c r="H276" i="520"/>
  <c r="V275" i="520"/>
  <c r="W275" i="520" s="1"/>
  <c r="N275" i="520"/>
  <c r="K275" i="520"/>
  <c r="M275" i="520" s="1"/>
  <c r="K275" i="520" a="1"/>
  <c r="J275" i="520"/>
  <c r="J275" i="520" a="1"/>
  <c r="H275" i="520"/>
  <c r="V274" i="520"/>
  <c r="W274" i="520" s="1"/>
  <c r="N274" i="520"/>
  <c r="K274" i="520" a="1"/>
  <c r="K274" i="520" s="1"/>
  <c r="M274" i="520" s="1"/>
  <c r="J274" i="520" a="1"/>
  <c r="J274" i="520" s="1"/>
  <c r="H274" i="520"/>
  <c r="V273" i="520"/>
  <c r="W273" i="520" s="1"/>
  <c r="N273" i="520"/>
  <c r="K273" i="520" a="1"/>
  <c r="K273" i="520" s="1"/>
  <c r="M273" i="520" s="1"/>
  <c r="J273" i="520" a="1"/>
  <c r="J273" i="520" s="1"/>
  <c r="H273" i="520"/>
  <c r="V272" i="520"/>
  <c r="W272" i="520" s="1"/>
  <c r="N272" i="520"/>
  <c r="K272" i="520" a="1"/>
  <c r="K272" i="520" s="1"/>
  <c r="M272" i="520" s="1"/>
  <c r="J272" i="520" a="1"/>
  <c r="J272" i="520" s="1"/>
  <c r="H272" i="520"/>
  <c r="V271" i="520"/>
  <c r="W271" i="520" s="1"/>
  <c r="N271" i="520"/>
  <c r="K271" i="520"/>
  <c r="M271" i="520" s="1"/>
  <c r="K271" i="520" a="1"/>
  <c r="J271" i="520"/>
  <c r="J271" i="520" a="1"/>
  <c r="H271" i="520"/>
  <c r="V270" i="520"/>
  <c r="W270" i="520" s="1"/>
  <c r="N270" i="520"/>
  <c r="K270" i="520" a="1"/>
  <c r="K270" i="520" s="1"/>
  <c r="M270" i="520" s="1"/>
  <c r="J270" i="520" a="1"/>
  <c r="J270" i="520" s="1"/>
  <c r="H270" i="520"/>
  <c r="V269" i="520"/>
  <c r="W269" i="520" s="1"/>
  <c r="N269" i="520"/>
  <c r="K269" i="520" a="1"/>
  <c r="K269" i="520" s="1"/>
  <c r="M269" i="520" s="1"/>
  <c r="J269" i="520" a="1"/>
  <c r="J269" i="520" s="1"/>
  <c r="H269" i="520"/>
  <c r="V268" i="520"/>
  <c r="W268" i="520" s="1"/>
  <c r="N268" i="520"/>
  <c r="K268" i="520" a="1"/>
  <c r="K268" i="520" s="1"/>
  <c r="M268" i="520" s="1"/>
  <c r="J268" i="520" a="1"/>
  <c r="J268" i="520" s="1"/>
  <c r="H268" i="520"/>
  <c r="V267" i="520"/>
  <c r="W267" i="520" s="1"/>
  <c r="N267" i="520"/>
  <c r="K267" i="520"/>
  <c r="M267" i="520" s="1"/>
  <c r="K267" i="520" a="1"/>
  <c r="J267" i="520"/>
  <c r="J267" i="520" a="1"/>
  <c r="H267" i="520"/>
  <c r="V266" i="520"/>
  <c r="W266" i="520" s="1"/>
  <c r="N266" i="520"/>
  <c r="K266" i="520" a="1"/>
  <c r="K266" i="520" s="1"/>
  <c r="M266" i="520" s="1"/>
  <c r="J266" i="520" a="1"/>
  <c r="J266" i="520" s="1"/>
  <c r="H266" i="520"/>
  <c r="W265" i="520"/>
  <c r="V265" i="520"/>
  <c r="N265" i="520"/>
  <c r="K265" i="520" a="1"/>
  <c r="K265" i="520" s="1"/>
  <c r="M265" i="520" s="1"/>
  <c r="J265" i="520" a="1"/>
  <c r="J265" i="520" s="1"/>
  <c r="H265" i="520"/>
  <c r="N264" i="520"/>
  <c r="K264" i="520" a="1"/>
  <c r="K264" i="520" s="1"/>
  <c r="M264" i="520" s="1"/>
  <c r="H264" i="520"/>
  <c r="V263" i="520"/>
  <c r="W263" i="520" s="1"/>
  <c r="N263" i="520"/>
  <c r="K263" i="520" a="1"/>
  <c r="K263" i="520" s="1"/>
  <c r="M263" i="520" s="1"/>
  <c r="J263" i="520" a="1"/>
  <c r="J263" i="520" s="1"/>
  <c r="H263" i="520"/>
  <c r="V262" i="520"/>
  <c r="W262" i="520" s="1"/>
  <c r="N262" i="520"/>
  <c r="K262" i="520" a="1"/>
  <c r="K262" i="520" s="1"/>
  <c r="M262" i="520" s="1"/>
  <c r="J262" i="520" a="1"/>
  <c r="J262" i="520" s="1"/>
  <c r="H262" i="520"/>
  <c r="V261" i="520"/>
  <c r="W261" i="520" s="1"/>
  <c r="N261" i="520"/>
  <c r="K261" i="520" a="1"/>
  <c r="K261" i="520" s="1"/>
  <c r="M261" i="520" s="1"/>
  <c r="J261" i="520" a="1"/>
  <c r="J261" i="520" s="1"/>
  <c r="H261" i="520"/>
  <c r="V260" i="520"/>
  <c r="W260" i="520" s="1"/>
  <c r="N260" i="520"/>
  <c r="K260" i="520" a="1"/>
  <c r="K260" i="520" s="1"/>
  <c r="M260" i="520" s="1"/>
  <c r="J260" i="520" a="1"/>
  <c r="J260" i="520" s="1"/>
  <c r="H260" i="520"/>
  <c r="V259" i="520"/>
  <c r="W259" i="520" s="1"/>
  <c r="N259" i="520"/>
  <c r="K259" i="520"/>
  <c r="M259" i="520" s="1"/>
  <c r="K259" i="520" a="1"/>
  <c r="J259" i="520"/>
  <c r="J259" i="520" a="1"/>
  <c r="H259" i="520"/>
  <c r="V258" i="520"/>
  <c r="W258" i="520" s="1"/>
  <c r="N258" i="520"/>
  <c r="K258" i="520" a="1"/>
  <c r="K258" i="520" s="1"/>
  <c r="M258" i="520" s="1"/>
  <c r="J258" i="520" a="1"/>
  <c r="J258" i="520" s="1"/>
  <c r="H258" i="520"/>
  <c r="V257" i="520"/>
  <c r="V291" i="520" s="1"/>
  <c r="W291" i="520" s="1"/>
  <c r="N257" i="520"/>
  <c r="K257" i="520"/>
  <c r="K257" i="520" a="1"/>
  <c r="J257" i="520"/>
  <c r="J257" i="520" a="1"/>
  <c r="H257" i="520"/>
  <c r="AA256" i="520"/>
  <c r="Z256" i="520"/>
  <c r="Y256" i="520"/>
  <c r="X256" i="520"/>
  <c r="U256" i="520"/>
  <c r="T256" i="520"/>
  <c r="S256" i="520"/>
  <c r="R256" i="520"/>
  <c r="Q256" i="520"/>
  <c r="P256" i="520"/>
  <c r="O256" i="520"/>
  <c r="R336" i="520" s="1"/>
  <c r="I256" i="520"/>
  <c r="G256" i="520"/>
  <c r="H255" i="520"/>
  <c r="H254" i="520"/>
  <c r="H253" i="520"/>
  <c r="H252" i="520"/>
  <c r="H251" i="520"/>
  <c r="H250" i="520"/>
  <c r="K249" i="520" a="1"/>
  <c r="K249" i="520" s="1"/>
  <c r="M249" i="520" s="1"/>
  <c r="H249" i="520"/>
  <c r="K248" i="520" a="1"/>
  <c r="K248" i="520" s="1"/>
  <c r="M248" i="520" s="1"/>
  <c r="H248" i="520"/>
  <c r="K247" i="520" a="1"/>
  <c r="K247" i="520" s="1"/>
  <c r="M247" i="520" s="1"/>
  <c r="H247" i="520"/>
  <c r="K246" i="520" a="1"/>
  <c r="K246" i="520" s="1"/>
  <c r="M246" i="520" s="1"/>
  <c r="H246" i="520"/>
  <c r="V245" i="520"/>
  <c r="W245" i="520" s="1"/>
  <c r="N245" i="520"/>
  <c r="K245" i="520" a="1"/>
  <c r="K245" i="520" s="1"/>
  <c r="M245" i="520" s="1"/>
  <c r="J245" i="520" a="1"/>
  <c r="J245" i="520" s="1"/>
  <c r="H245" i="520"/>
  <c r="V244" i="520"/>
  <c r="W244" i="520" s="1"/>
  <c r="N244" i="520"/>
  <c r="K244" i="520" a="1"/>
  <c r="K244" i="520" s="1"/>
  <c r="M244" i="520" s="1"/>
  <c r="J244" i="520" a="1"/>
  <c r="J244" i="520" s="1"/>
  <c r="H244" i="520"/>
  <c r="V243" i="520"/>
  <c r="W243" i="520" s="1"/>
  <c r="N243" i="520"/>
  <c r="K243" i="520"/>
  <c r="M243" i="520" s="1"/>
  <c r="K243" i="520" a="1"/>
  <c r="J243" i="520"/>
  <c r="J243" i="520" a="1"/>
  <c r="H243" i="520"/>
  <c r="V242" i="520"/>
  <c r="W242" i="520" s="1"/>
  <c r="N242" i="520"/>
  <c r="K242" i="520" a="1"/>
  <c r="K242" i="520" s="1"/>
  <c r="M242" i="520" s="1"/>
  <c r="J242" i="520" a="1"/>
  <c r="J242" i="520" s="1"/>
  <c r="H242" i="520"/>
  <c r="M241" i="520"/>
  <c r="H241" i="520"/>
  <c r="W240" i="520"/>
  <c r="V240" i="520"/>
  <c r="N240" i="520"/>
  <c r="K240" i="520" a="1"/>
  <c r="K240" i="520" s="1"/>
  <c r="M240" i="520" s="1"/>
  <c r="J240" i="520" a="1"/>
  <c r="J240" i="520" s="1"/>
  <c r="H240" i="520"/>
  <c r="V239" i="520"/>
  <c r="W239" i="520" s="1"/>
  <c r="N239" i="520"/>
  <c r="K239" i="520" a="1"/>
  <c r="K239" i="520" s="1"/>
  <c r="M239" i="520" s="1"/>
  <c r="J239" i="520" a="1"/>
  <c r="J239" i="520" s="1"/>
  <c r="H239" i="520"/>
  <c r="K238" i="520" a="1"/>
  <c r="K238" i="520" s="1"/>
  <c r="M238" i="520" s="1"/>
  <c r="H238" i="520"/>
  <c r="H237" i="520"/>
  <c r="V236" i="520"/>
  <c r="W236" i="520" s="1"/>
  <c r="N236" i="520"/>
  <c r="K236" i="520" a="1"/>
  <c r="K236" i="520" s="1"/>
  <c r="M236" i="520" s="1"/>
  <c r="J236" i="520" a="1"/>
  <c r="J236" i="520" s="1"/>
  <c r="H236" i="520"/>
  <c r="V235" i="520"/>
  <c r="W235" i="520" s="1"/>
  <c r="N235" i="520"/>
  <c r="K235" i="520"/>
  <c r="M235" i="520" s="1"/>
  <c r="K235" i="520" a="1"/>
  <c r="J235" i="520"/>
  <c r="J235" i="520" a="1"/>
  <c r="H235" i="520"/>
  <c r="V234" i="520"/>
  <c r="W234" i="520" s="1"/>
  <c r="N234" i="520"/>
  <c r="K234" i="520" a="1"/>
  <c r="K234" i="520" s="1"/>
  <c r="M234" i="520" s="1"/>
  <c r="J234" i="520" a="1"/>
  <c r="J234" i="520" s="1"/>
  <c r="H234" i="520"/>
  <c r="V233" i="520"/>
  <c r="W233" i="520" s="1"/>
  <c r="N233" i="520"/>
  <c r="K233" i="520" a="1"/>
  <c r="K233" i="520" s="1"/>
  <c r="M233" i="520" s="1"/>
  <c r="J233" i="520" a="1"/>
  <c r="J233" i="520" s="1"/>
  <c r="H233" i="520"/>
  <c r="V232" i="520"/>
  <c r="W232" i="520" s="1"/>
  <c r="N232" i="520"/>
  <c r="K232" i="520" a="1"/>
  <c r="K232" i="520" s="1"/>
  <c r="M232" i="520" s="1"/>
  <c r="J232" i="520" a="1"/>
  <c r="J232" i="520" s="1"/>
  <c r="H232" i="520"/>
  <c r="V231" i="520"/>
  <c r="W231" i="520" s="1"/>
  <c r="N231" i="520"/>
  <c r="K231" i="520"/>
  <c r="M231" i="520" s="1"/>
  <c r="K231" i="520" a="1"/>
  <c r="J231" i="520"/>
  <c r="J231" i="520" a="1"/>
  <c r="H231" i="520"/>
  <c r="V230" i="520"/>
  <c r="W230" i="520" s="1"/>
  <c r="N230" i="520"/>
  <c r="K230" i="520" a="1"/>
  <c r="K230" i="520" s="1"/>
  <c r="M230" i="520" s="1"/>
  <c r="J230" i="520" a="1"/>
  <c r="J230" i="520" s="1"/>
  <c r="H230" i="520"/>
  <c r="V229" i="520"/>
  <c r="W229" i="520" s="1"/>
  <c r="N229" i="520"/>
  <c r="K229" i="520" a="1"/>
  <c r="K229" i="520" s="1"/>
  <c r="M229" i="520" s="1"/>
  <c r="J229" i="520" a="1"/>
  <c r="J229" i="520" s="1"/>
  <c r="H229" i="520"/>
  <c r="V228" i="520"/>
  <c r="W228" i="520" s="1"/>
  <c r="N228" i="520"/>
  <c r="K228" i="520" a="1"/>
  <c r="K228" i="520" s="1"/>
  <c r="M228" i="520" s="1"/>
  <c r="J228" i="520" a="1"/>
  <c r="J228" i="520" s="1"/>
  <c r="H228" i="520"/>
  <c r="V227" i="520"/>
  <c r="W227" i="520" s="1"/>
  <c r="N227" i="520"/>
  <c r="K227" i="520"/>
  <c r="M227" i="520" s="1"/>
  <c r="K227" i="520" a="1"/>
  <c r="J227" i="520"/>
  <c r="J227" i="520" a="1"/>
  <c r="H227" i="520"/>
  <c r="N226" i="520"/>
  <c r="K226" i="520" a="1"/>
  <c r="K226" i="520" s="1"/>
  <c r="M226" i="520" s="1"/>
  <c r="H226" i="520"/>
  <c r="N225" i="520"/>
  <c r="K225" i="520" a="1"/>
  <c r="K225" i="520" s="1"/>
  <c r="M225" i="520" s="1"/>
  <c r="H225" i="520"/>
  <c r="N224" i="520"/>
  <c r="K224" i="520" a="1"/>
  <c r="K224" i="520" s="1"/>
  <c r="M224" i="520" s="1"/>
  <c r="H224" i="520"/>
  <c r="N223" i="520"/>
  <c r="K223" i="520"/>
  <c r="M223" i="520" s="1"/>
  <c r="K223" i="520" a="1"/>
  <c r="H223" i="520"/>
  <c r="N222" i="520"/>
  <c r="K222" i="520" a="1"/>
  <c r="K222" i="520" s="1"/>
  <c r="M222" i="520" s="1"/>
  <c r="H222" i="520"/>
  <c r="N221" i="520"/>
  <c r="K221" i="520" a="1"/>
  <c r="K221" i="520" s="1"/>
  <c r="M221" i="520" s="1"/>
  <c r="H221" i="520"/>
  <c r="N220" i="520"/>
  <c r="K220" i="520" a="1"/>
  <c r="K220" i="520" s="1"/>
  <c r="M220" i="520" s="1"/>
  <c r="H220" i="520"/>
  <c r="N219" i="520"/>
  <c r="K219" i="520"/>
  <c r="M219" i="520" s="1"/>
  <c r="K219" i="520" a="1"/>
  <c r="H219" i="520"/>
  <c r="V218" i="520"/>
  <c r="W218" i="520" s="1"/>
  <c r="N218" i="520"/>
  <c r="K218" i="520" a="1"/>
  <c r="K218" i="520" s="1"/>
  <c r="M218" i="520" s="1"/>
  <c r="J218" i="520" a="1"/>
  <c r="J218" i="520" s="1"/>
  <c r="H218" i="520"/>
  <c r="V217" i="520"/>
  <c r="W217" i="520" s="1"/>
  <c r="N217" i="520"/>
  <c r="K217" i="520" a="1"/>
  <c r="K217" i="520" s="1"/>
  <c r="M217" i="520" s="1"/>
  <c r="J217" i="520" a="1"/>
  <c r="J217" i="520" s="1"/>
  <c r="H217" i="520"/>
  <c r="V216" i="520"/>
  <c r="W216" i="520" s="1"/>
  <c r="N216" i="520"/>
  <c r="K216" i="520" a="1"/>
  <c r="K216" i="520" s="1"/>
  <c r="M216" i="520" s="1"/>
  <c r="J216" i="520" a="1"/>
  <c r="J216" i="520" s="1"/>
  <c r="H216" i="520"/>
  <c r="V215" i="520"/>
  <c r="W215" i="520" s="1"/>
  <c r="N215" i="520"/>
  <c r="K215" i="520"/>
  <c r="M215" i="520" s="1"/>
  <c r="K215" i="520" a="1"/>
  <c r="J215" i="520"/>
  <c r="J215" i="520" a="1"/>
  <c r="H215" i="520"/>
  <c r="V214" i="520"/>
  <c r="W214" i="520" s="1"/>
  <c r="N214" i="520"/>
  <c r="K214" i="520" a="1"/>
  <c r="K214" i="520" s="1"/>
  <c r="M214" i="520" s="1"/>
  <c r="J214" i="520" a="1"/>
  <c r="J214" i="520" s="1"/>
  <c r="H214" i="520"/>
  <c r="V213" i="520"/>
  <c r="W213" i="520" s="1"/>
  <c r="N213" i="520"/>
  <c r="K213" i="520" a="1"/>
  <c r="K213" i="520" s="1"/>
  <c r="M213" i="520" s="1"/>
  <c r="J213" i="520" a="1"/>
  <c r="J213" i="520" s="1"/>
  <c r="H213" i="520"/>
  <c r="V212" i="520"/>
  <c r="W212" i="520" s="1"/>
  <c r="N212" i="520"/>
  <c r="K212" i="520" a="1"/>
  <c r="K212" i="520" s="1"/>
  <c r="M212" i="520" s="1"/>
  <c r="J212" i="520" a="1"/>
  <c r="J212" i="520" s="1"/>
  <c r="H212" i="520"/>
  <c r="V211" i="520"/>
  <c r="W211" i="520" s="1"/>
  <c r="N211" i="520"/>
  <c r="K211" i="520" a="1"/>
  <c r="K211" i="520" s="1"/>
  <c r="M211" i="520" s="1"/>
  <c r="J211" i="520" a="1"/>
  <c r="J211" i="520" s="1"/>
  <c r="H211" i="520"/>
  <c r="V210" i="520"/>
  <c r="W210" i="520" s="1"/>
  <c r="N210" i="520"/>
  <c r="K210" i="520" a="1"/>
  <c r="K210" i="520" s="1"/>
  <c r="M210" i="520" s="1"/>
  <c r="J210" i="520" a="1"/>
  <c r="J210" i="520" s="1"/>
  <c r="H210" i="520"/>
  <c r="V209" i="520"/>
  <c r="W209" i="520" s="1"/>
  <c r="N209" i="520"/>
  <c r="K209" i="520"/>
  <c r="M209" i="520" s="1"/>
  <c r="K209" i="520" a="1"/>
  <c r="J209" i="520"/>
  <c r="J209" i="520" a="1"/>
  <c r="H209" i="520"/>
  <c r="V208" i="520"/>
  <c r="W208" i="520" s="1"/>
  <c r="N208" i="520"/>
  <c r="K208" i="520" a="1"/>
  <c r="K208" i="520" s="1"/>
  <c r="M208" i="520" s="1"/>
  <c r="J208" i="520" a="1"/>
  <c r="J208" i="520" s="1"/>
  <c r="H208" i="520"/>
  <c r="V207" i="520"/>
  <c r="W207" i="520" s="1"/>
  <c r="N207" i="520"/>
  <c r="K207" i="520" a="1"/>
  <c r="K207" i="520" s="1"/>
  <c r="M207" i="520" s="1"/>
  <c r="J207" i="520" a="1"/>
  <c r="J207" i="520" s="1"/>
  <c r="H207" i="520"/>
  <c r="H206" i="520"/>
  <c r="H205" i="520"/>
  <c r="H204" i="520"/>
  <c r="V203" i="520"/>
  <c r="W203" i="520" s="1"/>
  <c r="N203" i="520"/>
  <c r="K203" i="520" a="1"/>
  <c r="K203" i="520" s="1"/>
  <c r="M203" i="520" s="1"/>
  <c r="J203" i="520" a="1"/>
  <c r="J203" i="520" s="1"/>
  <c r="H203" i="520"/>
  <c r="V202" i="520"/>
  <c r="W202" i="520" s="1"/>
  <c r="N202" i="520"/>
  <c r="K202" i="520" a="1"/>
  <c r="K202" i="520" s="1"/>
  <c r="M202" i="520" s="1"/>
  <c r="J202" i="520" a="1"/>
  <c r="J202" i="520" s="1"/>
  <c r="H202" i="520"/>
  <c r="V201" i="520"/>
  <c r="W201" i="520" s="1"/>
  <c r="N201" i="520"/>
  <c r="K201" i="520"/>
  <c r="M201" i="520" s="1"/>
  <c r="K201" i="520" a="1"/>
  <c r="J201" i="520"/>
  <c r="J201" i="520" a="1"/>
  <c r="H201" i="520"/>
  <c r="H200" i="520"/>
  <c r="V199" i="520"/>
  <c r="V256" i="520" s="1"/>
  <c r="W256" i="520" s="1"/>
  <c r="N199" i="520"/>
  <c r="N256" i="520" s="1"/>
  <c r="K199" i="520" a="1"/>
  <c r="K199" i="520" s="1"/>
  <c r="J199" i="520" a="1"/>
  <c r="J199" i="520" s="1"/>
  <c r="H199" i="520"/>
  <c r="H256" i="520" s="1"/>
  <c r="AA198" i="520"/>
  <c r="AA333" i="520" s="1"/>
  <c r="Z198" i="520"/>
  <c r="Z333" i="520" s="1"/>
  <c r="Y198" i="520"/>
  <c r="Y333" i="520" s="1"/>
  <c r="X198" i="520"/>
  <c r="X333" i="520" s="1"/>
  <c r="U198" i="520"/>
  <c r="U333" i="520" s="1"/>
  <c r="T198" i="520"/>
  <c r="T333" i="520" s="1"/>
  <c r="S198" i="520"/>
  <c r="S333" i="520" s="1"/>
  <c r="R198" i="520"/>
  <c r="R333" i="520" s="1"/>
  <c r="Q198" i="520"/>
  <c r="Q333" i="520" s="1"/>
  <c r="P198" i="520"/>
  <c r="X336" i="520" s="1"/>
  <c r="O198" i="520"/>
  <c r="O333" i="520" s="1"/>
  <c r="I198" i="520"/>
  <c r="I333" i="520" s="1"/>
  <c r="B341" i="520" s="1"/>
  <c r="G198" i="520"/>
  <c r="V197" i="520"/>
  <c r="W197" i="520" s="1"/>
  <c r="N197" i="520"/>
  <c r="K197" i="520" a="1"/>
  <c r="K197" i="520" s="1"/>
  <c r="M197" i="520" s="1"/>
  <c r="J197" i="520" a="1"/>
  <c r="J197" i="520" s="1"/>
  <c r="H197" i="520"/>
  <c r="V196" i="520"/>
  <c r="W196" i="520" s="1"/>
  <c r="N196" i="520"/>
  <c r="K196" i="520" a="1"/>
  <c r="K196" i="520" s="1"/>
  <c r="M196" i="520" s="1"/>
  <c r="J196" i="520" a="1"/>
  <c r="J196" i="520" s="1"/>
  <c r="H196" i="520"/>
  <c r="K195" i="520" a="1"/>
  <c r="K195" i="520" s="1"/>
  <c r="M195" i="520" s="1"/>
  <c r="H195" i="520"/>
  <c r="K194" i="520" a="1"/>
  <c r="K194" i="520" s="1"/>
  <c r="M194" i="520" s="1"/>
  <c r="H194" i="520"/>
  <c r="K193" i="520" a="1"/>
  <c r="K193" i="520" s="1"/>
  <c r="M193" i="520" s="1"/>
  <c r="H193" i="520"/>
  <c r="M192" i="520"/>
  <c r="K192" i="520" a="1"/>
  <c r="K192" i="520" s="1"/>
  <c r="H192" i="520"/>
  <c r="V191" i="520"/>
  <c r="W191" i="520" s="1"/>
  <c r="N191" i="520"/>
  <c r="K191" i="520" a="1"/>
  <c r="K191" i="520" s="1"/>
  <c r="M191" i="520" s="1"/>
  <c r="J191" i="520" a="1"/>
  <c r="J191" i="520" s="1"/>
  <c r="H191" i="520"/>
  <c r="V190" i="520"/>
  <c r="W190" i="520" s="1"/>
  <c r="N190" i="520"/>
  <c r="K190" i="520"/>
  <c r="M190" i="520" s="1"/>
  <c r="K190" i="520" a="1"/>
  <c r="J190" i="520"/>
  <c r="J190" i="520" a="1"/>
  <c r="H190" i="520"/>
  <c r="V189" i="520"/>
  <c r="W189" i="520" s="1"/>
  <c r="N189" i="520"/>
  <c r="K189" i="520" a="1"/>
  <c r="K189" i="520" s="1"/>
  <c r="M189" i="520" s="1"/>
  <c r="J189" i="520" a="1"/>
  <c r="J189" i="520" s="1"/>
  <c r="H189" i="520"/>
  <c r="N188" i="520"/>
  <c r="K188" i="520" a="1"/>
  <c r="K188" i="520" s="1"/>
  <c r="M188" i="520" s="1"/>
  <c r="J188" i="520" a="1"/>
  <c r="J188" i="520" s="1"/>
  <c r="H188" i="520"/>
  <c r="N187" i="520"/>
  <c r="K187" i="520" a="1"/>
  <c r="K187" i="520" s="1"/>
  <c r="M187" i="520" s="1"/>
  <c r="J187" i="520" a="1"/>
  <c r="J187" i="520" s="1"/>
  <c r="H187" i="520"/>
  <c r="W186" i="520"/>
  <c r="V186" i="520"/>
  <c r="N186" i="520"/>
  <c r="K186" i="520" a="1"/>
  <c r="K186" i="520" s="1"/>
  <c r="M186" i="520" s="1"/>
  <c r="J186" i="520" a="1"/>
  <c r="J186" i="520" s="1"/>
  <c r="H186" i="520"/>
  <c r="V185" i="520"/>
  <c r="W185" i="520" s="1"/>
  <c r="N185" i="520"/>
  <c r="K185" i="520" a="1"/>
  <c r="K185" i="520" s="1"/>
  <c r="M185" i="520" s="1"/>
  <c r="J185" i="520" a="1"/>
  <c r="J185" i="520" s="1"/>
  <c r="H185" i="520"/>
  <c r="N184" i="520"/>
  <c r="K184" i="520"/>
  <c r="M184" i="520" s="1"/>
  <c r="K184" i="520" a="1"/>
  <c r="H184" i="520"/>
  <c r="N183" i="520"/>
  <c r="K183" i="520" a="1"/>
  <c r="K183" i="520" s="1"/>
  <c r="M183" i="520" s="1"/>
  <c r="H183" i="520"/>
  <c r="V182" i="520"/>
  <c r="W182" i="520" s="1"/>
  <c r="N182" i="520"/>
  <c r="K182" i="520" a="1"/>
  <c r="K182" i="520" s="1"/>
  <c r="M182" i="520" s="1"/>
  <c r="J182" i="520" a="1"/>
  <c r="J182" i="520" s="1"/>
  <c r="H182" i="520"/>
  <c r="V181" i="520"/>
  <c r="W181" i="520" s="1"/>
  <c r="N181" i="520"/>
  <c r="K181" i="520" a="1"/>
  <c r="K181" i="520" s="1"/>
  <c r="M181" i="520" s="1"/>
  <c r="J181" i="520" a="1"/>
  <c r="J181" i="520" s="1"/>
  <c r="H181" i="520"/>
  <c r="V180" i="520"/>
  <c r="W180" i="520" s="1"/>
  <c r="N180" i="520"/>
  <c r="K180" i="520"/>
  <c r="M180" i="520" s="1"/>
  <c r="K180" i="520" a="1"/>
  <c r="J180" i="520" a="1"/>
  <c r="J180" i="520" s="1"/>
  <c r="H180" i="520"/>
  <c r="V179" i="520"/>
  <c r="W179" i="520" s="1"/>
  <c r="N179" i="520"/>
  <c r="K179" i="520" a="1"/>
  <c r="K179" i="520" s="1"/>
  <c r="M179" i="520" s="1"/>
  <c r="J179" i="520" a="1"/>
  <c r="J179" i="520" s="1"/>
  <c r="H179" i="520"/>
  <c r="V178" i="520"/>
  <c r="W178" i="520" s="1"/>
  <c r="N178" i="520"/>
  <c r="K178" i="520" a="1"/>
  <c r="K178" i="520" s="1"/>
  <c r="M178" i="520" s="1"/>
  <c r="J178" i="520" a="1"/>
  <c r="J178" i="520" s="1"/>
  <c r="H178" i="520"/>
  <c r="V177" i="520"/>
  <c r="N177" i="520"/>
  <c r="K177" i="520" a="1"/>
  <c r="K177" i="520" s="1"/>
  <c r="J177" i="520" a="1"/>
  <c r="J177" i="520" s="1"/>
  <c r="H177" i="520"/>
  <c r="X170" i="520"/>
  <c r="Q526" i="520" s="1"/>
  <c r="X169" i="520"/>
  <c r="Q525" i="520" s="1"/>
  <c r="G169" i="520"/>
  <c r="C169" i="520"/>
  <c r="X168" i="520"/>
  <c r="Q524" i="520" s="1"/>
  <c r="I168" i="520"/>
  <c r="E168" i="520"/>
  <c r="K168" i="520" s="1"/>
  <c r="M168" i="520" s="1"/>
  <c r="I167" i="520"/>
  <c r="E167" i="520"/>
  <c r="K167" i="520" s="1"/>
  <c r="M167" i="520" s="1"/>
  <c r="I166" i="520"/>
  <c r="E166" i="520"/>
  <c r="K166" i="520" s="1"/>
  <c r="M166" i="520" s="1"/>
  <c r="X165" i="520"/>
  <c r="Q521" i="520" s="1"/>
  <c r="I165" i="520"/>
  <c r="I169" i="520" s="1"/>
  <c r="E165" i="520"/>
  <c r="K165" i="520" s="1"/>
  <c r="AA162" i="520"/>
  <c r="Z162" i="520"/>
  <c r="Y162" i="520"/>
  <c r="X162" i="520"/>
  <c r="U162" i="520"/>
  <c r="T162" i="520"/>
  <c r="S162" i="520"/>
  <c r="R162" i="520"/>
  <c r="Q162" i="520"/>
  <c r="P162" i="520"/>
  <c r="O162" i="520"/>
  <c r="I162" i="520"/>
  <c r="G162" i="520"/>
  <c r="C526" i="520" s="1"/>
  <c r="H161" i="520"/>
  <c r="H160" i="520"/>
  <c r="H159" i="520"/>
  <c r="V158" i="520"/>
  <c r="W158" i="520" s="1"/>
  <c r="N158" i="520"/>
  <c r="K158" i="520"/>
  <c r="K158" i="520" a="1"/>
  <c r="J158" i="520" a="1"/>
  <c r="J158" i="520" s="1"/>
  <c r="H158" i="520"/>
  <c r="D158" i="520"/>
  <c r="V157" i="520"/>
  <c r="W157" i="520" s="1"/>
  <c r="N157" i="520"/>
  <c r="K157" i="520" a="1"/>
  <c r="K157" i="520" s="1"/>
  <c r="M157" i="520" s="1"/>
  <c r="J157" i="520" a="1"/>
  <c r="J157" i="520" s="1"/>
  <c r="H157" i="520"/>
  <c r="H156" i="520"/>
  <c r="H155" i="520"/>
  <c r="V154" i="520"/>
  <c r="W154" i="520" s="1"/>
  <c r="N154" i="520"/>
  <c r="K154" i="520" a="1"/>
  <c r="K154" i="520" s="1"/>
  <c r="M154" i="520" s="1"/>
  <c r="J154" i="520" a="1"/>
  <c r="J154" i="520" s="1"/>
  <c r="H154" i="520"/>
  <c r="V153" i="520"/>
  <c r="W153" i="520" s="1"/>
  <c r="N153" i="520"/>
  <c r="K153" i="520"/>
  <c r="M153" i="520" s="1"/>
  <c r="K153" i="520" a="1"/>
  <c r="J153" i="520" a="1"/>
  <c r="J153" i="520" s="1"/>
  <c r="H153" i="520"/>
  <c r="H152" i="520"/>
  <c r="V151" i="520"/>
  <c r="W151" i="520" s="1"/>
  <c r="N151" i="520"/>
  <c r="K151" i="520" a="1"/>
  <c r="K151" i="520" s="1"/>
  <c r="M151" i="520" s="1"/>
  <c r="J151" i="520" a="1"/>
  <c r="J151" i="520" s="1"/>
  <c r="H151" i="520"/>
  <c r="V150" i="520"/>
  <c r="W150" i="520" s="1"/>
  <c r="N150" i="520"/>
  <c r="K150" i="520" a="1"/>
  <c r="K150" i="520" s="1"/>
  <c r="M150" i="520" s="1"/>
  <c r="J150" i="520" a="1"/>
  <c r="J150" i="520" s="1"/>
  <c r="H150" i="520"/>
  <c r="V149" i="520"/>
  <c r="W149" i="520" s="1"/>
  <c r="N149" i="520"/>
  <c r="K149" i="520"/>
  <c r="M149" i="520" s="1"/>
  <c r="K149" i="520" a="1"/>
  <c r="J149" i="520"/>
  <c r="J149" i="520" a="1"/>
  <c r="H149" i="520"/>
  <c r="V148" i="520"/>
  <c r="N148" i="520"/>
  <c r="N162" i="520" s="1"/>
  <c r="K148" i="520" a="1"/>
  <c r="K148" i="520" s="1"/>
  <c r="J148" i="520" a="1"/>
  <c r="J148" i="520" s="1"/>
  <c r="H148" i="520"/>
  <c r="AA147" i="520"/>
  <c r="Z147" i="520"/>
  <c r="Y147" i="520"/>
  <c r="X147" i="520"/>
  <c r="U147" i="520"/>
  <c r="T147" i="520"/>
  <c r="S147" i="520"/>
  <c r="Q147" i="520"/>
  <c r="P147" i="520"/>
  <c r="O147" i="520"/>
  <c r="I147" i="520"/>
  <c r="G147" i="520"/>
  <c r="C525" i="520" s="1"/>
  <c r="V146" i="520"/>
  <c r="W146" i="520" s="1"/>
  <c r="N146" i="520"/>
  <c r="K146" i="520" a="1"/>
  <c r="K146" i="520" s="1"/>
  <c r="M146" i="520" s="1"/>
  <c r="J146" i="520" a="1"/>
  <c r="J146" i="520" s="1"/>
  <c r="H146" i="520"/>
  <c r="H143" i="520"/>
  <c r="V142" i="520"/>
  <c r="W142" i="520" s="1"/>
  <c r="N142" i="520"/>
  <c r="K142" i="520" a="1"/>
  <c r="K142" i="520" s="1"/>
  <c r="M142" i="520" s="1"/>
  <c r="J142" i="520" a="1"/>
  <c r="J142" i="520" s="1"/>
  <c r="H142" i="520"/>
  <c r="V141" i="520"/>
  <c r="W141" i="520" s="1"/>
  <c r="N141" i="520"/>
  <c r="K141" i="520" a="1"/>
  <c r="K141" i="520" s="1"/>
  <c r="M141" i="520" s="1"/>
  <c r="J141" i="520" a="1"/>
  <c r="J141" i="520" s="1"/>
  <c r="H141" i="520"/>
  <c r="V140" i="520"/>
  <c r="W140" i="520" s="1"/>
  <c r="N140" i="520"/>
  <c r="K140" i="520"/>
  <c r="M140" i="520" s="1"/>
  <c r="K140" i="520" a="1"/>
  <c r="J140" i="520"/>
  <c r="J140" i="520" a="1"/>
  <c r="H140" i="520"/>
  <c r="V139" i="520"/>
  <c r="W139" i="520" s="1"/>
  <c r="N139" i="520"/>
  <c r="K139" i="520" a="1"/>
  <c r="K139" i="520" s="1"/>
  <c r="M139" i="520" s="1"/>
  <c r="J139" i="520" a="1"/>
  <c r="J139" i="520" s="1"/>
  <c r="H139" i="520"/>
  <c r="V138" i="520"/>
  <c r="V147" i="520" s="1"/>
  <c r="W147" i="520" s="1"/>
  <c r="N138" i="520"/>
  <c r="N147" i="520" s="1"/>
  <c r="K138" i="520" a="1"/>
  <c r="K138" i="520" s="1"/>
  <c r="K147" i="520" s="1"/>
  <c r="J138" i="520" a="1"/>
  <c r="J138" i="520" s="1"/>
  <c r="H138" i="520"/>
  <c r="H147" i="520" s="1"/>
  <c r="AA137" i="520"/>
  <c r="Z137" i="520"/>
  <c r="Y137" i="520"/>
  <c r="X137" i="520"/>
  <c r="U137" i="520"/>
  <c r="T137" i="520"/>
  <c r="S137" i="520"/>
  <c r="Q137" i="520"/>
  <c r="P137" i="520"/>
  <c r="O137" i="520"/>
  <c r="I137" i="520"/>
  <c r="G137" i="520"/>
  <c r="C524" i="520" s="1"/>
  <c r="V136" i="520"/>
  <c r="W136" i="520" s="1"/>
  <c r="N136" i="520"/>
  <c r="K136" i="520" a="1"/>
  <c r="K136" i="520" s="1"/>
  <c r="M136" i="520" s="1"/>
  <c r="J136" i="520" a="1"/>
  <c r="J136" i="520" s="1"/>
  <c r="H136" i="520"/>
  <c r="V135" i="520"/>
  <c r="W135" i="520" s="1"/>
  <c r="N135" i="520"/>
  <c r="K135" i="520"/>
  <c r="M135" i="520" s="1"/>
  <c r="K135" i="520" a="1"/>
  <c r="J135" i="520"/>
  <c r="J135" i="520" a="1"/>
  <c r="H135" i="520"/>
  <c r="V134" i="520"/>
  <c r="W134" i="520" s="1"/>
  <c r="N134" i="520"/>
  <c r="K134" i="520" a="1"/>
  <c r="K134" i="520" s="1"/>
  <c r="M134" i="520" s="1"/>
  <c r="J134" i="520" a="1"/>
  <c r="J134" i="520" s="1"/>
  <c r="H134" i="520"/>
  <c r="V133" i="520"/>
  <c r="W133" i="520" s="1"/>
  <c r="N133" i="520"/>
  <c r="K133" i="520"/>
  <c r="M133" i="520" s="1"/>
  <c r="K133" i="520" a="1"/>
  <c r="J133" i="520"/>
  <c r="J133" i="520" a="1"/>
  <c r="H133" i="520"/>
  <c r="V132" i="520"/>
  <c r="W132" i="520" s="1"/>
  <c r="N132" i="520"/>
  <c r="K132" i="520" a="1"/>
  <c r="K132" i="520" s="1"/>
  <c r="M132" i="520" s="1"/>
  <c r="J132" i="520" a="1"/>
  <c r="J132" i="520" s="1"/>
  <c r="H132" i="520"/>
  <c r="V131" i="520"/>
  <c r="W131" i="520" s="1"/>
  <c r="N131" i="520"/>
  <c r="K131" i="520" a="1"/>
  <c r="K131" i="520" s="1"/>
  <c r="M131" i="520" s="1"/>
  <c r="J131" i="520" a="1"/>
  <c r="J131" i="520" s="1"/>
  <c r="H131" i="520"/>
  <c r="V130" i="520"/>
  <c r="W130" i="520" s="1"/>
  <c r="N130" i="520"/>
  <c r="K130" i="520" a="1"/>
  <c r="K130" i="520" s="1"/>
  <c r="M130" i="520" s="1"/>
  <c r="J130" i="520" a="1"/>
  <c r="J130" i="520" s="1"/>
  <c r="H130" i="520"/>
  <c r="V129" i="520"/>
  <c r="W129" i="520" s="1"/>
  <c r="N129" i="520"/>
  <c r="K129" i="520"/>
  <c r="M129" i="520" s="1"/>
  <c r="K129" i="520" a="1"/>
  <c r="J129" i="520"/>
  <c r="J129" i="520" a="1"/>
  <c r="H129" i="520"/>
  <c r="V128" i="520"/>
  <c r="W128" i="520" s="1"/>
  <c r="N128" i="520"/>
  <c r="K128" i="520" a="1"/>
  <c r="K128" i="520" s="1"/>
  <c r="M128" i="520" s="1"/>
  <c r="J128" i="520" a="1"/>
  <c r="J128" i="520" s="1"/>
  <c r="H128" i="520"/>
  <c r="V127" i="520"/>
  <c r="W127" i="520" s="1"/>
  <c r="N127" i="520"/>
  <c r="K127" i="520" a="1"/>
  <c r="K127" i="520" s="1"/>
  <c r="M127" i="520" s="1"/>
  <c r="J127" i="520" a="1"/>
  <c r="J127" i="520" s="1"/>
  <c r="H127" i="520"/>
  <c r="V126" i="520"/>
  <c r="W126" i="520" s="1"/>
  <c r="N126" i="520"/>
  <c r="K126" i="520" a="1"/>
  <c r="K126" i="520" s="1"/>
  <c r="M126" i="520" s="1"/>
  <c r="J126" i="520" a="1"/>
  <c r="J126" i="520" s="1"/>
  <c r="H126" i="520"/>
  <c r="V125" i="520"/>
  <c r="W125" i="520" s="1"/>
  <c r="N125" i="520"/>
  <c r="K125" i="520"/>
  <c r="M125" i="520" s="1"/>
  <c r="K125" i="520" a="1"/>
  <c r="J125" i="520"/>
  <c r="J125" i="520" a="1"/>
  <c r="H125" i="520"/>
  <c r="V124" i="520"/>
  <c r="W124" i="520" s="1"/>
  <c r="N124" i="520"/>
  <c r="K124" i="520" a="1"/>
  <c r="K124" i="520" s="1"/>
  <c r="M124" i="520" s="1"/>
  <c r="J124" i="520" a="1"/>
  <c r="J124" i="520" s="1"/>
  <c r="H124" i="520"/>
  <c r="V123" i="520"/>
  <c r="W123" i="520" s="1"/>
  <c r="N123" i="520"/>
  <c r="K123" i="520" a="1"/>
  <c r="K123" i="520" s="1"/>
  <c r="M123" i="520" s="1"/>
  <c r="J123" i="520" a="1"/>
  <c r="J123" i="520" s="1"/>
  <c r="H123" i="520"/>
  <c r="V122" i="520"/>
  <c r="N122" i="520"/>
  <c r="K122" i="520" a="1"/>
  <c r="K122" i="520" s="1"/>
  <c r="J122" i="520" a="1"/>
  <c r="J122" i="520" s="1"/>
  <c r="H122" i="520"/>
  <c r="AA121" i="520"/>
  <c r="Z121" i="520"/>
  <c r="Y121" i="520"/>
  <c r="X121" i="520"/>
  <c r="U121" i="520"/>
  <c r="T121" i="520"/>
  <c r="S121" i="520"/>
  <c r="R121" i="520"/>
  <c r="Q121" i="520"/>
  <c r="P121" i="520"/>
  <c r="O121" i="520"/>
  <c r="R167" i="520" s="1"/>
  <c r="I121" i="520"/>
  <c r="G121" i="520"/>
  <c r="C523" i="520" s="1"/>
  <c r="V120" i="520"/>
  <c r="W120" i="520" s="1"/>
  <c r="N120" i="520"/>
  <c r="K120" i="520" a="1"/>
  <c r="K120" i="520" s="1"/>
  <c r="M120" i="520" s="1"/>
  <c r="J120" i="520" a="1"/>
  <c r="J120" i="520" s="1"/>
  <c r="H120" i="520"/>
  <c r="V119" i="520"/>
  <c r="W119" i="520" s="1"/>
  <c r="N119" i="520"/>
  <c r="K119" i="520" a="1"/>
  <c r="K119" i="520" s="1"/>
  <c r="M119" i="520" s="1"/>
  <c r="J119" i="520" a="1"/>
  <c r="J119" i="520" s="1"/>
  <c r="H119" i="520"/>
  <c r="V118" i="520"/>
  <c r="W118" i="520" s="1"/>
  <c r="N118" i="520"/>
  <c r="K118" i="520" a="1"/>
  <c r="K118" i="520" s="1"/>
  <c r="M118" i="520" s="1"/>
  <c r="J118" i="520" a="1"/>
  <c r="J118" i="520" s="1"/>
  <c r="H118" i="520"/>
  <c r="K117" i="520" a="1"/>
  <c r="K117" i="520" s="1"/>
  <c r="H117" i="520"/>
  <c r="K116" i="520" a="1"/>
  <c r="K116" i="520" s="1"/>
  <c r="H116" i="520"/>
  <c r="K115" i="520"/>
  <c r="K115" i="520" a="1"/>
  <c r="H115" i="520"/>
  <c r="V114" i="520"/>
  <c r="W114" i="520" s="1"/>
  <c r="N114" i="520"/>
  <c r="K114" i="520" a="1"/>
  <c r="K114" i="520" s="1"/>
  <c r="M114" i="520" s="1"/>
  <c r="J114" i="520" a="1"/>
  <c r="J114" i="520" s="1"/>
  <c r="H114" i="520"/>
  <c r="V113" i="520"/>
  <c r="W113" i="520" s="1"/>
  <c r="N113" i="520"/>
  <c r="K113" i="520" a="1"/>
  <c r="K113" i="520" s="1"/>
  <c r="M113" i="520" s="1"/>
  <c r="J113" i="520" a="1"/>
  <c r="J113" i="520" s="1"/>
  <c r="H113" i="520"/>
  <c r="N112" i="520"/>
  <c r="K112" i="520" a="1"/>
  <c r="K112" i="520" s="1"/>
  <c r="M112" i="520" s="1"/>
  <c r="H112" i="520"/>
  <c r="N111" i="520"/>
  <c r="K111" i="520"/>
  <c r="M111" i="520" s="1"/>
  <c r="K111" i="520" a="1"/>
  <c r="H111" i="520"/>
  <c r="N110" i="520"/>
  <c r="K110" i="520" a="1"/>
  <c r="K110" i="520" s="1"/>
  <c r="M110" i="520" s="1"/>
  <c r="H110" i="520"/>
  <c r="N109" i="520"/>
  <c r="K109" i="520" a="1"/>
  <c r="K109" i="520" s="1"/>
  <c r="M109" i="520" s="1"/>
  <c r="H109" i="520"/>
  <c r="N108" i="520"/>
  <c r="K108" i="520" a="1"/>
  <c r="K108" i="520" s="1"/>
  <c r="M108" i="520" s="1"/>
  <c r="H108" i="520"/>
  <c r="N107" i="520"/>
  <c r="K107" i="520"/>
  <c r="M107" i="520" s="1"/>
  <c r="K107" i="520" a="1"/>
  <c r="H107" i="520"/>
  <c r="V106" i="520"/>
  <c r="W106" i="520" s="1"/>
  <c r="N106" i="520"/>
  <c r="K106" i="520" a="1"/>
  <c r="K106" i="520" s="1"/>
  <c r="M106" i="520" s="1"/>
  <c r="J106" i="520" a="1"/>
  <c r="J106" i="520" s="1"/>
  <c r="H106" i="520"/>
  <c r="V105" i="520"/>
  <c r="W105" i="520" s="1"/>
  <c r="N105" i="520"/>
  <c r="K105" i="520" a="1"/>
  <c r="K105" i="520" s="1"/>
  <c r="M105" i="520" s="1"/>
  <c r="J105" i="520" a="1"/>
  <c r="J105" i="520" s="1"/>
  <c r="H105" i="520"/>
  <c r="V104" i="520"/>
  <c r="W104" i="520" s="1"/>
  <c r="N104" i="520"/>
  <c r="K104" i="520" a="1"/>
  <c r="K104" i="520" s="1"/>
  <c r="M104" i="520" s="1"/>
  <c r="J104" i="520" a="1"/>
  <c r="J104" i="520" s="1"/>
  <c r="H104" i="520"/>
  <c r="V103" i="520"/>
  <c r="W103" i="520" s="1"/>
  <c r="N103" i="520"/>
  <c r="K103" i="520"/>
  <c r="M103" i="520" s="1"/>
  <c r="K103" i="520" a="1"/>
  <c r="J103" i="520"/>
  <c r="J103" i="520" a="1"/>
  <c r="H103" i="520"/>
  <c r="V102" i="520"/>
  <c r="W102" i="520" s="1"/>
  <c r="N102" i="520"/>
  <c r="K102" i="520" a="1"/>
  <c r="K102" i="520" s="1"/>
  <c r="M102" i="520" s="1"/>
  <c r="J102" i="520" a="1"/>
  <c r="J102" i="520" s="1"/>
  <c r="H102" i="520"/>
  <c r="V101" i="520"/>
  <c r="W101" i="520" s="1"/>
  <c r="N101" i="520"/>
  <c r="K101" i="520"/>
  <c r="M101" i="520" s="1"/>
  <c r="K101" i="520" a="1"/>
  <c r="J101" i="520"/>
  <c r="J101" i="520" a="1"/>
  <c r="H101" i="520"/>
  <c r="V100" i="520"/>
  <c r="W100" i="520" s="1"/>
  <c r="N100" i="520"/>
  <c r="K100" i="520" a="1"/>
  <c r="K100" i="520" s="1"/>
  <c r="M100" i="520" s="1"/>
  <c r="J100" i="520" a="1"/>
  <c r="J100" i="520" s="1"/>
  <c r="H100" i="520"/>
  <c r="V99" i="520"/>
  <c r="W99" i="520" s="1"/>
  <c r="N99" i="520"/>
  <c r="K99" i="520" a="1"/>
  <c r="K99" i="520" s="1"/>
  <c r="M99" i="520" s="1"/>
  <c r="J99" i="520" a="1"/>
  <c r="J99" i="520" s="1"/>
  <c r="H99" i="520"/>
  <c r="V98" i="520"/>
  <c r="W98" i="520" s="1"/>
  <c r="N98" i="520"/>
  <c r="K98" i="520" a="1"/>
  <c r="K98" i="520" s="1"/>
  <c r="M98" i="520" s="1"/>
  <c r="J98" i="520" a="1"/>
  <c r="J98" i="520" s="1"/>
  <c r="H98" i="520"/>
  <c r="V97" i="520"/>
  <c r="W97" i="520" s="1"/>
  <c r="N97" i="520"/>
  <c r="K97" i="520"/>
  <c r="M97" i="520" s="1"/>
  <c r="K97" i="520" a="1"/>
  <c r="J97" i="520"/>
  <c r="J97" i="520" a="1"/>
  <c r="H97" i="520"/>
  <c r="V96" i="520"/>
  <c r="W96" i="520" s="1"/>
  <c r="N96" i="520"/>
  <c r="K96" i="520" a="1"/>
  <c r="K96" i="520" s="1"/>
  <c r="M96" i="520" s="1"/>
  <c r="J96" i="520" a="1"/>
  <c r="J96" i="520" s="1"/>
  <c r="H96" i="520"/>
  <c r="V95" i="520"/>
  <c r="W95" i="520" s="1"/>
  <c r="N95" i="520"/>
  <c r="K95" i="520" a="1"/>
  <c r="K95" i="520" s="1"/>
  <c r="M95" i="520" s="1"/>
  <c r="J95" i="520" a="1"/>
  <c r="J95" i="520" s="1"/>
  <c r="H95" i="520"/>
  <c r="K94" i="520" a="1"/>
  <c r="K94" i="520" s="1"/>
  <c r="M94" i="520" s="1"/>
  <c r="H94" i="520"/>
  <c r="V93" i="520"/>
  <c r="W93" i="520" s="1"/>
  <c r="N93" i="520"/>
  <c r="K93" i="520" a="1"/>
  <c r="K93" i="520" s="1"/>
  <c r="M93" i="520" s="1"/>
  <c r="J93" i="520" a="1"/>
  <c r="J93" i="520" s="1"/>
  <c r="H93" i="520"/>
  <c r="V92" i="520"/>
  <c r="W92" i="520" s="1"/>
  <c r="N92" i="520"/>
  <c r="K92" i="520" a="1"/>
  <c r="K92" i="520" s="1"/>
  <c r="M92" i="520" s="1"/>
  <c r="J92" i="520" a="1"/>
  <c r="J92" i="520" s="1"/>
  <c r="H92" i="520"/>
  <c r="V91" i="520"/>
  <c r="W91" i="520" s="1"/>
  <c r="N91" i="520"/>
  <c r="K91" i="520" a="1"/>
  <c r="K91" i="520" s="1"/>
  <c r="M91" i="520" s="1"/>
  <c r="J91" i="520" a="1"/>
  <c r="J91" i="520" s="1"/>
  <c r="H91" i="520"/>
  <c r="V90" i="520"/>
  <c r="W90" i="520" s="1"/>
  <c r="N90" i="520"/>
  <c r="K90" i="520" a="1"/>
  <c r="K90" i="520" s="1"/>
  <c r="M90" i="520" s="1"/>
  <c r="J90" i="520" a="1"/>
  <c r="J90" i="520" s="1"/>
  <c r="H90" i="520"/>
  <c r="V89" i="520"/>
  <c r="W89" i="520" s="1"/>
  <c r="N89" i="520"/>
  <c r="K89" i="520" a="1"/>
  <c r="K89" i="520" s="1"/>
  <c r="M89" i="520" s="1"/>
  <c r="J89" i="520" a="1"/>
  <c r="J89" i="520" s="1"/>
  <c r="H89" i="520"/>
  <c r="V88" i="520"/>
  <c r="W88" i="520" s="1"/>
  <c r="N88" i="520"/>
  <c r="K88" i="520"/>
  <c r="M88" i="520" s="1"/>
  <c r="K88" i="520" a="1"/>
  <c r="J88" i="520"/>
  <c r="J88" i="520" a="1"/>
  <c r="H88" i="520"/>
  <c r="V87" i="520"/>
  <c r="V121" i="520" s="1"/>
  <c r="W121" i="520" s="1"/>
  <c r="N87" i="520"/>
  <c r="N121" i="520" s="1"/>
  <c r="K87" i="520" a="1"/>
  <c r="K87" i="520" s="1"/>
  <c r="J87" i="520" a="1"/>
  <c r="J87" i="520" s="1"/>
  <c r="H87" i="520"/>
  <c r="H121" i="520" s="1"/>
  <c r="AA86" i="520"/>
  <c r="Z86" i="520"/>
  <c r="Y86" i="520"/>
  <c r="X86" i="520"/>
  <c r="U86" i="520"/>
  <c r="T86" i="520"/>
  <c r="S86" i="520"/>
  <c r="R86" i="520"/>
  <c r="Q86" i="520"/>
  <c r="P86" i="520"/>
  <c r="O86" i="520"/>
  <c r="I86" i="520"/>
  <c r="G86" i="520"/>
  <c r="C522" i="520" s="1"/>
  <c r="K85" i="520" a="1"/>
  <c r="K85" i="520" s="1"/>
  <c r="H85" i="520"/>
  <c r="K84" i="520"/>
  <c r="K84" i="520" a="1"/>
  <c r="H84" i="520"/>
  <c r="K83" i="520" a="1"/>
  <c r="K83" i="520" s="1"/>
  <c r="H83" i="520"/>
  <c r="K82" i="520" a="1"/>
  <c r="K82" i="520" s="1"/>
  <c r="H82" i="520"/>
  <c r="K81" i="520" a="1"/>
  <c r="K81" i="520" s="1"/>
  <c r="H81" i="520"/>
  <c r="K80" i="520" a="1"/>
  <c r="K80" i="520" s="1"/>
  <c r="H80" i="520"/>
  <c r="K79" i="520" a="1"/>
  <c r="K79" i="520" s="1"/>
  <c r="M79" i="520" s="1"/>
  <c r="H79" i="520"/>
  <c r="K78" i="520" a="1"/>
  <c r="K78" i="520" s="1"/>
  <c r="M78" i="520" s="1"/>
  <c r="H78" i="520"/>
  <c r="K77" i="520" a="1"/>
  <c r="K77" i="520" s="1"/>
  <c r="M77" i="520" s="1"/>
  <c r="H77" i="520"/>
  <c r="K76" i="520" a="1"/>
  <c r="K76" i="520" s="1"/>
  <c r="M76" i="520" s="1"/>
  <c r="H76" i="520"/>
  <c r="V75" i="520"/>
  <c r="W75" i="520" s="1"/>
  <c r="N75" i="520"/>
  <c r="K75" i="520" a="1"/>
  <c r="K75" i="520" s="1"/>
  <c r="M75" i="520" s="1"/>
  <c r="J75" i="520" a="1"/>
  <c r="J75" i="520" s="1"/>
  <c r="H75" i="520"/>
  <c r="V74" i="520"/>
  <c r="W74" i="520" s="1"/>
  <c r="N74" i="520"/>
  <c r="K74" i="520" a="1"/>
  <c r="K74" i="520" s="1"/>
  <c r="M74" i="520" s="1"/>
  <c r="J74" i="520" a="1"/>
  <c r="J74" i="520" s="1"/>
  <c r="H74" i="520"/>
  <c r="V73" i="520"/>
  <c r="W73" i="520" s="1"/>
  <c r="N73" i="520"/>
  <c r="K73" i="520"/>
  <c r="M73" i="520" s="1"/>
  <c r="K73" i="520" a="1"/>
  <c r="J73" i="520"/>
  <c r="J73" i="520" a="1"/>
  <c r="H73" i="520"/>
  <c r="V72" i="520"/>
  <c r="W72" i="520" s="1"/>
  <c r="N72" i="520"/>
  <c r="K72" i="520" a="1"/>
  <c r="K72" i="520" s="1"/>
  <c r="M72" i="520" s="1"/>
  <c r="J72" i="520" a="1"/>
  <c r="J72" i="520" s="1"/>
  <c r="H72" i="520"/>
  <c r="H71" i="520"/>
  <c r="V70" i="520"/>
  <c r="W70" i="520" s="1"/>
  <c r="N70" i="520"/>
  <c r="K70" i="520" a="1"/>
  <c r="K70" i="520" s="1"/>
  <c r="M70" i="520" s="1"/>
  <c r="J70" i="520" a="1"/>
  <c r="J70" i="520" s="1"/>
  <c r="H70" i="520"/>
  <c r="V69" i="520"/>
  <c r="W69" i="520" s="1"/>
  <c r="N69" i="520"/>
  <c r="K69" i="520" a="1"/>
  <c r="K69" i="520" s="1"/>
  <c r="M69" i="520" s="1"/>
  <c r="J69" i="520" a="1"/>
  <c r="J69" i="520" s="1"/>
  <c r="H69" i="520"/>
  <c r="K68" i="520" a="1"/>
  <c r="K68" i="520" s="1"/>
  <c r="H68" i="520"/>
  <c r="K67" i="520"/>
  <c r="K67" i="520" a="1"/>
  <c r="H67" i="520"/>
  <c r="V66" i="520"/>
  <c r="W66" i="520" s="1"/>
  <c r="N66" i="520"/>
  <c r="K66" i="520" a="1"/>
  <c r="K66" i="520" s="1"/>
  <c r="M66" i="520" s="1"/>
  <c r="J66" i="520" a="1"/>
  <c r="J66" i="520" s="1"/>
  <c r="H66" i="520"/>
  <c r="V65" i="520"/>
  <c r="W65" i="520" s="1"/>
  <c r="N65" i="520"/>
  <c r="K65" i="520" a="1"/>
  <c r="K65" i="520" s="1"/>
  <c r="M65" i="520" s="1"/>
  <c r="J65" i="520" a="1"/>
  <c r="J65" i="520" s="1"/>
  <c r="H65" i="520"/>
  <c r="V64" i="520"/>
  <c r="W64" i="520" s="1"/>
  <c r="N64" i="520"/>
  <c r="K64" i="520" a="1"/>
  <c r="K64" i="520" s="1"/>
  <c r="M64" i="520" s="1"/>
  <c r="J64" i="520" a="1"/>
  <c r="J64" i="520" s="1"/>
  <c r="H64" i="520"/>
  <c r="V63" i="520"/>
  <c r="W63" i="520" s="1"/>
  <c r="N63" i="520"/>
  <c r="K63" i="520"/>
  <c r="M63" i="520" s="1"/>
  <c r="K63" i="520" a="1"/>
  <c r="J63" i="520"/>
  <c r="J63" i="520" a="1"/>
  <c r="H63" i="520"/>
  <c r="V62" i="520"/>
  <c r="W62" i="520" s="1"/>
  <c r="N62" i="520"/>
  <c r="K62" i="520" a="1"/>
  <c r="K62" i="520" s="1"/>
  <c r="M62" i="520" s="1"/>
  <c r="J62" i="520" a="1"/>
  <c r="J62" i="520" s="1"/>
  <c r="H62" i="520"/>
  <c r="V61" i="520"/>
  <c r="W61" i="520" s="1"/>
  <c r="N61" i="520"/>
  <c r="K61" i="520" a="1"/>
  <c r="K61" i="520" s="1"/>
  <c r="M61" i="520" s="1"/>
  <c r="J61" i="520" a="1"/>
  <c r="J61" i="520" s="1"/>
  <c r="H61" i="520"/>
  <c r="V60" i="520"/>
  <c r="W60" i="520" s="1"/>
  <c r="N60" i="520"/>
  <c r="K60" i="520" a="1"/>
  <c r="K60" i="520" s="1"/>
  <c r="M60" i="520" s="1"/>
  <c r="J60" i="520" a="1"/>
  <c r="J60" i="520" s="1"/>
  <c r="H60" i="520"/>
  <c r="V59" i="520"/>
  <c r="W59" i="520" s="1"/>
  <c r="N59" i="520"/>
  <c r="K59" i="520"/>
  <c r="M59" i="520" s="1"/>
  <c r="K59" i="520" a="1"/>
  <c r="J59" i="520"/>
  <c r="J59" i="520" a="1"/>
  <c r="H59" i="520"/>
  <c r="V58" i="520"/>
  <c r="W58" i="520" s="1"/>
  <c r="N58" i="520"/>
  <c r="K58" i="520" a="1"/>
  <c r="K58" i="520" s="1"/>
  <c r="M58" i="520" s="1"/>
  <c r="J58" i="520" a="1"/>
  <c r="J58" i="520" s="1"/>
  <c r="H58" i="520"/>
  <c r="V57" i="520"/>
  <c r="W57" i="520" s="1"/>
  <c r="N57" i="520"/>
  <c r="K57" i="520" a="1"/>
  <c r="K57" i="520" s="1"/>
  <c r="M57" i="520" s="1"/>
  <c r="J57" i="520" a="1"/>
  <c r="J57" i="520" s="1"/>
  <c r="H57" i="520"/>
  <c r="K56" i="520"/>
  <c r="M56" i="520" s="1"/>
  <c r="K56" i="520" a="1"/>
  <c r="H56" i="520"/>
  <c r="K55" i="520" a="1"/>
  <c r="K55" i="520" s="1"/>
  <c r="M55" i="520" s="1"/>
  <c r="H55" i="520"/>
  <c r="K54" i="520"/>
  <c r="M54" i="520" s="1"/>
  <c r="K54" i="520" a="1"/>
  <c r="H54" i="520"/>
  <c r="K53" i="520" a="1"/>
  <c r="K53" i="520" s="1"/>
  <c r="M53" i="520" s="1"/>
  <c r="H53" i="520"/>
  <c r="N52" i="520"/>
  <c r="K52" i="520" a="1"/>
  <c r="K52" i="520" s="1"/>
  <c r="M52" i="520" s="1"/>
  <c r="H52" i="520"/>
  <c r="N51" i="520"/>
  <c r="K51" i="520"/>
  <c r="M51" i="520" s="1"/>
  <c r="K51" i="520" a="1"/>
  <c r="H51" i="520"/>
  <c r="N50" i="520"/>
  <c r="K50" i="520" a="1"/>
  <c r="K50" i="520" s="1"/>
  <c r="M50" i="520" s="1"/>
  <c r="H50" i="520"/>
  <c r="N49" i="520"/>
  <c r="K49" i="520" a="1"/>
  <c r="K49" i="520" s="1"/>
  <c r="M49" i="520" s="1"/>
  <c r="H49" i="520"/>
  <c r="V48" i="520"/>
  <c r="W48" i="520" s="1"/>
  <c r="N48" i="520"/>
  <c r="K48" i="520" a="1"/>
  <c r="K48" i="520" s="1"/>
  <c r="M48" i="520" s="1"/>
  <c r="J48" i="520" a="1"/>
  <c r="J48" i="520" s="1"/>
  <c r="H48" i="520"/>
  <c r="V47" i="520"/>
  <c r="W47" i="520" s="1"/>
  <c r="N47" i="520"/>
  <c r="K47" i="520"/>
  <c r="M47" i="520" s="1"/>
  <c r="K47" i="520" a="1"/>
  <c r="J47" i="520"/>
  <c r="J47" i="520" a="1"/>
  <c r="H47" i="520"/>
  <c r="V46" i="520"/>
  <c r="W46" i="520" s="1"/>
  <c r="N46" i="520"/>
  <c r="K46" i="520" a="1"/>
  <c r="K46" i="520" s="1"/>
  <c r="M46" i="520" s="1"/>
  <c r="J46" i="520" a="1"/>
  <c r="J46" i="520" s="1"/>
  <c r="H46" i="520"/>
  <c r="V45" i="520"/>
  <c r="W45" i="520" s="1"/>
  <c r="N45" i="520"/>
  <c r="K45" i="520" a="1"/>
  <c r="K45" i="520" s="1"/>
  <c r="M45" i="520" s="1"/>
  <c r="J45" i="520" a="1"/>
  <c r="J45" i="520" s="1"/>
  <c r="H45" i="520"/>
  <c r="V44" i="520"/>
  <c r="W44" i="520" s="1"/>
  <c r="N44" i="520"/>
  <c r="K44" i="520" a="1"/>
  <c r="K44" i="520" s="1"/>
  <c r="M44" i="520" s="1"/>
  <c r="J44" i="520" a="1"/>
  <c r="J44" i="520" s="1"/>
  <c r="H44" i="520"/>
  <c r="V43" i="520"/>
  <c r="W43" i="520" s="1"/>
  <c r="N43" i="520"/>
  <c r="K43" i="520" a="1"/>
  <c r="K43" i="520" s="1"/>
  <c r="M43" i="520" s="1"/>
  <c r="J43" i="520" a="1"/>
  <c r="J43" i="520" s="1"/>
  <c r="H43" i="520"/>
  <c r="V42" i="520"/>
  <c r="W42" i="520" s="1"/>
  <c r="N42" i="520"/>
  <c r="K42" i="520" a="1"/>
  <c r="K42" i="520" s="1"/>
  <c r="M42" i="520" s="1"/>
  <c r="J42" i="520" a="1"/>
  <c r="J42" i="520" s="1"/>
  <c r="H42" i="520"/>
  <c r="V41" i="520"/>
  <c r="W41" i="520" s="1"/>
  <c r="N41" i="520"/>
  <c r="K41" i="520" a="1"/>
  <c r="K41" i="520" s="1"/>
  <c r="M41" i="520" s="1"/>
  <c r="J41" i="520" a="1"/>
  <c r="J41" i="520" s="1"/>
  <c r="H41" i="520"/>
  <c r="V40" i="520"/>
  <c r="W40" i="520" s="1"/>
  <c r="N40" i="520"/>
  <c r="K40" i="520" a="1"/>
  <c r="K40" i="520" s="1"/>
  <c r="M40" i="520" s="1"/>
  <c r="J40" i="520" a="1"/>
  <c r="J40" i="520" s="1"/>
  <c r="H40" i="520"/>
  <c r="V39" i="520"/>
  <c r="W39" i="520" s="1"/>
  <c r="N39" i="520"/>
  <c r="K39" i="520" a="1"/>
  <c r="K39" i="520" s="1"/>
  <c r="M39" i="520" s="1"/>
  <c r="J39" i="520" a="1"/>
  <c r="J39" i="520" s="1"/>
  <c r="H39" i="520"/>
  <c r="V38" i="520"/>
  <c r="W38" i="520" s="1"/>
  <c r="N38" i="520"/>
  <c r="K38" i="520" a="1"/>
  <c r="K38" i="520" s="1"/>
  <c r="M38" i="520" s="1"/>
  <c r="J38" i="520" a="1"/>
  <c r="J38" i="520" s="1"/>
  <c r="H38" i="520"/>
  <c r="V37" i="520"/>
  <c r="W37" i="520" s="1"/>
  <c r="N37" i="520"/>
  <c r="K37" i="520"/>
  <c r="M37" i="520" s="1"/>
  <c r="K37" i="520" a="1"/>
  <c r="J37" i="520"/>
  <c r="J37" i="520" a="1"/>
  <c r="H37" i="520"/>
  <c r="H36" i="520"/>
  <c r="H35" i="520"/>
  <c r="H34" i="520"/>
  <c r="V33" i="520"/>
  <c r="W33" i="520" s="1"/>
  <c r="N33" i="520"/>
  <c r="K33" i="520" a="1"/>
  <c r="K33" i="520" s="1"/>
  <c r="M33" i="520" s="1"/>
  <c r="J33" i="520" a="1"/>
  <c r="J33" i="520" s="1"/>
  <c r="H33" i="520"/>
  <c r="V32" i="520"/>
  <c r="W32" i="520" s="1"/>
  <c r="N32" i="520"/>
  <c r="K32" i="520" a="1"/>
  <c r="K32" i="520" s="1"/>
  <c r="M32" i="520" s="1"/>
  <c r="J32" i="520" a="1"/>
  <c r="J32" i="520" s="1"/>
  <c r="H32" i="520"/>
  <c r="V31" i="520"/>
  <c r="W31" i="520" s="1"/>
  <c r="N31" i="520"/>
  <c r="K31" i="520"/>
  <c r="M31" i="520" s="1"/>
  <c r="K31" i="520" a="1"/>
  <c r="J31" i="520"/>
  <c r="J31" i="520" a="1"/>
  <c r="H31" i="520"/>
  <c r="K30" i="520" a="1"/>
  <c r="K30" i="520" s="1"/>
  <c r="H30" i="520"/>
  <c r="V29" i="520"/>
  <c r="N29" i="520"/>
  <c r="N86" i="520" s="1"/>
  <c r="K29" i="520"/>
  <c r="M29" i="520" s="1"/>
  <c r="K29" i="520" a="1"/>
  <c r="J29" i="520" a="1"/>
  <c r="J29" i="520" s="1"/>
  <c r="H29" i="520"/>
  <c r="H86" i="520" s="1"/>
  <c r="AA28" i="520"/>
  <c r="AA163" i="520" s="1"/>
  <c r="Z28" i="520"/>
  <c r="Z163" i="520" s="1"/>
  <c r="Y28" i="520"/>
  <c r="Y163" i="520" s="1"/>
  <c r="X28" i="520"/>
  <c r="X163" i="520" s="1"/>
  <c r="U28" i="520"/>
  <c r="U163" i="520" s="1"/>
  <c r="T28" i="520"/>
  <c r="T163" i="520" s="1"/>
  <c r="S28" i="520"/>
  <c r="S163" i="520" s="1"/>
  <c r="R28" i="520"/>
  <c r="R163" i="520" s="1"/>
  <c r="Q28" i="520"/>
  <c r="Q163" i="520" s="1"/>
  <c r="P28" i="520"/>
  <c r="X166" i="520" s="1"/>
  <c r="O28" i="520"/>
  <c r="R165" i="520" s="1"/>
  <c r="I28" i="520"/>
  <c r="I163" i="520" s="1"/>
  <c r="B171" i="520" s="1"/>
  <c r="G28" i="520"/>
  <c r="C521" i="520" s="1"/>
  <c r="V27" i="520"/>
  <c r="W27" i="520" s="1"/>
  <c r="N27" i="520"/>
  <c r="K27" i="520" a="1"/>
  <c r="K27" i="520" s="1"/>
  <c r="M27" i="520" s="1"/>
  <c r="J27" i="520" a="1"/>
  <c r="J27" i="520" s="1"/>
  <c r="H27" i="520"/>
  <c r="V26" i="520"/>
  <c r="W26" i="520" s="1"/>
  <c r="N26" i="520"/>
  <c r="K26" i="520" a="1"/>
  <c r="K26" i="520" s="1"/>
  <c r="M26" i="520" s="1"/>
  <c r="J26" i="520" a="1"/>
  <c r="J26" i="520" s="1"/>
  <c r="H26" i="520"/>
  <c r="K25" i="520"/>
  <c r="M25" i="520" s="1"/>
  <c r="K25" i="520" a="1"/>
  <c r="J25" i="520" a="1"/>
  <c r="J25" i="520" s="1"/>
  <c r="H25" i="520"/>
  <c r="K24" i="520" a="1"/>
  <c r="K24" i="520" s="1"/>
  <c r="M24" i="520" s="1"/>
  <c r="J24" i="520" a="1"/>
  <c r="J24" i="520" s="1"/>
  <c r="H24" i="520"/>
  <c r="K23" i="520" a="1"/>
  <c r="K23" i="520" s="1"/>
  <c r="M23" i="520" s="1"/>
  <c r="J23" i="520" a="1"/>
  <c r="J23" i="520" s="1"/>
  <c r="H23" i="520"/>
  <c r="K22" i="520" a="1"/>
  <c r="K22" i="520" s="1"/>
  <c r="M22" i="520" s="1"/>
  <c r="J22" i="520" a="1"/>
  <c r="J22" i="520" s="1"/>
  <c r="H22" i="520"/>
  <c r="V21" i="520"/>
  <c r="W21" i="520" s="1"/>
  <c r="N21" i="520"/>
  <c r="K21" i="520" a="1"/>
  <c r="K21" i="520" s="1"/>
  <c r="M21" i="520" s="1"/>
  <c r="J21" i="520" a="1"/>
  <c r="J21" i="520" s="1"/>
  <c r="H21" i="520"/>
  <c r="V20" i="520"/>
  <c r="W20" i="520" s="1"/>
  <c r="N20" i="520"/>
  <c r="K20" i="520" a="1"/>
  <c r="K20" i="520" s="1"/>
  <c r="M20" i="520" s="1"/>
  <c r="J20" i="520" a="1"/>
  <c r="J20" i="520" s="1"/>
  <c r="H20" i="520"/>
  <c r="V19" i="520"/>
  <c r="W19" i="520" s="1"/>
  <c r="N19" i="520"/>
  <c r="K19" i="520"/>
  <c r="M19" i="520" s="1"/>
  <c r="K19" i="520" a="1"/>
  <c r="J19" i="520"/>
  <c r="J19" i="520" a="1"/>
  <c r="H19" i="520"/>
  <c r="N18" i="520"/>
  <c r="K18" i="520" a="1"/>
  <c r="K18" i="520" s="1"/>
  <c r="M18" i="520" s="1"/>
  <c r="J18" i="520" a="1"/>
  <c r="J18" i="520" s="1"/>
  <c r="H18" i="520"/>
  <c r="N17" i="520"/>
  <c r="K17" i="520"/>
  <c r="M17" i="520" s="1"/>
  <c r="K17" i="520" a="1"/>
  <c r="J17" i="520"/>
  <c r="J17" i="520" a="1"/>
  <c r="H17" i="520"/>
  <c r="V16" i="520"/>
  <c r="W16" i="520" s="1"/>
  <c r="N16" i="520"/>
  <c r="K16" i="520" a="1"/>
  <c r="K16" i="520" s="1"/>
  <c r="M16" i="520" s="1"/>
  <c r="J16" i="520" a="1"/>
  <c r="J16" i="520" s="1"/>
  <c r="H16" i="520"/>
  <c r="V15" i="520"/>
  <c r="W15" i="520" s="1"/>
  <c r="N15" i="520"/>
  <c r="K15" i="520" a="1"/>
  <c r="K15" i="520" s="1"/>
  <c r="M15" i="520" s="1"/>
  <c r="J15" i="520" a="1"/>
  <c r="J15" i="520" s="1"/>
  <c r="H15" i="520"/>
  <c r="N14" i="520"/>
  <c r="K14" i="520" a="1"/>
  <c r="K14" i="520" s="1"/>
  <c r="M14" i="520" s="1"/>
  <c r="H14" i="520"/>
  <c r="N13" i="520"/>
  <c r="K13" i="520" a="1"/>
  <c r="K13" i="520" s="1"/>
  <c r="M13" i="520" s="1"/>
  <c r="H13" i="520"/>
  <c r="V12" i="520"/>
  <c r="W12" i="520" s="1"/>
  <c r="N12" i="520"/>
  <c r="K12" i="520" a="1"/>
  <c r="K12" i="520" s="1"/>
  <c r="M12" i="520" s="1"/>
  <c r="J12" i="520" a="1"/>
  <c r="J12" i="520" s="1"/>
  <c r="H12" i="520"/>
  <c r="V11" i="520"/>
  <c r="W11" i="520" s="1"/>
  <c r="N11" i="520"/>
  <c r="K11" i="520"/>
  <c r="M11" i="520" s="1"/>
  <c r="K11" i="520" a="1"/>
  <c r="J11" i="520"/>
  <c r="J11" i="520" a="1"/>
  <c r="H11" i="520"/>
  <c r="V10" i="520"/>
  <c r="W10" i="520" s="1"/>
  <c r="N10" i="520"/>
  <c r="K10" i="520" a="1"/>
  <c r="K10" i="520" s="1"/>
  <c r="M10" i="520" s="1"/>
  <c r="J10" i="520" a="1"/>
  <c r="J10" i="520" s="1"/>
  <c r="H10" i="520"/>
  <c r="V9" i="520"/>
  <c r="W9" i="520" s="1"/>
  <c r="N9" i="520"/>
  <c r="K9" i="520" a="1"/>
  <c r="K9" i="520" s="1"/>
  <c r="M9" i="520" s="1"/>
  <c r="J9" i="520" a="1"/>
  <c r="J9" i="520" s="1"/>
  <c r="H9" i="520"/>
  <c r="V8" i="520"/>
  <c r="W8" i="520" s="1"/>
  <c r="N8" i="520"/>
  <c r="K8" i="520" a="1"/>
  <c r="K8" i="520" s="1"/>
  <c r="M8" i="520" s="1"/>
  <c r="J8" i="520" a="1"/>
  <c r="J8" i="520" s="1"/>
  <c r="H8" i="520"/>
  <c r="V7" i="520"/>
  <c r="V28" i="520" s="1"/>
  <c r="N7" i="520"/>
  <c r="N28" i="520" s="1"/>
  <c r="K7" i="520"/>
  <c r="M7" i="520" s="1"/>
  <c r="K7" i="520" a="1"/>
  <c r="J7" i="520"/>
  <c r="J7" i="520" a="1"/>
  <c r="H7" i="520"/>
  <c r="H28" i="520" s="1"/>
  <c r="J530" i="526" l="1"/>
  <c r="D530" i="527"/>
  <c r="C533" i="526"/>
  <c r="T533" i="526" s="1" a="1"/>
  <c r="T533" i="526" s="1"/>
  <c r="T530" i="526" a="1"/>
  <c r="T530" i="526" s="1"/>
  <c r="J532" i="527"/>
  <c r="Q532" i="527" s="1"/>
  <c r="T532" i="527" a="1"/>
  <c r="T532" i="527" s="1"/>
  <c r="R531" i="526"/>
  <c r="S531" i="526" a="1"/>
  <c r="S531" i="526" s="1"/>
  <c r="R532" i="526"/>
  <c r="S532" i="526" a="1"/>
  <c r="S532" i="526" s="1"/>
  <c r="J531" i="527"/>
  <c r="Q531" i="527" s="1"/>
  <c r="T531" i="527" a="1"/>
  <c r="T531" i="527" s="1"/>
  <c r="H368" i="520"/>
  <c r="V368" i="520"/>
  <c r="H487" i="520"/>
  <c r="V487" i="520"/>
  <c r="W487" i="520" s="1"/>
  <c r="V198" i="520"/>
  <c r="Q533" i="523"/>
  <c r="S533" i="523" s="1" a="1"/>
  <c r="S533" i="523" s="1"/>
  <c r="R530" i="523"/>
  <c r="R533" i="523" s="1"/>
  <c r="S530" i="523" a="1"/>
  <c r="S530" i="523" s="1"/>
  <c r="J533" i="524"/>
  <c r="Q530" i="524"/>
  <c r="J532" i="525"/>
  <c r="Q532" i="525" s="1"/>
  <c r="T532" i="525" a="1"/>
  <c r="T532" i="525" s="1"/>
  <c r="J531" i="525"/>
  <c r="Q531" i="525" s="1"/>
  <c r="T531" i="525" a="1"/>
  <c r="T531" i="525" s="1"/>
  <c r="J530" i="525"/>
  <c r="T530" i="525" a="1"/>
  <c r="T530" i="525" s="1"/>
  <c r="C533" i="525"/>
  <c r="T533" i="525" s="1" a="1"/>
  <c r="T533" i="525" s="1"/>
  <c r="R531" i="524"/>
  <c r="S531" i="524" a="1"/>
  <c r="S531" i="524" s="1"/>
  <c r="H137" i="520"/>
  <c r="V137" i="520"/>
  <c r="W137" i="520" s="1"/>
  <c r="R532" i="524"/>
  <c r="S532" i="524" a="1"/>
  <c r="S532" i="524" s="1"/>
  <c r="J256" i="520" a="1"/>
  <c r="J256" i="520" s="1"/>
  <c r="J198" i="520" a="1"/>
  <c r="J198" i="520" s="1"/>
  <c r="J291" i="520" a="1"/>
  <c r="J291" i="520" s="1"/>
  <c r="N307" i="520"/>
  <c r="W292" i="520"/>
  <c r="M307" i="520"/>
  <c r="W332" i="520"/>
  <c r="N291" i="520"/>
  <c r="W257" i="520"/>
  <c r="W199" i="520"/>
  <c r="H291" i="520"/>
  <c r="K291" i="520"/>
  <c r="K477" i="520"/>
  <c r="W478" i="520"/>
  <c r="M477" i="520"/>
  <c r="M487" i="520"/>
  <c r="N368" i="520"/>
  <c r="N426" i="520"/>
  <c r="W369" i="520"/>
  <c r="R170" i="520"/>
  <c r="N137" i="520"/>
  <c r="N163" i="520" s="1"/>
  <c r="B172" i="520" s="1"/>
  <c r="E172" i="520" s="1"/>
  <c r="W138" i="520"/>
  <c r="J147" i="520" a="1"/>
  <c r="J147" i="520" s="1"/>
  <c r="R168" i="520"/>
  <c r="R169" i="520"/>
  <c r="V162" i="520"/>
  <c r="V86" i="520"/>
  <c r="W86" i="520" s="1"/>
  <c r="R166" i="520"/>
  <c r="R172" i="520" s="1"/>
  <c r="T165" i="520" s="1" a="1"/>
  <c r="T165" i="520" s="1"/>
  <c r="W29" i="520"/>
  <c r="W7" i="520"/>
  <c r="H162" i="520"/>
  <c r="H163" i="520" s="1"/>
  <c r="E170" i="520" s="1"/>
  <c r="W162" i="520"/>
  <c r="J162" i="520" a="1"/>
  <c r="J162" i="520" s="1"/>
  <c r="M86" i="520"/>
  <c r="C517" i="520"/>
  <c r="Q522" i="520"/>
  <c r="M87" i="520"/>
  <c r="M121" i="520" s="1"/>
  <c r="K121" i="520"/>
  <c r="M122" i="520"/>
  <c r="M137" i="520" s="1"/>
  <c r="K137" i="520"/>
  <c r="K524" i="520"/>
  <c r="K525" i="520"/>
  <c r="K162" i="520"/>
  <c r="M148" i="520"/>
  <c r="M162" i="520" s="1"/>
  <c r="K526" i="520"/>
  <c r="M28" i="520"/>
  <c r="V163" i="520"/>
  <c r="I172" i="520" s="1"/>
  <c r="W28" i="520"/>
  <c r="K521" i="520"/>
  <c r="K522" i="520"/>
  <c r="K523" i="520"/>
  <c r="K169" i="520"/>
  <c r="M165" i="520"/>
  <c r="K198" i="520"/>
  <c r="M177" i="520"/>
  <c r="M198" i="520" s="1"/>
  <c r="J28" i="520" a="1"/>
  <c r="J28" i="520" s="1"/>
  <c r="K28" i="520"/>
  <c r="J86" i="520" a="1"/>
  <c r="J86" i="520" s="1"/>
  <c r="K86" i="520"/>
  <c r="W87" i="520"/>
  <c r="J121" i="520" a="1"/>
  <c r="J121" i="520" s="1"/>
  <c r="W122" i="520"/>
  <c r="J137" i="520" a="1"/>
  <c r="J137" i="520" s="1"/>
  <c r="M138" i="520"/>
  <c r="M147" i="520" s="1"/>
  <c r="W148" i="520"/>
  <c r="O163" i="520"/>
  <c r="E169" i="520"/>
  <c r="H198" i="520"/>
  <c r="H333" i="520" s="1"/>
  <c r="E340" i="520" s="1"/>
  <c r="N198" i="520"/>
  <c r="N333" i="520" s="1"/>
  <c r="B342" i="520" s="1"/>
  <c r="E342" i="520" s="1"/>
  <c r="W177" i="520"/>
  <c r="W198" i="520" s="1"/>
  <c r="K256" i="520"/>
  <c r="C527" i="520"/>
  <c r="E525" i="520" s="1"/>
  <c r="G163" i="520"/>
  <c r="P163" i="520"/>
  <c r="X167" i="520" s="1"/>
  <c r="X172" i="520" s="1"/>
  <c r="K317" i="520"/>
  <c r="M308" i="520"/>
  <c r="M317" i="520" s="1"/>
  <c r="K332" i="520"/>
  <c r="M318" i="520"/>
  <c r="M332" i="520" s="1"/>
  <c r="K368" i="520"/>
  <c r="M347" i="520"/>
  <c r="M368" i="520" s="1"/>
  <c r="M199" i="520"/>
  <c r="M256" i="520" s="1"/>
  <c r="M257" i="520"/>
  <c r="M291" i="520" s="1"/>
  <c r="K307" i="520"/>
  <c r="V332" i="520"/>
  <c r="V333" i="520" s="1"/>
  <c r="I342" i="520" s="1"/>
  <c r="G333" i="520"/>
  <c r="P333" i="520"/>
  <c r="X337" i="520" s="1"/>
  <c r="K335" i="520"/>
  <c r="R335" i="520"/>
  <c r="W347" i="520"/>
  <c r="W368" i="520" s="1"/>
  <c r="W308" i="520"/>
  <c r="K426" i="520"/>
  <c r="K461" i="520"/>
  <c r="M427" i="520"/>
  <c r="M461" i="520" s="1"/>
  <c r="B511" i="520"/>
  <c r="J504" i="520" a="1"/>
  <c r="J504" i="520" s="1"/>
  <c r="M511" i="520" s="1"/>
  <c r="X506" i="520"/>
  <c r="O504" i="520"/>
  <c r="X507" i="520" s="1"/>
  <c r="R506" i="520"/>
  <c r="M369" i="520"/>
  <c r="M426" i="520" s="1"/>
  <c r="H461" i="520"/>
  <c r="H504" i="520" s="1"/>
  <c r="E511" i="520" s="1"/>
  <c r="N461" i="520"/>
  <c r="W427" i="520"/>
  <c r="J461" i="520" a="1"/>
  <c r="J461" i="520" s="1"/>
  <c r="N477" i="520"/>
  <c r="J368" i="520" a="1"/>
  <c r="J368" i="520" s="1"/>
  <c r="W462" i="520"/>
  <c r="V477" i="520"/>
  <c r="W477" i="520" s="1"/>
  <c r="K503" i="520"/>
  <c r="M488" i="520"/>
  <c r="M503" i="520" s="1"/>
  <c r="K487" i="520"/>
  <c r="R531" i="520"/>
  <c r="S531" i="520" a="1"/>
  <c r="S531" i="520" s="1"/>
  <c r="R510" i="520"/>
  <c r="W488" i="520"/>
  <c r="W503" i="520" s="1"/>
  <c r="K506" i="520"/>
  <c r="J533" i="520"/>
  <c r="Q530" i="520"/>
  <c r="R532" i="520"/>
  <c r="S532" i="520" a="1"/>
  <c r="S532" i="520" s="1"/>
  <c r="T530" i="520" a="1"/>
  <c r="T530" i="520" s="1"/>
  <c r="T531" i="520" a="1"/>
  <c r="T531" i="520" s="1"/>
  <c r="T532" i="520" a="1"/>
  <c r="T532" i="520" s="1"/>
  <c r="C533" i="520"/>
  <c r="T533" i="520" s="1" a="1"/>
  <c r="T533" i="520" s="1"/>
  <c r="W163" i="520" l="1"/>
  <c r="S531" i="527" a="1"/>
  <c r="S531" i="527" s="1"/>
  <c r="R531" i="527"/>
  <c r="R532" i="527"/>
  <c r="S532" i="527" a="1"/>
  <c r="S532" i="527" s="1"/>
  <c r="Q530" i="526"/>
  <c r="J533" i="526"/>
  <c r="C530" i="527"/>
  <c r="D533" i="527"/>
  <c r="J533" i="525"/>
  <c r="Q530" i="525"/>
  <c r="R531" i="525"/>
  <c r="S531" i="525" a="1"/>
  <c r="S531" i="525" s="1"/>
  <c r="R532" i="525"/>
  <c r="S532" i="525" a="1"/>
  <c r="S532" i="525" s="1"/>
  <c r="Q533" i="524"/>
  <c r="S533" i="524" s="1" a="1"/>
  <c r="S533" i="524" s="1"/>
  <c r="R530" i="524"/>
  <c r="R533" i="524" s="1"/>
  <c r="S530" i="524" a="1"/>
  <c r="S530" i="524" s="1"/>
  <c r="W333" i="520"/>
  <c r="N504" i="520"/>
  <c r="B513" i="520" s="1"/>
  <c r="E513" i="520" s="1"/>
  <c r="T167" i="520"/>
  <c r="T166" i="520"/>
  <c r="E524" i="520"/>
  <c r="E522" i="520"/>
  <c r="E523" i="520"/>
  <c r="E521" i="520"/>
  <c r="G516" i="520"/>
  <c r="R530" i="520"/>
  <c r="R533" i="520" s="1"/>
  <c r="Q533" i="520"/>
  <c r="S533" i="520" s="1" a="1"/>
  <c r="S533" i="520" s="1"/>
  <c r="S530" i="520" a="1"/>
  <c r="S530" i="520" s="1"/>
  <c r="K510" i="520"/>
  <c r="M510" i="520" s="1"/>
  <c r="M506" i="520"/>
  <c r="R513" i="520"/>
  <c r="T510" i="520" s="1"/>
  <c r="X513" i="520"/>
  <c r="Z506" i="520" s="1" a="1"/>
  <c r="Z506" i="520" s="1"/>
  <c r="V504" i="520"/>
  <c r="M335" i="520"/>
  <c r="K339" i="520"/>
  <c r="M339" i="520" s="1"/>
  <c r="J333" i="520" a="1"/>
  <c r="J333" i="520" s="1"/>
  <c r="M340" i="520" s="1"/>
  <c r="B340" i="520"/>
  <c r="M342" i="520" s="1" a="1"/>
  <c r="M342" i="520" s="1"/>
  <c r="K504" i="520"/>
  <c r="Z165" i="520" a="1"/>
  <c r="Z165" i="520" s="1"/>
  <c r="Z171" i="520"/>
  <c r="Q523" i="520"/>
  <c r="Z167" i="520"/>
  <c r="Z170" i="520"/>
  <c r="K333" i="520"/>
  <c r="E341" i="520" s="1"/>
  <c r="I341" i="520" s="1"/>
  <c r="M341" i="520" s="1"/>
  <c r="M169" i="520"/>
  <c r="K527" i="520"/>
  <c r="M523" i="520" s="1"/>
  <c r="T171" i="520"/>
  <c r="M163" i="520"/>
  <c r="T170" i="520"/>
  <c r="T169" i="520"/>
  <c r="T168" i="520"/>
  <c r="Z166" i="520"/>
  <c r="Z507" i="520"/>
  <c r="R342" i="520"/>
  <c r="M504" i="520"/>
  <c r="B170" i="520"/>
  <c r="J163" i="520" a="1"/>
  <c r="J163" i="520" s="1"/>
  <c r="M170" i="520" s="1"/>
  <c r="X342" i="520"/>
  <c r="Z169" i="520"/>
  <c r="Z168" i="520"/>
  <c r="E526" i="520"/>
  <c r="E527" i="520" s="1"/>
  <c r="K163" i="520"/>
  <c r="E171" i="520" s="1"/>
  <c r="M333" i="520"/>
  <c r="M521" i="520" a="1"/>
  <c r="M521" i="520" s="1"/>
  <c r="M172" i="520" a="1"/>
  <c r="M172" i="520" s="1"/>
  <c r="C518" i="520"/>
  <c r="G518" i="520" s="1"/>
  <c r="M526" i="520"/>
  <c r="M525" i="520"/>
  <c r="M524" i="520"/>
  <c r="J530" i="527" l="1"/>
  <c r="T530" i="527" a="1"/>
  <c r="T530" i="527" s="1"/>
  <c r="C533" i="527"/>
  <c r="T533" i="527" s="1" a="1"/>
  <c r="T533" i="527" s="1"/>
  <c r="S530" i="526" a="1"/>
  <c r="S530" i="526" s="1"/>
  <c r="R530" i="526"/>
  <c r="R533" i="526" s="1"/>
  <c r="Q533" i="526"/>
  <c r="S533" i="526" s="1" a="1"/>
  <c r="S533" i="526" s="1"/>
  <c r="R530" i="525"/>
  <c r="R533" i="525" s="1"/>
  <c r="S530" i="525" a="1"/>
  <c r="S530" i="525" s="1"/>
  <c r="Q533" i="525"/>
  <c r="S533" i="525" s="1" a="1"/>
  <c r="S533" i="525" s="1"/>
  <c r="C516" i="520"/>
  <c r="T506" i="520" a="1"/>
  <c r="T506" i="520" s="1"/>
  <c r="M522" i="520"/>
  <c r="L163" i="520"/>
  <c r="I170" i="520" s="1"/>
  <c r="T341" i="520"/>
  <c r="T336" i="520"/>
  <c r="T339" i="520"/>
  <c r="T337" i="520"/>
  <c r="T338" i="520"/>
  <c r="T340" i="520"/>
  <c r="Q527" i="520"/>
  <c r="S523" i="520" s="1"/>
  <c r="L333" i="520"/>
  <c r="I340" i="520" s="1"/>
  <c r="I171" i="520"/>
  <c r="M171" i="520" s="1"/>
  <c r="Z340" i="520"/>
  <c r="Z335" i="520" a="1"/>
  <c r="Z335" i="520" s="1"/>
  <c r="Z336" i="520"/>
  <c r="Z341" i="520"/>
  <c r="Z338" i="520"/>
  <c r="Z339" i="520"/>
  <c r="O516" i="520" a="1"/>
  <c r="O516" i="520" s="1"/>
  <c r="Z337" i="520"/>
  <c r="T335" i="520" a="1"/>
  <c r="T335" i="520" s="1"/>
  <c r="E512" i="520"/>
  <c r="I512" i="520" s="1"/>
  <c r="M512" i="520" s="1"/>
  <c r="L504" i="520"/>
  <c r="I511" i="520" s="1"/>
  <c r="I513" i="520"/>
  <c r="W504" i="520"/>
  <c r="Z512" i="520"/>
  <c r="Z509" i="520"/>
  <c r="Z508" i="520"/>
  <c r="Z511" i="520"/>
  <c r="Z510" i="520"/>
  <c r="T512" i="520"/>
  <c r="T507" i="520"/>
  <c r="T508" i="520"/>
  <c r="T509" i="520"/>
  <c r="T511" i="520"/>
  <c r="Q530" i="527" l="1"/>
  <c r="J533" i="527"/>
  <c r="M513" i="520" a="1"/>
  <c r="M513" i="520" s="1"/>
  <c r="K518" i="520"/>
  <c r="O518" i="520" s="1" a="1"/>
  <c r="O518" i="520" s="1"/>
  <c r="G517" i="520"/>
  <c r="S521" i="520" a="1"/>
  <c r="S521" i="520" s="1"/>
  <c r="S524" i="520"/>
  <c r="S526" i="520"/>
  <c r="S525" i="520"/>
  <c r="S522" i="520"/>
  <c r="S530" i="527" l="1" a="1"/>
  <c r="S530" i="527" s="1"/>
  <c r="R530" i="527"/>
  <c r="R533" i="527" s="1"/>
  <c r="Q533" i="527"/>
  <c r="S533" i="527" s="1" a="1"/>
  <c r="S533" i="527" s="1"/>
  <c r="S527" i="520"/>
  <c r="K517" i="520"/>
  <c r="O517" i="520" s="1"/>
  <c r="K516" i="520"/>
  <c r="J94" i="519" l="1" a="1"/>
  <c r="J94" i="519" s="1"/>
  <c r="I433" i="519"/>
  <c r="I432" i="519"/>
  <c r="I214" i="519"/>
  <c r="I212" i="519"/>
  <c r="I260" i="519"/>
  <c r="I177" i="519"/>
  <c r="I180" i="519"/>
  <c r="I37" i="519"/>
  <c r="I7" i="519"/>
  <c r="I10" i="519"/>
  <c r="I11" i="519"/>
  <c r="I93" i="519"/>
  <c r="I91" i="519"/>
  <c r="G177" i="519" l="1"/>
  <c r="G7" i="519"/>
  <c r="G10" i="519"/>
  <c r="G180" i="519"/>
  <c r="G214" i="519"/>
  <c r="G212" i="519"/>
  <c r="G262" i="519"/>
  <c r="G260" i="519"/>
  <c r="G432" i="519"/>
  <c r="G433" i="519"/>
  <c r="G92" i="519"/>
  <c r="G37" i="519"/>
  <c r="G11" i="519"/>
  <c r="P533" i="519"/>
  <c r="O533" i="519"/>
  <c r="N533" i="519"/>
  <c r="M533" i="519"/>
  <c r="L533" i="519"/>
  <c r="K533" i="519"/>
  <c r="I533" i="519"/>
  <c r="H533" i="519"/>
  <c r="G533" i="519"/>
  <c r="F533" i="519"/>
  <c r="E533" i="519"/>
  <c r="D533" i="519"/>
  <c r="C532" i="519"/>
  <c r="T532" i="519" s="1" a="1"/>
  <c r="T532" i="519" s="1"/>
  <c r="C531" i="519"/>
  <c r="T531" i="519" s="1" a="1"/>
  <c r="T531" i="519" s="1"/>
  <c r="J530" i="519"/>
  <c r="Q530" i="519" s="1"/>
  <c r="S530" i="519" s="1" a="1"/>
  <c r="S530" i="519" s="1"/>
  <c r="C530" i="519"/>
  <c r="C533" i="519" s="1"/>
  <c r="T533" i="519" s="1" a="1"/>
  <c r="T533" i="519" s="1"/>
  <c r="N514" i="519"/>
  <c r="G514" i="519"/>
  <c r="X512" i="519"/>
  <c r="X511" i="519"/>
  <c r="X510" i="519"/>
  <c r="I510" i="519"/>
  <c r="G510" i="519"/>
  <c r="E510" i="519"/>
  <c r="C510" i="519"/>
  <c r="X509" i="519"/>
  <c r="M509" i="519"/>
  <c r="K509" i="519"/>
  <c r="I509" i="519"/>
  <c r="E509" i="519"/>
  <c r="X508" i="519"/>
  <c r="M508" i="519"/>
  <c r="K508" i="519"/>
  <c r="I508" i="519"/>
  <c r="E508" i="519"/>
  <c r="I507" i="519"/>
  <c r="E507" i="519"/>
  <c r="K507" i="519" s="1"/>
  <c r="M507" i="519" s="1"/>
  <c r="I506" i="519"/>
  <c r="E506" i="519"/>
  <c r="K506" i="519" s="1"/>
  <c r="K510" i="519" s="1"/>
  <c r="M510" i="519" s="1"/>
  <c r="AA503" i="519"/>
  <c r="Z503" i="519"/>
  <c r="Y503" i="519"/>
  <c r="X503" i="519"/>
  <c r="U503" i="519"/>
  <c r="T503" i="519"/>
  <c r="S503" i="519"/>
  <c r="R503" i="519"/>
  <c r="Q503" i="519"/>
  <c r="P503" i="519"/>
  <c r="R511" i="519" s="1"/>
  <c r="O503" i="519"/>
  <c r="I503" i="519"/>
  <c r="G503" i="519"/>
  <c r="J503" i="519" s="1" a="1"/>
  <c r="J503" i="519" s="1"/>
  <c r="H502" i="519"/>
  <c r="H501" i="519"/>
  <c r="H500" i="519"/>
  <c r="H499" i="519"/>
  <c r="D499" i="519"/>
  <c r="V498" i="519"/>
  <c r="W498" i="519" s="1"/>
  <c r="N498" i="519"/>
  <c r="K498" i="519" a="1"/>
  <c r="K498" i="519" s="1"/>
  <c r="M498" i="519" s="1"/>
  <c r="J498" i="519" a="1"/>
  <c r="J498" i="519" s="1"/>
  <c r="H498" i="519"/>
  <c r="H497" i="519"/>
  <c r="H496" i="519"/>
  <c r="V495" i="519"/>
  <c r="W495" i="519" s="1"/>
  <c r="N495" i="519"/>
  <c r="M495" i="519"/>
  <c r="K495" i="519" a="1"/>
  <c r="K495" i="519" s="1"/>
  <c r="J495" i="519" a="1"/>
  <c r="J495" i="519" s="1"/>
  <c r="H495" i="519"/>
  <c r="W494" i="519"/>
  <c r="V494" i="519"/>
  <c r="N494" i="519"/>
  <c r="K494" i="519" a="1"/>
  <c r="K494" i="519" s="1"/>
  <c r="M494" i="519" s="1"/>
  <c r="J494" i="519" a="1"/>
  <c r="J494" i="519" s="1"/>
  <c r="H494" i="519"/>
  <c r="H493" i="519"/>
  <c r="H492" i="519"/>
  <c r="V491" i="519"/>
  <c r="W491" i="519" s="1"/>
  <c r="N491" i="519"/>
  <c r="M491" i="519"/>
  <c r="K491" i="519" a="1"/>
  <c r="K491" i="519" s="1"/>
  <c r="J491" i="519"/>
  <c r="J491" i="519" a="1"/>
  <c r="H491" i="519"/>
  <c r="V490" i="519"/>
  <c r="W490" i="519" s="1"/>
  <c r="N490" i="519"/>
  <c r="K490" i="519" a="1"/>
  <c r="K490" i="519" s="1"/>
  <c r="M490" i="519" s="1"/>
  <c r="J490" i="519" a="1"/>
  <c r="J490" i="519" s="1"/>
  <c r="H490" i="519"/>
  <c r="W489" i="519"/>
  <c r="V489" i="519"/>
  <c r="N489" i="519"/>
  <c r="K489" i="519" a="1"/>
  <c r="K489" i="519" s="1"/>
  <c r="M489" i="519" s="1"/>
  <c r="J489" i="519" a="1"/>
  <c r="J489" i="519" s="1"/>
  <c r="H489" i="519"/>
  <c r="V488" i="519"/>
  <c r="V503" i="519" s="1"/>
  <c r="N488" i="519"/>
  <c r="K488" i="519" a="1"/>
  <c r="K488" i="519" s="1"/>
  <c r="J488" i="519" a="1"/>
  <c r="J488" i="519" s="1"/>
  <c r="H488" i="519"/>
  <c r="AA487" i="519"/>
  <c r="Z487" i="519"/>
  <c r="Y487" i="519"/>
  <c r="X487" i="519"/>
  <c r="U487" i="519"/>
  <c r="T487" i="519"/>
  <c r="S487" i="519"/>
  <c r="Q487" i="519"/>
  <c r="P487" i="519"/>
  <c r="O487" i="519"/>
  <c r="I487" i="519"/>
  <c r="G487" i="519"/>
  <c r="J487" i="519" s="1" a="1"/>
  <c r="J487" i="519" s="1"/>
  <c r="W486" i="519"/>
  <c r="V486" i="519"/>
  <c r="N486" i="519"/>
  <c r="K486" i="519" a="1"/>
  <c r="K486" i="519" s="1"/>
  <c r="M486" i="519" s="1"/>
  <c r="J486" i="519" a="1"/>
  <c r="J486" i="519" s="1"/>
  <c r="H486" i="519"/>
  <c r="H483" i="519"/>
  <c r="V482" i="519"/>
  <c r="W482" i="519" s="1"/>
  <c r="N482" i="519"/>
  <c r="K482" i="519"/>
  <c r="M482" i="519" s="1"/>
  <c r="K482" i="519" a="1"/>
  <c r="J482" i="519"/>
  <c r="J482" i="519" a="1"/>
  <c r="H482" i="519"/>
  <c r="V481" i="519"/>
  <c r="W481" i="519" s="1"/>
  <c r="N481" i="519"/>
  <c r="K481" i="519" a="1"/>
  <c r="K481" i="519" s="1"/>
  <c r="M481" i="519" s="1"/>
  <c r="J481" i="519" a="1"/>
  <c r="J481" i="519" s="1"/>
  <c r="H481" i="519"/>
  <c r="W480" i="519"/>
  <c r="V480" i="519"/>
  <c r="N480" i="519"/>
  <c r="K480" i="519" a="1"/>
  <c r="K480" i="519" s="1"/>
  <c r="M480" i="519" s="1"/>
  <c r="J480" i="519" a="1"/>
  <c r="J480" i="519" s="1"/>
  <c r="H480" i="519"/>
  <c r="V479" i="519"/>
  <c r="W479" i="519" s="1"/>
  <c r="N479" i="519"/>
  <c r="K479" i="519" a="1"/>
  <c r="K479" i="519" s="1"/>
  <c r="M479" i="519" s="1"/>
  <c r="J479" i="519" a="1"/>
  <c r="J479" i="519" s="1"/>
  <c r="H479" i="519"/>
  <c r="V478" i="519"/>
  <c r="V487" i="519" s="1"/>
  <c r="W487" i="519" s="1"/>
  <c r="N478" i="519"/>
  <c r="K478" i="519"/>
  <c r="K478" i="519" a="1"/>
  <c r="J478" i="519"/>
  <c r="J478" i="519" a="1"/>
  <c r="H478" i="519"/>
  <c r="H487" i="519" s="1"/>
  <c r="AA477" i="519"/>
  <c r="Z477" i="519"/>
  <c r="Y477" i="519"/>
  <c r="X477" i="519"/>
  <c r="U477" i="519"/>
  <c r="T477" i="519"/>
  <c r="S477" i="519"/>
  <c r="Q477" i="519"/>
  <c r="P477" i="519"/>
  <c r="O477" i="519"/>
  <c r="R509" i="519" s="1"/>
  <c r="I477" i="519"/>
  <c r="G477" i="519"/>
  <c r="J477" i="519" s="1" a="1"/>
  <c r="J477" i="519" s="1"/>
  <c r="V476" i="519"/>
  <c r="W476" i="519" s="1"/>
  <c r="N476" i="519"/>
  <c r="K476" i="519" a="1"/>
  <c r="K476" i="519" s="1"/>
  <c r="M476" i="519" s="1"/>
  <c r="J476" i="519" a="1"/>
  <c r="J476" i="519" s="1"/>
  <c r="H476" i="519"/>
  <c r="V475" i="519"/>
  <c r="W475" i="519" s="1"/>
  <c r="N475" i="519"/>
  <c r="K475" i="519" a="1"/>
  <c r="K475" i="519" s="1"/>
  <c r="M475" i="519" s="1"/>
  <c r="J475" i="519" a="1"/>
  <c r="J475" i="519" s="1"/>
  <c r="H475" i="519"/>
  <c r="V474" i="519"/>
  <c r="W474" i="519" s="1"/>
  <c r="N474" i="519"/>
  <c r="K474" i="519" a="1"/>
  <c r="K474" i="519" s="1"/>
  <c r="M474" i="519" s="1"/>
  <c r="J474" i="519" a="1"/>
  <c r="J474" i="519" s="1"/>
  <c r="H474" i="519"/>
  <c r="V473" i="519"/>
  <c r="W473" i="519" s="1"/>
  <c r="N473" i="519"/>
  <c r="K473" i="519"/>
  <c r="M473" i="519" s="1"/>
  <c r="K473" i="519" a="1"/>
  <c r="J473" i="519"/>
  <c r="J473" i="519" a="1"/>
  <c r="H473" i="519"/>
  <c r="V472" i="519"/>
  <c r="W472" i="519" s="1"/>
  <c r="N472" i="519"/>
  <c r="K472" i="519" a="1"/>
  <c r="K472" i="519" s="1"/>
  <c r="M472" i="519" s="1"/>
  <c r="J472" i="519" a="1"/>
  <c r="J472" i="519" s="1"/>
  <c r="H472" i="519"/>
  <c r="V471" i="519"/>
  <c r="W471" i="519" s="1"/>
  <c r="N471" i="519"/>
  <c r="K471" i="519" a="1"/>
  <c r="K471" i="519" s="1"/>
  <c r="M471" i="519" s="1"/>
  <c r="J471" i="519" a="1"/>
  <c r="J471" i="519" s="1"/>
  <c r="H471" i="519"/>
  <c r="V470" i="519"/>
  <c r="W470" i="519" s="1"/>
  <c r="N470" i="519"/>
  <c r="K470" i="519" a="1"/>
  <c r="K470" i="519" s="1"/>
  <c r="M470" i="519" s="1"/>
  <c r="J470" i="519" a="1"/>
  <c r="J470" i="519" s="1"/>
  <c r="H470" i="519"/>
  <c r="V469" i="519"/>
  <c r="W469" i="519" s="1"/>
  <c r="N469" i="519"/>
  <c r="K469" i="519"/>
  <c r="M469" i="519" s="1"/>
  <c r="K469" i="519" a="1"/>
  <c r="J469" i="519"/>
  <c r="J469" i="519" a="1"/>
  <c r="H469" i="519"/>
  <c r="V468" i="519"/>
  <c r="W468" i="519" s="1"/>
  <c r="N468" i="519"/>
  <c r="K468" i="519" a="1"/>
  <c r="K468" i="519" s="1"/>
  <c r="M468" i="519" s="1"/>
  <c r="J468" i="519" a="1"/>
  <c r="J468" i="519" s="1"/>
  <c r="H468" i="519"/>
  <c r="V467" i="519"/>
  <c r="W467" i="519" s="1"/>
  <c r="N467" i="519"/>
  <c r="K467" i="519" a="1"/>
  <c r="K467" i="519" s="1"/>
  <c r="M467" i="519" s="1"/>
  <c r="J467" i="519" a="1"/>
  <c r="J467" i="519" s="1"/>
  <c r="H467" i="519"/>
  <c r="V466" i="519"/>
  <c r="W466" i="519" s="1"/>
  <c r="N466" i="519"/>
  <c r="K466" i="519" a="1"/>
  <c r="K466" i="519" s="1"/>
  <c r="M466" i="519" s="1"/>
  <c r="J466" i="519" a="1"/>
  <c r="J466" i="519" s="1"/>
  <c r="H466" i="519"/>
  <c r="V465" i="519"/>
  <c r="W465" i="519" s="1"/>
  <c r="N465" i="519"/>
  <c r="K465" i="519"/>
  <c r="M465" i="519" s="1"/>
  <c r="K465" i="519" a="1"/>
  <c r="J465" i="519"/>
  <c r="J465" i="519" a="1"/>
  <c r="H465" i="519"/>
  <c r="V464" i="519"/>
  <c r="W464" i="519" s="1"/>
  <c r="N464" i="519"/>
  <c r="K464" i="519" a="1"/>
  <c r="K464" i="519" s="1"/>
  <c r="M464" i="519" s="1"/>
  <c r="J464" i="519" a="1"/>
  <c r="J464" i="519" s="1"/>
  <c r="H464" i="519"/>
  <c r="V463" i="519"/>
  <c r="W463" i="519" s="1"/>
  <c r="N463" i="519"/>
  <c r="K463" i="519" a="1"/>
  <c r="K463" i="519" s="1"/>
  <c r="M463" i="519" s="1"/>
  <c r="J463" i="519" a="1"/>
  <c r="J463" i="519" s="1"/>
  <c r="H463" i="519"/>
  <c r="V462" i="519"/>
  <c r="N462" i="519"/>
  <c r="K462" i="519" a="1"/>
  <c r="K462" i="519" s="1"/>
  <c r="J462" i="519" a="1"/>
  <c r="J462" i="519" s="1"/>
  <c r="H462" i="519"/>
  <c r="AA461" i="519"/>
  <c r="Z461" i="519"/>
  <c r="Y461" i="519"/>
  <c r="X461" i="519"/>
  <c r="U461" i="519"/>
  <c r="T461" i="519"/>
  <c r="S461" i="519"/>
  <c r="R461" i="519"/>
  <c r="Q461" i="519"/>
  <c r="P461" i="519"/>
  <c r="O461" i="519"/>
  <c r="R508" i="519" s="1"/>
  <c r="I461" i="519"/>
  <c r="G461" i="519"/>
  <c r="V460" i="519"/>
  <c r="W460" i="519" s="1"/>
  <c r="N460" i="519"/>
  <c r="K460" i="519" a="1"/>
  <c r="K460" i="519" s="1"/>
  <c r="M460" i="519" s="1"/>
  <c r="J460" i="519" a="1"/>
  <c r="J460" i="519" s="1"/>
  <c r="H460" i="519"/>
  <c r="V459" i="519"/>
  <c r="W459" i="519" s="1"/>
  <c r="N459" i="519"/>
  <c r="K459" i="519" a="1"/>
  <c r="K459" i="519" s="1"/>
  <c r="M459" i="519" s="1"/>
  <c r="J459" i="519" a="1"/>
  <c r="J459" i="519" s="1"/>
  <c r="H459" i="519"/>
  <c r="V458" i="519"/>
  <c r="W458" i="519" s="1"/>
  <c r="N458" i="519"/>
  <c r="K458" i="519" a="1"/>
  <c r="K458" i="519" s="1"/>
  <c r="M458" i="519" s="1"/>
  <c r="J458" i="519" a="1"/>
  <c r="J458" i="519" s="1"/>
  <c r="H458" i="519"/>
  <c r="K457" i="519" a="1"/>
  <c r="K457" i="519" s="1"/>
  <c r="M457" i="519" s="1"/>
  <c r="H457" i="519"/>
  <c r="K456" i="519" a="1"/>
  <c r="K456" i="519" s="1"/>
  <c r="M456" i="519" s="1"/>
  <c r="H456" i="519"/>
  <c r="K455" i="519" a="1"/>
  <c r="K455" i="519" s="1"/>
  <c r="M455" i="519" s="1"/>
  <c r="H455" i="519"/>
  <c r="V454" i="519"/>
  <c r="W454" i="519" s="1"/>
  <c r="N454" i="519"/>
  <c r="K454" i="519" a="1"/>
  <c r="K454" i="519" s="1"/>
  <c r="M454" i="519" s="1"/>
  <c r="J454" i="519" a="1"/>
  <c r="J454" i="519" s="1"/>
  <c r="H454" i="519"/>
  <c r="V453" i="519"/>
  <c r="W453" i="519" s="1"/>
  <c r="N453" i="519"/>
  <c r="K453" i="519" a="1"/>
  <c r="K453" i="519" s="1"/>
  <c r="M453" i="519" s="1"/>
  <c r="J453" i="519" a="1"/>
  <c r="J453" i="519" s="1"/>
  <c r="H453" i="519"/>
  <c r="N452" i="519"/>
  <c r="K452" i="519"/>
  <c r="M452" i="519" s="1"/>
  <c r="K452" i="519" a="1"/>
  <c r="H452" i="519"/>
  <c r="N451" i="519"/>
  <c r="K451" i="519" a="1"/>
  <c r="K451" i="519" s="1"/>
  <c r="M451" i="519" s="1"/>
  <c r="H451" i="519"/>
  <c r="N450" i="519"/>
  <c r="K450" i="519" a="1"/>
  <c r="K450" i="519" s="1"/>
  <c r="M450" i="519" s="1"/>
  <c r="H450" i="519"/>
  <c r="N449" i="519"/>
  <c r="K449" i="519" a="1"/>
  <c r="K449" i="519" s="1"/>
  <c r="M449" i="519" s="1"/>
  <c r="H449" i="519"/>
  <c r="N448" i="519"/>
  <c r="K448" i="519"/>
  <c r="M448" i="519" s="1"/>
  <c r="K448" i="519" a="1"/>
  <c r="H448" i="519"/>
  <c r="N447" i="519"/>
  <c r="K447" i="519" a="1"/>
  <c r="K447" i="519" s="1"/>
  <c r="M447" i="519" s="1"/>
  <c r="H447" i="519"/>
  <c r="V446" i="519"/>
  <c r="W446" i="519" s="1"/>
  <c r="N446" i="519"/>
  <c r="K446" i="519" a="1"/>
  <c r="K446" i="519" s="1"/>
  <c r="M446" i="519" s="1"/>
  <c r="J446" i="519" a="1"/>
  <c r="J446" i="519" s="1"/>
  <c r="H446" i="519"/>
  <c r="V445" i="519"/>
  <c r="W445" i="519" s="1"/>
  <c r="N445" i="519"/>
  <c r="K445" i="519" a="1"/>
  <c r="K445" i="519" s="1"/>
  <c r="M445" i="519" s="1"/>
  <c r="J445" i="519" a="1"/>
  <c r="J445" i="519" s="1"/>
  <c r="H445" i="519"/>
  <c r="V444" i="519"/>
  <c r="W444" i="519" s="1"/>
  <c r="N444" i="519"/>
  <c r="K444" i="519"/>
  <c r="M444" i="519" s="1"/>
  <c r="K444" i="519" a="1"/>
  <c r="J444" i="519"/>
  <c r="J444" i="519" a="1"/>
  <c r="H444" i="519"/>
  <c r="V443" i="519"/>
  <c r="W443" i="519" s="1"/>
  <c r="N443" i="519"/>
  <c r="K443" i="519" a="1"/>
  <c r="K443" i="519" s="1"/>
  <c r="M443" i="519" s="1"/>
  <c r="J443" i="519" a="1"/>
  <c r="J443" i="519" s="1"/>
  <c r="H443" i="519"/>
  <c r="V442" i="519"/>
  <c r="W442" i="519" s="1"/>
  <c r="N442" i="519"/>
  <c r="K442" i="519" a="1"/>
  <c r="K442" i="519" s="1"/>
  <c r="M442" i="519" s="1"/>
  <c r="J442" i="519" a="1"/>
  <c r="J442" i="519" s="1"/>
  <c r="H442" i="519"/>
  <c r="V441" i="519"/>
  <c r="W441" i="519" s="1"/>
  <c r="N441" i="519"/>
  <c r="K441" i="519" a="1"/>
  <c r="K441" i="519" s="1"/>
  <c r="M441" i="519" s="1"/>
  <c r="J441" i="519" a="1"/>
  <c r="J441" i="519" s="1"/>
  <c r="H441" i="519"/>
  <c r="V440" i="519"/>
  <c r="W440" i="519" s="1"/>
  <c r="N440" i="519"/>
  <c r="K440" i="519"/>
  <c r="M440" i="519" s="1"/>
  <c r="K440" i="519" a="1"/>
  <c r="J440" i="519"/>
  <c r="J440" i="519" a="1"/>
  <c r="H440" i="519"/>
  <c r="V439" i="519"/>
  <c r="W439" i="519" s="1"/>
  <c r="N439" i="519"/>
  <c r="K439" i="519" a="1"/>
  <c r="K439" i="519" s="1"/>
  <c r="M439" i="519" s="1"/>
  <c r="J439" i="519" a="1"/>
  <c r="J439" i="519" s="1"/>
  <c r="H439" i="519"/>
  <c r="W438" i="519"/>
  <c r="V438" i="519"/>
  <c r="N438" i="519"/>
  <c r="K438" i="519" a="1"/>
  <c r="K438" i="519" s="1"/>
  <c r="M438" i="519" s="1"/>
  <c r="J438" i="519" a="1"/>
  <c r="J438" i="519" s="1"/>
  <c r="H438" i="519"/>
  <c r="V437" i="519"/>
  <c r="W437" i="519" s="1"/>
  <c r="N437" i="519"/>
  <c r="K437" i="519" a="1"/>
  <c r="K437" i="519" s="1"/>
  <c r="M437" i="519" s="1"/>
  <c r="J437" i="519" a="1"/>
  <c r="J437" i="519" s="1"/>
  <c r="H437" i="519"/>
  <c r="V436" i="519"/>
  <c r="W436" i="519" s="1"/>
  <c r="N436" i="519"/>
  <c r="K436" i="519"/>
  <c r="M436" i="519" s="1"/>
  <c r="K436" i="519" a="1"/>
  <c r="J436" i="519"/>
  <c r="J436" i="519" a="1"/>
  <c r="H436" i="519"/>
  <c r="V435" i="519"/>
  <c r="W435" i="519" s="1"/>
  <c r="N435" i="519"/>
  <c r="K435" i="519" a="1"/>
  <c r="K435" i="519" s="1"/>
  <c r="M435" i="519" s="1"/>
  <c r="J435" i="519" a="1"/>
  <c r="J435" i="519" s="1"/>
  <c r="H435" i="519"/>
  <c r="N434" i="519"/>
  <c r="K434" i="519" a="1"/>
  <c r="K434" i="519" s="1"/>
  <c r="M434" i="519" s="1"/>
  <c r="H434" i="519"/>
  <c r="V433" i="519"/>
  <c r="W433" i="519" s="1"/>
  <c r="N433" i="519"/>
  <c r="K433" i="519" a="1"/>
  <c r="K433" i="519" s="1"/>
  <c r="M433" i="519" s="1"/>
  <c r="J433" i="519" a="1"/>
  <c r="J433" i="519" s="1"/>
  <c r="H433" i="519"/>
  <c r="V432" i="519"/>
  <c r="W432" i="519" s="1"/>
  <c r="N432" i="519"/>
  <c r="K432" i="519" a="1"/>
  <c r="K432" i="519" s="1"/>
  <c r="M432" i="519" s="1"/>
  <c r="J432" i="519" a="1"/>
  <c r="J432" i="519" s="1"/>
  <c r="H432" i="519"/>
  <c r="V431" i="519"/>
  <c r="W431" i="519" s="1"/>
  <c r="N431" i="519"/>
  <c r="K431" i="519" a="1"/>
  <c r="K431" i="519" s="1"/>
  <c r="M431" i="519" s="1"/>
  <c r="J431" i="519" a="1"/>
  <c r="J431" i="519" s="1"/>
  <c r="H431" i="519"/>
  <c r="V430" i="519"/>
  <c r="W430" i="519" s="1"/>
  <c r="N430" i="519"/>
  <c r="K430" i="519" a="1"/>
  <c r="K430" i="519" s="1"/>
  <c r="M430" i="519" s="1"/>
  <c r="J430" i="519" a="1"/>
  <c r="J430" i="519" s="1"/>
  <c r="H430" i="519"/>
  <c r="V429" i="519"/>
  <c r="W429" i="519" s="1"/>
  <c r="N429" i="519"/>
  <c r="K429" i="519" a="1"/>
  <c r="K429" i="519" s="1"/>
  <c r="M429" i="519" s="1"/>
  <c r="J429" i="519" a="1"/>
  <c r="J429" i="519" s="1"/>
  <c r="H429" i="519"/>
  <c r="V428" i="519"/>
  <c r="W428" i="519" s="1"/>
  <c r="N428" i="519"/>
  <c r="K428" i="519"/>
  <c r="M428" i="519" s="1"/>
  <c r="K428" i="519" a="1"/>
  <c r="J428" i="519"/>
  <c r="J428" i="519" a="1"/>
  <c r="H428" i="519"/>
  <c r="V427" i="519"/>
  <c r="N427" i="519"/>
  <c r="N461" i="519" s="1"/>
  <c r="K427" i="519" a="1"/>
  <c r="K427" i="519" s="1"/>
  <c r="J427" i="519" a="1"/>
  <c r="J427" i="519" s="1"/>
  <c r="H427" i="519"/>
  <c r="AA426" i="519"/>
  <c r="Z426" i="519"/>
  <c r="Y426" i="519"/>
  <c r="X426" i="519"/>
  <c r="U426" i="519"/>
  <c r="T426" i="519"/>
  <c r="S426" i="519"/>
  <c r="R426" i="519"/>
  <c r="Q426" i="519"/>
  <c r="P426" i="519"/>
  <c r="O426" i="519"/>
  <c r="R507" i="519" s="1"/>
  <c r="I426" i="519"/>
  <c r="G426" i="519"/>
  <c r="J426" i="519" s="1" a="1"/>
  <c r="J426" i="519" s="1"/>
  <c r="K425" i="519" a="1"/>
  <c r="K425" i="519" s="1"/>
  <c r="M425" i="519" s="1"/>
  <c r="H425" i="519"/>
  <c r="K424" i="519"/>
  <c r="M424" i="519" s="1"/>
  <c r="K424" i="519" a="1"/>
  <c r="H424" i="519"/>
  <c r="K423" i="519" a="1"/>
  <c r="K423" i="519" s="1"/>
  <c r="M423" i="519" s="1"/>
  <c r="H423" i="519"/>
  <c r="K422" i="519"/>
  <c r="M422" i="519" s="1"/>
  <c r="K422" i="519" a="1"/>
  <c r="H422" i="519"/>
  <c r="K421" i="519" a="1"/>
  <c r="K421" i="519" s="1"/>
  <c r="M421" i="519" s="1"/>
  <c r="H421" i="519"/>
  <c r="K420" i="519"/>
  <c r="M420" i="519" s="1"/>
  <c r="K420" i="519" a="1"/>
  <c r="H420" i="519"/>
  <c r="K419" i="519" a="1"/>
  <c r="K419" i="519" s="1"/>
  <c r="M419" i="519" s="1"/>
  <c r="H419" i="519"/>
  <c r="K418" i="519"/>
  <c r="M418" i="519" s="1"/>
  <c r="K418" i="519" a="1"/>
  <c r="H418" i="519"/>
  <c r="K417" i="519" a="1"/>
  <c r="K417" i="519" s="1"/>
  <c r="M417" i="519" s="1"/>
  <c r="H417" i="519"/>
  <c r="K416" i="519"/>
  <c r="M416" i="519" s="1"/>
  <c r="K416" i="519" a="1"/>
  <c r="H416" i="519"/>
  <c r="V415" i="519"/>
  <c r="W415" i="519" s="1"/>
  <c r="N415" i="519"/>
  <c r="K415" i="519" a="1"/>
  <c r="K415" i="519" s="1"/>
  <c r="M415" i="519" s="1"/>
  <c r="J415" i="519" a="1"/>
  <c r="J415" i="519" s="1"/>
  <c r="H415" i="519"/>
  <c r="V414" i="519"/>
  <c r="W414" i="519" s="1"/>
  <c r="N414" i="519"/>
  <c r="K414" i="519"/>
  <c r="M414" i="519" s="1"/>
  <c r="K414" i="519" a="1"/>
  <c r="J414" i="519"/>
  <c r="J414" i="519" a="1"/>
  <c r="H414" i="519"/>
  <c r="V413" i="519"/>
  <c r="W413" i="519" s="1"/>
  <c r="N413" i="519"/>
  <c r="K413" i="519" a="1"/>
  <c r="K413" i="519" s="1"/>
  <c r="M413" i="519" s="1"/>
  <c r="J413" i="519" a="1"/>
  <c r="J413" i="519" s="1"/>
  <c r="H413" i="519"/>
  <c r="V412" i="519"/>
  <c r="W412" i="519" s="1"/>
  <c r="N412" i="519"/>
  <c r="K412" i="519" a="1"/>
  <c r="K412" i="519" s="1"/>
  <c r="M412" i="519" s="1"/>
  <c r="J412" i="519" a="1"/>
  <c r="J412" i="519" s="1"/>
  <c r="H412" i="519"/>
  <c r="H411" i="519"/>
  <c r="V410" i="519"/>
  <c r="W410" i="519" s="1"/>
  <c r="N410" i="519"/>
  <c r="K410" i="519"/>
  <c r="M410" i="519" s="1"/>
  <c r="K410" i="519" a="1"/>
  <c r="J410" i="519"/>
  <c r="J410" i="519" a="1"/>
  <c r="H410" i="519"/>
  <c r="V409" i="519"/>
  <c r="W409" i="519" s="1"/>
  <c r="N409" i="519"/>
  <c r="K409" i="519" a="1"/>
  <c r="K409" i="519" s="1"/>
  <c r="M409" i="519" s="1"/>
  <c r="J409" i="519" a="1"/>
  <c r="J409" i="519" s="1"/>
  <c r="H409" i="519"/>
  <c r="H408" i="519"/>
  <c r="K407" i="519" a="1"/>
  <c r="K407" i="519" s="1"/>
  <c r="H407" i="519"/>
  <c r="V406" i="519"/>
  <c r="W406" i="519" s="1"/>
  <c r="N406" i="519"/>
  <c r="K406" i="519"/>
  <c r="M406" i="519" s="1"/>
  <c r="K406" i="519" a="1"/>
  <c r="J406" i="519"/>
  <c r="J406" i="519" a="1"/>
  <c r="H406" i="519"/>
  <c r="V405" i="519"/>
  <c r="W405" i="519" s="1"/>
  <c r="N405" i="519"/>
  <c r="K405" i="519" a="1"/>
  <c r="K405" i="519" s="1"/>
  <c r="M405" i="519" s="1"/>
  <c r="J405" i="519" a="1"/>
  <c r="J405" i="519" s="1"/>
  <c r="H405" i="519"/>
  <c r="V404" i="519"/>
  <c r="W404" i="519" s="1"/>
  <c r="N404" i="519"/>
  <c r="K404" i="519" a="1"/>
  <c r="K404" i="519" s="1"/>
  <c r="M404" i="519" s="1"/>
  <c r="J404" i="519" a="1"/>
  <c r="J404" i="519" s="1"/>
  <c r="H404" i="519"/>
  <c r="V403" i="519"/>
  <c r="W403" i="519" s="1"/>
  <c r="N403" i="519"/>
  <c r="K403" i="519" a="1"/>
  <c r="K403" i="519" s="1"/>
  <c r="M403" i="519" s="1"/>
  <c r="J403" i="519" a="1"/>
  <c r="J403" i="519" s="1"/>
  <c r="H403" i="519"/>
  <c r="V402" i="519"/>
  <c r="W402" i="519" s="1"/>
  <c r="N402" i="519"/>
  <c r="K402" i="519"/>
  <c r="M402" i="519" s="1"/>
  <c r="K402" i="519" a="1"/>
  <c r="J402" i="519"/>
  <c r="J402" i="519" a="1"/>
  <c r="H402" i="519"/>
  <c r="V401" i="519"/>
  <c r="W401" i="519" s="1"/>
  <c r="N401" i="519"/>
  <c r="K401" i="519" a="1"/>
  <c r="K401" i="519" s="1"/>
  <c r="M401" i="519" s="1"/>
  <c r="J401" i="519" a="1"/>
  <c r="J401" i="519" s="1"/>
  <c r="H401" i="519"/>
  <c r="V400" i="519"/>
  <c r="W400" i="519" s="1"/>
  <c r="N400" i="519"/>
  <c r="K400" i="519" a="1"/>
  <c r="K400" i="519" s="1"/>
  <c r="M400" i="519" s="1"/>
  <c r="J400" i="519" a="1"/>
  <c r="J400" i="519" s="1"/>
  <c r="H400" i="519"/>
  <c r="V399" i="519"/>
  <c r="W399" i="519" s="1"/>
  <c r="N399" i="519"/>
  <c r="K399" i="519" a="1"/>
  <c r="K399" i="519" s="1"/>
  <c r="M399" i="519" s="1"/>
  <c r="J399" i="519" a="1"/>
  <c r="J399" i="519" s="1"/>
  <c r="H399" i="519"/>
  <c r="V398" i="519"/>
  <c r="W398" i="519" s="1"/>
  <c r="N398" i="519"/>
  <c r="K398" i="519"/>
  <c r="M398" i="519" s="1"/>
  <c r="K398" i="519" a="1"/>
  <c r="J398" i="519"/>
  <c r="J398" i="519" a="1"/>
  <c r="H398" i="519"/>
  <c r="V397" i="519"/>
  <c r="W397" i="519" s="1"/>
  <c r="N397" i="519"/>
  <c r="K397" i="519" a="1"/>
  <c r="K397" i="519" s="1"/>
  <c r="M397" i="519" s="1"/>
  <c r="J397" i="519" a="1"/>
  <c r="J397" i="519" s="1"/>
  <c r="H397" i="519"/>
  <c r="K396" i="519" a="1"/>
  <c r="K396" i="519" s="1"/>
  <c r="M396" i="519" s="1"/>
  <c r="H396" i="519"/>
  <c r="K395" i="519" a="1"/>
  <c r="K395" i="519" s="1"/>
  <c r="M395" i="519" s="1"/>
  <c r="H395" i="519"/>
  <c r="K394" i="519" a="1"/>
  <c r="K394" i="519" s="1"/>
  <c r="M394" i="519" s="1"/>
  <c r="H394" i="519"/>
  <c r="K393" i="519" a="1"/>
  <c r="K393" i="519" s="1"/>
  <c r="M393" i="519" s="1"/>
  <c r="H393" i="519"/>
  <c r="N392" i="519"/>
  <c r="K392" i="519" a="1"/>
  <c r="K392" i="519" s="1"/>
  <c r="M392" i="519" s="1"/>
  <c r="H392" i="519"/>
  <c r="N391" i="519"/>
  <c r="K391" i="519" a="1"/>
  <c r="K391" i="519" s="1"/>
  <c r="M391" i="519" s="1"/>
  <c r="H391" i="519"/>
  <c r="N390" i="519"/>
  <c r="K390" i="519"/>
  <c r="M390" i="519" s="1"/>
  <c r="K390" i="519" a="1"/>
  <c r="H390" i="519"/>
  <c r="N389" i="519"/>
  <c r="K389" i="519" a="1"/>
  <c r="K389" i="519" s="1"/>
  <c r="M389" i="519" s="1"/>
  <c r="H389" i="519"/>
  <c r="V388" i="519"/>
  <c r="W388" i="519" s="1"/>
  <c r="N388" i="519"/>
  <c r="K388" i="519" a="1"/>
  <c r="K388" i="519" s="1"/>
  <c r="M388" i="519" s="1"/>
  <c r="J388" i="519" a="1"/>
  <c r="J388" i="519" s="1"/>
  <c r="H388" i="519"/>
  <c r="V387" i="519"/>
  <c r="W387" i="519" s="1"/>
  <c r="N387" i="519"/>
  <c r="K387" i="519" a="1"/>
  <c r="K387" i="519" s="1"/>
  <c r="M387" i="519" s="1"/>
  <c r="J387" i="519" a="1"/>
  <c r="J387" i="519" s="1"/>
  <c r="H387" i="519"/>
  <c r="V386" i="519"/>
  <c r="W386" i="519" s="1"/>
  <c r="N386" i="519"/>
  <c r="K386" i="519"/>
  <c r="M386" i="519" s="1"/>
  <c r="K386" i="519" a="1"/>
  <c r="J386" i="519"/>
  <c r="J386" i="519" a="1"/>
  <c r="H386" i="519"/>
  <c r="V385" i="519"/>
  <c r="W385" i="519" s="1"/>
  <c r="N385" i="519"/>
  <c r="K385" i="519" a="1"/>
  <c r="K385" i="519" s="1"/>
  <c r="M385" i="519" s="1"/>
  <c r="J385" i="519" a="1"/>
  <c r="J385" i="519" s="1"/>
  <c r="H385" i="519"/>
  <c r="V384" i="519"/>
  <c r="W384" i="519" s="1"/>
  <c r="N384" i="519"/>
  <c r="K384" i="519" a="1"/>
  <c r="K384" i="519" s="1"/>
  <c r="M384" i="519" s="1"/>
  <c r="J384" i="519" a="1"/>
  <c r="J384" i="519" s="1"/>
  <c r="H384" i="519"/>
  <c r="V383" i="519"/>
  <c r="W383" i="519" s="1"/>
  <c r="N383" i="519"/>
  <c r="K383" i="519" a="1"/>
  <c r="K383" i="519" s="1"/>
  <c r="M383" i="519" s="1"/>
  <c r="J383" i="519" a="1"/>
  <c r="J383" i="519" s="1"/>
  <c r="H383" i="519"/>
  <c r="V382" i="519"/>
  <c r="W382" i="519" s="1"/>
  <c r="N382" i="519"/>
  <c r="K382" i="519"/>
  <c r="M382" i="519" s="1"/>
  <c r="K382" i="519" a="1"/>
  <c r="J382" i="519"/>
  <c r="J382" i="519" a="1"/>
  <c r="H382" i="519"/>
  <c r="V381" i="519"/>
  <c r="W381" i="519" s="1"/>
  <c r="N381" i="519"/>
  <c r="K381" i="519" a="1"/>
  <c r="K381" i="519" s="1"/>
  <c r="M381" i="519" s="1"/>
  <c r="J381" i="519" a="1"/>
  <c r="J381" i="519" s="1"/>
  <c r="H381" i="519"/>
  <c r="V380" i="519"/>
  <c r="W380" i="519" s="1"/>
  <c r="N380" i="519"/>
  <c r="K380" i="519" a="1"/>
  <c r="K380" i="519" s="1"/>
  <c r="M380" i="519" s="1"/>
  <c r="J380" i="519" a="1"/>
  <c r="J380" i="519" s="1"/>
  <c r="H380" i="519"/>
  <c r="V379" i="519"/>
  <c r="W379" i="519" s="1"/>
  <c r="N379" i="519"/>
  <c r="K379" i="519" a="1"/>
  <c r="K379" i="519" s="1"/>
  <c r="M379" i="519" s="1"/>
  <c r="J379" i="519" a="1"/>
  <c r="J379" i="519" s="1"/>
  <c r="H379" i="519"/>
  <c r="V378" i="519"/>
  <c r="W378" i="519" s="1"/>
  <c r="N378" i="519"/>
  <c r="K378" i="519"/>
  <c r="M378" i="519" s="1"/>
  <c r="K378" i="519" a="1"/>
  <c r="J378" i="519"/>
  <c r="J378" i="519" a="1"/>
  <c r="H378" i="519"/>
  <c r="V377" i="519"/>
  <c r="W377" i="519" s="1"/>
  <c r="N377" i="519"/>
  <c r="K377" i="519" a="1"/>
  <c r="K377" i="519" s="1"/>
  <c r="M377" i="519" s="1"/>
  <c r="J377" i="519" a="1"/>
  <c r="J377" i="519" s="1"/>
  <c r="H377" i="519"/>
  <c r="K376" i="519" a="1"/>
  <c r="K376" i="519" s="1"/>
  <c r="M376" i="519" s="1"/>
  <c r="H376" i="519"/>
  <c r="K375" i="519" a="1"/>
  <c r="K375" i="519" s="1"/>
  <c r="M375" i="519" s="1"/>
  <c r="H375" i="519"/>
  <c r="K374" i="519" a="1"/>
  <c r="K374" i="519" s="1"/>
  <c r="M374" i="519" s="1"/>
  <c r="H374" i="519"/>
  <c r="V373" i="519"/>
  <c r="W373" i="519" s="1"/>
  <c r="N373" i="519"/>
  <c r="K373" i="519" a="1"/>
  <c r="K373" i="519" s="1"/>
  <c r="M373" i="519" s="1"/>
  <c r="J373" i="519" a="1"/>
  <c r="J373" i="519" s="1"/>
  <c r="H373" i="519"/>
  <c r="V372" i="519"/>
  <c r="W372" i="519" s="1"/>
  <c r="N372" i="519"/>
  <c r="K372" i="519" a="1"/>
  <c r="K372" i="519" s="1"/>
  <c r="M372" i="519" s="1"/>
  <c r="J372" i="519" a="1"/>
  <c r="J372" i="519" s="1"/>
  <c r="H372" i="519"/>
  <c r="V371" i="519"/>
  <c r="W371" i="519" s="1"/>
  <c r="N371" i="519"/>
  <c r="K371" i="519"/>
  <c r="M371" i="519" s="1"/>
  <c r="K371" i="519" a="1"/>
  <c r="J371" i="519"/>
  <c r="J371" i="519" a="1"/>
  <c r="H371" i="519"/>
  <c r="K370" i="519" a="1"/>
  <c r="K370" i="519" s="1"/>
  <c r="H370" i="519"/>
  <c r="V369" i="519"/>
  <c r="W369" i="519" s="1"/>
  <c r="N369" i="519"/>
  <c r="K369" i="519"/>
  <c r="K369" i="519" a="1"/>
  <c r="J369" i="519"/>
  <c r="J369" i="519" a="1"/>
  <c r="H369" i="519"/>
  <c r="AA368" i="519"/>
  <c r="AA504" i="519" s="1"/>
  <c r="Z368" i="519"/>
  <c r="Z504" i="519" s="1"/>
  <c r="Y368" i="519"/>
  <c r="Y504" i="519" s="1"/>
  <c r="X368" i="519"/>
  <c r="X504" i="519" s="1"/>
  <c r="U368" i="519"/>
  <c r="U504" i="519" s="1"/>
  <c r="T368" i="519"/>
  <c r="T504" i="519" s="1"/>
  <c r="S368" i="519"/>
  <c r="S504" i="519" s="1"/>
  <c r="R368" i="519"/>
  <c r="R504" i="519" s="1"/>
  <c r="Q368" i="519"/>
  <c r="Q504" i="519" s="1"/>
  <c r="P368" i="519"/>
  <c r="P504" i="519" s="1"/>
  <c r="O368" i="519"/>
  <c r="I368" i="519"/>
  <c r="I504" i="519" s="1"/>
  <c r="B512" i="519" s="1"/>
  <c r="G368" i="519"/>
  <c r="G504" i="519" s="1"/>
  <c r="V367" i="519"/>
  <c r="W367" i="519" s="1"/>
  <c r="N367" i="519"/>
  <c r="K367" i="519"/>
  <c r="M367" i="519" s="1"/>
  <c r="K367" i="519" a="1"/>
  <c r="J367" i="519"/>
  <c r="J367" i="519" a="1"/>
  <c r="H367" i="519"/>
  <c r="V366" i="519"/>
  <c r="W366" i="519" s="1"/>
  <c r="N366" i="519"/>
  <c r="K366" i="519" a="1"/>
  <c r="K366" i="519" s="1"/>
  <c r="M366" i="519" s="1"/>
  <c r="J366" i="519" a="1"/>
  <c r="J366" i="519" s="1"/>
  <c r="H366" i="519"/>
  <c r="K365" i="519" a="1"/>
  <c r="K365" i="519" s="1"/>
  <c r="M365" i="519" s="1"/>
  <c r="H365" i="519"/>
  <c r="K364" i="519" a="1"/>
  <c r="K364" i="519" s="1"/>
  <c r="M364" i="519" s="1"/>
  <c r="H364" i="519"/>
  <c r="K363" i="519" a="1"/>
  <c r="K363" i="519" s="1"/>
  <c r="M363" i="519" s="1"/>
  <c r="H363" i="519"/>
  <c r="K362" i="519" a="1"/>
  <c r="K362" i="519" s="1"/>
  <c r="M362" i="519" s="1"/>
  <c r="H362" i="519"/>
  <c r="W361" i="519"/>
  <c r="V361" i="519"/>
  <c r="N361" i="519"/>
  <c r="K361" i="519" a="1"/>
  <c r="K361" i="519" s="1"/>
  <c r="M361" i="519" s="1"/>
  <c r="J361" i="519" a="1"/>
  <c r="J361" i="519" s="1"/>
  <c r="H361" i="519"/>
  <c r="V360" i="519"/>
  <c r="W360" i="519" s="1"/>
  <c r="N360" i="519"/>
  <c r="K360" i="519" a="1"/>
  <c r="K360" i="519" s="1"/>
  <c r="M360" i="519" s="1"/>
  <c r="J360" i="519" a="1"/>
  <c r="J360" i="519" s="1"/>
  <c r="H360" i="519"/>
  <c r="V359" i="519"/>
  <c r="W359" i="519" s="1"/>
  <c r="N359" i="519"/>
  <c r="K359" i="519"/>
  <c r="M359" i="519" s="1"/>
  <c r="K359" i="519" a="1"/>
  <c r="J359" i="519"/>
  <c r="J359" i="519" a="1"/>
  <c r="H359" i="519"/>
  <c r="H358" i="519"/>
  <c r="H357" i="519"/>
  <c r="V356" i="519"/>
  <c r="W356" i="519" s="1"/>
  <c r="N356" i="519"/>
  <c r="K356" i="519" a="1"/>
  <c r="K356" i="519" s="1"/>
  <c r="M356" i="519" s="1"/>
  <c r="J356" i="519" a="1"/>
  <c r="J356" i="519" s="1"/>
  <c r="H356" i="519"/>
  <c r="W355" i="519"/>
  <c r="V355" i="519"/>
  <c r="N355" i="519"/>
  <c r="K355" i="519" a="1"/>
  <c r="K355" i="519" s="1"/>
  <c r="M355" i="519" s="1"/>
  <c r="J355" i="519" a="1"/>
  <c r="J355" i="519" s="1"/>
  <c r="H355" i="519"/>
  <c r="K354" i="519"/>
  <c r="M354" i="519" s="1"/>
  <c r="K354" i="519" a="1"/>
  <c r="H354" i="519"/>
  <c r="K353" i="519" a="1"/>
  <c r="K353" i="519" s="1"/>
  <c r="M353" i="519" s="1"/>
  <c r="H353" i="519"/>
  <c r="V352" i="519"/>
  <c r="W352" i="519" s="1"/>
  <c r="N352" i="519"/>
  <c r="K352" i="519" a="1"/>
  <c r="K352" i="519" s="1"/>
  <c r="M352" i="519" s="1"/>
  <c r="J352" i="519" a="1"/>
  <c r="J352" i="519" s="1"/>
  <c r="H352" i="519"/>
  <c r="V351" i="519"/>
  <c r="W351" i="519" s="1"/>
  <c r="N351" i="519"/>
  <c r="K351" i="519"/>
  <c r="M351" i="519" s="1"/>
  <c r="K351" i="519" a="1"/>
  <c r="J351" i="519"/>
  <c r="J351" i="519" a="1"/>
  <c r="H351" i="519"/>
  <c r="V350" i="519"/>
  <c r="W350" i="519" s="1"/>
  <c r="N350" i="519"/>
  <c r="K350" i="519" a="1"/>
  <c r="K350" i="519" s="1"/>
  <c r="M350" i="519" s="1"/>
  <c r="J350" i="519" a="1"/>
  <c r="J350" i="519" s="1"/>
  <c r="H350" i="519"/>
  <c r="V349" i="519"/>
  <c r="W349" i="519" s="1"/>
  <c r="N349" i="519"/>
  <c r="K349" i="519" a="1"/>
  <c r="K349" i="519" s="1"/>
  <c r="M349" i="519" s="1"/>
  <c r="J349" i="519" a="1"/>
  <c r="J349" i="519" s="1"/>
  <c r="H349" i="519"/>
  <c r="V348" i="519"/>
  <c r="W348" i="519" s="1"/>
  <c r="N348" i="519"/>
  <c r="K348" i="519" a="1"/>
  <c r="K348" i="519" s="1"/>
  <c r="M348" i="519" s="1"/>
  <c r="J348" i="519" a="1"/>
  <c r="J348" i="519" s="1"/>
  <c r="H348" i="519"/>
  <c r="V347" i="519"/>
  <c r="V368" i="519" s="1"/>
  <c r="N347" i="519"/>
  <c r="K347" i="519"/>
  <c r="M347" i="519" s="1"/>
  <c r="K347" i="519" a="1"/>
  <c r="J347" i="519"/>
  <c r="J347" i="519" a="1"/>
  <c r="H347" i="519"/>
  <c r="H368" i="519" s="1"/>
  <c r="X341" i="519"/>
  <c r="X340" i="519"/>
  <c r="X339" i="519"/>
  <c r="G339" i="519"/>
  <c r="C339" i="519"/>
  <c r="X338" i="519"/>
  <c r="I338" i="519"/>
  <c r="E338" i="519"/>
  <c r="K338" i="519" s="1"/>
  <c r="M338" i="519" s="1"/>
  <c r="I337" i="519"/>
  <c r="E337" i="519"/>
  <c r="K337" i="519" s="1"/>
  <c r="M337" i="519" s="1"/>
  <c r="I336" i="519"/>
  <c r="E336" i="519"/>
  <c r="K336" i="519" s="1"/>
  <c r="M336" i="519" s="1"/>
  <c r="X335" i="519"/>
  <c r="I335" i="519"/>
  <c r="I339" i="519" s="1"/>
  <c r="E335" i="519"/>
  <c r="E339" i="519" s="1"/>
  <c r="AA332" i="519"/>
  <c r="Z332" i="519"/>
  <c r="Y332" i="519"/>
  <c r="X332" i="519"/>
  <c r="U332" i="519"/>
  <c r="T332" i="519"/>
  <c r="S332" i="519"/>
  <c r="R332" i="519"/>
  <c r="Q332" i="519"/>
  <c r="P332" i="519"/>
  <c r="O332" i="519"/>
  <c r="R340" i="519" s="1"/>
  <c r="I332" i="519"/>
  <c r="G332" i="519"/>
  <c r="K331" i="519" a="1"/>
  <c r="K331" i="519" s="1"/>
  <c r="H331" i="519"/>
  <c r="K330" i="519" a="1"/>
  <c r="K330" i="519" s="1"/>
  <c r="H330" i="519"/>
  <c r="K329" i="519"/>
  <c r="K329" i="519" a="1"/>
  <c r="H329" i="519"/>
  <c r="V328" i="519"/>
  <c r="W328" i="519" s="1"/>
  <c r="N328" i="519"/>
  <c r="K328" i="519" a="1"/>
  <c r="K328" i="519" s="1"/>
  <c r="H328" i="519"/>
  <c r="D328" i="519"/>
  <c r="H327" i="519"/>
  <c r="K326" i="519" a="1"/>
  <c r="K326" i="519" s="1"/>
  <c r="H326" i="519"/>
  <c r="H325" i="519"/>
  <c r="V324" i="519"/>
  <c r="W324" i="519" s="1"/>
  <c r="N324" i="519"/>
  <c r="K324" i="519" a="1"/>
  <c r="K324" i="519" s="1"/>
  <c r="M324" i="519" s="1"/>
  <c r="J324" i="519" a="1"/>
  <c r="J324" i="519" s="1"/>
  <c r="H324" i="519"/>
  <c r="V323" i="519"/>
  <c r="W323" i="519" s="1"/>
  <c r="N323" i="519"/>
  <c r="K323" i="519" a="1"/>
  <c r="K323" i="519" s="1"/>
  <c r="M323" i="519" s="1"/>
  <c r="J323" i="519" a="1"/>
  <c r="J323" i="519" s="1"/>
  <c r="H323" i="519"/>
  <c r="H322" i="519"/>
  <c r="V321" i="519"/>
  <c r="W321" i="519" s="1"/>
  <c r="N321" i="519"/>
  <c r="K321" i="519"/>
  <c r="M321" i="519" s="1"/>
  <c r="K321" i="519" a="1"/>
  <c r="J321" i="519"/>
  <c r="J321" i="519" a="1"/>
  <c r="H321" i="519"/>
  <c r="V320" i="519"/>
  <c r="W320" i="519" s="1"/>
  <c r="N320" i="519"/>
  <c r="K320" i="519" a="1"/>
  <c r="K320" i="519" s="1"/>
  <c r="M320" i="519" s="1"/>
  <c r="J320" i="519" a="1"/>
  <c r="J320" i="519" s="1"/>
  <c r="H320" i="519"/>
  <c r="V319" i="519"/>
  <c r="W319" i="519" s="1"/>
  <c r="N319" i="519"/>
  <c r="K319" i="519" a="1"/>
  <c r="K319" i="519" s="1"/>
  <c r="M319" i="519" s="1"/>
  <c r="J319" i="519" a="1"/>
  <c r="J319" i="519" s="1"/>
  <c r="H319" i="519"/>
  <c r="V318" i="519"/>
  <c r="V332" i="519" s="1"/>
  <c r="N318" i="519"/>
  <c r="N332" i="519" s="1"/>
  <c r="K318" i="519" a="1"/>
  <c r="K318" i="519" s="1"/>
  <c r="J318" i="519" a="1"/>
  <c r="J318" i="519" s="1"/>
  <c r="H318" i="519"/>
  <c r="AA317" i="519"/>
  <c r="Z317" i="519"/>
  <c r="Y317" i="519"/>
  <c r="X317" i="519"/>
  <c r="U317" i="519"/>
  <c r="T317" i="519"/>
  <c r="S317" i="519"/>
  <c r="Q317" i="519"/>
  <c r="P317" i="519"/>
  <c r="O317" i="519"/>
  <c r="R339" i="519" s="1"/>
  <c r="I317" i="519"/>
  <c r="G317" i="519"/>
  <c r="J317" i="519" s="1" a="1"/>
  <c r="J317" i="519" s="1"/>
  <c r="V316" i="519"/>
  <c r="W316" i="519" s="1"/>
  <c r="N316" i="519"/>
  <c r="K316" i="519" a="1"/>
  <c r="K316" i="519" s="1"/>
  <c r="M316" i="519" s="1"/>
  <c r="J316" i="519" a="1"/>
  <c r="J316" i="519" s="1"/>
  <c r="H316" i="519"/>
  <c r="V312" i="519"/>
  <c r="W312" i="519" s="1"/>
  <c r="N312" i="519"/>
  <c r="K312" i="519" a="1"/>
  <c r="K312" i="519" s="1"/>
  <c r="M312" i="519" s="1"/>
  <c r="J312" i="519" a="1"/>
  <c r="J312" i="519" s="1"/>
  <c r="H312" i="519"/>
  <c r="V311" i="519"/>
  <c r="W311" i="519" s="1"/>
  <c r="N311" i="519"/>
  <c r="K311" i="519" a="1"/>
  <c r="K311" i="519" s="1"/>
  <c r="M311" i="519" s="1"/>
  <c r="J311" i="519" a="1"/>
  <c r="J311" i="519" s="1"/>
  <c r="H311" i="519"/>
  <c r="V310" i="519"/>
  <c r="W310" i="519" s="1"/>
  <c r="N310" i="519"/>
  <c r="K310" i="519"/>
  <c r="M310" i="519" s="1"/>
  <c r="K310" i="519" a="1"/>
  <c r="J310" i="519"/>
  <c r="J310" i="519" a="1"/>
  <c r="H310" i="519"/>
  <c r="V309" i="519"/>
  <c r="W309" i="519" s="1"/>
  <c r="N309" i="519"/>
  <c r="K309" i="519" a="1"/>
  <c r="K309" i="519" s="1"/>
  <c r="M309" i="519" s="1"/>
  <c r="J309" i="519" a="1"/>
  <c r="J309" i="519" s="1"/>
  <c r="H309" i="519"/>
  <c r="V308" i="519"/>
  <c r="V317" i="519" s="1"/>
  <c r="W317" i="519" s="1"/>
  <c r="N308" i="519"/>
  <c r="N317" i="519" s="1"/>
  <c r="K308" i="519" a="1"/>
  <c r="K308" i="519" s="1"/>
  <c r="J308" i="519" a="1"/>
  <c r="J308" i="519" s="1"/>
  <c r="H308" i="519"/>
  <c r="H317" i="519" s="1"/>
  <c r="AA307" i="519"/>
  <c r="Z307" i="519"/>
  <c r="Y307" i="519"/>
  <c r="X307" i="519"/>
  <c r="U307" i="519"/>
  <c r="T307" i="519"/>
  <c r="S307" i="519"/>
  <c r="Q307" i="519"/>
  <c r="P307" i="519"/>
  <c r="O307" i="519"/>
  <c r="R338" i="519" s="1"/>
  <c r="I307" i="519"/>
  <c r="G307" i="519"/>
  <c r="J307" i="519" s="1" a="1"/>
  <c r="J307" i="519" s="1"/>
  <c r="V306" i="519"/>
  <c r="W306" i="519" s="1"/>
  <c r="N306" i="519"/>
  <c r="K306" i="519" a="1"/>
  <c r="K306" i="519" s="1"/>
  <c r="M306" i="519" s="1"/>
  <c r="J306" i="519" a="1"/>
  <c r="J306" i="519" s="1"/>
  <c r="H306" i="519"/>
  <c r="V305" i="519"/>
  <c r="W305" i="519" s="1"/>
  <c r="N305" i="519"/>
  <c r="K305" i="519" a="1"/>
  <c r="K305" i="519" s="1"/>
  <c r="M305" i="519" s="1"/>
  <c r="J305" i="519" a="1"/>
  <c r="J305" i="519" s="1"/>
  <c r="H305" i="519"/>
  <c r="V304" i="519"/>
  <c r="W304" i="519" s="1"/>
  <c r="N304" i="519"/>
  <c r="K304" i="519" a="1"/>
  <c r="K304" i="519" s="1"/>
  <c r="M304" i="519" s="1"/>
  <c r="J304" i="519" a="1"/>
  <c r="J304" i="519" s="1"/>
  <c r="H304" i="519"/>
  <c r="V303" i="519"/>
  <c r="W303" i="519" s="1"/>
  <c r="N303" i="519"/>
  <c r="K303" i="519"/>
  <c r="M303" i="519" s="1"/>
  <c r="K303" i="519" a="1"/>
  <c r="J303" i="519"/>
  <c r="J303" i="519" a="1"/>
  <c r="H303" i="519"/>
  <c r="V302" i="519"/>
  <c r="W302" i="519" s="1"/>
  <c r="N302" i="519"/>
  <c r="K302" i="519" a="1"/>
  <c r="K302" i="519" s="1"/>
  <c r="M302" i="519" s="1"/>
  <c r="J302" i="519" a="1"/>
  <c r="J302" i="519" s="1"/>
  <c r="H302" i="519"/>
  <c r="V301" i="519"/>
  <c r="W301" i="519" s="1"/>
  <c r="N301" i="519"/>
  <c r="K301" i="519" a="1"/>
  <c r="K301" i="519" s="1"/>
  <c r="M301" i="519" s="1"/>
  <c r="J301" i="519" a="1"/>
  <c r="J301" i="519" s="1"/>
  <c r="H301" i="519"/>
  <c r="V300" i="519"/>
  <c r="W300" i="519" s="1"/>
  <c r="N300" i="519"/>
  <c r="K300" i="519" a="1"/>
  <c r="K300" i="519" s="1"/>
  <c r="M300" i="519" s="1"/>
  <c r="J300" i="519" a="1"/>
  <c r="J300" i="519" s="1"/>
  <c r="H300" i="519"/>
  <c r="V299" i="519"/>
  <c r="W299" i="519" s="1"/>
  <c r="N299" i="519"/>
  <c r="K299" i="519"/>
  <c r="M299" i="519" s="1"/>
  <c r="K299" i="519" a="1"/>
  <c r="J299" i="519"/>
  <c r="J299" i="519" a="1"/>
  <c r="H299" i="519"/>
  <c r="V298" i="519"/>
  <c r="W298" i="519" s="1"/>
  <c r="N298" i="519"/>
  <c r="K298" i="519" a="1"/>
  <c r="K298" i="519" s="1"/>
  <c r="M298" i="519" s="1"/>
  <c r="J298" i="519" a="1"/>
  <c r="J298" i="519" s="1"/>
  <c r="H298" i="519"/>
  <c r="V297" i="519"/>
  <c r="W297" i="519" s="1"/>
  <c r="N297" i="519"/>
  <c r="K297" i="519" a="1"/>
  <c r="K297" i="519" s="1"/>
  <c r="M297" i="519" s="1"/>
  <c r="J297" i="519" a="1"/>
  <c r="J297" i="519" s="1"/>
  <c r="H297" i="519"/>
  <c r="V296" i="519"/>
  <c r="W296" i="519" s="1"/>
  <c r="N296" i="519"/>
  <c r="K296" i="519" a="1"/>
  <c r="K296" i="519" s="1"/>
  <c r="M296" i="519" s="1"/>
  <c r="J296" i="519" a="1"/>
  <c r="J296" i="519" s="1"/>
  <c r="H296" i="519"/>
  <c r="V295" i="519"/>
  <c r="W295" i="519" s="1"/>
  <c r="N295" i="519"/>
  <c r="K295" i="519"/>
  <c r="M295" i="519" s="1"/>
  <c r="K295" i="519" a="1"/>
  <c r="J295" i="519"/>
  <c r="J295" i="519" a="1"/>
  <c r="H295" i="519"/>
  <c r="V294" i="519"/>
  <c r="W294" i="519" s="1"/>
  <c r="N294" i="519"/>
  <c r="K294" i="519" a="1"/>
  <c r="K294" i="519" s="1"/>
  <c r="M294" i="519" s="1"/>
  <c r="J294" i="519" a="1"/>
  <c r="J294" i="519" s="1"/>
  <c r="H294" i="519"/>
  <c r="V293" i="519"/>
  <c r="W293" i="519" s="1"/>
  <c r="N293" i="519"/>
  <c r="K293" i="519" a="1"/>
  <c r="K293" i="519" s="1"/>
  <c r="M293" i="519" s="1"/>
  <c r="J293" i="519" a="1"/>
  <c r="J293" i="519" s="1"/>
  <c r="H293" i="519"/>
  <c r="V292" i="519"/>
  <c r="W292" i="519" s="1"/>
  <c r="N292" i="519"/>
  <c r="K292" i="519" a="1"/>
  <c r="K292" i="519" s="1"/>
  <c r="J292" i="519" a="1"/>
  <c r="J292" i="519" s="1"/>
  <c r="H292" i="519"/>
  <c r="AA291" i="519"/>
  <c r="Z291" i="519"/>
  <c r="Y291" i="519"/>
  <c r="X291" i="519"/>
  <c r="U291" i="519"/>
  <c r="T291" i="519"/>
  <c r="S291" i="519"/>
  <c r="R291" i="519"/>
  <c r="Q291" i="519"/>
  <c r="P291" i="519"/>
  <c r="O291" i="519"/>
  <c r="R337" i="519" s="1"/>
  <c r="I291" i="519"/>
  <c r="G291" i="519"/>
  <c r="V290" i="519"/>
  <c r="W290" i="519" s="1"/>
  <c r="N290" i="519"/>
  <c r="K290" i="519" a="1"/>
  <c r="K290" i="519" s="1"/>
  <c r="M290" i="519" s="1"/>
  <c r="J290" i="519" a="1"/>
  <c r="J290" i="519" s="1"/>
  <c r="H290" i="519"/>
  <c r="V289" i="519"/>
  <c r="W289" i="519" s="1"/>
  <c r="N289" i="519"/>
  <c r="K289" i="519" a="1"/>
  <c r="K289" i="519" s="1"/>
  <c r="M289" i="519" s="1"/>
  <c r="J289" i="519" a="1"/>
  <c r="J289" i="519" s="1"/>
  <c r="H289" i="519"/>
  <c r="V288" i="519"/>
  <c r="W288" i="519" s="1"/>
  <c r="N288" i="519"/>
  <c r="K288" i="519" a="1"/>
  <c r="K288" i="519" s="1"/>
  <c r="M288" i="519" s="1"/>
  <c r="J288" i="519" a="1"/>
  <c r="J288" i="519" s="1"/>
  <c r="H288" i="519"/>
  <c r="H287" i="519"/>
  <c r="H286" i="519"/>
  <c r="H285" i="519"/>
  <c r="V284" i="519"/>
  <c r="W284" i="519" s="1"/>
  <c r="N284" i="519"/>
  <c r="K284" i="519" a="1"/>
  <c r="K284" i="519" s="1"/>
  <c r="M284" i="519" s="1"/>
  <c r="J284" i="519" a="1"/>
  <c r="J284" i="519" s="1"/>
  <c r="H284" i="519"/>
  <c r="V283" i="519"/>
  <c r="W283" i="519" s="1"/>
  <c r="N283" i="519"/>
  <c r="K283" i="519" a="1"/>
  <c r="K283" i="519" s="1"/>
  <c r="M283" i="519" s="1"/>
  <c r="J283" i="519" a="1"/>
  <c r="J283" i="519" s="1"/>
  <c r="H283" i="519"/>
  <c r="N282" i="519"/>
  <c r="K282" i="519" a="1"/>
  <c r="K282" i="519" s="1"/>
  <c r="M282" i="519" s="1"/>
  <c r="H282" i="519"/>
  <c r="N281" i="519"/>
  <c r="K281" i="519" a="1"/>
  <c r="K281" i="519" s="1"/>
  <c r="M281" i="519" s="1"/>
  <c r="H281" i="519"/>
  <c r="N280" i="519"/>
  <c r="K280" i="519" a="1"/>
  <c r="K280" i="519" s="1"/>
  <c r="M280" i="519" s="1"/>
  <c r="H280" i="519"/>
  <c r="N279" i="519"/>
  <c r="K279" i="519" a="1"/>
  <c r="K279" i="519" s="1"/>
  <c r="M279" i="519" s="1"/>
  <c r="H279" i="519"/>
  <c r="N278" i="519"/>
  <c r="K278" i="519" a="1"/>
  <c r="K278" i="519" s="1"/>
  <c r="M278" i="519" s="1"/>
  <c r="H278" i="519"/>
  <c r="N277" i="519"/>
  <c r="K277" i="519" a="1"/>
  <c r="K277" i="519" s="1"/>
  <c r="M277" i="519" s="1"/>
  <c r="H277" i="519"/>
  <c r="V276" i="519"/>
  <c r="W276" i="519" s="1"/>
  <c r="N276" i="519"/>
  <c r="K276" i="519" a="1"/>
  <c r="K276" i="519" s="1"/>
  <c r="M276" i="519" s="1"/>
  <c r="J276" i="519" a="1"/>
  <c r="J276" i="519" s="1"/>
  <c r="H276" i="519"/>
  <c r="V275" i="519"/>
  <c r="W275" i="519" s="1"/>
  <c r="N275" i="519"/>
  <c r="K275" i="519" a="1"/>
  <c r="K275" i="519" s="1"/>
  <c r="M275" i="519" s="1"/>
  <c r="J275" i="519" a="1"/>
  <c r="J275" i="519" s="1"/>
  <c r="H275" i="519"/>
  <c r="V274" i="519"/>
  <c r="W274" i="519" s="1"/>
  <c r="N274" i="519"/>
  <c r="K274" i="519" a="1"/>
  <c r="K274" i="519" s="1"/>
  <c r="M274" i="519" s="1"/>
  <c r="J274" i="519" a="1"/>
  <c r="J274" i="519" s="1"/>
  <c r="H274" i="519"/>
  <c r="V273" i="519"/>
  <c r="W273" i="519" s="1"/>
  <c r="N273" i="519"/>
  <c r="K273" i="519" a="1"/>
  <c r="K273" i="519" s="1"/>
  <c r="M273" i="519" s="1"/>
  <c r="J273" i="519" a="1"/>
  <c r="J273" i="519" s="1"/>
  <c r="H273" i="519"/>
  <c r="V272" i="519"/>
  <c r="W272" i="519" s="1"/>
  <c r="N272" i="519"/>
  <c r="K272" i="519" a="1"/>
  <c r="K272" i="519" s="1"/>
  <c r="M272" i="519" s="1"/>
  <c r="J272" i="519" a="1"/>
  <c r="J272" i="519" s="1"/>
  <c r="H272" i="519"/>
  <c r="V271" i="519"/>
  <c r="W271" i="519" s="1"/>
  <c r="N271" i="519"/>
  <c r="K271" i="519" a="1"/>
  <c r="K271" i="519" s="1"/>
  <c r="M271" i="519" s="1"/>
  <c r="J271" i="519" a="1"/>
  <c r="J271" i="519" s="1"/>
  <c r="H271" i="519"/>
  <c r="V270" i="519"/>
  <c r="W270" i="519" s="1"/>
  <c r="N270" i="519"/>
  <c r="K270" i="519" a="1"/>
  <c r="K270" i="519" s="1"/>
  <c r="M270" i="519" s="1"/>
  <c r="J270" i="519" a="1"/>
  <c r="J270" i="519" s="1"/>
  <c r="H270" i="519"/>
  <c r="V269" i="519"/>
  <c r="W269" i="519" s="1"/>
  <c r="N269" i="519"/>
  <c r="K269" i="519" a="1"/>
  <c r="K269" i="519" s="1"/>
  <c r="M269" i="519" s="1"/>
  <c r="J269" i="519" a="1"/>
  <c r="J269" i="519" s="1"/>
  <c r="H269" i="519"/>
  <c r="V268" i="519"/>
  <c r="W268" i="519" s="1"/>
  <c r="N268" i="519"/>
  <c r="K268" i="519" a="1"/>
  <c r="K268" i="519" s="1"/>
  <c r="M268" i="519" s="1"/>
  <c r="J268" i="519" a="1"/>
  <c r="J268" i="519" s="1"/>
  <c r="H268" i="519"/>
  <c r="V267" i="519"/>
  <c r="W267" i="519" s="1"/>
  <c r="N267" i="519"/>
  <c r="K267" i="519" a="1"/>
  <c r="K267" i="519" s="1"/>
  <c r="M267" i="519" s="1"/>
  <c r="J267" i="519" a="1"/>
  <c r="J267" i="519" s="1"/>
  <c r="H267" i="519"/>
  <c r="V266" i="519"/>
  <c r="W266" i="519" s="1"/>
  <c r="N266" i="519"/>
  <c r="K266" i="519" a="1"/>
  <c r="K266" i="519" s="1"/>
  <c r="M266" i="519" s="1"/>
  <c r="J266" i="519" a="1"/>
  <c r="J266" i="519" s="1"/>
  <c r="H266" i="519"/>
  <c r="V265" i="519"/>
  <c r="W265" i="519" s="1"/>
  <c r="N265" i="519"/>
  <c r="K265" i="519" a="1"/>
  <c r="K265" i="519" s="1"/>
  <c r="M265" i="519" s="1"/>
  <c r="J265" i="519" a="1"/>
  <c r="J265" i="519" s="1"/>
  <c r="H265" i="519"/>
  <c r="N264" i="519"/>
  <c r="K264" i="519" a="1"/>
  <c r="K264" i="519" s="1"/>
  <c r="M264" i="519" s="1"/>
  <c r="H264" i="519"/>
  <c r="V263" i="519"/>
  <c r="W263" i="519" s="1"/>
  <c r="N263" i="519"/>
  <c r="K263" i="519" a="1"/>
  <c r="K263" i="519" s="1"/>
  <c r="M263" i="519" s="1"/>
  <c r="J263" i="519" a="1"/>
  <c r="J263" i="519" s="1"/>
  <c r="H263" i="519"/>
  <c r="V262" i="519"/>
  <c r="W262" i="519" s="1"/>
  <c r="N262" i="519"/>
  <c r="K262" i="519" a="1"/>
  <c r="K262" i="519" s="1"/>
  <c r="M262" i="519" s="1"/>
  <c r="J262" i="519" a="1"/>
  <c r="J262" i="519" s="1"/>
  <c r="H262" i="519"/>
  <c r="V261" i="519"/>
  <c r="W261" i="519" s="1"/>
  <c r="N261" i="519"/>
  <c r="K261" i="519" a="1"/>
  <c r="K261" i="519" s="1"/>
  <c r="M261" i="519" s="1"/>
  <c r="J261" i="519" a="1"/>
  <c r="J261" i="519" s="1"/>
  <c r="H261" i="519"/>
  <c r="V260" i="519"/>
  <c r="W260" i="519" s="1"/>
  <c r="N260" i="519"/>
  <c r="K260" i="519" a="1"/>
  <c r="K260" i="519" s="1"/>
  <c r="M260" i="519" s="1"/>
  <c r="J260" i="519" a="1"/>
  <c r="J260" i="519" s="1"/>
  <c r="H260" i="519"/>
  <c r="V259" i="519"/>
  <c r="W259" i="519" s="1"/>
  <c r="N259" i="519"/>
  <c r="K259" i="519"/>
  <c r="M259" i="519" s="1"/>
  <c r="K259" i="519" a="1"/>
  <c r="J259" i="519"/>
  <c r="J259" i="519" a="1"/>
  <c r="H259" i="519"/>
  <c r="V258" i="519"/>
  <c r="W258" i="519" s="1"/>
  <c r="N258" i="519"/>
  <c r="K258" i="519" a="1"/>
  <c r="K258" i="519" s="1"/>
  <c r="M258" i="519" s="1"/>
  <c r="J258" i="519" a="1"/>
  <c r="J258" i="519" s="1"/>
  <c r="H258" i="519"/>
  <c r="V257" i="519"/>
  <c r="N257" i="519"/>
  <c r="K257" i="519" a="1"/>
  <c r="K257" i="519" s="1"/>
  <c r="J257" i="519" a="1"/>
  <c r="J257" i="519" s="1"/>
  <c r="H257" i="519"/>
  <c r="AA256" i="519"/>
  <c r="Z256" i="519"/>
  <c r="Y256" i="519"/>
  <c r="X256" i="519"/>
  <c r="U256" i="519"/>
  <c r="T256" i="519"/>
  <c r="S256" i="519"/>
  <c r="R256" i="519"/>
  <c r="Q256" i="519"/>
  <c r="P256" i="519"/>
  <c r="O256" i="519"/>
  <c r="I256" i="519"/>
  <c r="G256" i="519"/>
  <c r="H255" i="519"/>
  <c r="H254" i="519"/>
  <c r="H253" i="519"/>
  <c r="H252" i="519"/>
  <c r="H251" i="519"/>
  <c r="H250" i="519"/>
  <c r="K249" i="519" a="1"/>
  <c r="K249" i="519" s="1"/>
  <c r="M249" i="519" s="1"/>
  <c r="H249" i="519"/>
  <c r="K248" i="519" a="1"/>
  <c r="K248" i="519" s="1"/>
  <c r="M248" i="519" s="1"/>
  <c r="H248" i="519"/>
  <c r="K247" i="519" a="1"/>
  <c r="K247" i="519" s="1"/>
  <c r="M247" i="519" s="1"/>
  <c r="H247" i="519"/>
  <c r="K246" i="519" a="1"/>
  <c r="K246" i="519" s="1"/>
  <c r="M246" i="519" s="1"/>
  <c r="H246" i="519"/>
  <c r="V245" i="519"/>
  <c r="W245" i="519" s="1"/>
  <c r="N245" i="519"/>
  <c r="K245" i="519" a="1"/>
  <c r="K245" i="519" s="1"/>
  <c r="M245" i="519" s="1"/>
  <c r="J245" i="519" a="1"/>
  <c r="J245" i="519" s="1"/>
  <c r="H245" i="519"/>
  <c r="V244" i="519"/>
  <c r="W244" i="519" s="1"/>
  <c r="N244" i="519"/>
  <c r="K244" i="519" a="1"/>
  <c r="K244" i="519" s="1"/>
  <c r="M244" i="519" s="1"/>
  <c r="J244" i="519" a="1"/>
  <c r="J244" i="519" s="1"/>
  <c r="H244" i="519"/>
  <c r="V243" i="519"/>
  <c r="W243" i="519" s="1"/>
  <c r="N243" i="519"/>
  <c r="K243" i="519"/>
  <c r="M243" i="519" s="1"/>
  <c r="K243" i="519" a="1"/>
  <c r="J243" i="519"/>
  <c r="J243" i="519" a="1"/>
  <c r="H243" i="519"/>
  <c r="V242" i="519"/>
  <c r="W242" i="519" s="1"/>
  <c r="N242" i="519"/>
  <c r="K242" i="519" a="1"/>
  <c r="K242" i="519" s="1"/>
  <c r="M242" i="519" s="1"/>
  <c r="J242" i="519" a="1"/>
  <c r="J242" i="519" s="1"/>
  <c r="H242" i="519"/>
  <c r="M241" i="519"/>
  <c r="H241" i="519"/>
  <c r="W240" i="519"/>
  <c r="V240" i="519"/>
  <c r="N240" i="519"/>
  <c r="K240" i="519" a="1"/>
  <c r="K240" i="519" s="1"/>
  <c r="M240" i="519" s="1"/>
  <c r="J240" i="519" a="1"/>
  <c r="J240" i="519" s="1"/>
  <c r="H240" i="519"/>
  <c r="V239" i="519"/>
  <c r="W239" i="519" s="1"/>
  <c r="N239" i="519"/>
  <c r="K239" i="519" a="1"/>
  <c r="K239" i="519" s="1"/>
  <c r="M239" i="519" s="1"/>
  <c r="J239" i="519" a="1"/>
  <c r="J239" i="519" s="1"/>
  <c r="H239" i="519"/>
  <c r="K238" i="519" a="1"/>
  <c r="K238" i="519" s="1"/>
  <c r="M238" i="519" s="1"/>
  <c r="H238" i="519"/>
  <c r="H237" i="519"/>
  <c r="V236" i="519"/>
  <c r="W236" i="519" s="1"/>
  <c r="N236" i="519"/>
  <c r="K236" i="519" a="1"/>
  <c r="K236" i="519" s="1"/>
  <c r="M236" i="519" s="1"/>
  <c r="J236" i="519" a="1"/>
  <c r="J236" i="519" s="1"/>
  <c r="H236" i="519"/>
  <c r="V235" i="519"/>
  <c r="W235" i="519" s="1"/>
  <c r="N235" i="519"/>
  <c r="K235" i="519"/>
  <c r="M235" i="519" s="1"/>
  <c r="K235" i="519" a="1"/>
  <c r="J235" i="519"/>
  <c r="J235" i="519" a="1"/>
  <c r="H235" i="519"/>
  <c r="V234" i="519"/>
  <c r="W234" i="519" s="1"/>
  <c r="N234" i="519"/>
  <c r="K234" i="519" a="1"/>
  <c r="K234" i="519" s="1"/>
  <c r="M234" i="519" s="1"/>
  <c r="J234" i="519" a="1"/>
  <c r="J234" i="519" s="1"/>
  <c r="H234" i="519"/>
  <c r="V233" i="519"/>
  <c r="W233" i="519" s="1"/>
  <c r="N233" i="519"/>
  <c r="K233" i="519" a="1"/>
  <c r="K233" i="519" s="1"/>
  <c r="M233" i="519" s="1"/>
  <c r="J233" i="519" a="1"/>
  <c r="J233" i="519" s="1"/>
  <c r="H233" i="519"/>
  <c r="V232" i="519"/>
  <c r="W232" i="519" s="1"/>
  <c r="N232" i="519"/>
  <c r="K232" i="519" a="1"/>
  <c r="K232" i="519" s="1"/>
  <c r="M232" i="519" s="1"/>
  <c r="J232" i="519" a="1"/>
  <c r="J232" i="519" s="1"/>
  <c r="H232" i="519"/>
  <c r="V231" i="519"/>
  <c r="W231" i="519" s="1"/>
  <c r="N231" i="519"/>
  <c r="K231" i="519"/>
  <c r="M231" i="519" s="1"/>
  <c r="K231" i="519" a="1"/>
  <c r="J231" i="519"/>
  <c r="J231" i="519" a="1"/>
  <c r="H231" i="519"/>
  <c r="V230" i="519"/>
  <c r="W230" i="519" s="1"/>
  <c r="N230" i="519"/>
  <c r="K230" i="519" a="1"/>
  <c r="K230" i="519" s="1"/>
  <c r="M230" i="519" s="1"/>
  <c r="J230" i="519" a="1"/>
  <c r="J230" i="519" s="1"/>
  <c r="H230" i="519"/>
  <c r="V229" i="519"/>
  <c r="W229" i="519" s="1"/>
  <c r="N229" i="519"/>
  <c r="K229" i="519" a="1"/>
  <c r="K229" i="519" s="1"/>
  <c r="M229" i="519" s="1"/>
  <c r="J229" i="519" a="1"/>
  <c r="J229" i="519" s="1"/>
  <c r="H229" i="519"/>
  <c r="V228" i="519"/>
  <c r="W228" i="519" s="1"/>
  <c r="N228" i="519"/>
  <c r="K228" i="519" a="1"/>
  <c r="K228" i="519" s="1"/>
  <c r="M228" i="519" s="1"/>
  <c r="J228" i="519" a="1"/>
  <c r="J228" i="519" s="1"/>
  <c r="H228" i="519"/>
  <c r="V227" i="519"/>
  <c r="W227" i="519" s="1"/>
  <c r="N227" i="519"/>
  <c r="K227" i="519"/>
  <c r="M227" i="519" s="1"/>
  <c r="K227" i="519" a="1"/>
  <c r="J227" i="519"/>
  <c r="J227" i="519" a="1"/>
  <c r="H227" i="519"/>
  <c r="N226" i="519"/>
  <c r="K226" i="519" a="1"/>
  <c r="K226" i="519" s="1"/>
  <c r="M226" i="519" s="1"/>
  <c r="H226" i="519"/>
  <c r="N225" i="519"/>
  <c r="K225" i="519" a="1"/>
  <c r="K225" i="519" s="1"/>
  <c r="M225" i="519" s="1"/>
  <c r="H225" i="519"/>
  <c r="N224" i="519"/>
  <c r="K224" i="519" a="1"/>
  <c r="K224" i="519" s="1"/>
  <c r="M224" i="519" s="1"/>
  <c r="H224" i="519"/>
  <c r="N223" i="519"/>
  <c r="K223" i="519"/>
  <c r="M223" i="519" s="1"/>
  <c r="K223" i="519" a="1"/>
  <c r="H223" i="519"/>
  <c r="N222" i="519"/>
  <c r="K222" i="519" a="1"/>
  <c r="K222" i="519" s="1"/>
  <c r="M222" i="519" s="1"/>
  <c r="H222" i="519"/>
  <c r="N221" i="519"/>
  <c r="K221" i="519" a="1"/>
  <c r="K221" i="519" s="1"/>
  <c r="M221" i="519" s="1"/>
  <c r="H221" i="519"/>
  <c r="N220" i="519"/>
  <c r="K220" i="519" a="1"/>
  <c r="K220" i="519" s="1"/>
  <c r="M220" i="519" s="1"/>
  <c r="H220" i="519"/>
  <c r="N219" i="519"/>
  <c r="K219" i="519"/>
  <c r="M219" i="519" s="1"/>
  <c r="K219" i="519" a="1"/>
  <c r="H219" i="519"/>
  <c r="V218" i="519"/>
  <c r="W218" i="519" s="1"/>
  <c r="N218" i="519"/>
  <c r="K218" i="519" a="1"/>
  <c r="K218" i="519" s="1"/>
  <c r="M218" i="519" s="1"/>
  <c r="J218" i="519" a="1"/>
  <c r="J218" i="519" s="1"/>
  <c r="H218" i="519"/>
  <c r="V217" i="519"/>
  <c r="W217" i="519" s="1"/>
  <c r="N217" i="519"/>
  <c r="K217" i="519" a="1"/>
  <c r="K217" i="519" s="1"/>
  <c r="M217" i="519" s="1"/>
  <c r="J217" i="519" a="1"/>
  <c r="J217" i="519" s="1"/>
  <c r="H217" i="519"/>
  <c r="V216" i="519"/>
  <c r="W216" i="519" s="1"/>
  <c r="N216" i="519"/>
  <c r="K216" i="519" a="1"/>
  <c r="K216" i="519" s="1"/>
  <c r="M216" i="519" s="1"/>
  <c r="J216" i="519" a="1"/>
  <c r="J216" i="519" s="1"/>
  <c r="H216" i="519"/>
  <c r="V215" i="519"/>
  <c r="W215" i="519" s="1"/>
  <c r="N215" i="519"/>
  <c r="K215" i="519"/>
  <c r="M215" i="519" s="1"/>
  <c r="K215" i="519" a="1"/>
  <c r="J215" i="519"/>
  <c r="J215" i="519" a="1"/>
  <c r="H215" i="519"/>
  <c r="V214" i="519"/>
  <c r="W214" i="519" s="1"/>
  <c r="N214" i="519"/>
  <c r="K214" i="519" a="1"/>
  <c r="K214" i="519" s="1"/>
  <c r="M214" i="519" s="1"/>
  <c r="J214" i="519" a="1"/>
  <c r="J214" i="519" s="1"/>
  <c r="H214" i="519"/>
  <c r="V213" i="519"/>
  <c r="W213" i="519" s="1"/>
  <c r="N213" i="519"/>
  <c r="K213" i="519"/>
  <c r="M213" i="519" s="1"/>
  <c r="K213" i="519" a="1"/>
  <c r="J213" i="519"/>
  <c r="J213" i="519" a="1"/>
  <c r="H213" i="519"/>
  <c r="V212" i="519"/>
  <c r="W212" i="519" s="1"/>
  <c r="N212" i="519"/>
  <c r="K212" i="519" a="1"/>
  <c r="K212" i="519" s="1"/>
  <c r="M212" i="519" s="1"/>
  <c r="J212" i="519" a="1"/>
  <c r="J212" i="519" s="1"/>
  <c r="H212" i="519"/>
  <c r="V211" i="519"/>
  <c r="W211" i="519" s="1"/>
  <c r="N211" i="519"/>
  <c r="K211" i="519" a="1"/>
  <c r="K211" i="519" s="1"/>
  <c r="M211" i="519" s="1"/>
  <c r="J211" i="519" a="1"/>
  <c r="J211" i="519" s="1"/>
  <c r="H211" i="519"/>
  <c r="V210" i="519"/>
  <c r="W210" i="519" s="1"/>
  <c r="N210" i="519"/>
  <c r="K210" i="519" a="1"/>
  <c r="K210" i="519" s="1"/>
  <c r="M210" i="519" s="1"/>
  <c r="J210" i="519" a="1"/>
  <c r="J210" i="519" s="1"/>
  <c r="H210" i="519"/>
  <c r="V209" i="519"/>
  <c r="W209" i="519" s="1"/>
  <c r="N209" i="519"/>
  <c r="K209" i="519" a="1"/>
  <c r="K209" i="519" s="1"/>
  <c r="M209" i="519" s="1"/>
  <c r="J209" i="519" a="1"/>
  <c r="J209" i="519" s="1"/>
  <c r="H209" i="519"/>
  <c r="V208" i="519"/>
  <c r="W208" i="519" s="1"/>
  <c r="N208" i="519"/>
  <c r="K208" i="519" a="1"/>
  <c r="K208" i="519" s="1"/>
  <c r="M208" i="519" s="1"/>
  <c r="J208" i="519" a="1"/>
  <c r="J208" i="519" s="1"/>
  <c r="H208" i="519"/>
  <c r="V207" i="519"/>
  <c r="W207" i="519" s="1"/>
  <c r="N207" i="519"/>
  <c r="K207" i="519"/>
  <c r="M207" i="519" s="1"/>
  <c r="K207" i="519" a="1"/>
  <c r="J207" i="519"/>
  <c r="J207" i="519" a="1"/>
  <c r="H207" i="519"/>
  <c r="H206" i="519"/>
  <c r="H205" i="519"/>
  <c r="H204" i="519"/>
  <c r="V203" i="519"/>
  <c r="W203" i="519" s="1"/>
  <c r="N203" i="519"/>
  <c r="K203" i="519" a="1"/>
  <c r="K203" i="519" s="1"/>
  <c r="M203" i="519" s="1"/>
  <c r="J203" i="519" a="1"/>
  <c r="J203" i="519" s="1"/>
  <c r="H203" i="519"/>
  <c r="V202" i="519"/>
  <c r="W202" i="519" s="1"/>
  <c r="N202" i="519"/>
  <c r="K202" i="519" a="1"/>
  <c r="K202" i="519" s="1"/>
  <c r="M202" i="519" s="1"/>
  <c r="J202" i="519" a="1"/>
  <c r="J202" i="519" s="1"/>
  <c r="H202" i="519"/>
  <c r="V201" i="519"/>
  <c r="W201" i="519" s="1"/>
  <c r="N201" i="519"/>
  <c r="K201" i="519"/>
  <c r="M201" i="519" s="1"/>
  <c r="K201" i="519" a="1"/>
  <c r="J201" i="519"/>
  <c r="J201" i="519" a="1"/>
  <c r="H201" i="519"/>
  <c r="H200" i="519"/>
  <c r="W199" i="519"/>
  <c r="V199" i="519"/>
  <c r="V256" i="519" s="1"/>
  <c r="W256" i="519" s="1"/>
  <c r="N199" i="519"/>
  <c r="N256" i="519" s="1"/>
  <c r="K199" i="519" a="1"/>
  <c r="K199" i="519" s="1"/>
  <c r="M199" i="519" s="1"/>
  <c r="J199" i="519" a="1"/>
  <c r="J199" i="519" s="1"/>
  <c r="H199" i="519"/>
  <c r="H256" i="519" s="1"/>
  <c r="AA198" i="519"/>
  <c r="AA333" i="519" s="1"/>
  <c r="Z198" i="519"/>
  <c r="Z333" i="519" s="1"/>
  <c r="Y198" i="519"/>
  <c r="Y333" i="519" s="1"/>
  <c r="X198" i="519"/>
  <c r="X333" i="519" s="1"/>
  <c r="U198" i="519"/>
  <c r="U333" i="519" s="1"/>
  <c r="T198" i="519"/>
  <c r="T333" i="519" s="1"/>
  <c r="S198" i="519"/>
  <c r="S333" i="519" s="1"/>
  <c r="R198" i="519"/>
  <c r="R333" i="519" s="1"/>
  <c r="Q198" i="519"/>
  <c r="Q333" i="519" s="1"/>
  <c r="P198" i="519"/>
  <c r="O198" i="519"/>
  <c r="I198" i="519"/>
  <c r="I333" i="519" s="1"/>
  <c r="B341" i="519" s="1"/>
  <c r="G198" i="519"/>
  <c r="G333" i="519" s="1"/>
  <c r="V197" i="519"/>
  <c r="W197" i="519" s="1"/>
  <c r="N197" i="519"/>
  <c r="K197" i="519" a="1"/>
  <c r="K197" i="519" s="1"/>
  <c r="M197" i="519" s="1"/>
  <c r="J197" i="519" a="1"/>
  <c r="J197" i="519" s="1"/>
  <c r="H197" i="519"/>
  <c r="V196" i="519"/>
  <c r="W196" i="519" s="1"/>
  <c r="N196" i="519"/>
  <c r="K196" i="519"/>
  <c r="M196" i="519" s="1"/>
  <c r="K196" i="519" a="1"/>
  <c r="J196" i="519" a="1"/>
  <c r="J196" i="519" s="1"/>
  <c r="H196" i="519"/>
  <c r="K195" i="519" a="1"/>
  <c r="K195" i="519" s="1"/>
  <c r="M195" i="519" s="1"/>
  <c r="H195" i="519"/>
  <c r="K194" i="519" a="1"/>
  <c r="K194" i="519" s="1"/>
  <c r="M194" i="519" s="1"/>
  <c r="H194" i="519"/>
  <c r="K193" i="519" a="1"/>
  <c r="K193" i="519" s="1"/>
  <c r="M193" i="519" s="1"/>
  <c r="H193" i="519"/>
  <c r="K192" i="519" a="1"/>
  <c r="K192" i="519" s="1"/>
  <c r="M192" i="519" s="1"/>
  <c r="H192" i="519"/>
  <c r="V191" i="519"/>
  <c r="W191" i="519" s="1"/>
  <c r="N191" i="519"/>
  <c r="K191" i="519" a="1"/>
  <c r="K191" i="519" s="1"/>
  <c r="M191" i="519" s="1"/>
  <c r="J191" i="519" a="1"/>
  <c r="J191" i="519" s="1"/>
  <c r="H191" i="519"/>
  <c r="V190" i="519"/>
  <c r="W190" i="519" s="1"/>
  <c r="N190" i="519"/>
  <c r="K190" i="519" a="1"/>
  <c r="K190" i="519" s="1"/>
  <c r="M190" i="519" s="1"/>
  <c r="J190" i="519" a="1"/>
  <c r="J190" i="519" s="1"/>
  <c r="H190" i="519"/>
  <c r="V189" i="519"/>
  <c r="W189" i="519" s="1"/>
  <c r="N189" i="519"/>
  <c r="K189" i="519" a="1"/>
  <c r="K189" i="519" s="1"/>
  <c r="M189" i="519" s="1"/>
  <c r="J189" i="519" a="1"/>
  <c r="J189" i="519" s="1"/>
  <c r="H189" i="519"/>
  <c r="N188" i="519"/>
  <c r="K188" i="519" a="1"/>
  <c r="K188" i="519" s="1"/>
  <c r="M188" i="519" s="1"/>
  <c r="J188" i="519" a="1"/>
  <c r="J188" i="519" s="1"/>
  <c r="H188" i="519"/>
  <c r="N187" i="519"/>
  <c r="K187" i="519"/>
  <c r="M187" i="519" s="1"/>
  <c r="K187" i="519" a="1"/>
  <c r="J187" i="519" a="1"/>
  <c r="J187" i="519" s="1"/>
  <c r="H187" i="519"/>
  <c r="V186" i="519"/>
  <c r="W186" i="519" s="1"/>
  <c r="N186" i="519"/>
  <c r="K186" i="519" a="1"/>
  <c r="K186" i="519" s="1"/>
  <c r="M186" i="519" s="1"/>
  <c r="J186" i="519" a="1"/>
  <c r="J186" i="519" s="1"/>
  <c r="H186" i="519"/>
  <c r="V185" i="519"/>
  <c r="W185" i="519" s="1"/>
  <c r="N185" i="519"/>
  <c r="K185" i="519"/>
  <c r="M185" i="519" s="1"/>
  <c r="K185" i="519" a="1"/>
  <c r="J185" i="519"/>
  <c r="J185" i="519" a="1"/>
  <c r="H185" i="519"/>
  <c r="N184" i="519"/>
  <c r="K184" i="519" a="1"/>
  <c r="K184" i="519" s="1"/>
  <c r="M184" i="519" s="1"/>
  <c r="H184" i="519"/>
  <c r="N183" i="519"/>
  <c r="K183" i="519" a="1"/>
  <c r="K183" i="519" s="1"/>
  <c r="M183" i="519" s="1"/>
  <c r="H183" i="519"/>
  <c r="V182" i="519"/>
  <c r="W182" i="519" s="1"/>
  <c r="N182" i="519"/>
  <c r="K182" i="519" a="1"/>
  <c r="K182" i="519" s="1"/>
  <c r="M182" i="519" s="1"/>
  <c r="J182" i="519" a="1"/>
  <c r="J182" i="519" s="1"/>
  <c r="H182" i="519"/>
  <c r="V181" i="519"/>
  <c r="W181" i="519" s="1"/>
  <c r="N181" i="519"/>
  <c r="K181" i="519"/>
  <c r="M181" i="519" s="1"/>
  <c r="K181" i="519" a="1"/>
  <c r="J181" i="519"/>
  <c r="J181" i="519" a="1"/>
  <c r="H181" i="519"/>
  <c r="V180" i="519"/>
  <c r="W180" i="519" s="1"/>
  <c r="N180" i="519"/>
  <c r="K180" i="519" a="1"/>
  <c r="K180" i="519" s="1"/>
  <c r="M180" i="519" s="1"/>
  <c r="J180" i="519" a="1"/>
  <c r="J180" i="519" s="1"/>
  <c r="H180" i="519"/>
  <c r="V179" i="519"/>
  <c r="W179" i="519" s="1"/>
  <c r="N179" i="519"/>
  <c r="K179" i="519" a="1"/>
  <c r="K179" i="519" s="1"/>
  <c r="M179" i="519" s="1"/>
  <c r="J179" i="519" a="1"/>
  <c r="J179" i="519" s="1"/>
  <c r="H179" i="519"/>
  <c r="V178" i="519"/>
  <c r="W178" i="519" s="1"/>
  <c r="N178" i="519"/>
  <c r="K178" i="519" a="1"/>
  <c r="K178" i="519" s="1"/>
  <c r="M178" i="519" s="1"/>
  <c r="J178" i="519" a="1"/>
  <c r="J178" i="519" s="1"/>
  <c r="H178" i="519"/>
  <c r="V177" i="519"/>
  <c r="V198" i="519" s="1"/>
  <c r="N177" i="519"/>
  <c r="N198" i="519" s="1"/>
  <c r="K177" i="519" a="1"/>
  <c r="K177" i="519" s="1"/>
  <c r="M177" i="519" s="1"/>
  <c r="J177" i="519" a="1"/>
  <c r="J177" i="519" s="1"/>
  <c r="H177" i="519"/>
  <c r="H198" i="519" s="1"/>
  <c r="X170" i="519"/>
  <c r="Q526" i="519" s="1"/>
  <c r="X169" i="519"/>
  <c r="Q525" i="519" s="1"/>
  <c r="G169" i="519"/>
  <c r="C169" i="519"/>
  <c r="X168" i="519"/>
  <c r="Q524" i="519" s="1"/>
  <c r="I168" i="519"/>
  <c r="E168" i="519"/>
  <c r="K168" i="519" s="1"/>
  <c r="M168" i="519" s="1"/>
  <c r="I167" i="519"/>
  <c r="E167" i="519"/>
  <c r="K167" i="519" s="1"/>
  <c r="M167" i="519" s="1"/>
  <c r="I166" i="519"/>
  <c r="E166" i="519"/>
  <c r="K166" i="519" s="1"/>
  <c r="M166" i="519" s="1"/>
  <c r="X165" i="519"/>
  <c r="Q521" i="519" s="1"/>
  <c r="I165" i="519"/>
  <c r="I169" i="519" s="1"/>
  <c r="E165" i="519"/>
  <c r="K165" i="519" s="1"/>
  <c r="AA162" i="519"/>
  <c r="Z162" i="519"/>
  <c r="Y162" i="519"/>
  <c r="X162" i="519"/>
  <c r="U162" i="519"/>
  <c r="T162" i="519"/>
  <c r="S162" i="519"/>
  <c r="R162" i="519"/>
  <c r="Q162" i="519"/>
  <c r="P162" i="519"/>
  <c r="O162" i="519"/>
  <c r="R170" i="519" s="1"/>
  <c r="I162" i="519"/>
  <c r="G162" i="519"/>
  <c r="C526" i="519" s="1"/>
  <c r="H161" i="519"/>
  <c r="H160" i="519"/>
  <c r="H159" i="519"/>
  <c r="V158" i="519"/>
  <c r="W158" i="519" s="1"/>
  <c r="N158" i="519"/>
  <c r="K158" i="519"/>
  <c r="K158" i="519" a="1"/>
  <c r="J158" i="519" a="1"/>
  <c r="J158" i="519" s="1"/>
  <c r="H158" i="519"/>
  <c r="D158" i="519"/>
  <c r="V157" i="519"/>
  <c r="W157" i="519" s="1"/>
  <c r="N157" i="519"/>
  <c r="K157" i="519" a="1"/>
  <c r="K157" i="519" s="1"/>
  <c r="M157" i="519" s="1"/>
  <c r="J157" i="519" a="1"/>
  <c r="J157" i="519" s="1"/>
  <c r="H157" i="519"/>
  <c r="H156" i="519"/>
  <c r="H155" i="519"/>
  <c r="V154" i="519"/>
  <c r="W154" i="519" s="1"/>
  <c r="N154" i="519"/>
  <c r="K154" i="519" a="1"/>
  <c r="K154" i="519" s="1"/>
  <c r="M154" i="519" s="1"/>
  <c r="J154" i="519" a="1"/>
  <c r="J154" i="519" s="1"/>
  <c r="H154" i="519"/>
  <c r="V153" i="519"/>
  <c r="W153" i="519" s="1"/>
  <c r="N153" i="519"/>
  <c r="K153" i="519"/>
  <c r="M153" i="519" s="1"/>
  <c r="K153" i="519" a="1"/>
  <c r="J153" i="519"/>
  <c r="J153" i="519" a="1"/>
  <c r="H153" i="519"/>
  <c r="H152" i="519"/>
  <c r="V151" i="519"/>
  <c r="W151" i="519" s="1"/>
  <c r="N151" i="519"/>
  <c r="K151" i="519" a="1"/>
  <c r="K151" i="519" s="1"/>
  <c r="M151" i="519" s="1"/>
  <c r="J151" i="519" a="1"/>
  <c r="J151" i="519" s="1"/>
  <c r="H151" i="519"/>
  <c r="V150" i="519"/>
  <c r="W150" i="519" s="1"/>
  <c r="N150" i="519"/>
  <c r="K150" i="519"/>
  <c r="M150" i="519" s="1"/>
  <c r="K150" i="519" a="1"/>
  <c r="J150" i="519"/>
  <c r="J150" i="519" a="1"/>
  <c r="H150" i="519"/>
  <c r="V149" i="519"/>
  <c r="W149" i="519" s="1"/>
  <c r="N149" i="519"/>
  <c r="K149" i="519" a="1"/>
  <c r="K149" i="519" s="1"/>
  <c r="M149" i="519" s="1"/>
  <c r="J149" i="519" a="1"/>
  <c r="J149" i="519" s="1"/>
  <c r="H149" i="519"/>
  <c r="V148" i="519"/>
  <c r="V162" i="519" s="1"/>
  <c r="W162" i="519" s="1"/>
  <c r="N148" i="519"/>
  <c r="N162" i="519" s="1"/>
  <c r="K148" i="519" a="1"/>
  <c r="K148" i="519" s="1"/>
  <c r="K162" i="519" s="1"/>
  <c r="J148" i="519" a="1"/>
  <c r="J148" i="519" s="1"/>
  <c r="H148" i="519"/>
  <c r="H162" i="519" s="1"/>
  <c r="AA147" i="519"/>
  <c r="Z147" i="519"/>
  <c r="Y147" i="519"/>
  <c r="X147" i="519"/>
  <c r="U147" i="519"/>
  <c r="T147" i="519"/>
  <c r="S147" i="519"/>
  <c r="Q147" i="519"/>
  <c r="P147" i="519"/>
  <c r="O147" i="519"/>
  <c r="R169" i="519" s="1"/>
  <c r="I147" i="519"/>
  <c r="G147" i="519"/>
  <c r="C525" i="519" s="1"/>
  <c r="V146" i="519"/>
  <c r="W146" i="519" s="1"/>
  <c r="N146" i="519"/>
  <c r="K146" i="519" a="1"/>
  <c r="K146" i="519" s="1"/>
  <c r="M146" i="519" s="1"/>
  <c r="J146" i="519" a="1"/>
  <c r="J146" i="519" s="1"/>
  <c r="H146" i="519"/>
  <c r="H143" i="519"/>
  <c r="V142" i="519"/>
  <c r="W142" i="519" s="1"/>
  <c r="N142" i="519"/>
  <c r="K142" i="519" a="1"/>
  <c r="K142" i="519" s="1"/>
  <c r="M142" i="519" s="1"/>
  <c r="J142" i="519" a="1"/>
  <c r="J142" i="519" s="1"/>
  <c r="H142" i="519"/>
  <c r="V141" i="519"/>
  <c r="W141" i="519" s="1"/>
  <c r="N141" i="519"/>
  <c r="K141" i="519"/>
  <c r="M141" i="519" s="1"/>
  <c r="K141" i="519" a="1"/>
  <c r="J141" i="519" a="1"/>
  <c r="J141" i="519" s="1"/>
  <c r="H141" i="519"/>
  <c r="V140" i="519"/>
  <c r="W140" i="519" s="1"/>
  <c r="N140" i="519"/>
  <c r="K140" i="519" a="1"/>
  <c r="K140" i="519" s="1"/>
  <c r="M140" i="519" s="1"/>
  <c r="J140" i="519" a="1"/>
  <c r="J140" i="519" s="1"/>
  <c r="H140" i="519"/>
  <c r="V139" i="519"/>
  <c r="W139" i="519" s="1"/>
  <c r="N139" i="519"/>
  <c r="K139" i="519"/>
  <c r="M139" i="519" s="1"/>
  <c r="K139" i="519" a="1"/>
  <c r="J139" i="519"/>
  <c r="J139" i="519" a="1"/>
  <c r="H139" i="519"/>
  <c r="V138" i="519"/>
  <c r="W138" i="519" s="1"/>
  <c r="N138" i="519"/>
  <c r="N147" i="519" s="1"/>
  <c r="K138" i="519" a="1"/>
  <c r="K138" i="519" s="1"/>
  <c r="J138" i="519" a="1"/>
  <c r="J138" i="519" s="1"/>
  <c r="H138" i="519"/>
  <c r="H147" i="519" s="1"/>
  <c r="AA137" i="519"/>
  <c r="Z137" i="519"/>
  <c r="Y137" i="519"/>
  <c r="X137" i="519"/>
  <c r="U137" i="519"/>
  <c r="T137" i="519"/>
  <c r="S137" i="519"/>
  <c r="Q137" i="519"/>
  <c r="P137" i="519"/>
  <c r="O137" i="519"/>
  <c r="R168" i="519" s="1"/>
  <c r="I137" i="519"/>
  <c r="G137" i="519"/>
  <c r="C524" i="519" s="1"/>
  <c r="V136" i="519"/>
  <c r="W136" i="519" s="1"/>
  <c r="N136" i="519"/>
  <c r="K136" i="519"/>
  <c r="M136" i="519" s="1"/>
  <c r="K136" i="519" a="1"/>
  <c r="J136" i="519"/>
  <c r="J136" i="519" a="1"/>
  <c r="H136" i="519"/>
  <c r="V135" i="519"/>
  <c r="W135" i="519" s="1"/>
  <c r="N135" i="519"/>
  <c r="K135" i="519" a="1"/>
  <c r="K135" i="519" s="1"/>
  <c r="M135" i="519" s="1"/>
  <c r="J135" i="519" a="1"/>
  <c r="J135" i="519" s="1"/>
  <c r="H135" i="519"/>
  <c r="V134" i="519"/>
  <c r="W134" i="519" s="1"/>
  <c r="N134" i="519"/>
  <c r="K134" i="519" a="1"/>
  <c r="K134" i="519" s="1"/>
  <c r="M134" i="519" s="1"/>
  <c r="J134" i="519" a="1"/>
  <c r="J134" i="519" s="1"/>
  <c r="H134" i="519"/>
  <c r="V133" i="519"/>
  <c r="W133" i="519" s="1"/>
  <c r="N133" i="519"/>
  <c r="K133" i="519" a="1"/>
  <c r="K133" i="519" s="1"/>
  <c r="M133" i="519" s="1"/>
  <c r="J133" i="519" a="1"/>
  <c r="J133" i="519" s="1"/>
  <c r="H133" i="519"/>
  <c r="V132" i="519"/>
  <c r="W132" i="519" s="1"/>
  <c r="N132" i="519"/>
  <c r="K132" i="519"/>
  <c r="M132" i="519" s="1"/>
  <c r="K132" i="519" a="1"/>
  <c r="J132" i="519"/>
  <c r="J132" i="519" a="1"/>
  <c r="H132" i="519"/>
  <c r="V131" i="519"/>
  <c r="W131" i="519" s="1"/>
  <c r="N131" i="519"/>
  <c r="K131" i="519" a="1"/>
  <c r="K131" i="519" s="1"/>
  <c r="M131" i="519" s="1"/>
  <c r="J131" i="519" a="1"/>
  <c r="J131" i="519" s="1"/>
  <c r="H131" i="519"/>
  <c r="V130" i="519"/>
  <c r="W130" i="519" s="1"/>
  <c r="N130" i="519"/>
  <c r="K130" i="519" a="1"/>
  <c r="K130" i="519" s="1"/>
  <c r="M130" i="519" s="1"/>
  <c r="J130" i="519" a="1"/>
  <c r="J130" i="519" s="1"/>
  <c r="H130" i="519"/>
  <c r="V129" i="519"/>
  <c r="W129" i="519" s="1"/>
  <c r="N129" i="519"/>
  <c r="K129" i="519" a="1"/>
  <c r="K129" i="519" s="1"/>
  <c r="M129" i="519" s="1"/>
  <c r="J129" i="519" a="1"/>
  <c r="J129" i="519" s="1"/>
  <c r="H129" i="519"/>
  <c r="V128" i="519"/>
  <c r="W128" i="519" s="1"/>
  <c r="N128" i="519"/>
  <c r="K128" i="519"/>
  <c r="M128" i="519" s="1"/>
  <c r="K128" i="519" a="1"/>
  <c r="J128" i="519"/>
  <c r="J128" i="519" a="1"/>
  <c r="H128" i="519"/>
  <c r="V127" i="519"/>
  <c r="W127" i="519" s="1"/>
  <c r="N127" i="519"/>
  <c r="K127" i="519" a="1"/>
  <c r="K127" i="519" s="1"/>
  <c r="M127" i="519" s="1"/>
  <c r="J127" i="519" a="1"/>
  <c r="J127" i="519" s="1"/>
  <c r="H127" i="519"/>
  <c r="V126" i="519"/>
  <c r="W126" i="519" s="1"/>
  <c r="N126" i="519"/>
  <c r="K126" i="519" a="1"/>
  <c r="K126" i="519" s="1"/>
  <c r="M126" i="519" s="1"/>
  <c r="J126" i="519" a="1"/>
  <c r="J126" i="519" s="1"/>
  <c r="H126" i="519"/>
  <c r="V125" i="519"/>
  <c r="W125" i="519" s="1"/>
  <c r="N125" i="519"/>
  <c r="K125" i="519" a="1"/>
  <c r="K125" i="519" s="1"/>
  <c r="M125" i="519" s="1"/>
  <c r="J125" i="519" a="1"/>
  <c r="J125" i="519" s="1"/>
  <c r="H125" i="519"/>
  <c r="V124" i="519"/>
  <c r="W124" i="519" s="1"/>
  <c r="N124" i="519"/>
  <c r="K124" i="519"/>
  <c r="M124" i="519" s="1"/>
  <c r="K124" i="519" a="1"/>
  <c r="J124" i="519"/>
  <c r="J124" i="519" a="1"/>
  <c r="H124" i="519"/>
  <c r="V123" i="519"/>
  <c r="W123" i="519" s="1"/>
  <c r="N123" i="519"/>
  <c r="K123" i="519" a="1"/>
  <c r="K123" i="519" s="1"/>
  <c r="M123" i="519" s="1"/>
  <c r="J123" i="519" a="1"/>
  <c r="J123" i="519" s="1"/>
  <c r="H123" i="519"/>
  <c r="V122" i="519"/>
  <c r="W122" i="519" s="1"/>
  <c r="N122" i="519"/>
  <c r="K122" i="519" a="1"/>
  <c r="K122" i="519" s="1"/>
  <c r="M122" i="519" s="1"/>
  <c r="J122" i="519" a="1"/>
  <c r="J122" i="519" s="1"/>
  <c r="H122" i="519"/>
  <c r="AA121" i="519"/>
  <c r="Z121" i="519"/>
  <c r="Y121" i="519"/>
  <c r="X121" i="519"/>
  <c r="U121" i="519"/>
  <c r="T121" i="519"/>
  <c r="S121" i="519"/>
  <c r="R121" i="519"/>
  <c r="Q121" i="519"/>
  <c r="P121" i="519"/>
  <c r="O121" i="519"/>
  <c r="R167" i="519" s="1"/>
  <c r="I121" i="519"/>
  <c r="G121" i="519"/>
  <c r="C523" i="519" s="1"/>
  <c r="V120" i="519"/>
  <c r="W120" i="519" s="1"/>
  <c r="N120" i="519"/>
  <c r="K120" i="519" a="1"/>
  <c r="K120" i="519" s="1"/>
  <c r="M120" i="519" s="1"/>
  <c r="J120" i="519" a="1"/>
  <c r="J120" i="519" s="1"/>
  <c r="H120" i="519"/>
  <c r="V119" i="519"/>
  <c r="W119" i="519" s="1"/>
  <c r="N119" i="519"/>
  <c r="K119" i="519" a="1"/>
  <c r="K119" i="519" s="1"/>
  <c r="M119" i="519" s="1"/>
  <c r="J119" i="519" a="1"/>
  <c r="J119" i="519" s="1"/>
  <c r="H119" i="519"/>
  <c r="V118" i="519"/>
  <c r="W118" i="519" s="1"/>
  <c r="N118" i="519"/>
  <c r="K118" i="519"/>
  <c r="M118" i="519" s="1"/>
  <c r="K118" i="519" a="1"/>
  <c r="J118" i="519"/>
  <c r="J118" i="519" a="1"/>
  <c r="H118" i="519"/>
  <c r="K117" i="519" a="1"/>
  <c r="K117" i="519" s="1"/>
  <c r="H117" i="519"/>
  <c r="K116" i="519" a="1"/>
  <c r="K116" i="519" s="1"/>
  <c r="H116" i="519"/>
  <c r="K115" i="519" a="1"/>
  <c r="K115" i="519" s="1"/>
  <c r="H115" i="519"/>
  <c r="V114" i="519"/>
  <c r="W114" i="519" s="1"/>
  <c r="N114" i="519"/>
  <c r="K114" i="519" a="1"/>
  <c r="K114" i="519" s="1"/>
  <c r="M114" i="519" s="1"/>
  <c r="J114" i="519" a="1"/>
  <c r="J114" i="519" s="1"/>
  <c r="H114" i="519"/>
  <c r="V113" i="519"/>
  <c r="W113" i="519" s="1"/>
  <c r="N113" i="519"/>
  <c r="K113" i="519" a="1"/>
  <c r="K113" i="519" s="1"/>
  <c r="M113" i="519" s="1"/>
  <c r="J113" i="519" a="1"/>
  <c r="J113" i="519" s="1"/>
  <c r="H113" i="519"/>
  <c r="N112" i="519"/>
  <c r="K112" i="519"/>
  <c r="M112" i="519" s="1"/>
  <c r="K112" i="519" a="1"/>
  <c r="H112" i="519"/>
  <c r="N111" i="519"/>
  <c r="K111" i="519" a="1"/>
  <c r="K111" i="519" s="1"/>
  <c r="M111" i="519" s="1"/>
  <c r="H111" i="519"/>
  <c r="N110" i="519"/>
  <c r="K110" i="519" a="1"/>
  <c r="K110" i="519" s="1"/>
  <c r="M110" i="519" s="1"/>
  <c r="H110" i="519"/>
  <c r="N109" i="519"/>
  <c r="K109" i="519" a="1"/>
  <c r="K109" i="519" s="1"/>
  <c r="M109" i="519" s="1"/>
  <c r="H109" i="519"/>
  <c r="N108" i="519"/>
  <c r="K108" i="519" a="1"/>
  <c r="K108" i="519" s="1"/>
  <c r="M108" i="519" s="1"/>
  <c r="H108" i="519"/>
  <c r="N107" i="519"/>
  <c r="K107" i="519" a="1"/>
  <c r="K107" i="519" s="1"/>
  <c r="M107" i="519" s="1"/>
  <c r="H107" i="519"/>
  <c r="V106" i="519"/>
  <c r="W106" i="519" s="1"/>
  <c r="N106" i="519"/>
  <c r="K106" i="519"/>
  <c r="M106" i="519" s="1"/>
  <c r="K106" i="519" a="1"/>
  <c r="J106" i="519" a="1"/>
  <c r="J106" i="519" s="1"/>
  <c r="H106" i="519"/>
  <c r="W105" i="519"/>
  <c r="V105" i="519"/>
  <c r="N105" i="519"/>
  <c r="K105" i="519" a="1"/>
  <c r="K105" i="519" s="1"/>
  <c r="M105" i="519" s="1"/>
  <c r="J105" i="519" a="1"/>
  <c r="J105" i="519" s="1"/>
  <c r="H105" i="519"/>
  <c r="V104" i="519"/>
  <c r="W104" i="519" s="1"/>
  <c r="N104" i="519"/>
  <c r="K104" i="519" a="1"/>
  <c r="K104" i="519" s="1"/>
  <c r="M104" i="519" s="1"/>
  <c r="J104" i="519" a="1"/>
  <c r="J104" i="519" s="1"/>
  <c r="H104" i="519"/>
  <c r="V103" i="519"/>
  <c r="W103" i="519" s="1"/>
  <c r="N103" i="519"/>
  <c r="K103" i="519"/>
  <c r="M103" i="519" s="1"/>
  <c r="K103" i="519" a="1"/>
  <c r="J103" i="519" a="1"/>
  <c r="J103" i="519" s="1"/>
  <c r="H103" i="519"/>
  <c r="V102" i="519"/>
  <c r="W102" i="519" s="1"/>
  <c r="N102" i="519"/>
  <c r="K102" i="519" a="1"/>
  <c r="K102" i="519" s="1"/>
  <c r="M102" i="519" s="1"/>
  <c r="J102" i="519" a="1"/>
  <c r="J102" i="519" s="1"/>
  <c r="H102" i="519"/>
  <c r="V101" i="519"/>
  <c r="W101" i="519" s="1"/>
  <c r="N101" i="519"/>
  <c r="K101" i="519"/>
  <c r="M101" i="519" s="1"/>
  <c r="K101" i="519" a="1"/>
  <c r="J101" i="519" a="1"/>
  <c r="J101" i="519" s="1"/>
  <c r="H101" i="519"/>
  <c r="W100" i="519"/>
  <c r="V100" i="519"/>
  <c r="N100" i="519"/>
  <c r="K100" i="519" a="1"/>
  <c r="K100" i="519" s="1"/>
  <c r="M100" i="519" s="1"/>
  <c r="J100" i="519" a="1"/>
  <c r="J100" i="519" s="1"/>
  <c r="H100" i="519"/>
  <c r="V99" i="519"/>
  <c r="W99" i="519" s="1"/>
  <c r="N99" i="519"/>
  <c r="K99" i="519" a="1"/>
  <c r="K99" i="519" s="1"/>
  <c r="M99" i="519" s="1"/>
  <c r="J99" i="519" a="1"/>
  <c r="J99" i="519" s="1"/>
  <c r="H99" i="519"/>
  <c r="V98" i="519"/>
  <c r="W98" i="519" s="1"/>
  <c r="N98" i="519"/>
  <c r="K98" i="519" a="1"/>
  <c r="K98" i="519" s="1"/>
  <c r="M98" i="519" s="1"/>
  <c r="J98" i="519" a="1"/>
  <c r="J98" i="519" s="1"/>
  <c r="H98" i="519"/>
  <c r="V97" i="519"/>
  <c r="W97" i="519" s="1"/>
  <c r="N97" i="519"/>
  <c r="K97" i="519"/>
  <c r="M97" i="519" s="1"/>
  <c r="K97" i="519" a="1"/>
  <c r="J97" i="519" a="1"/>
  <c r="J97" i="519" s="1"/>
  <c r="H97" i="519"/>
  <c r="V96" i="519"/>
  <c r="W96" i="519" s="1"/>
  <c r="N96" i="519"/>
  <c r="K96" i="519" a="1"/>
  <c r="K96" i="519" s="1"/>
  <c r="M96" i="519" s="1"/>
  <c r="J96" i="519" a="1"/>
  <c r="J96" i="519" s="1"/>
  <c r="H96" i="519"/>
  <c r="V95" i="519"/>
  <c r="W95" i="519" s="1"/>
  <c r="N95" i="519"/>
  <c r="K95" i="519" a="1"/>
  <c r="K95" i="519" s="1"/>
  <c r="M95" i="519" s="1"/>
  <c r="J95" i="519" a="1"/>
  <c r="J95" i="519" s="1"/>
  <c r="H95" i="519"/>
  <c r="K94" i="519" a="1"/>
  <c r="K94" i="519" s="1"/>
  <c r="M94" i="519" s="1"/>
  <c r="H94" i="519"/>
  <c r="V93" i="519"/>
  <c r="W93" i="519" s="1"/>
  <c r="N93" i="519"/>
  <c r="K93" i="519" a="1"/>
  <c r="K93" i="519" s="1"/>
  <c r="M93" i="519" s="1"/>
  <c r="J93" i="519" a="1"/>
  <c r="J93" i="519" s="1"/>
  <c r="H93" i="519"/>
  <c r="V92" i="519"/>
  <c r="W92" i="519" s="1"/>
  <c r="N92" i="519"/>
  <c r="K92" i="519" a="1"/>
  <c r="K92" i="519" s="1"/>
  <c r="M92" i="519" s="1"/>
  <c r="J92" i="519" a="1"/>
  <c r="J92" i="519" s="1"/>
  <c r="H92" i="519"/>
  <c r="V91" i="519"/>
  <c r="W91" i="519" s="1"/>
  <c r="N91" i="519"/>
  <c r="K91" i="519" a="1"/>
  <c r="K91" i="519" s="1"/>
  <c r="M91" i="519" s="1"/>
  <c r="J91" i="519" a="1"/>
  <c r="J91" i="519" s="1"/>
  <c r="H91" i="519"/>
  <c r="V90" i="519"/>
  <c r="W90" i="519" s="1"/>
  <c r="N90" i="519"/>
  <c r="K90" i="519" a="1"/>
  <c r="K90" i="519" s="1"/>
  <c r="M90" i="519" s="1"/>
  <c r="J90" i="519" a="1"/>
  <c r="J90" i="519" s="1"/>
  <c r="H90" i="519"/>
  <c r="V89" i="519"/>
  <c r="W89" i="519" s="1"/>
  <c r="N89" i="519"/>
  <c r="K89" i="519" a="1"/>
  <c r="K89" i="519" s="1"/>
  <c r="M89" i="519" s="1"/>
  <c r="J89" i="519" a="1"/>
  <c r="J89" i="519" s="1"/>
  <c r="H89" i="519"/>
  <c r="V88" i="519"/>
  <c r="W88" i="519" s="1"/>
  <c r="N88" i="519"/>
  <c r="K88" i="519"/>
  <c r="M88" i="519" s="1"/>
  <c r="K88" i="519" a="1"/>
  <c r="J88" i="519" a="1"/>
  <c r="J88" i="519" s="1"/>
  <c r="H88" i="519"/>
  <c r="V87" i="519"/>
  <c r="V121" i="519" s="1"/>
  <c r="W121" i="519" s="1"/>
  <c r="N87" i="519"/>
  <c r="K87" i="519" a="1"/>
  <c r="K87" i="519" s="1"/>
  <c r="J87" i="519" a="1"/>
  <c r="J87" i="519" s="1"/>
  <c r="H87" i="519"/>
  <c r="H121" i="519" s="1"/>
  <c r="AA86" i="519"/>
  <c r="Z86" i="519"/>
  <c r="Y86" i="519"/>
  <c r="X86" i="519"/>
  <c r="U86" i="519"/>
  <c r="T86" i="519"/>
  <c r="S86" i="519"/>
  <c r="R86" i="519"/>
  <c r="Q86" i="519"/>
  <c r="P86" i="519"/>
  <c r="O86" i="519"/>
  <c r="R166" i="519" s="1"/>
  <c r="I86" i="519"/>
  <c r="G86" i="519"/>
  <c r="C522" i="519" s="1"/>
  <c r="K85" i="519" a="1"/>
  <c r="K85" i="519" s="1"/>
  <c r="H85" i="519"/>
  <c r="K84" i="519"/>
  <c r="K84" i="519" a="1"/>
  <c r="H84" i="519"/>
  <c r="K83" i="519" a="1"/>
  <c r="K83" i="519" s="1"/>
  <c r="H83" i="519"/>
  <c r="K82" i="519" a="1"/>
  <c r="K82" i="519" s="1"/>
  <c r="H82" i="519"/>
  <c r="K81" i="519" a="1"/>
  <c r="K81" i="519" s="1"/>
  <c r="H81" i="519"/>
  <c r="K80" i="519" a="1"/>
  <c r="K80" i="519" s="1"/>
  <c r="H80" i="519"/>
  <c r="K79" i="519" a="1"/>
  <c r="K79" i="519" s="1"/>
  <c r="M79" i="519" s="1"/>
  <c r="H79" i="519"/>
  <c r="K78" i="519"/>
  <c r="M78" i="519" s="1"/>
  <c r="K78" i="519" a="1"/>
  <c r="H78" i="519"/>
  <c r="K77" i="519" a="1"/>
  <c r="K77" i="519" s="1"/>
  <c r="M77" i="519" s="1"/>
  <c r="H77" i="519"/>
  <c r="K76" i="519" a="1"/>
  <c r="K76" i="519" s="1"/>
  <c r="M76" i="519" s="1"/>
  <c r="H76" i="519"/>
  <c r="W75" i="519"/>
  <c r="V75" i="519"/>
  <c r="N75" i="519"/>
  <c r="K75" i="519" a="1"/>
  <c r="K75" i="519" s="1"/>
  <c r="M75" i="519" s="1"/>
  <c r="J75" i="519" a="1"/>
  <c r="J75" i="519" s="1"/>
  <c r="H75" i="519"/>
  <c r="V74" i="519"/>
  <c r="W74" i="519" s="1"/>
  <c r="N74" i="519"/>
  <c r="K74" i="519" a="1"/>
  <c r="K74" i="519" s="1"/>
  <c r="M74" i="519" s="1"/>
  <c r="J74" i="519" a="1"/>
  <c r="J74" i="519" s="1"/>
  <c r="H74" i="519"/>
  <c r="V73" i="519"/>
  <c r="W73" i="519" s="1"/>
  <c r="N73" i="519"/>
  <c r="K73" i="519"/>
  <c r="M73" i="519" s="1"/>
  <c r="K73" i="519" a="1"/>
  <c r="J73" i="519"/>
  <c r="J73" i="519" a="1"/>
  <c r="H73" i="519"/>
  <c r="V72" i="519"/>
  <c r="W72" i="519" s="1"/>
  <c r="N72" i="519"/>
  <c r="K72" i="519" a="1"/>
  <c r="K72" i="519" s="1"/>
  <c r="M72" i="519" s="1"/>
  <c r="J72" i="519" a="1"/>
  <c r="J72" i="519" s="1"/>
  <c r="H72" i="519"/>
  <c r="H71" i="519"/>
  <c r="V70" i="519"/>
  <c r="W70" i="519" s="1"/>
  <c r="N70" i="519"/>
  <c r="K70" i="519" a="1"/>
  <c r="K70" i="519" s="1"/>
  <c r="M70" i="519" s="1"/>
  <c r="J70" i="519" a="1"/>
  <c r="J70" i="519" s="1"/>
  <c r="H70" i="519"/>
  <c r="V69" i="519"/>
  <c r="W69" i="519" s="1"/>
  <c r="N69" i="519"/>
  <c r="K69" i="519" a="1"/>
  <c r="K69" i="519" s="1"/>
  <c r="M69" i="519" s="1"/>
  <c r="J69" i="519" a="1"/>
  <c r="J69" i="519" s="1"/>
  <c r="H69" i="519"/>
  <c r="K68" i="519" a="1"/>
  <c r="K68" i="519" s="1"/>
  <c r="H68" i="519"/>
  <c r="K67" i="519"/>
  <c r="K67" i="519" a="1"/>
  <c r="H67" i="519"/>
  <c r="V66" i="519"/>
  <c r="W66" i="519" s="1"/>
  <c r="N66" i="519"/>
  <c r="K66" i="519" a="1"/>
  <c r="K66" i="519" s="1"/>
  <c r="M66" i="519" s="1"/>
  <c r="J66" i="519" a="1"/>
  <c r="J66" i="519" s="1"/>
  <c r="H66" i="519"/>
  <c r="V65" i="519"/>
  <c r="W65" i="519" s="1"/>
  <c r="N65" i="519"/>
  <c r="K65" i="519" a="1"/>
  <c r="K65" i="519" s="1"/>
  <c r="M65" i="519" s="1"/>
  <c r="J65" i="519" a="1"/>
  <c r="J65" i="519" s="1"/>
  <c r="H65" i="519"/>
  <c r="V64" i="519"/>
  <c r="W64" i="519" s="1"/>
  <c r="N64" i="519"/>
  <c r="K64" i="519" a="1"/>
  <c r="K64" i="519" s="1"/>
  <c r="M64" i="519" s="1"/>
  <c r="J64" i="519" a="1"/>
  <c r="J64" i="519" s="1"/>
  <c r="H64" i="519"/>
  <c r="V63" i="519"/>
  <c r="W63" i="519" s="1"/>
  <c r="N63" i="519"/>
  <c r="K63" i="519"/>
  <c r="M63" i="519" s="1"/>
  <c r="K63" i="519" a="1"/>
  <c r="J63" i="519"/>
  <c r="J63" i="519" a="1"/>
  <c r="H63" i="519"/>
  <c r="V62" i="519"/>
  <c r="W62" i="519" s="1"/>
  <c r="N62" i="519"/>
  <c r="K62" i="519" a="1"/>
  <c r="K62" i="519" s="1"/>
  <c r="M62" i="519" s="1"/>
  <c r="J62" i="519" a="1"/>
  <c r="J62" i="519" s="1"/>
  <c r="H62" i="519"/>
  <c r="V61" i="519"/>
  <c r="W61" i="519" s="1"/>
  <c r="N61" i="519"/>
  <c r="K61" i="519" a="1"/>
  <c r="K61" i="519" s="1"/>
  <c r="M61" i="519" s="1"/>
  <c r="J61" i="519" a="1"/>
  <c r="J61" i="519" s="1"/>
  <c r="H61" i="519"/>
  <c r="V60" i="519"/>
  <c r="W60" i="519" s="1"/>
  <c r="N60" i="519"/>
  <c r="K60" i="519" a="1"/>
  <c r="K60" i="519" s="1"/>
  <c r="M60" i="519" s="1"/>
  <c r="J60" i="519" a="1"/>
  <c r="J60" i="519" s="1"/>
  <c r="H60" i="519"/>
  <c r="V59" i="519"/>
  <c r="W59" i="519" s="1"/>
  <c r="N59" i="519"/>
  <c r="K59" i="519"/>
  <c r="M59" i="519" s="1"/>
  <c r="K59" i="519" a="1"/>
  <c r="J59" i="519"/>
  <c r="J59" i="519" a="1"/>
  <c r="H59" i="519"/>
  <c r="V58" i="519"/>
  <c r="W58" i="519" s="1"/>
  <c r="N58" i="519"/>
  <c r="K58" i="519" a="1"/>
  <c r="K58" i="519" s="1"/>
  <c r="M58" i="519" s="1"/>
  <c r="J58" i="519" a="1"/>
  <c r="J58" i="519" s="1"/>
  <c r="H58" i="519"/>
  <c r="V57" i="519"/>
  <c r="W57" i="519" s="1"/>
  <c r="N57" i="519"/>
  <c r="K57" i="519" a="1"/>
  <c r="K57" i="519" s="1"/>
  <c r="M57" i="519" s="1"/>
  <c r="J57" i="519" a="1"/>
  <c r="J57" i="519" s="1"/>
  <c r="H57" i="519"/>
  <c r="K56" i="519"/>
  <c r="M56" i="519" s="1"/>
  <c r="K56" i="519" a="1"/>
  <c r="H56" i="519"/>
  <c r="K55" i="519" a="1"/>
  <c r="K55" i="519" s="1"/>
  <c r="M55" i="519" s="1"/>
  <c r="H55" i="519"/>
  <c r="K54" i="519" a="1"/>
  <c r="K54" i="519" s="1"/>
  <c r="M54" i="519" s="1"/>
  <c r="H54" i="519"/>
  <c r="K53" i="519" a="1"/>
  <c r="K53" i="519" s="1"/>
  <c r="M53" i="519" s="1"/>
  <c r="H53" i="519"/>
  <c r="N52" i="519"/>
  <c r="K52" i="519" a="1"/>
  <c r="K52" i="519" s="1"/>
  <c r="M52" i="519" s="1"/>
  <c r="H52" i="519"/>
  <c r="N51" i="519"/>
  <c r="K51" i="519" a="1"/>
  <c r="K51" i="519" s="1"/>
  <c r="M51" i="519" s="1"/>
  <c r="H51" i="519"/>
  <c r="N50" i="519"/>
  <c r="K50" i="519" a="1"/>
  <c r="K50" i="519" s="1"/>
  <c r="M50" i="519" s="1"/>
  <c r="H50" i="519"/>
  <c r="N49" i="519"/>
  <c r="K49" i="519" a="1"/>
  <c r="K49" i="519" s="1"/>
  <c r="M49" i="519" s="1"/>
  <c r="H49" i="519"/>
  <c r="V48" i="519"/>
  <c r="W48" i="519" s="1"/>
  <c r="N48" i="519"/>
  <c r="K48" i="519"/>
  <c r="M48" i="519" s="1"/>
  <c r="K48" i="519" a="1"/>
  <c r="J48" i="519" a="1"/>
  <c r="J48" i="519" s="1"/>
  <c r="H48" i="519"/>
  <c r="V47" i="519"/>
  <c r="W47" i="519" s="1"/>
  <c r="N47" i="519"/>
  <c r="K47" i="519" a="1"/>
  <c r="K47" i="519" s="1"/>
  <c r="M47" i="519" s="1"/>
  <c r="J47" i="519" a="1"/>
  <c r="J47" i="519" s="1"/>
  <c r="H47" i="519"/>
  <c r="V46" i="519"/>
  <c r="W46" i="519" s="1"/>
  <c r="N46" i="519"/>
  <c r="K46" i="519"/>
  <c r="M46" i="519" s="1"/>
  <c r="K46" i="519" a="1"/>
  <c r="J46" i="519" a="1"/>
  <c r="J46" i="519" s="1"/>
  <c r="H46" i="519"/>
  <c r="V45" i="519"/>
  <c r="W45" i="519" s="1"/>
  <c r="N45" i="519"/>
  <c r="K45" i="519" a="1"/>
  <c r="K45" i="519" s="1"/>
  <c r="M45" i="519" s="1"/>
  <c r="J45" i="519" a="1"/>
  <c r="J45" i="519" s="1"/>
  <c r="H45" i="519"/>
  <c r="V44" i="519"/>
  <c r="W44" i="519" s="1"/>
  <c r="N44" i="519"/>
  <c r="K44" i="519"/>
  <c r="M44" i="519" s="1"/>
  <c r="K44" i="519" a="1"/>
  <c r="J44" i="519" a="1"/>
  <c r="J44" i="519" s="1"/>
  <c r="H44" i="519"/>
  <c r="V43" i="519"/>
  <c r="W43" i="519" s="1"/>
  <c r="N43" i="519"/>
  <c r="K43" i="519" a="1"/>
  <c r="K43" i="519" s="1"/>
  <c r="M43" i="519" s="1"/>
  <c r="J43" i="519" a="1"/>
  <c r="J43" i="519" s="1"/>
  <c r="H43" i="519"/>
  <c r="V42" i="519"/>
  <c r="W42" i="519" s="1"/>
  <c r="N42" i="519"/>
  <c r="K42" i="519"/>
  <c r="M42" i="519" s="1"/>
  <c r="K42" i="519" a="1"/>
  <c r="J42" i="519" a="1"/>
  <c r="J42" i="519" s="1"/>
  <c r="H42" i="519"/>
  <c r="V41" i="519"/>
  <c r="W41" i="519" s="1"/>
  <c r="N41" i="519"/>
  <c r="K41" i="519" a="1"/>
  <c r="K41" i="519" s="1"/>
  <c r="M41" i="519" s="1"/>
  <c r="J41" i="519" a="1"/>
  <c r="J41" i="519" s="1"/>
  <c r="H41" i="519"/>
  <c r="V40" i="519"/>
  <c r="W40" i="519" s="1"/>
  <c r="N40" i="519"/>
  <c r="K40" i="519"/>
  <c r="M40" i="519" s="1"/>
  <c r="K40" i="519" a="1"/>
  <c r="J40" i="519" a="1"/>
  <c r="J40" i="519" s="1"/>
  <c r="H40" i="519"/>
  <c r="V39" i="519"/>
  <c r="W39" i="519" s="1"/>
  <c r="N39" i="519"/>
  <c r="K39" i="519" a="1"/>
  <c r="K39" i="519" s="1"/>
  <c r="M39" i="519" s="1"/>
  <c r="J39" i="519" a="1"/>
  <c r="J39" i="519" s="1"/>
  <c r="H39" i="519"/>
  <c r="V38" i="519"/>
  <c r="W38" i="519" s="1"/>
  <c r="N38" i="519"/>
  <c r="K38" i="519"/>
  <c r="M38" i="519" s="1"/>
  <c r="K38" i="519" a="1"/>
  <c r="J38" i="519" a="1"/>
  <c r="J38" i="519" s="1"/>
  <c r="H38" i="519"/>
  <c r="V37" i="519"/>
  <c r="W37" i="519" s="1"/>
  <c r="N37" i="519"/>
  <c r="K37" i="519" a="1"/>
  <c r="K37" i="519" s="1"/>
  <c r="M37" i="519" s="1"/>
  <c r="J37" i="519" a="1"/>
  <c r="J37" i="519" s="1"/>
  <c r="H37" i="519"/>
  <c r="H36" i="519"/>
  <c r="H35" i="519"/>
  <c r="H34" i="519"/>
  <c r="V33" i="519"/>
  <c r="W33" i="519" s="1"/>
  <c r="N33" i="519"/>
  <c r="K33" i="519" a="1"/>
  <c r="K33" i="519" s="1"/>
  <c r="M33" i="519" s="1"/>
  <c r="J33" i="519" a="1"/>
  <c r="J33" i="519" s="1"/>
  <c r="H33" i="519"/>
  <c r="V32" i="519"/>
  <c r="W32" i="519" s="1"/>
  <c r="N32" i="519"/>
  <c r="K32" i="519"/>
  <c r="M32" i="519" s="1"/>
  <c r="K32" i="519" a="1"/>
  <c r="J32" i="519" a="1"/>
  <c r="J32" i="519" s="1"/>
  <c r="H32" i="519"/>
  <c r="V31" i="519"/>
  <c r="W31" i="519" s="1"/>
  <c r="N31" i="519"/>
  <c r="K31" i="519" a="1"/>
  <c r="K31" i="519" s="1"/>
  <c r="M31" i="519" s="1"/>
  <c r="J31" i="519" a="1"/>
  <c r="J31" i="519" s="1"/>
  <c r="H31" i="519"/>
  <c r="K30" i="519" a="1"/>
  <c r="K30" i="519" s="1"/>
  <c r="H30" i="519"/>
  <c r="V29" i="519"/>
  <c r="N29" i="519"/>
  <c r="N86" i="519" s="1"/>
  <c r="K29" i="519" a="1"/>
  <c r="K29" i="519" s="1"/>
  <c r="J29" i="519" a="1"/>
  <c r="J29" i="519" s="1"/>
  <c r="H29" i="519"/>
  <c r="AA28" i="519"/>
  <c r="AA163" i="519" s="1"/>
  <c r="Z28" i="519"/>
  <c r="Z163" i="519" s="1"/>
  <c r="Y28" i="519"/>
  <c r="Y163" i="519" s="1"/>
  <c r="X28" i="519"/>
  <c r="X163" i="519" s="1"/>
  <c r="U28" i="519"/>
  <c r="U163" i="519" s="1"/>
  <c r="T28" i="519"/>
  <c r="T163" i="519" s="1"/>
  <c r="S28" i="519"/>
  <c r="S163" i="519" s="1"/>
  <c r="R28" i="519"/>
  <c r="R163" i="519" s="1"/>
  <c r="Q28" i="519"/>
  <c r="Q163" i="519" s="1"/>
  <c r="P28" i="519"/>
  <c r="O28" i="519"/>
  <c r="I28" i="519"/>
  <c r="I163" i="519" s="1"/>
  <c r="B171" i="519" s="1"/>
  <c r="G28" i="519"/>
  <c r="V27" i="519"/>
  <c r="W27" i="519" s="1"/>
  <c r="N27" i="519"/>
  <c r="K27" i="519" a="1"/>
  <c r="K27" i="519" s="1"/>
  <c r="M27" i="519" s="1"/>
  <c r="J27" i="519" a="1"/>
  <c r="J27" i="519" s="1"/>
  <c r="H27" i="519"/>
  <c r="V26" i="519"/>
  <c r="W26" i="519" s="1"/>
  <c r="N26" i="519"/>
  <c r="K26" i="519" a="1"/>
  <c r="K26" i="519" s="1"/>
  <c r="M26" i="519" s="1"/>
  <c r="J26" i="519" a="1"/>
  <c r="J26" i="519" s="1"/>
  <c r="H26" i="519"/>
  <c r="K25" i="519"/>
  <c r="M25" i="519" s="1"/>
  <c r="K25" i="519" a="1"/>
  <c r="J25" i="519"/>
  <c r="J25" i="519" a="1"/>
  <c r="H25" i="519"/>
  <c r="K24" i="519" a="1"/>
  <c r="K24" i="519" s="1"/>
  <c r="M24" i="519" s="1"/>
  <c r="J24" i="519" a="1"/>
  <c r="J24" i="519" s="1"/>
  <c r="H24" i="519"/>
  <c r="K23" i="519" a="1"/>
  <c r="K23" i="519" s="1"/>
  <c r="M23" i="519" s="1"/>
  <c r="J23" i="519" a="1"/>
  <c r="J23" i="519" s="1"/>
  <c r="H23" i="519"/>
  <c r="K22" i="519" a="1"/>
  <c r="K22" i="519" s="1"/>
  <c r="M22" i="519" s="1"/>
  <c r="J22" i="519" a="1"/>
  <c r="J22" i="519" s="1"/>
  <c r="H22" i="519"/>
  <c r="V21" i="519"/>
  <c r="W21" i="519" s="1"/>
  <c r="N21" i="519"/>
  <c r="K21" i="519" a="1"/>
  <c r="K21" i="519" s="1"/>
  <c r="M21" i="519" s="1"/>
  <c r="J21" i="519" a="1"/>
  <c r="J21" i="519" s="1"/>
  <c r="H21" i="519"/>
  <c r="V20" i="519"/>
  <c r="W20" i="519" s="1"/>
  <c r="N20" i="519"/>
  <c r="K20" i="519" a="1"/>
  <c r="K20" i="519" s="1"/>
  <c r="M20" i="519" s="1"/>
  <c r="J20" i="519" a="1"/>
  <c r="J20" i="519" s="1"/>
  <c r="H20" i="519"/>
  <c r="V19" i="519"/>
  <c r="W19" i="519" s="1"/>
  <c r="N19" i="519"/>
  <c r="K19" i="519"/>
  <c r="M19" i="519" s="1"/>
  <c r="K19" i="519" a="1"/>
  <c r="J19" i="519"/>
  <c r="J19" i="519" a="1"/>
  <c r="H19" i="519"/>
  <c r="N18" i="519"/>
  <c r="K18" i="519" a="1"/>
  <c r="K18" i="519" s="1"/>
  <c r="M18" i="519" s="1"/>
  <c r="J18" i="519" a="1"/>
  <c r="J18" i="519" s="1"/>
  <c r="H18" i="519"/>
  <c r="N17" i="519"/>
  <c r="K17" i="519"/>
  <c r="M17" i="519" s="1"/>
  <c r="K17" i="519" a="1"/>
  <c r="J17" i="519"/>
  <c r="J17" i="519" a="1"/>
  <c r="H17" i="519"/>
  <c r="V16" i="519"/>
  <c r="W16" i="519" s="1"/>
  <c r="N16" i="519"/>
  <c r="K16" i="519" a="1"/>
  <c r="K16" i="519" s="1"/>
  <c r="M16" i="519" s="1"/>
  <c r="J16" i="519" a="1"/>
  <c r="J16" i="519" s="1"/>
  <c r="H16" i="519"/>
  <c r="V15" i="519"/>
  <c r="W15" i="519" s="1"/>
  <c r="N15" i="519"/>
  <c r="K15" i="519" a="1"/>
  <c r="K15" i="519" s="1"/>
  <c r="M15" i="519" s="1"/>
  <c r="J15" i="519" a="1"/>
  <c r="J15" i="519" s="1"/>
  <c r="H15" i="519"/>
  <c r="N14" i="519"/>
  <c r="K14" i="519" a="1"/>
  <c r="K14" i="519" s="1"/>
  <c r="M14" i="519" s="1"/>
  <c r="H14" i="519"/>
  <c r="N13" i="519"/>
  <c r="K13" i="519" a="1"/>
  <c r="K13" i="519" s="1"/>
  <c r="M13" i="519" s="1"/>
  <c r="H13" i="519"/>
  <c r="V12" i="519"/>
  <c r="W12" i="519" s="1"/>
  <c r="N12" i="519"/>
  <c r="K12" i="519" a="1"/>
  <c r="K12" i="519" s="1"/>
  <c r="M12" i="519" s="1"/>
  <c r="J12" i="519" a="1"/>
  <c r="J12" i="519" s="1"/>
  <c r="H12" i="519"/>
  <c r="V11" i="519"/>
  <c r="W11" i="519" s="1"/>
  <c r="N11" i="519"/>
  <c r="K11" i="519" a="1"/>
  <c r="K11" i="519" s="1"/>
  <c r="M11" i="519" s="1"/>
  <c r="J11" i="519" a="1"/>
  <c r="J11" i="519" s="1"/>
  <c r="H11" i="519"/>
  <c r="V10" i="519"/>
  <c r="W10" i="519" s="1"/>
  <c r="N10" i="519"/>
  <c r="K10" i="519" a="1"/>
  <c r="K10" i="519" s="1"/>
  <c r="M10" i="519" s="1"/>
  <c r="J10" i="519" a="1"/>
  <c r="J10" i="519" s="1"/>
  <c r="H10" i="519"/>
  <c r="V9" i="519"/>
  <c r="W9" i="519" s="1"/>
  <c r="N9" i="519"/>
  <c r="K9" i="519"/>
  <c r="M9" i="519" s="1"/>
  <c r="K9" i="519" a="1"/>
  <c r="J9" i="519"/>
  <c r="J9" i="519" a="1"/>
  <c r="H9" i="519"/>
  <c r="V8" i="519"/>
  <c r="W8" i="519" s="1"/>
  <c r="N8" i="519"/>
  <c r="K8" i="519" a="1"/>
  <c r="K8" i="519" s="1"/>
  <c r="M8" i="519" s="1"/>
  <c r="J8" i="519" a="1"/>
  <c r="J8" i="519" s="1"/>
  <c r="H8" i="519"/>
  <c r="V7" i="519"/>
  <c r="V28" i="519" s="1"/>
  <c r="N7" i="519"/>
  <c r="N28" i="519" s="1"/>
  <c r="K7" i="519" a="1"/>
  <c r="K7" i="519" s="1"/>
  <c r="M7" i="519" s="1"/>
  <c r="J7" i="519" a="1"/>
  <c r="J7" i="519" s="1"/>
  <c r="H7" i="519"/>
  <c r="N137" i="519" l="1"/>
  <c r="H477" i="519"/>
  <c r="V477" i="519"/>
  <c r="W477" i="519" s="1"/>
  <c r="H332" i="519"/>
  <c r="H426" i="519"/>
  <c r="W177" i="519"/>
  <c r="W308" i="519"/>
  <c r="H307" i="519"/>
  <c r="W87" i="519"/>
  <c r="W7" i="519"/>
  <c r="N291" i="519"/>
  <c r="J461" i="519" a="1"/>
  <c r="J461" i="519" s="1"/>
  <c r="J256" i="519" a="1"/>
  <c r="J256" i="519" s="1"/>
  <c r="J291" i="519" a="1"/>
  <c r="J291" i="519" s="1"/>
  <c r="J28" i="519" a="1"/>
  <c r="J28" i="519" s="1"/>
  <c r="T530" i="519" a="1"/>
  <c r="T530" i="519" s="1"/>
  <c r="J531" i="519"/>
  <c r="Q531" i="519" s="1"/>
  <c r="R531" i="519" s="1"/>
  <c r="J532" i="519"/>
  <c r="Q532" i="519" s="1"/>
  <c r="K317" i="519"/>
  <c r="W318" i="519"/>
  <c r="W332" i="519" s="1"/>
  <c r="N307" i="519"/>
  <c r="N333" i="519" s="1"/>
  <c r="B342" i="519" s="1"/>
  <c r="E342" i="519" s="1"/>
  <c r="V291" i="519"/>
  <c r="W291" i="519" s="1"/>
  <c r="W257" i="519"/>
  <c r="M256" i="519"/>
  <c r="M198" i="519"/>
  <c r="W198" i="519"/>
  <c r="H291" i="519"/>
  <c r="H333" i="519" s="1"/>
  <c r="E340" i="519" s="1"/>
  <c r="K291" i="519"/>
  <c r="N477" i="519"/>
  <c r="N487" i="519"/>
  <c r="W478" i="519"/>
  <c r="H461" i="519"/>
  <c r="V461" i="519"/>
  <c r="W461" i="519" s="1"/>
  <c r="M368" i="519"/>
  <c r="J368" i="519" a="1"/>
  <c r="J368" i="519" s="1"/>
  <c r="N368" i="519"/>
  <c r="W347" i="519"/>
  <c r="N426" i="519"/>
  <c r="M137" i="519"/>
  <c r="H137" i="519"/>
  <c r="V137" i="519"/>
  <c r="W137" i="519" s="1"/>
  <c r="W148" i="519"/>
  <c r="J162" i="519" a="1"/>
  <c r="J162" i="519" s="1"/>
  <c r="J137" i="519" a="1"/>
  <c r="J137" i="519" s="1"/>
  <c r="N163" i="519"/>
  <c r="B172" i="519" s="1"/>
  <c r="N121" i="519"/>
  <c r="J121" i="519" a="1"/>
  <c r="J121" i="519" s="1"/>
  <c r="H86" i="519"/>
  <c r="V86" i="519"/>
  <c r="W86" i="519" s="1"/>
  <c r="H28" i="519"/>
  <c r="H163" i="519" s="1"/>
  <c r="E170" i="519" s="1"/>
  <c r="M28" i="519"/>
  <c r="W28" i="519"/>
  <c r="M29" i="519"/>
  <c r="M86" i="519" s="1"/>
  <c r="K86" i="519"/>
  <c r="E172" i="519"/>
  <c r="K121" i="519"/>
  <c r="M87" i="519"/>
  <c r="M121" i="519" s="1"/>
  <c r="K28" i="519"/>
  <c r="X166" i="519"/>
  <c r="P163" i="519"/>
  <c r="X167" i="519" s="1"/>
  <c r="W29" i="519"/>
  <c r="J86" i="519" a="1"/>
  <c r="J86" i="519" s="1"/>
  <c r="K524" i="519"/>
  <c r="K147" i="519"/>
  <c r="M138" i="519"/>
  <c r="M147" i="519" s="1"/>
  <c r="K169" i="519"/>
  <c r="M165" i="519"/>
  <c r="K307" i="519"/>
  <c r="M292" i="519"/>
  <c r="M307" i="519" s="1"/>
  <c r="C521" i="519"/>
  <c r="G163" i="519"/>
  <c r="C517" i="519"/>
  <c r="R165" i="519"/>
  <c r="O163" i="519"/>
  <c r="K522" i="519"/>
  <c r="K523" i="519"/>
  <c r="K525" i="519"/>
  <c r="K526" i="519"/>
  <c r="K137" i="519"/>
  <c r="V147" i="519"/>
  <c r="W147" i="519" s="1"/>
  <c r="E169" i="519"/>
  <c r="J198" i="519" a="1"/>
  <c r="J198" i="519" s="1"/>
  <c r="K198" i="519"/>
  <c r="X336" i="519"/>
  <c r="P333" i="519"/>
  <c r="X337" i="519" s="1"/>
  <c r="X342" i="519" s="1"/>
  <c r="Z339" i="519" s="1"/>
  <c r="K256" i="519"/>
  <c r="V307" i="519"/>
  <c r="W307" i="519" s="1"/>
  <c r="W333" i="519" s="1"/>
  <c r="K332" i="519"/>
  <c r="J147" i="519" a="1"/>
  <c r="J147" i="519" s="1"/>
  <c r="M148" i="519"/>
  <c r="M162" i="519" s="1"/>
  <c r="X172" i="519"/>
  <c r="Z168" i="519" s="1"/>
  <c r="J333" i="519" a="1"/>
  <c r="J333" i="519" s="1"/>
  <c r="M340" i="519" s="1"/>
  <c r="B340" i="519"/>
  <c r="O333" i="519"/>
  <c r="R335" i="519"/>
  <c r="R336" i="519"/>
  <c r="M257" i="519"/>
  <c r="M291" i="519" s="1"/>
  <c r="M308" i="519"/>
  <c r="M317" i="519" s="1"/>
  <c r="M318" i="519"/>
  <c r="M332" i="519" s="1"/>
  <c r="W368" i="519"/>
  <c r="K335" i="519"/>
  <c r="K368" i="519"/>
  <c r="K426" i="519"/>
  <c r="M427" i="519"/>
  <c r="M461" i="519" s="1"/>
  <c r="K461" i="519"/>
  <c r="B511" i="519"/>
  <c r="J504" i="519" a="1"/>
  <c r="J504" i="519" s="1"/>
  <c r="M511" i="519" s="1"/>
  <c r="R506" i="519"/>
  <c r="X506" i="519"/>
  <c r="O504" i="519"/>
  <c r="X507" i="519" s="1"/>
  <c r="M369" i="519"/>
  <c r="M426" i="519" s="1"/>
  <c r="V426" i="519"/>
  <c r="W426" i="519" s="1"/>
  <c r="M462" i="519"/>
  <c r="M477" i="519" s="1"/>
  <c r="K477" i="519"/>
  <c r="K487" i="519"/>
  <c r="K503" i="519"/>
  <c r="M488" i="519"/>
  <c r="M503" i="519" s="1"/>
  <c r="W427" i="519"/>
  <c r="W462" i="519"/>
  <c r="M478" i="519"/>
  <c r="M487" i="519" s="1"/>
  <c r="R510" i="519"/>
  <c r="H503" i="519"/>
  <c r="H504" i="519" s="1"/>
  <c r="E511" i="519" s="1"/>
  <c r="N503" i="519"/>
  <c r="N504" i="519" s="1"/>
  <c r="B513" i="519" s="1"/>
  <c r="W488" i="519"/>
  <c r="W503" i="519" s="1"/>
  <c r="R530" i="519"/>
  <c r="Q533" i="519"/>
  <c r="S531" i="519" a="1"/>
  <c r="S531" i="519" s="1"/>
  <c r="M506" i="519"/>
  <c r="M287" i="518"/>
  <c r="M286" i="518"/>
  <c r="M285" i="518"/>
  <c r="J287" i="518" a="1"/>
  <c r="J287" i="518" s="1"/>
  <c r="J286" i="518" a="1"/>
  <c r="J286" i="518" s="1"/>
  <c r="J285" i="518" a="1"/>
  <c r="J285" i="518" s="1"/>
  <c r="J284" i="518" a="1"/>
  <c r="J284" i="518" s="1"/>
  <c r="J283" i="518" a="1"/>
  <c r="J283" i="518" s="1"/>
  <c r="J282" i="518" a="1"/>
  <c r="J282" i="518" s="1"/>
  <c r="J281" i="518" a="1"/>
  <c r="J281" i="518" s="1"/>
  <c r="J280" i="518" a="1"/>
  <c r="J280" i="518" s="1"/>
  <c r="J279" i="518" a="1"/>
  <c r="J279" i="518" s="1"/>
  <c r="J278" i="518" a="1"/>
  <c r="J278" i="518" s="1"/>
  <c r="J277" i="518" a="1"/>
  <c r="J277" i="518" s="1"/>
  <c r="J276" i="518" a="1"/>
  <c r="J276" i="518" s="1"/>
  <c r="J275" i="518" a="1"/>
  <c r="J275" i="518" s="1"/>
  <c r="J274" i="518" a="1"/>
  <c r="J274" i="518" s="1"/>
  <c r="J273" i="518" a="1"/>
  <c r="J273" i="518" s="1"/>
  <c r="J272" i="518" a="1"/>
  <c r="J272" i="518" s="1"/>
  <c r="J271" i="518" a="1"/>
  <c r="J271" i="518" s="1"/>
  <c r="J270" i="518" a="1"/>
  <c r="J270" i="518" s="1"/>
  <c r="J269" i="518" a="1"/>
  <c r="J269" i="518" s="1"/>
  <c r="J268" i="518" a="1"/>
  <c r="J268" i="518" s="1"/>
  <c r="J267" i="518" a="1"/>
  <c r="J267" i="518" s="1"/>
  <c r="J266" i="518" a="1"/>
  <c r="J266" i="518" s="1"/>
  <c r="J265" i="518" a="1"/>
  <c r="J265" i="518" s="1"/>
  <c r="J264" i="518" a="1"/>
  <c r="J264" i="518" s="1"/>
  <c r="M117" i="518"/>
  <c r="M116" i="518"/>
  <c r="J117" i="518" a="1"/>
  <c r="J117" i="518" s="1"/>
  <c r="J116" i="518" a="1"/>
  <c r="J116" i="518" s="1"/>
  <c r="J115" i="518" a="1"/>
  <c r="J115" i="518" s="1"/>
  <c r="J114" i="518" a="1"/>
  <c r="J114" i="518" s="1"/>
  <c r="J113" i="518" a="1"/>
  <c r="J113" i="518" s="1"/>
  <c r="J112" i="518" a="1"/>
  <c r="J112" i="518" s="1"/>
  <c r="J111" i="518" a="1"/>
  <c r="J111" i="518" s="1"/>
  <c r="J110" i="518" a="1"/>
  <c r="J110" i="518" s="1"/>
  <c r="J109" i="518" a="1"/>
  <c r="J109" i="518" s="1"/>
  <c r="J108" i="518" a="1"/>
  <c r="J108" i="518" s="1"/>
  <c r="J107" i="518" a="1"/>
  <c r="J107" i="518" s="1"/>
  <c r="J106" i="518" a="1"/>
  <c r="J106" i="518" s="1"/>
  <c r="J105" i="518" a="1"/>
  <c r="J105" i="518" s="1"/>
  <c r="J104" i="518" a="1"/>
  <c r="J104" i="518" s="1"/>
  <c r="J103" i="518" a="1"/>
  <c r="J103" i="518" s="1"/>
  <c r="J102" i="518" a="1"/>
  <c r="J102" i="518" s="1"/>
  <c r="J101" i="518" a="1"/>
  <c r="J101" i="518" s="1"/>
  <c r="J100" i="518" a="1"/>
  <c r="J100" i="518" s="1"/>
  <c r="J99" i="518" a="1"/>
  <c r="J99" i="518" s="1"/>
  <c r="J98" i="518" a="1"/>
  <c r="J98" i="518" s="1"/>
  <c r="J97" i="518" a="1"/>
  <c r="J97" i="518" s="1"/>
  <c r="J96" i="518" a="1"/>
  <c r="J96" i="518" s="1"/>
  <c r="J95" i="518" a="1"/>
  <c r="J95" i="518" s="1"/>
  <c r="J94" i="518" a="1"/>
  <c r="J94" i="518" s="1"/>
  <c r="K287" i="518" a="1"/>
  <c r="K287" i="518" s="1"/>
  <c r="K286" i="518" a="1"/>
  <c r="K286" i="518" s="1"/>
  <c r="K285" i="518" a="1"/>
  <c r="K285" i="518" s="1"/>
  <c r="I262" i="518"/>
  <c r="I261" i="518"/>
  <c r="I316" i="518"/>
  <c r="I308" i="518"/>
  <c r="I285" i="518"/>
  <c r="I286" i="518"/>
  <c r="I287" i="518"/>
  <c r="I181" i="518"/>
  <c r="I177" i="518"/>
  <c r="I117" i="518"/>
  <c r="J533" i="519" l="1"/>
  <c r="S533" i="519" s="1" a="1"/>
  <c r="S533" i="519" s="1"/>
  <c r="R532" i="519"/>
  <c r="R533" i="519" s="1"/>
  <c r="S532" i="519" a="1"/>
  <c r="S532" i="519" s="1"/>
  <c r="M333" i="519"/>
  <c r="G516" i="519"/>
  <c r="M504" i="519"/>
  <c r="M163" i="519"/>
  <c r="E513" i="519"/>
  <c r="C518" i="519"/>
  <c r="G518" i="519" s="1"/>
  <c r="R513" i="519"/>
  <c r="T506" i="519" s="1" a="1"/>
  <c r="T506" i="519" s="1"/>
  <c r="M335" i="519"/>
  <c r="K339" i="519"/>
  <c r="M339" i="519" s="1"/>
  <c r="Z341" i="519"/>
  <c r="Z335" i="519" a="1"/>
  <c r="Z335" i="519" s="1"/>
  <c r="Z340" i="519"/>
  <c r="Z336" i="519"/>
  <c r="Z169" i="519"/>
  <c r="K521" i="519"/>
  <c r="R172" i="519"/>
  <c r="C527" i="519"/>
  <c r="E521" i="519" s="1"/>
  <c r="M169" i="519"/>
  <c r="Q522" i="519"/>
  <c r="Z166" i="519"/>
  <c r="V163" i="519"/>
  <c r="I172" i="519" s="1"/>
  <c r="X513" i="519"/>
  <c r="Z507" i="519" s="1"/>
  <c r="K504" i="519"/>
  <c r="R342" i="519"/>
  <c r="T335" i="519" s="1" a="1"/>
  <c r="T335" i="519" s="1"/>
  <c r="Z165" i="519" a="1"/>
  <c r="Z165" i="519" s="1"/>
  <c r="Z171" i="519"/>
  <c r="V504" i="519"/>
  <c r="Z338" i="519"/>
  <c r="Z337" i="519"/>
  <c r="K333" i="519"/>
  <c r="Z170" i="519"/>
  <c r="B170" i="519"/>
  <c r="C516" i="519" s="1"/>
  <c r="J163" i="519" a="1"/>
  <c r="J163" i="519" s="1"/>
  <c r="M170" i="519" s="1"/>
  <c r="V333" i="519"/>
  <c r="I342" i="519" s="1"/>
  <c r="M342" i="519" s="1" a="1"/>
  <c r="M342" i="519" s="1"/>
  <c r="Q523" i="519"/>
  <c r="Z167" i="519"/>
  <c r="K163" i="519"/>
  <c r="E171" i="519" s="1"/>
  <c r="W163" i="519"/>
  <c r="G286" i="518"/>
  <c r="G177" i="518"/>
  <c r="G181" i="518"/>
  <c r="G285" i="518"/>
  <c r="G151" i="518"/>
  <c r="G113" i="518"/>
  <c r="G116" i="518"/>
  <c r="G117" i="518"/>
  <c r="P533" i="518"/>
  <c r="O533" i="518"/>
  <c r="N533" i="518"/>
  <c r="M533" i="518"/>
  <c r="L533" i="518"/>
  <c r="K533" i="518"/>
  <c r="I533" i="518"/>
  <c r="H533" i="518"/>
  <c r="G533" i="518"/>
  <c r="F533" i="518"/>
  <c r="E533" i="518"/>
  <c r="D533" i="518"/>
  <c r="C532" i="518"/>
  <c r="T532" i="518" s="1" a="1"/>
  <c r="T532" i="518" s="1"/>
  <c r="C531" i="518"/>
  <c r="T531" i="518" s="1" a="1"/>
  <c r="T531" i="518" s="1"/>
  <c r="J530" i="518"/>
  <c r="Q530" i="518" s="1"/>
  <c r="R530" i="518" s="1"/>
  <c r="C530" i="518"/>
  <c r="G514" i="518"/>
  <c r="N514" i="518" s="1"/>
  <c r="X512" i="518"/>
  <c r="X511" i="518"/>
  <c r="X510" i="518"/>
  <c r="G510" i="518"/>
  <c r="C510" i="518"/>
  <c r="X509" i="518"/>
  <c r="I509" i="518"/>
  <c r="E509" i="518"/>
  <c r="K509" i="518" s="1"/>
  <c r="M509" i="518" s="1"/>
  <c r="X508" i="518"/>
  <c r="I508" i="518"/>
  <c r="E508" i="518"/>
  <c r="K508" i="518" s="1"/>
  <c r="M508" i="518" s="1"/>
  <c r="I507" i="518"/>
  <c r="E507" i="518"/>
  <c r="K507" i="518" s="1"/>
  <c r="M507" i="518" s="1"/>
  <c r="I506" i="518"/>
  <c r="I510" i="518" s="1"/>
  <c r="E506" i="518"/>
  <c r="E510" i="518" s="1"/>
  <c r="AA503" i="518"/>
  <c r="Z503" i="518"/>
  <c r="Y503" i="518"/>
  <c r="X503" i="518"/>
  <c r="U503" i="518"/>
  <c r="T503" i="518"/>
  <c r="S503" i="518"/>
  <c r="R503" i="518"/>
  <c r="Q503" i="518"/>
  <c r="P503" i="518"/>
  <c r="O503" i="518"/>
  <c r="I503" i="518"/>
  <c r="G503" i="518"/>
  <c r="J503" i="518" s="1" a="1"/>
  <c r="J503" i="518" s="1"/>
  <c r="H502" i="518"/>
  <c r="H501" i="518"/>
  <c r="H500" i="518"/>
  <c r="D499" i="518"/>
  <c r="H499" i="518" s="1"/>
  <c r="V498" i="518"/>
  <c r="W498" i="518" s="1"/>
  <c r="N498" i="518"/>
  <c r="K498" i="518" a="1"/>
  <c r="K498" i="518" s="1"/>
  <c r="M498" i="518" s="1"/>
  <c r="J498" i="518" a="1"/>
  <c r="J498" i="518" s="1"/>
  <c r="H498" i="518"/>
  <c r="H497" i="518"/>
  <c r="H496" i="518"/>
  <c r="V495" i="518"/>
  <c r="W495" i="518" s="1"/>
  <c r="N495" i="518"/>
  <c r="K495" i="518" a="1"/>
  <c r="K495" i="518" s="1"/>
  <c r="M495" i="518" s="1"/>
  <c r="J495" i="518" a="1"/>
  <c r="J495" i="518" s="1"/>
  <c r="H495" i="518"/>
  <c r="V494" i="518"/>
  <c r="W494" i="518" s="1"/>
  <c r="N494" i="518"/>
  <c r="K494" i="518"/>
  <c r="M494" i="518" s="1"/>
  <c r="K494" i="518" a="1"/>
  <c r="J494" i="518"/>
  <c r="J494" i="518" a="1"/>
  <c r="H494" i="518"/>
  <c r="H493" i="518"/>
  <c r="H492" i="518"/>
  <c r="V491" i="518"/>
  <c r="W491" i="518" s="1"/>
  <c r="N491" i="518"/>
  <c r="K491" i="518" a="1"/>
  <c r="K491" i="518" s="1"/>
  <c r="M491" i="518" s="1"/>
  <c r="J491" i="518" a="1"/>
  <c r="J491" i="518" s="1"/>
  <c r="H491" i="518"/>
  <c r="V490" i="518"/>
  <c r="W490" i="518" s="1"/>
  <c r="N490" i="518"/>
  <c r="K490" i="518" a="1"/>
  <c r="K490" i="518" s="1"/>
  <c r="M490" i="518" s="1"/>
  <c r="J490" i="518" a="1"/>
  <c r="J490" i="518" s="1"/>
  <c r="H490" i="518"/>
  <c r="V489" i="518"/>
  <c r="W489" i="518" s="1"/>
  <c r="N489" i="518"/>
  <c r="K489" i="518" a="1"/>
  <c r="K489" i="518" s="1"/>
  <c r="M489" i="518" s="1"/>
  <c r="J489" i="518" a="1"/>
  <c r="J489" i="518" s="1"/>
  <c r="H489" i="518"/>
  <c r="V488" i="518"/>
  <c r="V503" i="518" s="1"/>
  <c r="N488" i="518"/>
  <c r="N503" i="518" s="1"/>
  <c r="K488" i="518" a="1"/>
  <c r="K488" i="518" s="1"/>
  <c r="K503" i="518" s="1"/>
  <c r="J488" i="518" a="1"/>
  <c r="J488" i="518" s="1"/>
  <c r="H488" i="518"/>
  <c r="H503" i="518" s="1"/>
  <c r="AA487" i="518"/>
  <c r="Z487" i="518"/>
  <c r="Y487" i="518"/>
  <c r="X487" i="518"/>
  <c r="U487" i="518"/>
  <c r="T487" i="518"/>
  <c r="S487" i="518"/>
  <c r="Q487" i="518"/>
  <c r="P487" i="518"/>
  <c r="O487" i="518"/>
  <c r="R510" i="518" s="1"/>
  <c r="I487" i="518"/>
  <c r="G487" i="518"/>
  <c r="J487" i="518" s="1" a="1"/>
  <c r="J487" i="518" s="1"/>
  <c r="V486" i="518"/>
  <c r="W486" i="518" s="1"/>
  <c r="N486" i="518"/>
  <c r="K486" i="518" a="1"/>
  <c r="K486" i="518" s="1"/>
  <c r="M486" i="518" s="1"/>
  <c r="J486" i="518" a="1"/>
  <c r="J486" i="518" s="1"/>
  <c r="H486" i="518"/>
  <c r="H483" i="518"/>
  <c r="V482" i="518"/>
  <c r="W482" i="518" s="1"/>
  <c r="N482" i="518"/>
  <c r="K482" i="518" a="1"/>
  <c r="K482" i="518" s="1"/>
  <c r="M482" i="518" s="1"/>
  <c r="J482" i="518" a="1"/>
  <c r="J482" i="518" s="1"/>
  <c r="H482" i="518"/>
  <c r="V481" i="518"/>
  <c r="W481" i="518" s="1"/>
  <c r="N481" i="518"/>
  <c r="K481" i="518"/>
  <c r="M481" i="518" s="1"/>
  <c r="K481" i="518" a="1"/>
  <c r="J481" i="518"/>
  <c r="J481" i="518" a="1"/>
  <c r="H481" i="518"/>
  <c r="V480" i="518"/>
  <c r="W480" i="518" s="1"/>
  <c r="N480" i="518"/>
  <c r="K480" i="518" a="1"/>
  <c r="K480" i="518" s="1"/>
  <c r="M480" i="518" s="1"/>
  <c r="J480" i="518" a="1"/>
  <c r="J480" i="518" s="1"/>
  <c r="H480" i="518"/>
  <c r="V479" i="518"/>
  <c r="W479" i="518" s="1"/>
  <c r="N479" i="518"/>
  <c r="K479" i="518" a="1"/>
  <c r="K479" i="518" s="1"/>
  <c r="M479" i="518" s="1"/>
  <c r="J479" i="518" a="1"/>
  <c r="J479" i="518" s="1"/>
  <c r="H479" i="518"/>
  <c r="V478" i="518"/>
  <c r="N478" i="518"/>
  <c r="N487" i="518" s="1"/>
  <c r="K478" i="518" a="1"/>
  <c r="K478" i="518" s="1"/>
  <c r="J478" i="518" a="1"/>
  <c r="J478" i="518" s="1"/>
  <c r="H478" i="518"/>
  <c r="H487" i="518" s="1"/>
  <c r="AA477" i="518"/>
  <c r="Z477" i="518"/>
  <c r="Y477" i="518"/>
  <c r="X477" i="518"/>
  <c r="U477" i="518"/>
  <c r="T477" i="518"/>
  <c r="S477" i="518"/>
  <c r="Q477" i="518"/>
  <c r="P477" i="518"/>
  <c r="O477" i="518"/>
  <c r="I477" i="518"/>
  <c r="G477" i="518"/>
  <c r="J477" i="518" s="1" a="1"/>
  <c r="J477" i="518" s="1"/>
  <c r="V476" i="518"/>
  <c r="W476" i="518" s="1"/>
  <c r="N476" i="518"/>
  <c r="K476" i="518" a="1"/>
  <c r="K476" i="518" s="1"/>
  <c r="M476" i="518" s="1"/>
  <c r="J476" i="518" a="1"/>
  <c r="J476" i="518" s="1"/>
  <c r="H476" i="518"/>
  <c r="V475" i="518"/>
  <c r="W475" i="518" s="1"/>
  <c r="N475" i="518"/>
  <c r="M475" i="518"/>
  <c r="K475" i="518" a="1"/>
  <c r="K475" i="518" s="1"/>
  <c r="J475" i="518" a="1"/>
  <c r="J475" i="518" s="1"/>
  <c r="H475" i="518"/>
  <c r="V474" i="518"/>
  <c r="W474" i="518" s="1"/>
  <c r="N474" i="518"/>
  <c r="K474" i="518" a="1"/>
  <c r="K474" i="518" s="1"/>
  <c r="M474" i="518" s="1"/>
  <c r="J474" i="518" a="1"/>
  <c r="J474" i="518" s="1"/>
  <c r="H474" i="518"/>
  <c r="V473" i="518"/>
  <c r="W473" i="518" s="1"/>
  <c r="N473" i="518"/>
  <c r="K473" i="518" a="1"/>
  <c r="K473" i="518" s="1"/>
  <c r="M473" i="518" s="1"/>
  <c r="J473" i="518" a="1"/>
  <c r="J473" i="518" s="1"/>
  <c r="H473" i="518"/>
  <c r="V472" i="518"/>
  <c r="W472" i="518" s="1"/>
  <c r="N472" i="518"/>
  <c r="K472" i="518" a="1"/>
  <c r="K472" i="518" s="1"/>
  <c r="M472" i="518" s="1"/>
  <c r="J472" i="518" a="1"/>
  <c r="J472" i="518" s="1"/>
  <c r="H472" i="518"/>
  <c r="V471" i="518"/>
  <c r="W471" i="518" s="1"/>
  <c r="N471" i="518"/>
  <c r="K471" i="518"/>
  <c r="M471" i="518" s="1"/>
  <c r="K471" i="518" a="1"/>
  <c r="J471" i="518" a="1"/>
  <c r="J471" i="518" s="1"/>
  <c r="H471" i="518"/>
  <c r="V470" i="518"/>
  <c r="W470" i="518" s="1"/>
  <c r="N470" i="518"/>
  <c r="K470" i="518" a="1"/>
  <c r="K470" i="518" s="1"/>
  <c r="M470" i="518" s="1"/>
  <c r="J470" i="518" a="1"/>
  <c r="J470" i="518" s="1"/>
  <c r="H470" i="518"/>
  <c r="V469" i="518"/>
  <c r="W469" i="518" s="1"/>
  <c r="N469" i="518"/>
  <c r="K469" i="518"/>
  <c r="M469" i="518" s="1"/>
  <c r="K469" i="518" a="1"/>
  <c r="J469" i="518" a="1"/>
  <c r="J469" i="518" s="1"/>
  <c r="H469" i="518"/>
  <c r="V468" i="518"/>
  <c r="W468" i="518" s="1"/>
  <c r="N468" i="518"/>
  <c r="K468" i="518" a="1"/>
  <c r="K468" i="518" s="1"/>
  <c r="M468" i="518" s="1"/>
  <c r="J468" i="518" a="1"/>
  <c r="J468" i="518" s="1"/>
  <c r="H468" i="518"/>
  <c r="V467" i="518"/>
  <c r="W467" i="518" s="1"/>
  <c r="N467" i="518"/>
  <c r="K467" i="518"/>
  <c r="M467" i="518" s="1"/>
  <c r="K467" i="518" a="1"/>
  <c r="J467" i="518" a="1"/>
  <c r="J467" i="518" s="1"/>
  <c r="H467" i="518"/>
  <c r="V466" i="518"/>
  <c r="W466" i="518" s="1"/>
  <c r="N466" i="518"/>
  <c r="K466" i="518" a="1"/>
  <c r="K466" i="518" s="1"/>
  <c r="M466" i="518" s="1"/>
  <c r="J466" i="518" a="1"/>
  <c r="J466" i="518" s="1"/>
  <c r="H466" i="518"/>
  <c r="V465" i="518"/>
  <c r="W465" i="518" s="1"/>
  <c r="N465" i="518"/>
  <c r="K465" i="518" a="1"/>
  <c r="K465" i="518" s="1"/>
  <c r="M465" i="518" s="1"/>
  <c r="J465" i="518" a="1"/>
  <c r="J465" i="518" s="1"/>
  <c r="H465" i="518"/>
  <c r="V464" i="518"/>
  <c r="W464" i="518" s="1"/>
  <c r="N464" i="518"/>
  <c r="K464" i="518"/>
  <c r="M464" i="518" s="1"/>
  <c r="K464" i="518" a="1"/>
  <c r="J464" i="518"/>
  <c r="J464" i="518" a="1"/>
  <c r="H464" i="518"/>
  <c r="V463" i="518"/>
  <c r="W463" i="518" s="1"/>
  <c r="N463" i="518"/>
  <c r="K463" i="518"/>
  <c r="M463" i="518" s="1"/>
  <c r="K463" i="518" a="1"/>
  <c r="J463" i="518" a="1"/>
  <c r="J463" i="518" s="1"/>
  <c r="H463" i="518"/>
  <c r="V462" i="518"/>
  <c r="W462" i="518" s="1"/>
  <c r="N462" i="518"/>
  <c r="N477" i="518" s="1"/>
  <c r="K462" i="518" a="1"/>
  <c r="K462" i="518" s="1"/>
  <c r="J462" i="518" a="1"/>
  <c r="J462" i="518" s="1"/>
  <c r="H462" i="518"/>
  <c r="AA461" i="518"/>
  <c r="Z461" i="518"/>
  <c r="Y461" i="518"/>
  <c r="X461" i="518"/>
  <c r="U461" i="518"/>
  <c r="T461" i="518"/>
  <c r="S461" i="518"/>
  <c r="R461" i="518"/>
  <c r="Q461" i="518"/>
  <c r="P461" i="518"/>
  <c r="O461" i="518"/>
  <c r="R508" i="518" s="1"/>
  <c r="I461" i="518"/>
  <c r="G461" i="518"/>
  <c r="J461" i="518" s="1" a="1"/>
  <c r="J461" i="518" s="1"/>
  <c r="V460" i="518"/>
  <c r="W460" i="518" s="1"/>
  <c r="N460" i="518"/>
  <c r="K460" i="518" a="1"/>
  <c r="K460" i="518" s="1"/>
  <c r="M460" i="518" s="1"/>
  <c r="J460" i="518" a="1"/>
  <c r="J460" i="518" s="1"/>
  <c r="H460" i="518"/>
  <c r="V459" i="518"/>
  <c r="W459" i="518" s="1"/>
  <c r="N459" i="518"/>
  <c r="K459" i="518" a="1"/>
  <c r="K459" i="518" s="1"/>
  <c r="M459" i="518" s="1"/>
  <c r="J459" i="518" a="1"/>
  <c r="J459" i="518" s="1"/>
  <c r="H459" i="518"/>
  <c r="V458" i="518"/>
  <c r="W458" i="518" s="1"/>
  <c r="N458" i="518"/>
  <c r="K458" i="518" a="1"/>
  <c r="K458" i="518" s="1"/>
  <c r="M458" i="518" s="1"/>
  <c r="J458" i="518" a="1"/>
  <c r="J458" i="518" s="1"/>
  <c r="H458" i="518"/>
  <c r="K457" i="518" a="1"/>
  <c r="K457" i="518" s="1"/>
  <c r="M457" i="518" s="1"/>
  <c r="H457" i="518"/>
  <c r="K456" i="518" a="1"/>
  <c r="K456" i="518" s="1"/>
  <c r="M456" i="518" s="1"/>
  <c r="H456" i="518"/>
  <c r="K455" i="518" a="1"/>
  <c r="K455" i="518" s="1"/>
  <c r="M455" i="518" s="1"/>
  <c r="H455" i="518"/>
  <c r="V454" i="518"/>
  <c r="W454" i="518" s="1"/>
  <c r="N454" i="518"/>
  <c r="K454" i="518"/>
  <c r="M454" i="518" s="1"/>
  <c r="K454" i="518" a="1"/>
  <c r="J454" i="518"/>
  <c r="J454" i="518" a="1"/>
  <c r="H454" i="518"/>
  <c r="V453" i="518"/>
  <c r="W453" i="518" s="1"/>
  <c r="N453" i="518"/>
  <c r="K453" i="518" a="1"/>
  <c r="K453" i="518" s="1"/>
  <c r="M453" i="518" s="1"/>
  <c r="J453" i="518" a="1"/>
  <c r="J453" i="518" s="1"/>
  <c r="H453" i="518"/>
  <c r="N452" i="518"/>
  <c r="K452" i="518" a="1"/>
  <c r="K452" i="518" s="1"/>
  <c r="M452" i="518" s="1"/>
  <c r="H452" i="518"/>
  <c r="N451" i="518"/>
  <c r="K451" i="518" a="1"/>
  <c r="K451" i="518" s="1"/>
  <c r="M451" i="518" s="1"/>
  <c r="H451" i="518"/>
  <c r="N450" i="518"/>
  <c r="K450" i="518"/>
  <c r="M450" i="518" s="1"/>
  <c r="K450" i="518" a="1"/>
  <c r="H450" i="518"/>
  <c r="N449" i="518"/>
  <c r="K449" i="518" a="1"/>
  <c r="K449" i="518" s="1"/>
  <c r="M449" i="518" s="1"/>
  <c r="H449" i="518"/>
  <c r="N448" i="518"/>
  <c r="K448" i="518" a="1"/>
  <c r="K448" i="518" s="1"/>
  <c r="M448" i="518" s="1"/>
  <c r="H448" i="518"/>
  <c r="N447" i="518"/>
  <c r="K447" i="518" a="1"/>
  <c r="K447" i="518" s="1"/>
  <c r="M447" i="518" s="1"/>
  <c r="H447" i="518"/>
  <c r="V446" i="518"/>
  <c r="W446" i="518" s="1"/>
  <c r="N446" i="518"/>
  <c r="K446" i="518"/>
  <c r="M446" i="518" s="1"/>
  <c r="K446" i="518" a="1"/>
  <c r="J446" i="518"/>
  <c r="J446" i="518" a="1"/>
  <c r="H446" i="518"/>
  <c r="V445" i="518"/>
  <c r="W445" i="518" s="1"/>
  <c r="N445" i="518"/>
  <c r="K445" i="518" a="1"/>
  <c r="K445" i="518" s="1"/>
  <c r="M445" i="518" s="1"/>
  <c r="J445" i="518" a="1"/>
  <c r="J445" i="518" s="1"/>
  <c r="H445" i="518"/>
  <c r="V444" i="518"/>
  <c r="W444" i="518" s="1"/>
  <c r="N444" i="518"/>
  <c r="K444" i="518" a="1"/>
  <c r="K444" i="518" s="1"/>
  <c r="M444" i="518" s="1"/>
  <c r="J444" i="518" a="1"/>
  <c r="J444" i="518" s="1"/>
  <c r="H444" i="518"/>
  <c r="V443" i="518"/>
  <c r="W443" i="518" s="1"/>
  <c r="N443" i="518"/>
  <c r="K443" i="518" a="1"/>
  <c r="K443" i="518" s="1"/>
  <c r="M443" i="518" s="1"/>
  <c r="J443" i="518" a="1"/>
  <c r="J443" i="518" s="1"/>
  <c r="H443" i="518"/>
  <c r="V442" i="518"/>
  <c r="W442" i="518" s="1"/>
  <c r="N442" i="518"/>
  <c r="K442" i="518"/>
  <c r="M442" i="518" s="1"/>
  <c r="K442" i="518" a="1"/>
  <c r="J442" i="518"/>
  <c r="J442" i="518" a="1"/>
  <c r="H442" i="518"/>
  <c r="V441" i="518"/>
  <c r="W441" i="518" s="1"/>
  <c r="N441" i="518"/>
  <c r="K441" i="518" a="1"/>
  <c r="K441" i="518" s="1"/>
  <c r="M441" i="518" s="1"/>
  <c r="J441" i="518" a="1"/>
  <c r="J441" i="518" s="1"/>
  <c r="H441" i="518"/>
  <c r="V440" i="518"/>
  <c r="W440" i="518" s="1"/>
  <c r="N440" i="518"/>
  <c r="K440" i="518" a="1"/>
  <c r="K440" i="518" s="1"/>
  <c r="M440" i="518" s="1"/>
  <c r="J440" i="518" a="1"/>
  <c r="J440" i="518" s="1"/>
  <c r="H440" i="518"/>
  <c r="V439" i="518"/>
  <c r="W439" i="518" s="1"/>
  <c r="N439" i="518"/>
  <c r="K439" i="518" a="1"/>
  <c r="K439" i="518" s="1"/>
  <c r="M439" i="518" s="1"/>
  <c r="J439" i="518" a="1"/>
  <c r="J439" i="518" s="1"/>
  <c r="H439" i="518"/>
  <c r="V438" i="518"/>
  <c r="W438" i="518" s="1"/>
  <c r="N438" i="518"/>
  <c r="K438" i="518"/>
  <c r="M438" i="518" s="1"/>
  <c r="K438" i="518" a="1"/>
  <c r="J438" i="518"/>
  <c r="J438" i="518" a="1"/>
  <c r="H438" i="518"/>
  <c r="V437" i="518"/>
  <c r="W437" i="518" s="1"/>
  <c r="N437" i="518"/>
  <c r="K437" i="518" a="1"/>
  <c r="K437" i="518" s="1"/>
  <c r="M437" i="518" s="1"/>
  <c r="J437" i="518" a="1"/>
  <c r="J437" i="518" s="1"/>
  <c r="H437" i="518"/>
  <c r="W436" i="518"/>
  <c r="V436" i="518"/>
  <c r="N436" i="518"/>
  <c r="K436" i="518" a="1"/>
  <c r="K436" i="518" s="1"/>
  <c r="M436" i="518" s="1"/>
  <c r="J436" i="518" a="1"/>
  <c r="J436" i="518" s="1"/>
  <c r="H436" i="518"/>
  <c r="V435" i="518"/>
  <c r="W435" i="518" s="1"/>
  <c r="N435" i="518"/>
  <c r="K435" i="518" a="1"/>
  <c r="K435" i="518" s="1"/>
  <c r="M435" i="518" s="1"/>
  <c r="J435" i="518" a="1"/>
  <c r="J435" i="518" s="1"/>
  <c r="H435" i="518"/>
  <c r="N434" i="518"/>
  <c r="K434" i="518"/>
  <c r="M434" i="518" s="1"/>
  <c r="K434" i="518" a="1"/>
  <c r="H434" i="518"/>
  <c r="V433" i="518"/>
  <c r="W433" i="518" s="1"/>
  <c r="N433" i="518"/>
  <c r="K433" i="518" a="1"/>
  <c r="K433" i="518" s="1"/>
  <c r="M433" i="518" s="1"/>
  <c r="J433" i="518" a="1"/>
  <c r="J433" i="518" s="1"/>
  <c r="H433" i="518"/>
  <c r="V432" i="518"/>
  <c r="W432" i="518" s="1"/>
  <c r="N432" i="518"/>
  <c r="K432" i="518" a="1"/>
  <c r="K432" i="518" s="1"/>
  <c r="M432" i="518" s="1"/>
  <c r="J432" i="518" a="1"/>
  <c r="J432" i="518" s="1"/>
  <c r="H432" i="518"/>
  <c r="V431" i="518"/>
  <c r="W431" i="518" s="1"/>
  <c r="N431" i="518"/>
  <c r="K431" i="518" a="1"/>
  <c r="K431" i="518" s="1"/>
  <c r="M431" i="518" s="1"/>
  <c r="J431" i="518" a="1"/>
  <c r="J431" i="518" s="1"/>
  <c r="H431" i="518"/>
  <c r="V430" i="518"/>
  <c r="W430" i="518" s="1"/>
  <c r="N430" i="518"/>
  <c r="K430" i="518"/>
  <c r="M430" i="518" s="1"/>
  <c r="K430" i="518" a="1"/>
  <c r="J430" i="518"/>
  <c r="J430" i="518" a="1"/>
  <c r="H430" i="518"/>
  <c r="V429" i="518"/>
  <c r="W429" i="518" s="1"/>
  <c r="N429" i="518"/>
  <c r="K429" i="518" a="1"/>
  <c r="K429" i="518" s="1"/>
  <c r="M429" i="518" s="1"/>
  <c r="J429" i="518" a="1"/>
  <c r="J429" i="518" s="1"/>
  <c r="H429" i="518"/>
  <c r="V428" i="518"/>
  <c r="W428" i="518" s="1"/>
  <c r="N428" i="518"/>
  <c r="K428" i="518" a="1"/>
  <c r="K428" i="518" s="1"/>
  <c r="M428" i="518" s="1"/>
  <c r="J428" i="518" a="1"/>
  <c r="J428" i="518" s="1"/>
  <c r="H428" i="518"/>
  <c r="V427" i="518"/>
  <c r="V461" i="518" s="1"/>
  <c r="W461" i="518" s="1"/>
  <c r="N427" i="518"/>
  <c r="K427" i="518" a="1"/>
  <c r="K427" i="518" s="1"/>
  <c r="J427" i="518" a="1"/>
  <c r="J427" i="518" s="1"/>
  <c r="H427" i="518"/>
  <c r="H461" i="518" s="1"/>
  <c r="AA426" i="518"/>
  <c r="Z426" i="518"/>
  <c r="Y426" i="518"/>
  <c r="X426" i="518"/>
  <c r="U426" i="518"/>
  <c r="T426" i="518"/>
  <c r="S426" i="518"/>
  <c r="R426" i="518"/>
  <c r="Q426" i="518"/>
  <c r="P426" i="518"/>
  <c r="O426" i="518"/>
  <c r="I426" i="518"/>
  <c r="G426" i="518"/>
  <c r="K425" i="518"/>
  <c r="M425" i="518" s="1"/>
  <c r="K425" i="518" a="1"/>
  <c r="H425" i="518"/>
  <c r="K424" i="518" a="1"/>
  <c r="K424" i="518" s="1"/>
  <c r="M424" i="518" s="1"/>
  <c r="H424" i="518"/>
  <c r="K423" i="518"/>
  <c r="M423" i="518" s="1"/>
  <c r="K423" i="518" a="1"/>
  <c r="H423" i="518"/>
  <c r="K422" i="518" a="1"/>
  <c r="K422" i="518" s="1"/>
  <c r="M422" i="518" s="1"/>
  <c r="H422" i="518"/>
  <c r="K421" i="518" a="1"/>
  <c r="K421" i="518" s="1"/>
  <c r="M421" i="518" s="1"/>
  <c r="H421" i="518"/>
  <c r="K420" i="518" a="1"/>
  <c r="K420" i="518" s="1"/>
  <c r="M420" i="518" s="1"/>
  <c r="H420" i="518"/>
  <c r="K419" i="518" a="1"/>
  <c r="K419" i="518" s="1"/>
  <c r="M419" i="518" s="1"/>
  <c r="H419" i="518"/>
  <c r="K418" i="518" a="1"/>
  <c r="K418" i="518" s="1"/>
  <c r="M418" i="518" s="1"/>
  <c r="H418" i="518"/>
  <c r="K417" i="518" a="1"/>
  <c r="K417" i="518" s="1"/>
  <c r="M417" i="518" s="1"/>
  <c r="H417" i="518"/>
  <c r="K416" i="518" a="1"/>
  <c r="K416" i="518" s="1"/>
  <c r="M416" i="518" s="1"/>
  <c r="H416" i="518"/>
  <c r="V415" i="518"/>
  <c r="W415" i="518" s="1"/>
  <c r="N415" i="518"/>
  <c r="K415" i="518"/>
  <c r="M415" i="518" s="1"/>
  <c r="K415" i="518" a="1"/>
  <c r="J415" i="518"/>
  <c r="J415" i="518" a="1"/>
  <c r="H415" i="518"/>
  <c r="V414" i="518"/>
  <c r="W414" i="518" s="1"/>
  <c r="N414" i="518"/>
  <c r="K414" i="518" a="1"/>
  <c r="K414" i="518" s="1"/>
  <c r="M414" i="518" s="1"/>
  <c r="J414" i="518" a="1"/>
  <c r="J414" i="518" s="1"/>
  <c r="H414" i="518"/>
  <c r="W413" i="518"/>
  <c r="V413" i="518"/>
  <c r="N413" i="518"/>
  <c r="K413" i="518" a="1"/>
  <c r="K413" i="518" s="1"/>
  <c r="M413" i="518" s="1"/>
  <c r="J413" i="518" a="1"/>
  <c r="J413" i="518" s="1"/>
  <c r="H413" i="518"/>
  <c r="V412" i="518"/>
  <c r="W412" i="518" s="1"/>
  <c r="N412" i="518"/>
  <c r="K412" i="518" a="1"/>
  <c r="K412" i="518" s="1"/>
  <c r="M412" i="518" s="1"/>
  <c r="J412" i="518" a="1"/>
  <c r="J412" i="518" s="1"/>
  <c r="H412" i="518"/>
  <c r="H411" i="518"/>
  <c r="V410" i="518"/>
  <c r="W410" i="518" s="1"/>
  <c r="N410" i="518"/>
  <c r="K410" i="518" a="1"/>
  <c r="K410" i="518" s="1"/>
  <c r="M410" i="518" s="1"/>
  <c r="J410" i="518" a="1"/>
  <c r="J410" i="518" s="1"/>
  <c r="H410" i="518"/>
  <c r="V409" i="518"/>
  <c r="W409" i="518" s="1"/>
  <c r="N409" i="518"/>
  <c r="K409" i="518"/>
  <c r="M409" i="518" s="1"/>
  <c r="K409" i="518" a="1"/>
  <c r="J409" i="518"/>
  <c r="J409" i="518" a="1"/>
  <c r="H409" i="518"/>
  <c r="H408" i="518"/>
  <c r="K407" i="518"/>
  <c r="K407" i="518" a="1"/>
  <c r="H407" i="518"/>
  <c r="V406" i="518"/>
  <c r="W406" i="518" s="1"/>
  <c r="N406" i="518"/>
  <c r="K406" i="518" a="1"/>
  <c r="K406" i="518" s="1"/>
  <c r="M406" i="518" s="1"/>
  <c r="J406" i="518" a="1"/>
  <c r="J406" i="518" s="1"/>
  <c r="H406" i="518"/>
  <c r="V405" i="518"/>
  <c r="W405" i="518" s="1"/>
  <c r="N405" i="518"/>
  <c r="K405" i="518" a="1"/>
  <c r="K405" i="518" s="1"/>
  <c r="M405" i="518" s="1"/>
  <c r="J405" i="518" a="1"/>
  <c r="J405" i="518" s="1"/>
  <c r="H405" i="518"/>
  <c r="V404" i="518"/>
  <c r="W404" i="518" s="1"/>
  <c r="N404" i="518"/>
  <c r="K404" i="518" a="1"/>
  <c r="K404" i="518" s="1"/>
  <c r="M404" i="518" s="1"/>
  <c r="J404" i="518" a="1"/>
  <c r="J404" i="518" s="1"/>
  <c r="H404" i="518"/>
  <c r="V403" i="518"/>
  <c r="W403" i="518" s="1"/>
  <c r="N403" i="518"/>
  <c r="K403" i="518"/>
  <c r="M403" i="518" s="1"/>
  <c r="K403" i="518" a="1"/>
  <c r="J403" i="518"/>
  <c r="J403" i="518" a="1"/>
  <c r="H403" i="518"/>
  <c r="V402" i="518"/>
  <c r="W402" i="518" s="1"/>
  <c r="N402" i="518"/>
  <c r="K402" i="518" a="1"/>
  <c r="K402" i="518" s="1"/>
  <c r="M402" i="518" s="1"/>
  <c r="J402" i="518" a="1"/>
  <c r="J402" i="518" s="1"/>
  <c r="H402" i="518"/>
  <c r="V401" i="518"/>
  <c r="W401" i="518" s="1"/>
  <c r="N401" i="518"/>
  <c r="K401" i="518" a="1"/>
  <c r="K401" i="518" s="1"/>
  <c r="M401" i="518" s="1"/>
  <c r="J401" i="518" a="1"/>
  <c r="J401" i="518" s="1"/>
  <c r="H401" i="518"/>
  <c r="V400" i="518"/>
  <c r="W400" i="518" s="1"/>
  <c r="N400" i="518"/>
  <c r="K400" i="518" a="1"/>
  <c r="K400" i="518" s="1"/>
  <c r="M400" i="518" s="1"/>
  <c r="J400" i="518" a="1"/>
  <c r="J400" i="518" s="1"/>
  <c r="H400" i="518"/>
  <c r="V399" i="518"/>
  <c r="W399" i="518" s="1"/>
  <c r="N399" i="518"/>
  <c r="K399" i="518"/>
  <c r="M399" i="518" s="1"/>
  <c r="K399" i="518" a="1"/>
  <c r="J399" i="518"/>
  <c r="J399" i="518" a="1"/>
  <c r="H399" i="518"/>
  <c r="V398" i="518"/>
  <c r="W398" i="518" s="1"/>
  <c r="N398" i="518"/>
  <c r="K398" i="518" a="1"/>
  <c r="K398" i="518" s="1"/>
  <c r="M398" i="518" s="1"/>
  <c r="J398" i="518" a="1"/>
  <c r="J398" i="518" s="1"/>
  <c r="H398" i="518"/>
  <c r="V397" i="518"/>
  <c r="W397" i="518" s="1"/>
  <c r="N397" i="518"/>
  <c r="K397" i="518" a="1"/>
  <c r="K397" i="518" s="1"/>
  <c r="M397" i="518" s="1"/>
  <c r="J397" i="518" a="1"/>
  <c r="J397" i="518" s="1"/>
  <c r="H397" i="518"/>
  <c r="K396" i="518"/>
  <c r="M396" i="518" s="1"/>
  <c r="K396" i="518" a="1"/>
  <c r="H396" i="518"/>
  <c r="K395" i="518" a="1"/>
  <c r="K395" i="518" s="1"/>
  <c r="M395" i="518" s="1"/>
  <c r="H395" i="518"/>
  <c r="K394" i="518"/>
  <c r="M394" i="518" s="1"/>
  <c r="K394" i="518" a="1"/>
  <c r="H394" i="518"/>
  <c r="K393" i="518" a="1"/>
  <c r="K393" i="518" s="1"/>
  <c r="M393" i="518" s="1"/>
  <c r="H393" i="518"/>
  <c r="N392" i="518"/>
  <c r="K392" i="518" a="1"/>
  <c r="K392" i="518" s="1"/>
  <c r="M392" i="518" s="1"/>
  <c r="H392" i="518"/>
  <c r="N391" i="518"/>
  <c r="K391" i="518" a="1"/>
  <c r="K391" i="518" s="1"/>
  <c r="M391" i="518" s="1"/>
  <c r="H391" i="518"/>
  <c r="N390" i="518"/>
  <c r="K390" i="518" a="1"/>
  <c r="K390" i="518" s="1"/>
  <c r="M390" i="518" s="1"/>
  <c r="H390" i="518"/>
  <c r="N389" i="518"/>
  <c r="K389" i="518" a="1"/>
  <c r="K389" i="518" s="1"/>
  <c r="M389" i="518" s="1"/>
  <c r="H389" i="518"/>
  <c r="V388" i="518"/>
  <c r="W388" i="518" s="1"/>
  <c r="N388" i="518"/>
  <c r="K388" i="518" a="1"/>
  <c r="K388" i="518" s="1"/>
  <c r="M388" i="518" s="1"/>
  <c r="J388" i="518" a="1"/>
  <c r="J388" i="518" s="1"/>
  <c r="H388" i="518"/>
  <c r="V387" i="518"/>
  <c r="W387" i="518" s="1"/>
  <c r="N387" i="518"/>
  <c r="K387" i="518"/>
  <c r="M387" i="518" s="1"/>
  <c r="K387" i="518" a="1"/>
  <c r="J387" i="518"/>
  <c r="J387" i="518" a="1"/>
  <c r="H387" i="518"/>
  <c r="V386" i="518"/>
  <c r="W386" i="518" s="1"/>
  <c r="N386" i="518"/>
  <c r="K386" i="518" a="1"/>
  <c r="K386" i="518" s="1"/>
  <c r="M386" i="518" s="1"/>
  <c r="J386" i="518" a="1"/>
  <c r="J386" i="518" s="1"/>
  <c r="H386" i="518"/>
  <c r="V385" i="518"/>
  <c r="W385" i="518" s="1"/>
  <c r="N385" i="518"/>
  <c r="K385" i="518" a="1"/>
  <c r="K385" i="518" s="1"/>
  <c r="M385" i="518" s="1"/>
  <c r="J385" i="518" a="1"/>
  <c r="J385" i="518" s="1"/>
  <c r="H385" i="518"/>
  <c r="V384" i="518"/>
  <c r="W384" i="518" s="1"/>
  <c r="N384" i="518"/>
  <c r="K384" i="518" a="1"/>
  <c r="K384" i="518" s="1"/>
  <c r="M384" i="518" s="1"/>
  <c r="J384" i="518" a="1"/>
  <c r="J384" i="518" s="1"/>
  <c r="H384" i="518"/>
  <c r="V383" i="518"/>
  <c r="W383" i="518" s="1"/>
  <c r="N383" i="518"/>
  <c r="K383" i="518"/>
  <c r="M383" i="518" s="1"/>
  <c r="K383" i="518" a="1"/>
  <c r="J383" i="518"/>
  <c r="J383" i="518" a="1"/>
  <c r="H383" i="518"/>
  <c r="V382" i="518"/>
  <c r="W382" i="518" s="1"/>
  <c r="N382" i="518"/>
  <c r="K382" i="518" a="1"/>
  <c r="K382" i="518" s="1"/>
  <c r="M382" i="518" s="1"/>
  <c r="J382" i="518" a="1"/>
  <c r="J382" i="518" s="1"/>
  <c r="H382" i="518"/>
  <c r="V381" i="518"/>
  <c r="W381" i="518" s="1"/>
  <c r="N381" i="518"/>
  <c r="K381" i="518" a="1"/>
  <c r="K381" i="518" s="1"/>
  <c r="M381" i="518" s="1"/>
  <c r="J381" i="518" a="1"/>
  <c r="J381" i="518" s="1"/>
  <c r="H381" i="518"/>
  <c r="V380" i="518"/>
  <c r="W380" i="518" s="1"/>
  <c r="N380" i="518"/>
  <c r="K380" i="518" a="1"/>
  <c r="K380" i="518" s="1"/>
  <c r="M380" i="518" s="1"/>
  <c r="J380" i="518" a="1"/>
  <c r="J380" i="518" s="1"/>
  <c r="H380" i="518"/>
  <c r="V379" i="518"/>
  <c r="W379" i="518" s="1"/>
  <c r="N379" i="518"/>
  <c r="K379" i="518"/>
  <c r="M379" i="518" s="1"/>
  <c r="K379" i="518" a="1"/>
  <c r="J379" i="518"/>
  <c r="J379" i="518" a="1"/>
  <c r="H379" i="518"/>
  <c r="V378" i="518"/>
  <c r="W378" i="518" s="1"/>
  <c r="N378" i="518"/>
  <c r="K378" i="518" a="1"/>
  <c r="K378" i="518" s="1"/>
  <c r="M378" i="518" s="1"/>
  <c r="J378" i="518" a="1"/>
  <c r="J378" i="518" s="1"/>
  <c r="H378" i="518"/>
  <c r="V377" i="518"/>
  <c r="W377" i="518" s="1"/>
  <c r="N377" i="518"/>
  <c r="K377" i="518" a="1"/>
  <c r="K377" i="518" s="1"/>
  <c r="M377" i="518" s="1"/>
  <c r="J377" i="518" a="1"/>
  <c r="J377" i="518" s="1"/>
  <c r="H377" i="518"/>
  <c r="K376" i="518"/>
  <c r="M376" i="518" s="1"/>
  <c r="K376" i="518" a="1"/>
  <c r="H376" i="518"/>
  <c r="K375" i="518" a="1"/>
  <c r="K375" i="518" s="1"/>
  <c r="M375" i="518" s="1"/>
  <c r="H375" i="518"/>
  <c r="K374" i="518" a="1"/>
  <c r="K374" i="518" s="1"/>
  <c r="M374" i="518" s="1"/>
  <c r="H374" i="518"/>
  <c r="V373" i="518"/>
  <c r="W373" i="518" s="1"/>
  <c r="N373" i="518"/>
  <c r="K373" i="518" a="1"/>
  <c r="K373" i="518" s="1"/>
  <c r="M373" i="518" s="1"/>
  <c r="J373" i="518" a="1"/>
  <c r="J373" i="518" s="1"/>
  <c r="H373" i="518"/>
  <c r="V372" i="518"/>
  <c r="W372" i="518" s="1"/>
  <c r="N372" i="518"/>
  <c r="K372" i="518"/>
  <c r="M372" i="518" s="1"/>
  <c r="K372" i="518" a="1"/>
  <c r="J372" i="518"/>
  <c r="J372" i="518" a="1"/>
  <c r="H372" i="518"/>
  <c r="V371" i="518"/>
  <c r="W371" i="518" s="1"/>
  <c r="N371" i="518"/>
  <c r="K371" i="518" a="1"/>
  <c r="K371" i="518" s="1"/>
  <c r="M371" i="518" s="1"/>
  <c r="J371" i="518" a="1"/>
  <c r="J371" i="518" s="1"/>
  <c r="H371" i="518"/>
  <c r="K370" i="518"/>
  <c r="K370" i="518" a="1"/>
  <c r="H370" i="518"/>
  <c r="V369" i="518"/>
  <c r="W369" i="518" s="1"/>
  <c r="N369" i="518"/>
  <c r="N426" i="518" s="1"/>
  <c r="K369" i="518" a="1"/>
  <c r="K369" i="518" s="1"/>
  <c r="J369" i="518" a="1"/>
  <c r="J369" i="518" s="1"/>
  <c r="H369" i="518"/>
  <c r="H426" i="518" s="1"/>
  <c r="AA368" i="518"/>
  <c r="AA504" i="518" s="1"/>
  <c r="Z368" i="518"/>
  <c r="Z504" i="518" s="1"/>
  <c r="Y368" i="518"/>
  <c r="Y504" i="518" s="1"/>
  <c r="X368" i="518"/>
  <c r="X504" i="518" s="1"/>
  <c r="U368" i="518"/>
  <c r="U504" i="518" s="1"/>
  <c r="T368" i="518"/>
  <c r="T504" i="518" s="1"/>
  <c r="S368" i="518"/>
  <c r="S504" i="518" s="1"/>
  <c r="R368" i="518"/>
  <c r="R504" i="518" s="1"/>
  <c r="Q368" i="518"/>
  <c r="Q504" i="518" s="1"/>
  <c r="P368" i="518"/>
  <c r="P504" i="518" s="1"/>
  <c r="O368" i="518"/>
  <c r="I368" i="518"/>
  <c r="I504" i="518" s="1"/>
  <c r="B512" i="518" s="1"/>
  <c r="G368" i="518"/>
  <c r="G504" i="518" s="1"/>
  <c r="V367" i="518"/>
  <c r="W367" i="518" s="1"/>
  <c r="N367" i="518"/>
  <c r="K367" i="518" a="1"/>
  <c r="K367" i="518" s="1"/>
  <c r="M367" i="518" s="1"/>
  <c r="J367" i="518" a="1"/>
  <c r="J367" i="518" s="1"/>
  <c r="H367" i="518"/>
  <c r="V366" i="518"/>
  <c r="W366" i="518" s="1"/>
  <c r="N366" i="518"/>
  <c r="K366" i="518"/>
  <c r="M366" i="518" s="1"/>
  <c r="K366" i="518" a="1"/>
  <c r="J366" i="518"/>
  <c r="J366" i="518" a="1"/>
  <c r="H366" i="518"/>
  <c r="K365" i="518" a="1"/>
  <c r="K365" i="518" s="1"/>
  <c r="M365" i="518" s="1"/>
  <c r="H365" i="518"/>
  <c r="K364" i="518" a="1"/>
  <c r="K364" i="518" s="1"/>
  <c r="M364" i="518" s="1"/>
  <c r="H364" i="518"/>
  <c r="K363" i="518" a="1"/>
  <c r="K363" i="518" s="1"/>
  <c r="M363" i="518" s="1"/>
  <c r="H363" i="518"/>
  <c r="K362" i="518" a="1"/>
  <c r="K362" i="518" s="1"/>
  <c r="M362" i="518" s="1"/>
  <c r="H362" i="518"/>
  <c r="V361" i="518"/>
  <c r="W361" i="518" s="1"/>
  <c r="N361" i="518"/>
  <c r="K361" i="518" a="1"/>
  <c r="K361" i="518" s="1"/>
  <c r="M361" i="518" s="1"/>
  <c r="J361" i="518" a="1"/>
  <c r="J361" i="518" s="1"/>
  <c r="H361" i="518"/>
  <c r="V360" i="518"/>
  <c r="W360" i="518" s="1"/>
  <c r="N360" i="518"/>
  <c r="K360" i="518"/>
  <c r="M360" i="518" s="1"/>
  <c r="K360" i="518" a="1"/>
  <c r="J360" i="518"/>
  <c r="J360" i="518" a="1"/>
  <c r="H360" i="518"/>
  <c r="V359" i="518"/>
  <c r="W359" i="518" s="1"/>
  <c r="N359" i="518"/>
  <c r="K359" i="518" a="1"/>
  <c r="K359" i="518" s="1"/>
  <c r="M359" i="518" s="1"/>
  <c r="J359" i="518" a="1"/>
  <c r="J359" i="518" s="1"/>
  <c r="H359" i="518"/>
  <c r="H358" i="518"/>
  <c r="H357" i="518"/>
  <c r="V356" i="518"/>
  <c r="W356" i="518" s="1"/>
  <c r="N356" i="518"/>
  <c r="K356" i="518" a="1"/>
  <c r="K356" i="518" s="1"/>
  <c r="M356" i="518" s="1"/>
  <c r="J356" i="518" a="1"/>
  <c r="J356" i="518" s="1"/>
  <c r="H356" i="518"/>
  <c r="V355" i="518"/>
  <c r="W355" i="518" s="1"/>
  <c r="N355" i="518"/>
  <c r="K355" i="518" a="1"/>
  <c r="K355" i="518" s="1"/>
  <c r="M355" i="518" s="1"/>
  <c r="J355" i="518" a="1"/>
  <c r="J355" i="518" s="1"/>
  <c r="H355" i="518"/>
  <c r="K354" i="518" a="1"/>
  <c r="K354" i="518" s="1"/>
  <c r="M354" i="518" s="1"/>
  <c r="H354" i="518"/>
  <c r="K353" i="518" a="1"/>
  <c r="K353" i="518" s="1"/>
  <c r="M353" i="518" s="1"/>
  <c r="H353" i="518"/>
  <c r="V352" i="518"/>
  <c r="W352" i="518" s="1"/>
  <c r="N352" i="518"/>
  <c r="K352" i="518" a="1"/>
  <c r="K352" i="518" s="1"/>
  <c r="M352" i="518" s="1"/>
  <c r="J352" i="518" a="1"/>
  <c r="J352" i="518" s="1"/>
  <c r="H352" i="518"/>
  <c r="V351" i="518"/>
  <c r="W351" i="518" s="1"/>
  <c r="N351" i="518"/>
  <c r="K351" i="518" a="1"/>
  <c r="K351" i="518" s="1"/>
  <c r="M351" i="518" s="1"/>
  <c r="J351" i="518" a="1"/>
  <c r="J351" i="518" s="1"/>
  <c r="H351" i="518"/>
  <c r="V350" i="518"/>
  <c r="W350" i="518" s="1"/>
  <c r="N350" i="518"/>
  <c r="K350" i="518"/>
  <c r="M350" i="518" s="1"/>
  <c r="K350" i="518" a="1"/>
  <c r="J350" i="518"/>
  <c r="J350" i="518" a="1"/>
  <c r="H350" i="518"/>
  <c r="V349" i="518"/>
  <c r="W349" i="518" s="1"/>
  <c r="N349" i="518"/>
  <c r="K349" i="518" a="1"/>
  <c r="K349" i="518" s="1"/>
  <c r="M349" i="518" s="1"/>
  <c r="J349" i="518" a="1"/>
  <c r="J349" i="518" s="1"/>
  <c r="H349" i="518"/>
  <c r="V348" i="518"/>
  <c r="W348" i="518" s="1"/>
  <c r="N348" i="518"/>
  <c r="K348" i="518" a="1"/>
  <c r="K348" i="518" s="1"/>
  <c r="M348" i="518" s="1"/>
  <c r="J348" i="518" a="1"/>
  <c r="J348" i="518" s="1"/>
  <c r="H348" i="518"/>
  <c r="V347" i="518"/>
  <c r="N347" i="518"/>
  <c r="N368" i="518" s="1"/>
  <c r="K347" i="518" a="1"/>
  <c r="K347" i="518" s="1"/>
  <c r="J347" i="518" a="1"/>
  <c r="J347" i="518" s="1"/>
  <c r="H347" i="518"/>
  <c r="X341" i="518"/>
  <c r="X340" i="518"/>
  <c r="X339" i="518"/>
  <c r="G339" i="518"/>
  <c r="C339" i="518"/>
  <c r="X338" i="518"/>
  <c r="I338" i="518"/>
  <c r="E338" i="518"/>
  <c r="K338" i="518" s="1"/>
  <c r="M338" i="518" s="1"/>
  <c r="I337" i="518"/>
  <c r="E337" i="518"/>
  <c r="K337" i="518" s="1"/>
  <c r="M337" i="518" s="1"/>
  <c r="I336" i="518"/>
  <c r="E336" i="518"/>
  <c r="K336" i="518" s="1"/>
  <c r="M336" i="518" s="1"/>
  <c r="X335" i="518"/>
  <c r="I335" i="518"/>
  <c r="I339" i="518" s="1"/>
  <c r="E335" i="518"/>
  <c r="E339" i="518" s="1"/>
  <c r="AA332" i="518"/>
  <c r="Z332" i="518"/>
  <c r="Y332" i="518"/>
  <c r="X332" i="518"/>
  <c r="U332" i="518"/>
  <c r="T332" i="518"/>
  <c r="S332" i="518"/>
  <c r="R332" i="518"/>
  <c r="Q332" i="518"/>
  <c r="P332" i="518"/>
  <c r="O332" i="518"/>
  <c r="R340" i="518" s="1"/>
  <c r="I332" i="518"/>
  <c r="G332" i="518"/>
  <c r="K331" i="518" a="1"/>
  <c r="K331" i="518" s="1"/>
  <c r="H331" i="518"/>
  <c r="K330" i="518" a="1"/>
  <c r="K330" i="518" s="1"/>
  <c r="H330" i="518"/>
  <c r="K329" i="518"/>
  <c r="K329" i="518" a="1"/>
  <c r="H329" i="518"/>
  <c r="V328" i="518"/>
  <c r="W328" i="518" s="1"/>
  <c r="N328" i="518"/>
  <c r="K328" i="518" a="1"/>
  <c r="K328" i="518" s="1"/>
  <c r="D328" i="518"/>
  <c r="H328" i="518" s="1"/>
  <c r="H327" i="518"/>
  <c r="K326" i="518" a="1"/>
  <c r="K326" i="518" s="1"/>
  <c r="H326" i="518"/>
  <c r="H325" i="518"/>
  <c r="V324" i="518"/>
  <c r="W324" i="518" s="1"/>
  <c r="N324" i="518"/>
  <c r="K324" i="518" a="1"/>
  <c r="K324" i="518" s="1"/>
  <c r="M324" i="518" s="1"/>
  <c r="J324" i="518" a="1"/>
  <c r="J324" i="518" s="1"/>
  <c r="H324" i="518"/>
  <c r="V323" i="518"/>
  <c r="W323" i="518" s="1"/>
  <c r="N323" i="518"/>
  <c r="K323" i="518" a="1"/>
  <c r="K323" i="518" s="1"/>
  <c r="M323" i="518" s="1"/>
  <c r="J323" i="518" a="1"/>
  <c r="J323" i="518" s="1"/>
  <c r="H323" i="518"/>
  <c r="H322" i="518"/>
  <c r="V321" i="518"/>
  <c r="W321" i="518" s="1"/>
  <c r="N321" i="518"/>
  <c r="K321" i="518" a="1"/>
  <c r="K321" i="518" s="1"/>
  <c r="M321" i="518" s="1"/>
  <c r="J321" i="518" a="1"/>
  <c r="J321" i="518" s="1"/>
  <c r="H321" i="518"/>
  <c r="V320" i="518"/>
  <c r="W320" i="518" s="1"/>
  <c r="N320" i="518"/>
  <c r="K320" i="518" a="1"/>
  <c r="K320" i="518" s="1"/>
  <c r="M320" i="518" s="1"/>
  <c r="J320" i="518" a="1"/>
  <c r="J320" i="518" s="1"/>
  <c r="H320" i="518"/>
  <c r="V319" i="518"/>
  <c r="W319" i="518" s="1"/>
  <c r="N319" i="518"/>
  <c r="K319" i="518"/>
  <c r="M319" i="518" s="1"/>
  <c r="K319" i="518" a="1"/>
  <c r="J319" i="518"/>
  <c r="J319" i="518" a="1"/>
  <c r="H319" i="518"/>
  <c r="V318" i="518"/>
  <c r="W318" i="518" s="1"/>
  <c r="N318" i="518"/>
  <c r="N332" i="518" s="1"/>
  <c r="K318" i="518" a="1"/>
  <c r="K318" i="518" s="1"/>
  <c r="J318" i="518" a="1"/>
  <c r="J318" i="518" s="1"/>
  <c r="H318" i="518"/>
  <c r="H332" i="518" s="1"/>
  <c r="AA317" i="518"/>
  <c r="Z317" i="518"/>
  <c r="Y317" i="518"/>
  <c r="X317" i="518"/>
  <c r="U317" i="518"/>
  <c r="T317" i="518"/>
  <c r="S317" i="518"/>
  <c r="Q317" i="518"/>
  <c r="P317" i="518"/>
  <c r="O317" i="518"/>
  <c r="R339" i="518" s="1"/>
  <c r="I317" i="518"/>
  <c r="G317" i="518"/>
  <c r="W316" i="518"/>
  <c r="V316" i="518"/>
  <c r="N316" i="518"/>
  <c r="K316" i="518"/>
  <c r="M316" i="518" s="1"/>
  <c r="K316" i="518" a="1"/>
  <c r="J316" i="518" a="1"/>
  <c r="J316" i="518" s="1"/>
  <c r="H316" i="518"/>
  <c r="V312" i="518"/>
  <c r="W312" i="518" s="1"/>
  <c r="N312" i="518"/>
  <c r="K312" i="518" a="1"/>
  <c r="K312" i="518" s="1"/>
  <c r="M312" i="518" s="1"/>
  <c r="J312" i="518" a="1"/>
  <c r="J312" i="518" s="1"/>
  <c r="H312" i="518"/>
  <c r="V311" i="518"/>
  <c r="W311" i="518" s="1"/>
  <c r="N311" i="518"/>
  <c r="K311" i="518" a="1"/>
  <c r="K311" i="518" s="1"/>
  <c r="M311" i="518" s="1"/>
  <c r="J311" i="518" a="1"/>
  <c r="J311" i="518" s="1"/>
  <c r="H311" i="518"/>
  <c r="V310" i="518"/>
  <c r="W310" i="518" s="1"/>
  <c r="N310" i="518"/>
  <c r="K310" i="518" a="1"/>
  <c r="K310" i="518" s="1"/>
  <c r="M310" i="518" s="1"/>
  <c r="J310" i="518" a="1"/>
  <c r="J310" i="518" s="1"/>
  <c r="H310" i="518"/>
  <c r="V309" i="518"/>
  <c r="W309" i="518" s="1"/>
  <c r="N309" i="518"/>
  <c r="K309" i="518"/>
  <c r="M309" i="518" s="1"/>
  <c r="K309" i="518" a="1"/>
  <c r="J309" i="518"/>
  <c r="J309" i="518" a="1"/>
  <c r="H309" i="518"/>
  <c r="V308" i="518"/>
  <c r="V317" i="518" s="1"/>
  <c r="N308" i="518"/>
  <c r="N317" i="518" s="1"/>
  <c r="K308" i="518" a="1"/>
  <c r="K308" i="518" s="1"/>
  <c r="J308" i="518" a="1"/>
  <c r="J308" i="518" s="1"/>
  <c r="H308" i="518"/>
  <c r="H317" i="518" s="1"/>
  <c r="AA307" i="518"/>
  <c r="Z307" i="518"/>
  <c r="Y307" i="518"/>
  <c r="X307" i="518"/>
  <c r="U307" i="518"/>
  <c r="T307" i="518"/>
  <c r="S307" i="518"/>
  <c r="Q307" i="518"/>
  <c r="P307" i="518"/>
  <c r="O307" i="518"/>
  <c r="R338" i="518" s="1"/>
  <c r="I307" i="518"/>
  <c r="G307" i="518"/>
  <c r="J307" i="518" s="1" a="1"/>
  <c r="J307" i="518" s="1"/>
  <c r="V306" i="518"/>
  <c r="W306" i="518" s="1"/>
  <c r="N306" i="518"/>
  <c r="K306" i="518" a="1"/>
  <c r="K306" i="518" s="1"/>
  <c r="M306" i="518" s="1"/>
  <c r="J306" i="518" a="1"/>
  <c r="J306" i="518" s="1"/>
  <c r="H306" i="518"/>
  <c r="V305" i="518"/>
  <c r="W305" i="518" s="1"/>
  <c r="N305" i="518"/>
  <c r="K305" i="518" a="1"/>
  <c r="K305" i="518" s="1"/>
  <c r="M305" i="518" s="1"/>
  <c r="J305" i="518" a="1"/>
  <c r="J305" i="518" s="1"/>
  <c r="H305" i="518"/>
  <c r="V304" i="518"/>
  <c r="W304" i="518" s="1"/>
  <c r="N304" i="518"/>
  <c r="K304" i="518"/>
  <c r="M304" i="518" s="1"/>
  <c r="K304" i="518" a="1"/>
  <c r="J304" i="518"/>
  <c r="J304" i="518" a="1"/>
  <c r="H304" i="518"/>
  <c r="V303" i="518"/>
  <c r="W303" i="518" s="1"/>
  <c r="N303" i="518"/>
  <c r="K303" i="518" a="1"/>
  <c r="K303" i="518" s="1"/>
  <c r="M303" i="518" s="1"/>
  <c r="J303" i="518" a="1"/>
  <c r="J303" i="518" s="1"/>
  <c r="H303" i="518"/>
  <c r="V302" i="518"/>
  <c r="W302" i="518" s="1"/>
  <c r="N302" i="518"/>
  <c r="K302" i="518" a="1"/>
  <c r="K302" i="518" s="1"/>
  <c r="M302" i="518" s="1"/>
  <c r="J302" i="518" a="1"/>
  <c r="J302" i="518" s="1"/>
  <c r="H302" i="518"/>
  <c r="V301" i="518"/>
  <c r="W301" i="518" s="1"/>
  <c r="N301" i="518"/>
  <c r="K301" i="518" a="1"/>
  <c r="K301" i="518" s="1"/>
  <c r="M301" i="518" s="1"/>
  <c r="J301" i="518" a="1"/>
  <c r="J301" i="518" s="1"/>
  <c r="H301" i="518"/>
  <c r="V300" i="518"/>
  <c r="W300" i="518" s="1"/>
  <c r="N300" i="518"/>
  <c r="K300" i="518"/>
  <c r="M300" i="518" s="1"/>
  <c r="K300" i="518" a="1"/>
  <c r="J300" i="518"/>
  <c r="J300" i="518" a="1"/>
  <c r="H300" i="518"/>
  <c r="V299" i="518"/>
  <c r="W299" i="518" s="1"/>
  <c r="N299" i="518"/>
  <c r="K299" i="518" a="1"/>
  <c r="K299" i="518" s="1"/>
  <c r="M299" i="518" s="1"/>
  <c r="J299" i="518" a="1"/>
  <c r="J299" i="518" s="1"/>
  <c r="H299" i="518"/>
  <c r="W298" i="518"/>
  <c r="V298" i="518"/>
  <c r="N298" i="518"/>
  <c r="K298" i="518" a="1"/>
  <c r="K298" i="518" s="1"/>
  <c r="M298" i="518" s="1"/>
  <c r="J298" i="518" a="1"/>
  <c r="J298" i="518" s="1"/>
  <c r="H298" i="518"/>
  <c r="V297" i="518"/>
  <c r="W297" i="518" s="1"/>
  <c r="N297" i="518"/>
  <c r="K297" i="518" a="1"/>
  <c r="K297" i="518" s="1"/>
  <c r="M297" i="518" s="1"/>
  <c r="J297" i="518" a="1"/>
  <c r="J297" i="518" s="1"/>
  <c r="H297" i="518"/>
  <c r="V296" i="518"/>
  <c r="W296" i="518" s="1"/>
  <c r="N296" i="518"/>
  <c r="K296" i="518"/>
  <c r="M296" i="518" s="1"/>
  <c r="K296" i="518" a="1"/>
  <c r="J296" i="518"/>
  <c r="J296" i="518" a="1"/>
  <c r="H296" i="518"/>
  <c r="V295" i="518"/>
  <c r="W295" i="518" s="1"/>
  <c r="N295" i="518"/>
  <c r="K295" i="518" a="1"/>
  <c r="K295" i="518" s="1"/>
  <c r="M295" i="518" s="1"/>
  <c r="J295" i="518" a="1"/>
  <c r="J295" i="518" s="1"/>
  <c r="H295" i="518"/>
  <c r="V294" i="518"/>
  <c r="W294" i="518" s="1"/>
  <c r="N294" i="518"/>
  <c r="K294" i="518" a="1"/>
  <c r="K294" i="518" s="1"/>
  <c r="M294" i="518" s="1"/>
  <c r="J294" i="518" a="1"/>
  <c r="J294" i="518" s="1"/>
  <c r="H294" i="518"/>
  <c r="V293" i="518"/>
  <c r="W293" i="518" s="1"/>
  <c r="N293" i="518"/>
  <c r="K293" i="518" a="1"/>
  <c r="K293" i="518" s="1"/>
  <c r="M293" i="518" s="1"/>
  <c r="J293" i="518" a="1"/>
  <c r="J293" i="518" s="1"/>
  <c r="H293" i="518"/>
  <c r="V292" i="518"/>
  <c r="V307" i="518" s="1"/>
  <c r="W307" i="518" s="1"/>
  <c r="N292" i="518"/>
  <c r="K292" i="518"/>
  <c r="M292" i="518" s="1"/>
  <c r="K292" i="518" a="1"/>
  <c r="J292" i="518"/>
  <c r="J292" i="518" a="1"/>
  <c r="H292" i="518"/>
  <c r="H307" i="518" s="1"/>
  <c r="AA291" i="518"/>
  <c r="Z291" i="518"/>
  <c r="Y291" i="518"/>
  <c r="X291" i="518"/>
  <c r="U291" i="518"/>
  <c r="T291" i="518"/>
  <c r="S291" i="518"/>
  <c r="R291" i="518"/>
  <c r="Q291" i="518"/>
  <c r="P291" i="518"/>
  <c r="O291" i="518"/>
  <c r="R337" i="518" s="1"/>
  <c r="I291" i="518"/>
  <c r="G291" i="518"/>
  <c r="V290" i="518"/>
  <c r="W290" i="518" s="1"/>
  <c r="N290" i="518"/>
  <c r="K290" i="518" a="1"/>
  <c r="K290" i="518" s="1"/>
  <c r="M290" i="518" s="1"/>
  <c r="J290" i="518" a="1"/>
  <c r="J290" i="518" s="1"/>
  <c r="H290" i="518"/>
  <c r="V289" i="518"/>
  <c r="W289" i="518" s="1"/>
  <c r="N289" i="518"/>
  <c r="K289" i="518" a="1"/>
  <c r="K289" i="518" s="1"/>
  <c r="M289" i="518" s="1"/>
  <c r="J289" i="518" a="1"/>
  <c r="J289" i="518" s="1"/>
  <c r="H289" i="518"/>
  <c r="V288" i="518"/>
  <c r="W288" i="518" s="1"/>
  <c r="N288" i="518"/>
  <c r="K288" i="518" a="1"/>
  <c r="K288" i="518" s="1"/>
  <c r="M288" i="518" s="1"/>
  <c r="J288" i="518" a="1"/>
  <c r="J288" i="518" s="1"/>
  <c r="H288" i="518"/>
  <c r="H287" i="518"/>
  <c r="H286" i="518"/>
  <c r="H285" i="518"/>
  <c r="V284" i="518"/>
  <c r="W284" i="518" s="1"/>
  <c r="N284" i="518"/>
  <c r="K284" i="518" a="1"/>
  <c r="K284" i="518" s="1"/>
  <c r="M284" i="518" s="1"/>
  <c r="H284" i="518"/>
  <c r="V283" i="518"/>
  <c r="W283" i="518" s="1"/>
  <c r="N283" i="518"/>
  <c r="K283" i="518"/>
  <c r="M283" i="518" s="1"/>
  <c r="K283" i="518" a="1"/>
  <c r="H283" i="518"/>
  <c r="N282" i="518"/>
  <c r="K282" i="518" a="1"/>
  <c r="K282" i="518" s="1"/>
  <c r="M282" i="518" s="1"/>
  <c r="H282" i="518"/>
  <c r="N281" i="518"/>
  <c r="K281" i="518" a="1"/>
  <c r="K281" i="518" s="1"/>
  <c r="M281" i="518" s="1"/>
  <c r="H281" i="518"/>
  <c r="N280" i="518"/>
  <c r="K280" i="518" a="1"/>
  <c r="K280" i="518" s="1"/>
  <c r="M280" i="518" s="1"/>
  <c r="H280" i="518"/>
  <c r="N279" i="518"/>
  <c r="K279" i="518"/>
  <c r="M279" i="518" s="1"/>
  <c r="K279" i="518" a="1"/>
  <c r="H279" i="518"/>
  <c r="N278" i="518"/>
  <c r="K278" i="518" a="1"/>
  <c r="K278" i="518" s="1"/>
  <c r="M278" i="518" s="1"/>
  <c r="H278" i="518"/>
  <c r="N277" i="518"/>
  <c r="K277" i="518" a="1"/>
  <c r="K277" i="518" s="1"/>
  <c r="M277" i="518" s="1"/>
  <c r="H277" i="518"/>
  <c r="V276" i="518"/>
  <c r="W276" i="518" s="1"/>
  <c r="N276" i="518"/>
  <c r="K276" i="518" a="1"/>
  <c r="K276" i="518" s="1"/>
  <c r="M276" i="518" s="1"/>
  <c r="H276" i="518"/>
  <c r="V275" i="518"/>
  <c r="W275" i="518" s="1"/>
  <c r="N275" i="518"/>
  <c r="K275" i="518"/>
  <c r="M275" i="518" s="1"/>
  <c r="K275" i="518" a="1"/>
  <c r="H275" i="518"/>
  <c r="V274" i="518"/>
  <c r="W274" i="518" s="1"/>
  <c r="N274" i="518"/>
  <c r="K274" i="518" a="1"/>
  <c r="K274" i="518" s="1"/>
  <c r="M274" i="518" s="1"/>
  <c r="H274" i="518"/>
  <c r="V273" i="518"/>
  <c r="W273" i="518" s="1"/>
  <c r="N273" i="518"/>
  <c r="K273" i="518" a="1"/>
  <c r="K273" i="518" s="1"/>
  <c r="M273" i="518" s="1"/>
  <c r="H273" i="518"/>
  <c r="V272" i="518"/>
  <c r="W272" i="518" s="1"/>
  <c r="N272" i="518"/>
  <c r="K272" i="518" a="1"/>
  <c r="K272" i="518" s="1"/>
  <c r="M272" i="518" s="1"/>
  <c r="H272" i="518"/>
  <c r="V271" i="518"/>
  <c r="W271" i="518" s="1"/>
  <c r="N271" i="518"/>
  <c r="K271" i="518"/>
  <c r="M271" i="518" s="1"/>
  <c r="K271" i="518" a="1"/>
  <c r="H271" i="518"/>
  <c r="V270" i="518"/>
  <c r="W270" i="518" s="1"/>
  <c r="N270" i="518"/>
  <c r="K270" i="518" a="1"/>
  <c r="K270" i="518" s="1"/>
  <c r="M270" i="518" s="1"/>
  <c r="H270" i="518"/>
  <c r="V269" i="518"/>
  <c r="W269" i="518" s="1"/>
  <c r="N269" i="518"/>
  <c r="K269" i="518" a="1"/>
  <c r="K269" i="518" s="1"/>
  <c r="M269" i="518" s="1"/>
  <c r="H269" i="518"/>
  <c r="V268" i="518"/>
  <c r="W268" i="518" s="1"/>
  <c r="N268" i="518"/>
  <c r="K268" i="518" a="1"/>
  <c r="K268" i="518" s="1"/>
  <c r="M268" i="518" s="1"/>
  <c r="H268" i="518"/>
  <c r="V267" i="518"/>
  <c r="W267" i="518" s="1"/>
  <c r="N267" i="518"/>
  <c r="K267" i="518"/>
  <c r="M267" i="518" s="1"/>
  <c r="K267" i="518" a="1"/>
  <c r="H267" i="518"/>
  <c r="V266" i="518"/>
  <c r="W266" i="518" s="1"/>
  <c r="N266" i="518"/>
  <c r="K266" i="518" a="1"/>
  <c r="K266" i="518" s="1"/>
  <c r="M266" i="518" s="1"/>
  <c r="H266" i="518"/>
  <c r="W265" i="518"/>
  <c r="V265" i="518"/>
  <c r="N265" i="518"/>
  <c r="K265" i="518" a="1"/>
  <c r="K265" i="518" s="1"/>
  <c r="M265" i="518" s="1"/>
  <c r="H265" i="518"/>
  <c r="N264" i="518"/>
  <c r="K264" i="518" a="1"/>
  <c r="K264" i="518" s="1"/>
  <c r="M264" i="518" s="1"/>
  <c r="H264" i="518"/>
  <c r="V263" i="518"/>
  <c r="W263" i="518" s="1"/>
  <c r="N263" i="518"/>
  <c r="K263" i="518"/>
  <c r="M263" i="518" s="1"/>
  <c r="K263" i="518" a="1"/>
  <c r="J263" i="518"/>
  <c r="J263" i="518" a="1"/>
  <c r="H263" i="518"/>
  <c r="V262" i="518"/>
  <c r="W262" i="518" s="1"/>
  <c r="N262" i="518"/>
  <c r="K262" i="518" a="1"/>
  <c r="K262" i="518" s="1"/>
  <c r="M262" i="518" s="1"/>
  <c r="J262" i="518" a="1"/>
  <c r="J262" i="518" s="1"/>
  <c r="H262" i="518"/>
  <c r="V261" i="518"/>
  <c r="W261" i="518" s="1"/>
  <c r="N261" i="518"/>
  <c r="K261" i="518" a="1"/>
  <c r="K261" i="518" s="1"/>
  <c r="M261" i="518" s="1"/>
  <c r="J261" i="518" a="1"/>
  <c r="J261" i="518" s="1"/>
  <c r="H261" i="518"/>
  <c r="V260" i="518"/>
  <c r="W260" i="518" s="1"/>
  <c r="N260" i="518"/>
  <c r="K260" i="518" a="1"/>
  <c r="K260" i="518" s="1"/>
  <c r="M260" i="518" s="1"/>
  <c r="J260" i="518" a="1"/>
  <c r="J260" i="518" s="1"/>
  <c r="H260" i="518"/>
  <c r="V259" i="518"/>
  <c r="W259" i="518" s="1"/>
  <c r="N259" i="518"/>
  <c r="K259" i="518"/>
  <c r="M259" i="518" s="1"/>
  <c r="K259" i="518" a="1"/>
  <c r="J259" i="518"/>
  <c r="J259" i="518" a="1"/>
  <c r="H259" i="518"/>
  <c r="V258" i="518"/>
  <c r="W258" i="518" s="1"/>
  <c r="N258" i="518"/>
  <c r="K258" i="518" a="1"/>
  <c r="K258" i="518" s="1"/>
  <c r="M258" i="518" s="1"/>
  <c r="J258" i="518" a="1"/>
  <c r="J258" i="518" s="1"/>
  <c r="H258" i="518"/>
  <c r="V257" i="518"/>
  <c r="V291" i="518" s="1"/>
  <c r="W291" i="518" s="1"/>
  <c r="N257" i="518"/>
  <c r="K257" i="518" a="1"/>
  <c r="K257" i="518" s="1"/>
  <c r="J257" i="518" a="1"/>
  <c r="J257" i="518" s="1"/>
  <c r="H257" i="518"/>
  <c r="AA256" i="518"/>
  <c r="Z256" i="518"/>
  <c r="Y256" i="518"/>
  <c r="X256" i="518"/>
  <c r="U256" i="518"/>
  <c r="T256" i="518"/>
  <c r="S256" i="518"/>
  <c r="R256" i="518"/>
  <c r="Q256" i="518"/>
  <c r="P256" i="518"/>
  <c r="O256" i="518"/>
  <c r="R336" i="518" s="1"/>
  <c r="I256" i="518"/>
  <c r="G256" i="518"/>
  <c r="J256" i="518" s="1" a="1"/>
  <c r="J256" i="518" s="1"/>
  <c r="H255" i="518"/>
  <c r="H254" i="518"/>
  <c r="H253" i="518"/>
  <c r="H252" i="518"/>
  <c r="H251" i="518"/>
  <c r="H250" i="518"/>
  <c r="K249" i="518" a="1"/>
  <c r="K249" i="518" s="1"/>
  <c r="M249" i="518" s="1"/>
  <c r="H249" i="518"/>
  <c r="K248" i="518" a="1"/>
  <c r="K248" i="518" s="1"/>
  <c r="M248" i="518" s="1"/>
  <c r="H248" i="518"/>
  <c r="K247" i="518" a="1"/>
  <c r="K247" i="518" s="1"/>
  <c r="M247" i="518" s="1"/>
  <c r="H247" i="518"/>
  <c r="K246" i="518" a="1"/>
  <c r="K246" i="518" s="1"/>
  <c r="M246" i="518" s="1"/>
  <c r="H246" i="518"/>
  <c r="W245" i="518"/>
  <c r="V245" i="518"/>
  <c r="N245" i="518"/>
  <c r="K245" i="518" a="1"/>
  <c r="K245" i="518" s="1"/>
  <c r="M245" i="518" s="1"/>
  <c r="J245" i="518" a="1"/>
  <c r="J245" i="518" s="1"/>
  <c r="H245" i="518"/>
  <c r="V244" i="518"/>
  <c r="W244" i="518" s="1"/>
  <c r="N244" i="518"/>
  <c r="K244" i="518" a="1"/>
  <c r="K244" i="518" s="1"/>
  <c r="M244" i="518" s="1"/>
  <c r="J244" i="518" a="1"/>
  <c r="J244" i="518" s="1"/>
  <c r="H244" i="518"/>
  <c r="V243" i="518"/>
  <c r="W243" i="518" s="1"/>
  <c r="N243" i="518"/>
  <c r="K243" i="518"/>
  <c r="M243" i="518" s="1"/>
  <c r="K243" i="518" a="1"/>
  <c r="J243" i="518"/>
  <c r="J243" i="518" a="1"/>
  <c r="H243" i="518"/>
  <c r="V242" i="518"/>
  <c r="W242" i="518" s="1"/>
  <c r="N242" i="518"/>
  <c r="K242" i="518" a="1"/>
  <c r="K242" i="518" s="1"/>
  <c r="M242" i="518" s="1"/>
  <c r="J242" i="518" a="1"/>
  <c r="J242" i="518" s="1"/>
  <c r="H242" i="518"/>
  <c r="M241" i="518"/>
  <c r="H241" i="518"/>
  <c r="V240" i="518"/>
  <c r="W240" i="518" s="1"/>
  <c r="N240" i="518"/>
  <c r="K240" i="518" a="1"/>
  <c r="K240" i="518" s="1"/>
  <c r="M240" i="518" s="1"/>
  <c r="J240" i="518" a="1"/>
  <c r="J240" i="518" s="1"/>
  <c r="H240" i="518"/>
  <c r="V239" i="518"/>
  <c r="W239" i="518" s="1"/>
  <c r="N239" i="518"/>
  <c r="K239" i="518" a="1"/>
  <c r="K239" i="518" s="1"/>
  <c r="M239" i="518" s="1"/>
  <c r="J239" i="518" a="1"/>
  <c r="J239" i="518" s="1"/>
  <c r="H239" i="518"/>
  <c r="K238" i="518" a="1"/>
  <c r="K238" i="518" s="1"/>
  <c r="M238" i="518" s="1"/>
  <c r="H238" i="518"/>
  <c r="H237" i="518"/>
  <c r="V236" i="518"/>
  <c r="W236" i="518" s="1"/>
  <c r="N236" i="518"/>
  <c r="K236" i="518" a="1"/>
  <c r="K236" i="518" s="1"/>
  <c r="M236" i="518" s="1"/>
  <c r="J236" i="518" a="1"/>
  <c r="J236" i="518" s="1"/>
  <c r="H236" i="518"/>
  <c r="V235" i="518"/>
  <c r="W235" i="518" s="1"/>
  <c r="N235" i="518"/>
  <c r="K235" i="518"/>
  <c r="M235" i="518" s="1"/>
  <c r="K235" i="518" a="1"/>
  <c r="J235" i="518"/>
  <c r="J235" i="518" a="1"/>
  <c r="H235" i="518"/>
  <c r="V234" i="518"/>
  <c r="W234" i="518" s="1"/>
  <c r="N234" i="518"/>
  <c r="K234" i="518" a="1"/>
  <c r="K234" i="518" s="1"/>
  <c r="M234" i="518" s="1"/>
  <c r="J234" i="518" a="1"/>
  <c r="J234" i="518" s="1"/>
  <c r="H234" i="518"/>
  <c r="V233" i="518"/>
  <c r="W233" i="518" s="1"/>
  <c r="N233" i="518"/>
  <c r="K233" i="518" a="1"/>
  <c r="K233" i="518" s="1"/>
  <c r="M233" i="518" s="1"/>
  <c r="J233" i="518" a="1"/>
  <c r="J233" i="518" s="1"/>
  <c r="H233" i="518"/>
  <c r="V232" i="518"/>
  <c r="W232" i="518" s="1"/>
  <c r="N232" i="518"/>
  <c r="K232" i="518" a="1"/>
  <c r="K232" i="518" s="1"/>
  <c r="M232" i="518" s="1"/>
  <c r="J232" i="518" a="1"/>
  <c r="J232" i="518" s="1"/>
  <c r="H232" i="518"/>
  <c r="V231" i="518"/>
  <c r="W231" i="518" s="1"/>
  <c r="N231" i="518"/>
  <c r="K231" i="518"/>
  <c r="M231" i="518" s="1"/>
  <c r="K231" i="518" a="1"/>
  <c r="J231" i="518"/>
  <c r="J231" i="518" a="1"/>
  <c r="H231" i="518"/>
  <c r="V230" i="518"/>
  <c r="W230" i="518" s="1"/>
  <c r="N230" i="518"/>
  <c r="K230" i="518" a="1"/>
  <c r="K230" i="518" s="1"/>
  <c r="M230" i="518" s="1"/>
  <c r="J230" i="518" a="1"/>
  <c r="J230" i="518" s="1"/>
  <c r="H230" i="518"/>
  <c r="V229" i="518"/>
  <c r="W229" i="518" s="1"/>
  <c r="N229" i="518"/>
  <c r="K229" i="518" a="1"/>
  <c r="K229" i="518" s="1"/>
  <c r="M229" i="518" s="1"/>
  <c r="J229" i="518" a="1"/>
  <c r="J229" i="518" s="1"/>
  <c r="H229" i="518"/>
  <c r="V228" i="518"/>
  <c r="W228" i="518" s="1"/>
  <c r="N228" i="518"/>
  <c r="K228" i="518" a="1"/>
  <c r="K228" i="518" s="1"/>
  <c r="M228" i="518" s="1"/>
  <c r="J228" i="518" a="1"/>
  <c r="J228" i="518" s="1"/>
  <c r="H228" i="518"/>
  <c r="V227" i="518"/>
  <c r="W227" i="518" s="1"/>
  <c r="N227" i="518"/>
  <c r="K227" i="518"/>
  <c r="M227" i="518" s="1"/>
  <c r="K227" i="518" a="1"/>
  <c r="J227" i="518"/>
  <c r="J227" i="518" a="1"/>
  <c r="H227" i="518"/>
  <c r="N226" i="518"/>
  <c r="K226" i="518" a="1"/>
  <c r="K226" i="518" s="1"/>
  <c r="M226" i="518" s="1"/>
  <c r="H226" i="518"/>
  <c r="N225" i="518"/>
  <c r="K225" i="518" a="1"/>
  <c r="K225" i="518" s="1"/>
  <c r="M225" i="518" s="1"/>
  <c r="H225" i="518"/>
  <c r="N224" i="518"/>
  <c r="K224" i="518" a="1"/>
  <c r="K224" i="518" s="1"/>
  <c r="M224" i="518" s="1"/>
  <c r="H224" i="518"/>
  <c r="N223" i="518"/>
  <c r="K223" i="518"/>
  <c r="M223" i="518" s="1"/>
  <c r="K223" i="518" a="1"/>
  <c r="H223" i="518"/>
  <c r="N222" i="518"/>
  <c r="K222" i="518" a="1"/>
  <c r="K222" i="518" s="1"/>
  <c r="M222" i="518" s="1"/>
  <c r="H222" i="518"/>
  <c r="N221" i="518"/>
  <c r="K221" i="518" a="1"/>
  <c r="K221" i="518" s="1"/>
  <c r="M221" i="518" s="1"/>
  <c r="H221" i="518"/>
  <c r="N220" i="518"/>
  <c r="K220" i="518" a="1"/>
  <c r="K220" i="518" s="1"/>
  <c r="M220" i="518" s="1"/>
  <c r="H220" i="518"/>
  <c r="N219" i="518"/>
  <c r="K219" i="518"/>
  <c r="M219" i="518" s="1"/>
  <c r="K219" i="518" a="1"/>
  <c r="H219" i="518"/>
  <c r="V218" i="518"/>
  <c r="W218" i="518" s="1"/>
  <c r="N218" i="518"/>
  <c r="K218" i="518" a="1"/>
  <c r="K218" i="518" s="1"/>
  <c r="M218" i="518" s="1"/>
  <c r="J218" i="518" a="1"/>
  <c r="J218" i="518" s="1"/>
  <c r="H218" i="518"/>
  <c r="V217" i="518"/>
  <c r="W217" i="518" s="1"/>
  <c r="N217" i="518"/>
  <c r="K217" i="518" a="1"/>
  <c r="K217" i="518" s="1"/>
  <c r="M217" i="518" s="1"/>
  <c r="J217" i="518" a="1"/>
  <c r="J217" i="518" s="1"/>
  <c r="H217" i="518"/>
  <c r="V216" i="518"/>
  <c r="W216" i="518" s="1"/>
  <c r="N216" i="518"/>
  <c r="K216" i="518" a="1"/>
  <c r="K216" i="518" s="1"/>
  <c r="M216" i="518" s="1"/>
  <c r="J216" i="518" a="1"/>
  <c r="J216" i="518" s="1"/>
  <c r="H216" i="518"/>
  <c r="V215" i="518"/>
  <c r="W215" i="518" s="1"/>
  <c r="N215" i="518"/>
  <c r="K215" i="518" a="1"/>
  <c r="K215" i="518" s="1"/>
  <c r="M215" i="518" s="1"/>
  <c r="J215" i="518" a="1"/>
  <c r="J215" i="518" s="1"/>
  <c r="H215" i="518"/>
  <c r="V214" i="518"/>
  <c r="W214" i="518" s="1"/>
  <c r="N214" i="518"/>
  <c r="K214" i="518"/>
  <c r="M214" i="518" s="1"/>
  <c r="K214" i="518" a="1"/>
  <c r="J214" i="518"/>
  <c r="J214" i="518" a="1"/>
  <c r="H214" i="518"/>
  <c r="V213" i="518"/>
  <c r="W213" i="518" s="1"/>
  <c r="N213" i="518"/>
  <c r="K213" i="518" a="1"/>
  <c r="K213" i="518" s="1"/>
  <c r="M213" i="518" s="1"/>
  <c r="J213" i="518" a="1"/>
  <c r="J213" i="518" s="1"/>
  <c r="H213" i="518"/>
  <c r="V212" i="518"/>
  <c r="W212" i="518" s="1"/>
  <c r="N212" i="518"/>
  <c r="K212" i="518" a="1"/>
  <c r="K212" i="518" s="1"/>
  <c r="M212" i="518" s="1"/>
  <c r="J212" i="518" a="1"/>
  <c r="J212" i="518" s="1"/>
  <c r="H212" i="518"/>
  <c r="V211" i="518"/>
  <c r="W211" i="518" s="1"/>
  <c r="N211" i="518"/>
  <c r="K211" i="518" a="1"/>
  <c r="K211" i="518" s="1"/>
  <c r="M211" i="518" s="1"/>
  <c r="J211" i="518" a="1"/>
  <c r="J211" i="518" s="1"/>
  <c r="H211" i="518"/>
  <c r="V210" i="518"/>
  <c r="W210" i="518" s="1"/>
  <c r="N210" i="518"/>
  <c r="K210" i="518"/>
  <c r="M210" i="518" s="1"/>
  <c r="K210" i="518" a="1"/>
  <c r="J210" i="518"/>
  <c r="J210" i="518" a="1"/>
  <c r="H210" i="518"/>
  <c r="V209" i="518"/>
  <c r="W209" i="518" s="1"/>
  <c r="N209" i="518"/>
  <c r="K209" i="518" a="1"/>
  <c r="K209" i="518" s="1"/>
  <c r="M209" i="518" s="1"/>
  <c r="J209" i="518" a="1"/>
  <c r="J209" i="518" s="1"/>
  <c r="H209" i="518"/>
  <c r="V208" i="518"/>
  <c r="W208" i="518" s="1"/>
  <c r="N208" i="518"/>
  <c r="K208" i="518" a="1"/>
  <c r="K208" i="518" s="1"/>
  <c r="M208" i="518" s="1"/>
  <c r="J208" i="518" a="1"/>
  <c r="J208" i="518" s="1"/>
  <c r="H208" i="518"/>
  <c r="V207" i="518"/>
  <c r="W207" i="518" s="1"/>
  <c r="N207" i="518"/>
  <c r="K207" i="518" a="1"/>
  <c r="K207" i="518" s="1"/>
  <c r="M207" i="518" s="1"/>
  <c r="J207" i="518" a="1"/>
  <c r="J207" i="518" s="1"/>
  <c r="H207" i="518"/>
  <c r="H206" i="518"/>
  <c r="H205" i="518"/>
  <c r="H204" i="518"/>
  <c r="V203" i="518"/>
  <c r="W203" i="518" s="1"/>
  <c r="N203" i="518"/>
  <c r="K203" i="518" a="1"/>
  <c r="K203" i="518" s="1"/>
  <c r="M203" i="518" s="1"/>
  <c r="J203" i="518" a="1"/>
  <c r="J203" i="518" s="1"/>
  <c r="H203" i="518"/>
  <c r="V202" i="518"/>
  <c r="W202" i="518" s="1"/>
  <c r="N202" i="518"/>
  <c r="K202" i="518"/>
  <c r="M202" i="518" s="1"/>
  <c r="K202" i="518" a="1"/>
  <c r="J202" i="518"/>
  <c r="J202" i="518" a="1"/>
  <c r="H202" i="518"/>
  <c r="V201" i="518"/>
  <c r="W201" i="518" s="1"/>
  <c r="N201" i="518"/>
  <c r="K201" i="518" a="1"/>
  <c r="K201" i="518" s="1"/>
  <c r="M201" i="518" s="1"/>
  <c r="J201" i="518" a="1"/>
  <c r="J201" i="518" s="1"/>
  <c r="H201" i="518"/>
  <c r="H200" i="518"/>
  <c r="V199" i="518"/>
  <c r="V256" i="518" s="1"/>
  <c r="W256" i="518" s="1"/>
  <c r="N199" i="518"/>
  <c r="K199" i="518" a="1"/>
  <c r="K199" i="518" s="1"/>
  <c r="J199" i="518" a="1"/>
  <c r="J199" i="518" s="1"/>
  <c r="H199" i="518"/>
  <c r="AA198" i="518"/>
  <c r="AA333" i="518" s="1"/>
  <c r="Z198" i="518"/>
  <c r="Z333" i="518" s="1"/>
  <c r="Y198" i="518"/>
  <c r="Y333" i="518" s="1"/>
  <c r="X198" i="518"/>
  <c r="X333" i="518" s="1"/>
  <c r="U198" i="518"/>
  <c r="U333" i="518" s="1"/>
  <c r="T198" i="518"/>
  <c r="T333" i="518" s="1"/>
  <c r="S198" i="518"/>
  <c r="S333" i="518" s="1"/>
  <c r="R198" i="518"/>
  <c r="R333" i="518" s="1"/>
  <c r="Q198" i="518"/>
  <c r="Q333" i="518" s="1"/>
  <c r="P198" i="518"/>
  <c r="O198" i="518"/>
  <c r="I198" i="518"/>
  <c r="I333" i="518" s="1"/>
  <c r="B341" i="518" s="1"/>
  <c r="G198" i="518"/>
  <c r="G333" i="518" s="1"/>
  <c r="V197" i="518"/>
  <c r="W197" i="518" s="1"/>
  <c r="N197" i="518"/>
  <c r="K197" i="518" a="1"/>
  <c r="K197" i="518" s="1"/>
  <c r="M197" i="518" s="1"/>
  <c r="J197" i="518" a="1"/>
  <c r="J197" i="518" s="1"/>
  <c r="H197" i="518"/>
  <c r="V196" i="518"/>
  <c r="W196" i="518" s="1"/>
  <c r="N196" i="518"/>
  <c r="K196" i="518"/>
  <c r="M196" i="518" s="1"/>
  <c r="K196" i="518" a="1"/>
  <c r="J196" i="518"/>
  <c r="J196" i="518" a="1"/>
  <c r="H196" i="518"/>
  <c r="K195" i="518" a="1"/>
  <c r="K195" i="518" s="1"/>
  <c r="M195" i="518" s="1"/>
  <c r="H195" i="518"/>
  <c r="K194" i="518" a="1"/>
  <c r="K194" i="518" s="1"/>
  <c r="M194" i="518" s="1"/>
  <c r="H194" i="518"/>
  <c r="K193" i="518" a="1"/>
  <c r="K193" i="518" s="1"/>
  <c r="M193" i="518" s="1"/>
  <c r="H193" i="518"/>
  <c r="K192" i="518" a="1"/>
  <c r="K192" i="518" s="1"/>
  <c r="M192" i="518" s="1"/>
  <c r="H192" i="518"/>
  <c r="V191" i="518"/>
  <c r="W191" i="518" s="1"/>
  <c r="N191" i="518"/>
  <c r="K191" i="518" a="1"/>
  <c r="K191" i="518" s="1"/>
  <c r="M191" i="518" s="1"/>
  <c r="J191" i="518" a="1"/>
  <c r="J191" i="518" s="1"/>
  <c r="H191" i="518"/>
  <c r="V190" i="518"/>
  <c r="W190" i="518" s="1"/>
  <c r="N190" i="518"/>
  <c r="K190" i="518" a="1"/>
  <c r="K190" i="518" s="1"/>
  <c r="M190" i="518" s="1"/>
  <c r="J190" i="518" a="1"/>
  <c r="J190" i="518" s="1"/>
  <c r="H190" i="518"/>
  <c r="V189" i="518"/>
  <c r="W189" i="518" s="1"/>
  <c r="N189" i="518"/>
  <c r="K189" i="518" a="1"/>
  <c r="K189" i="518" s="1"/>
  <c r="M189" i="518" s="1"/>
  <c r="J189" i="518" a="1"/>
  <c r="J189" i="518" s="1"/>
  <c r="H189" i="518"/>
  <c r="N188" i="518"/>
  <c r="K188" i="518"/>
  <c r="M188" i="518" s="1"/>
  <c r="K188" i="518" a="1"/>
  <c r="J188" i="518"/>
  <c r="J188" i="518" a="1"/>
  <c r="H188" i="518"/>
  <c r="N187" i="518"/>
  <c r="K187" i="518" a="1"/>
  <c r="K187" i="518" s="1"/>
  <c r="M187" i="518" s="1"/>
  <c r="J187" i="518" a="1"/>
  <c r="J187" i="518" s="1"/>
  <c r="H187" i="518"/>
  <c r="V186" i="518"/>
  <c r="W186" i="518" s="1"/>
  <c r="N186" i="518"/>
  <c r="K186" i="518" a="1"/>
  <c r="K186" i="518" s="1"/>
  <c r="M186" i="518" s="1"/>
  <c r="J186" i="518" a="1"/>
  <c r="J186" i="518" s="1"/>
  <c r="H186" i="518"/>
  <c r="V185" i="518"/>
  <c r="W185" i="518" s="1"/>
  <c r="N185" i="518"/>
  <c r="K185" i="518" a="1"/>
  <c r="K185" i="518" s="1"/>
  <c r="M185" i="518" s="1"/>
  <c r="J185" i="518" a="1"/>
  <c r="J185" i="518" s="1"/>
  <c r="H185" i="518"/>
  <c r="N184" i="518"/>
  <c r="K184" i="518"/>
  <c r="M184" i="518" s="1"/>
  <c r="K184" i="518" a="1"/>
  <c r="H184" i="518"/>
  <c r="N183" i="518"/>
  <c r="K183" i="518" a="1"/>
  <c r="K183" i="518" s="1"/>
  <c r="M183" i="518" s="1"/>
  <c r="H183" i="518"/>
  <c r="W182" i="518"/>
  <c r="V182" i="518"/>
  <c r="N182" i="518"/>
  <c r="K182" i="518" a="1"/>
  <c r="K182" i="518" s="1"/>
  <c r="M182" i="518" s="1"/>
  <c r="J182" i="518" a="1"/>
  <c r="J182" i="518" s="1"/>
  <c r="H182" i="518"/>
  <c r="V181" i="518"/>
  <c r="W181" i="518" s="1"/>
  <c r="N181" i="518"/>
  <c r="K181" i="518" a="1"/>
  <c r="K181" i="518" s="1"/>
  <c r="M181" i="518" s="1"/>
  <c r="J181" i="518" a="1"/>
  <c r="J181" i="518" s="1"/>
  <c r="H181" i="518"/>
  <c r="V180" i="518"/>
  <c r="W180" i="518" s="1"/>
  <c r="N180" i="518"/>
  <c r="K180" i="518"/>
  <c r="M180" i="518" s="1"/>
  <c r="K180" i="518" a="1"/>
  <c r="J180" i="518"/>
  <c r="J180" i="518" a="1"/>
  <c r="H180" i="518"/>
  <c r="V179" i="518"/>
  <c r="W179" i="518" s="1"/>
  <c r="N179" i="518"/>
  <c r="K179" i="518" a="1"/>
  <c r="K179" i="518" s="1"/>
  <c r="M179" i="518" s="1"/>
  <c r="J179" i="518" a="1"/>
  <c r="J179" i="518" s="1"/>
  <c r="H179" i="518"/>
  <c r="V178" i="518"/>
  <c r="W178" i="518" s="1"/>
  <c r="N178" i="518"/>
  <c r="K178" i="518" a="1"/>
  <c r="K178" i="518" s="1"/>
  <c r="M178" i="518" s="1"/>
  <c r="J178" i="518" a="1"/>
  <c r="J178" i="518" s="1"/>
  <c r="H178" i="518"/>
  <c r="V177" i="518"/>
  <c r="N177" i="518"/>
  <c r="K177" i="518" a="1"/>
  <c r="K177" i="518" s="1"/>
  <c r="J177" i="518" a="1"/>
  <c r="J177" i="518" s="1"/>
  <c r="H177" i="518"/>
  <c r="X170" i="518"/>
  <c r="Q526" i="518" s="1"/>
  <c r="X169" i="518"/>
  <c r="Q525" i="518" s="1"/>
  <c r="G169" i="518"/>
  <c r="C169" i="518"/>
  <c r="X168" i="518"/>
  <c r="Q524" i="518" s="1"/>
  <c r="I168" i="518"/>
  <c r="E168" i="518"/>
  <c r="K168" i="518" s="1"/>
  <c r="M168" i="518" s="1"/>
  <c r="I167" i="518"/>
  <c r="E167" i="518"/>
  <c r="K167" i="518" s="1"/>
  <c r="M167" i="518" s="1"/>
  <c r="I166" i="518"/>
  <c r="E166" i="518"/>
  <c r="K166" i="518" s="1"/>
  <c r="M166" i="518" s="1"/>
  <c r="X165" i="518"/>
  <c r="Q521" i="518" s="1"/>
  <c r="I165" i="518"/>
  <c r="I169" i="518" s="1"/>
  <c r="E165" i="518"/>
  <c r="E169" i="518" s="1"/>
  <c r="AA162" i="518"/>
  <c r="Z162" i="518"/>
  <c r="Y162" i="518"/>
  <c r="X162" i="518"/>
  <c r="U162" i="518"/>
  <c r="T162" i="518"/>
  <c r="S162" i="518"/>
  <c r="R162" i="518"/>
  <c r="Q162" i="518"/>
  <c r="P162" i="518"/>
  <c r="O162" i="518"/>
  <c r="I162" i="518"/>
  <c r="G162" i="518"/>
  <c r="C526" i="518" s="1"/>
  <c r="H161" i="518"/>
  <c r="H160" i="518"/>
  <c r="H159" i="518"/>
  <c r="V158" i="518"/>
  <c r="W158" i="518" s="1"/>
  <c r="N158" i="518"/>
  <c r="K158" i="518"/>
  <c r="K158" i="518" a="1"/>
  <c r="J158" i="518" a="1"/>
  <c r="J158" i="518" s="1"/>
  <c r="H158" i="518"/>
  <c r="D158" i="518"/>
  <c r="V157" i="518"/>
  <c r="W157" i="518" s="1"/>
  <c r="N157" i="518"/>
  <c r="K157" i="518" a="1"/>
  <c r="K157" i="518" s="1"/>
  <c r="M157" i="518" s="1"/>
  <c r="J157" i="518" a="1"/>
  <c r="J157" i="518" s="1"/>
  <c r="H157" i="518"/>
  <c r="H156" i="518"/>
  <c r="H155" i="518"/>
  <c r="V154" i="518"/>
  <c r="W154" i="518" s="1"/>
  <c r="N154" i="518"/>
  <c r="K154" i="518" a="1"/>
  <c r="K154" i="518" s="1"/>
  <c r="M154" i="518" s="1"/>
  <c r="J154" i="518" a="1"/>
  <c r="J154" i="518" s="1"/>
  <c r="H154" i="518"/>
  <c r="V153" i="518"/>
  <c r="W153" i="518" s="1"/>
  <c r="N153" i="518"/>
  <c r="K153" i="518"/>
  <c r="M153" i="518" s="1"/>
  <c r="K153" i="518" a="1"/>
  <c r="J153" i="518"/>
  <c r="J153" i="518" a="1"/>
  <c r="H153" i="518"/>
  <c r="H152" i="518"/>
  <c r="V151" i="518"/>
  <c r="W151" i="518" s="1"/>
  <c r="N151" i="518"/>
  <c r="K151" i="518" a="1"/>
  <c r="K151" i="518" s="1"/>
  <c r="M151" i="518" s="1"/>
  <c r="J151" i="518" a="1"/>
  <c r="J151" i="518" s="1"/>
  <c r="H151" i="518"/>
  <c r="V150" i="518"/>
  <c r="W150" i="518" s="1"/>
  <c r="N150" i="518"/>
  <c r="K150" i="518" a="1"/>
  <c r="K150" i="518" s="1"/>
  <c r="M150" i="518" s="1"/>
  <c r="J150" i="518" a="1"/>
  <c r="J150" i="518" s="1"/>
  <c r="H150" i="518"/>
  <c r="V149" i="518"/>
  <c r="W149" i="518" s="1"/>
  <c r="N149" i="518"/>
  <c r="K149" i="518" a="1"/>
  <c r="K149" i="518" s="1"/>
  <c r="M149" i="518" s="1"/>
  <c r="J149" i="518" a="1"/>
  <c r="J149" i="518" s="1"/>
  <c r="H149" i="518"/>
  <c r="V148" i="518"/>
  <c r="W148" i="518" s="1"/>
  <c r="N148" i="518"/>
  <c r="N162" i="518" s="1"/>
  <c r="K148" i="518" a="1"/>
  <c r="K148" i="518" s="1"/>
  <c r="J148" i="518" a="1"/>
  <c r="J148" i="518" s="1"/>
  <c r="H148" i="518"/>
  <c r="H162" i="518" s="1"/>
  <c r="AA147" i="518"/>
  <c r="Z147" i="518"/>
  <c r="Y147" i="518"/>
  <c r="X147" i="518"/>
  <c r="U147" i="518"/>
  <c r="T147" i="518"/>
  <c r="S147" i="518"/>
  <c r="Q147" i="518"/>
  <c r="P147" i="518"/>
  <c r="O147" i="518"/>
  <c r="R169" i="518" s="1"/>
  <c r="I147" i="518"/>
  <c r="G147" i="518"/>
  <c r="C525" i="518" s="1"/>
  <c r="W146" i="518"/>
  <c r="V146" i="518"/>
  <c r="N146" i="518"/>
  <c r="K146" i="518" a="1"/>
  <c r="K146" i="518" s="1"/>
  <c r="M146" i="518" s="1"/>
  <c r="J146" i="518" a="1"/>
  <c r="J146" i="518" s="1"/>
  <c r="H146" i="518"/>
  <c r="H143" i="518"/>
  <c r="V142" i="518"/>
  <c r="W142" i="518" s="1"/>
  <c r="N142" i="518"/>
  <c r="K142" i="518" a="1"/>
  <c r="K142" i="518" s="1"/>
  <c r="M142" i="518" s="1"/>
  <c r="J142" i="518" a="1"/>
  <c r="J142" i="518" s="1"/>
  <c r="H142" i="518"/>
  <c r="V141" i="518"/>
  <c r="W141" i="518" s="1"/>
  <c r="N141" i="518"/>
  <c r="K141" i="518" a="1"/>
  <c r="K141" i="518" s="1"/>
  <c r="M141" i="518" s="1"/>
  <c r="J141" i="518" a="1"/>
  <c r="J141" i="518" s="1"/>
  <c r="H141" i="518"/>
  <c r="V140" i="518"/>
  <c r="W140" i="518" s="1"/>
  <c r="N140" i="518"/>
  <c r="K140" i="518"/>
  <c r="M140" i="518" s="1"/>
  <c r="K140" i="518" a="1"/>
  <c r="J140" i="518"/>
  <c r="J140" i="518" a="1"/>
  <c r="H140" i="518"/>
  <c r="V139" i="518"/>
  <c r="W139" i="518" s="1"/>
  <c r="N139" i="518"/>
  <c r="K139" i="518" a="1"/>
  <c r="K139" i="518" s="1"/>
  <c r="M139" i="518" s="1"/>
  <c r="J139" i="518" a="1"/>
  <c r="J139" i="518" s="1"/>
  <c r="H139" i="518"/>
  <c r="V138" i="518"/>
  <c r="V147" i="518" s="1"/>
  <c r="N138" i="518"/>
  <c r="K138" i="518" a="1"/>
  <c r="K138" i="518" s="1"/>
  <c r="M138" i="518" s="1"/>
  <c r="J138" i="518" a="1"/>
  <c r="J138" i="518" s="1"/>
  <c r="H138" i="518"/>
  <c r="H147" i="518" s="1"/>
  <c r="AA137" i="518"/>
  <c r="Z137" i="518"/>
  <c r="Y137" i="518"/>
  <c r="X137" i="518"/>
  <c r="U137" i="518"/>
  <c r="T137" i="518"/>
  <c r="S137" i="518"/>
  <c r="Q137" i="518"/>
  <c r="P137" i="518"/>
  <c r="O137" i="518"/>
  <c r="R168" i="518" s="1"/>
  <c r="I137" i="518"/>
  <c r="G137" i="518"/>
  <c r="C524" i="518" s="1"/>
  <c r="V136" i="518"/>
  <c r="W136" i="518" s="1"/>
  <c r="N136" i="518"/>
  <c r="K136" i="518" a="1"/>
  <c r="K136" i="518" s="1"/>
  <c r="M136" i="518" s="1"/>
  <c r="J136" i="518" a="1"/>
  <c r="J136" i="518" s="1"/>
  <c r="H136" i="518"/>
  <c r="V135" i="518"/>
  <c r="W135" i="518" s="1"/>
  <c r="N135" i="518"/>
  <c r="K135" i="518" a="1"/>
  <c r="K135" i="518" s="1"/>
  <c r="M135" i="518" s="1"/>
  <c r="J135" i="518" a="1"/>
  <c r="J135" i="518" s="1"/>
  <c r="H135" i="518"/>
  <c r="V134" i="518"/>
  <c r="W134" i="518" s="1"/>
  <c r="N134" i="518"/>
  <c r="K134" i="518" a="1"/>
  <c r="K134" i="518" s="1"/>
  <c r="M134" i="518" s="1"/>
  <c r="J134" i="518" a="1"/>
  <c r="J134" i="518" s="1"/>
  <c r="H134" i="518"/>
  <c r="V133" i="518"/>
  <c r="W133" i="518" s="1"/>
  <c r="N133" i="518"/>
  <c r="K133" i="518"/>
  <c r="M133" i="518" s="1"/>
  <c r="K133" i="518" a="1"/>
  <c r="J133" i="518"/>
  <c r="J133" i="518" a="1"/>
  <c r="H133" i="518"/>
  <c r="V132" i="518"/>
  <c r="W132" i="518" s="1"/>
  <c r="N132" i="518"/>
  <c r="K132" i="518" a="1"/>
  <c r="K132" i="518" s="1"/>
  <c r="M132" i="518" s="1"/>
  <c r="J132" i="518" a="1"/>
  <c r="J132" i="518" s="1"/>
  <c r="H132" i="518"/>
  <c r="V131" i="518"/>
  <c r="W131" i="518" s="1"/>
  <c r="N131" i="518"/>
  <c r="K131" i="518" a="1"/>
  <c r="K131" i="518" s="1"/>
  <c r="M131" i="518" s="1"/>
  <c r="J131" i="518" a="1"/>
  <c r="J131" i="518" s="1"/>
  <c r="H131" i="518"/>
  <c r="V130" i="518"/>
  <c r="W130" i="518" s="1"/>
  <c r="N130" i="518"/>
  <c r="K130" i="518" a="1"/>
  <c r="K130" i="518" s="1"/>
  <c r="M130" i="518" s="1"/>
  <c r="J130" i="518" a="1"/>
  <c r="J130" i="518" s="1"/>
  <c r="H130" i="518"/>
  <c r="V129" i="518"/>
  <c r="W129" i="518" s="1"/>
  <c r="N129" i="518"/>
  <c r="K129" i="518"/>
  <c r="M129" i="518" s="1"/>
  <c r="K129" i="518" a="1"/>
  <c r="J129" i="518"/>
  <c r="J129" i="518" a="1"/>
  <c r="H129" i="518"/>
  <c r="V128" i="518"/>
  <c r="W128" i="518" s="1"/>
  <c r="N128" i="518"/>
  <c r="K128" i="518" a="1"/>
  <c r="K128" i="518" s="1"/>
  <c r="M128" i="518" s="1"/>
  <c r="J128" i="518" a="1"/>
  <c r="J128" i="518" s="1"/>
  <c r="H128" i="518"/>
  <c r="V127" i="518"/>
  <c r="W127" i="518" s="1"/>
  <c r="N127" i="518"/>
  <c r="K127" i="518" a="1"/>
  <c r="K127" i="518" s="1"/>
  <c r="M127" i="518" s="1"/>
  <c r="J127" i="518" a="1"/>
  <c r="J127" i="518" s="1"/>
  <c r="H127" i="518"/>
  <c r="V126" i="518"/>
  <c r="W126" i="518" s="1"/>
  <c r="N126" i="518"/>
  <c r="K126" i="518" a="1"/>
  <c r="K126" i="518" s="1"/>
  <c r="M126" i="518" s="1"/>
  <c r="J126" i="518" a="1"/>
  <c r="J126" i="518" s="1"/>
  <c r="H126" i="518"/>
  <c r="V125" i="518"/>
  <c r="W125" i="518" s="1"/>
  <c r="N125" i="518"/>
  <c r="K125" i="518"/>
  <c r="M125" i="518" s="1"/>
  <c r="K125" i="518" a="1"/>
  <c r="J125" i="518"/>
  <c r="J125" i="518" a="1"/>
  <c r="H125" i="518"/>
  <c r="V124" i="518"/>
  <c r="W124" i="518" s="1"/>
  <c r="N124" i="518"/>
  <c r="K124" i="518" a="1"/>
  <c r="K124" i="518" s="1"/>
  <c r="M124" i="518" s="1"/>
  <c r="J124" i="518" a="1"/>
  <c r="J124" i="518" s="1"/>
  <c r="H124" i="518"/>
  <c r="V123" i="518"/>
  <c r="W123" i="518" s="1"/>
  <c r="N123" i="518"/>
  <c r="K123" i="518" a="1"/>
  <c r="K123" i="518" s="1"/>
  <c r="M123" i="518" s="1"/>
  <c r="J123" i="518" a="1"/>
  <c r="J123" i="518" s="1"/>
  <c r="H123" i="518"/>
  <c r="V122" i="518"/>
  <c r="W122" i="518" s="1"/>
  <c r="N122" i="518"/>
  <c r="K122" i="518" a="1"/>
  <c r="K122" i="518" s="1"/>
  <c r="J122" i="518" a="1"/>
  <c r="J122" i="518" s="1"/>
  <c r="H122" i="518"/>
  <c r="AA121" i="518"/>
  <c r="Z121" i="518"/>
  <c r="Y121" i="518"/>
  <c r="X121" i="518"/>
  <c r="U121" i="518"/>
  <c r="T121" i="518"/>
  <c r="S121" i="518"/>
  <c r="R121" i="518"/>
  <c r="Q121" i="518"/>
  <c r="P121" i="518"/>
  <c r="O121" i="518"/>
  <c r="R167" i="518" s="1"/>
  <c r="I121" i="518"/>
  <c r="G121" i="518"/>
  <c r="C523" i="518" s="1"/>
  <c r="V120" i="518"/>
  <c r="W120" i="518" s="1"/>
  <c r="N120" i="518"/>
  <c r="K120" i="518" a="1"/>
  <c r="K120" i="518" s="1"/>
  <c r="M120" i="518" s="1"/>
  <c r="J120" i="518" a="1"/>
  <c r="J120" i="518" s="1"/>
  <c r="H120" i="518"/>
  <c r="V119" i="518"/>
  <c r="W119" i="518" s="1"/>
  <c r="N119" i="518"/>
  <c r="K119" i="518"/>
  <c r="M119" i="518" s="1"/>
  <c r="K119" i="518" a="1"/>
  <c r="J119" i="518" a="1"/>
  <c r="J119" i="518" s="1"/>
  <c r="H119" i="518"/>
  <c r="V118" i="518"/>
  <c r="W118" i="518" s="1"/>
  <c r="N118" i="518"/>
  <c r="K118" i="518" a="1"/>
  <c r="K118" i="518" s="1"/>
  <c r="M118" i="518" s="1"/>
  <c r="J118" i="518" a="1"/>
  <c r="J118" i="518" s="1"/>
  <c r="H118" i="518"/>
  <c r="K117" i="518" a="1"/>
  <c r="K117" i="518" s="1"/>
  <c r="H117" i="518"/>
  <c r="K116" i="518" a="1"/>
  <c r="K116" i="518" s="1"/>
  <c r="H116" i="518"/>
  <c r="K115" i="518" a="1"/>
  <c r="K115" i="518" s="1"/>
  <c r="H115" i="518"/>
  <c r="V114" i="518"/>
  <c r="W114" i="518" s="1"/>
  <c r="N114" i="518"/>
  <c r="K114" i="518" a="1"/>
  <c r="K114" i="518" s="1"/>
  <c r="M114" i="518" s="1"/>
  <c r="H114" i="518"/>
  <c r="V113" i="518"/>
  <c r="W113" i="518" s="1"/>
  <c r="N113" i="518"/>
  <c r="K113" i="518" a="1"/>
  <c r="K113" i="518" s="1"/>
  <c r="M113" i="518" s="1"/>
  <c r="H113" i="518"/>
  <c r="N112" i="518"/>
  <c r="K112" i="518" a="1"/>
  <c r="K112" i="518" s="1"/>
  <c r="M112" i="518" s="1"/>
  <c r="H112" i="518"/>
  <c r="N111" i="518"/>
  <c r="K111" i="518" a="1"/>
  <c r="K111" i="518" s="1"/>
  <c r="M111" i="518" s="1"/>
  <c r="H111" i="518"/>
  <c r="N110" i="518"/>
  <c r="K110" i="518" a="1"/>
  <c r="K110" i="518" s="1"/>
  <c r="M110" i="518" s="1"/>
  <c r="H110" i="518"/>
  <c r="N109" i="518"/>
  <c r="K109" i="518"/>
  <c r="M109" i="518" s="1"/>
  <c r="K109" i="518" a="1"/>
  <c r="H109" i="518"/>
  <c r="N108" i="518"/>
  <c r="K108" i="518" a="1"/>
  <c r="K108" i="518" s="1"/>
  <c r="M108" i="518" s="1"/>
  <c r="H108" i="518"/>
  <c r="N107" i="518"/>
  <c r="K107" i="518" a="1"/>
  <c r="K107" i="518" s="1"/>
  <c r="M107" i="518" s="1"/>
  <c r="H107" i="518"/>
  <c r="V106" i="518"/>
  <c r="W106" i="518" s="1"/>
  <c r="N106" i="518"/>
  <c r="K106" i="518" a="1"/>
  <c r="K106" i="518" s="1"/>
  <c r="M106" i="518" s="1"/>
  <c r="H106" i="518"/>
  <c r="V105" i="518"/>
  <c r="W105" i="518" s="1"/>
  <c r="N105" i="518"/>
  <c r="K105" i="518"/>
  <c r="M105" i="518" s="1"/>
  <c r="K105" i="518" a="1"/>
  <c r="H105" i="518"/>
  <c r="V104" i="518"/>
  <c r="W104" i="518" s="1"/>
  <c r="N104" i="518"/>
  <c r="K104" i="518" a="1"/>
  <c r="K104" i="518" s="1"/>
  <c r="M104" i="518" s="1"/>
  <c r="H104" i="518"/>
  <c r="V103" i="518"/>
  <c r="W103" i="518" s="1"/>
  <c r="N103" i="518"/>
  <c r="K103" i="518" a="1"/>
  <c r="K103" i="518" s="1"/>
  <c r="M103" i="518" s="1"/>
  <c r="H103" i="518"/>
  <c r="V102" i="518"/>
  <c r="W102" i="518" s="1"/>
  <c r="N102" i="518"/>
  <c r="K102" i="518" a="1"/>
  <c r="K102" i="518" s="1"/>
  <c r="M102" i="518" s="1"/>
  <c r="H102" i="518"/>
  <c r="V101" i="518"/>
  <c r="W101" i="518" s="1"/>
  <c r="N101" i="518"/>
  <c r="K101" i="518"/>
  <c r="M101" i="518" s="1"/>
  <c r="K101" i="518" a="1"/>
  <c r="H101" i="518"/>
  <c r="V100" i="518"/>
  <c r="W100" i="518" s="1"/>
  <c r="N100" i="518"/>
  <c r="K100" i="518" a="1"/>
  <c r="K100" i="518" s="1"/>
  <c r="M100" i="518" s="1"/>
  <c r="H100" i="518"/>
  <c r="V99" i="518"/>
  <c r="W99" i="518" s="1"/>
  <c r="N99" i="518"/>
  <c r="K99" i="518" a="1"/>
  <c r="K99" i="518" s="1"/>
  <c r="M99" i="518" s="1"/>
  <c r="H99" i="518"/>
  <c r="V98" i="518"/>
  <c r="W98" i="518" s="1"/>
  <c r="N98" i="518"/>
  <c r="K98" i="518" a="1"/>
  <c r="K98" i="518" s="1"/>
  <c r="M98" i="518" s="1"/>
  <c r="H98" i="518"/>
  <c r="V97" i="518"/>
  <c r="W97" i="518" s="1"/>
  <c r="N97" i="518"/>
  <c r="K97" i="518"/>
  <c r="M97" i="518" s="1"/>
  <c r="K97" i="518" a="1"/>
  <c r="H97" i="518"/>
  <c r="V96" i="518"/>
  <c r="W96" i="518" s="1"/>
  <c r="N96" i="518"/>
  <c r="K96" i="518" a="1"/>
  <c r="K96" i="518" s="1"/>
  <c r="M96" i="518" s="1"/>
  <c r="H96" i="518"/>
  <c r="V95" i="518"/>
  <c r="W95" i="518" s="1"/>
  <c r="N95" i="518"/>
  <c r="K95" i="518" a="1"/>
  <c r="K95" i="518" s="1"/>
  <c r="M95" i="518" s="1"/>
  <c r="H95" i="518"/>
  <c r="K94" i="518" a="1"/>
  <c r="K94" i="518" s="1"/>
  <c r="M94" i="518" s="1"/>
  <c r="H94" i="518"/>
  <c r="V93" i="518"/>
  <c r="W93" i="518" s="1"/>
  <c r="N93" i="518"/>
  <c r="K93" i="518" a="1"/>
  <c r="K93" i="518" s="1"/>
  <c r="M93" i="518" s="1"/>
  <c r="J93" i="518" a="1"/>
  <c r="J93" i="518" s="1"/>
  <c r="H93" i="518"/>
  <c r="V92" i="518"/>
  <c r="W92" i="518" s="1"/>
  <c r="N92" i="518"/>
  <c r="K92" i="518"/>
  <c r="M92" i="518" s="1"/>
  <c r="K92" i="518" a="1"/>
  <c r="J92" i="518"/>
  <c r="J92" i="518" a="1"/>
  <c r="H92" i="518"/>
  <c r="V91" i="518"/>
  <c r="W91" i="518" s="1"/>
  <c r="N91" i="518"/>
  <c r="K91" i="518" a="1"/>
  <c r="K91" i="518" s="1"/>
  <c r="M91" i="518" s="1"/>
  <c r="J91" i="518" a="1"/>
  <c r="J91" i="518" s="1"/>
  <c r="H91" i="518"/>
  <c r="V90" i="518"/>
  <c r="W90" i="518" s="1"/>
  <c r="N90" i="518"/>
  <c r="K90" i="518" a="1"/>
  <c r="K90" i="518" s="1"/>
  <c r="M90" i="518" s="1"/>
  <c r="J90" i="518" a="1"/>
  <c r="J90" i="518" s="1"/>
  <c r="H90" i="518"/>
  <c r="V89" i="518"/>
  <c r="W89" i="518" s="1"/>
  <c r="N89" i="518"/>
  <c r="K89" i="518" a="1"/>
  <c r="K89" i="518" s="1"/>
  <c r="M89" i="518" s="1"/>
  <c r="J89" i="518" a="1"/>
  <c r="J89" i="518" s="1"/>
  <c r="H89" i="518"/>
  <c r="V88" i="518"/>
  <c r="W88" i="518" s="1"/>
  <c r="N88" i="518"/>
  <c r="K88" i="518"/>
  <c r="M88" i="518" s="1"/>
  <c r="K88" i="518" a="1"/>
  <c r="J88" i="518"/>
  <c r="J88" i="518" a="1"/>
  <c r="H88" i="518"/>
  <c r="V87" i="518"/>
  <c r="N87" i="518"/>
  <c r="K87" i="518" a="1"/>
  <c r="K87" i="518" s="1"/>
  <c r="J87" i="518" a="1"/>
  <c r="J87" i="518" s="1"/>
  <c r="H87" i="518"/>
  <c r="H121" i="518" s="1"/>
  <c r="AA86" i="518"/>
  <c r="Z86" i="518"/>
  <c r="Y86" i="518"/>
  <c r="X86" i="518"/>
  <c r="U86" i="518"/>
  <c r="T86" i="518"/>
  <c r="S86" i="518"/>
  <c r="R86" i="518"/>
  <c r="Q86" i="518"/>
  <c r="P86" i="518"/>
  <c r="O86" i="518"/>
  <c r="R166" i="518" s="1"/>
  <c r="I86" i="518"/>
  <c r="G86" i="518"/>
  <c r="C522" i="518" s="1"/>
  <c r="K85" i="518" a="1"/>
  <c r="K85" i="518" s="1"/>
  <c r="H85" i="518"/>
  <c r="K84" i="518" a="1"/>
  <c r="K84" i="518" s="1"/>
  <c r="H84" i="518"/>
  <c r="K83" i="518" a="1"/>
  <c r="K83" i="518" s="1"/>
  <c r="H83" i="518"/>
  <c r="K82" i="518"/>
  <c r="K82" i="518" a="1"/>
  <c r="H82" i="518"/>
  <c r="K81" i="518" a="1"/>
  <c r="K81" i="518" s="1"/>
  <c r="H81" i="518"/>
  <c r="K80" i="518" a="1"/>
  <c r="K80" i="518" s="1"/>
  <c r="H80" i="518"/>
  <c r="K79" i="518"/>
  <c r="M79" i="518" s="1"/>
  <c r="K79" i="518" a="1"/>
  <c r="H79" i="518"/>
  <c r="K78" i="518" a="1"/>
  <c r="K78" i="518" s="1"/>
  <c r="M78" i="518" s="1"/>
  <c r="H78" i="518"/>
  <c r="K77" i="518"/>
  <c r="M77" i="518" s="1"/>
  <c r="K77" i="518" a="1"/>
  <c r="H77" i="518"/>
  <c r="K76" i="518" a="1"/>
  <c r="K76" i="518" s="1"/>
  <c r="M76" i="518" s="1"/>
  <c r="H76" i="518"/>
  <c r="V75" i="518"/>
  <c r="W75" i="518" s="1"/>
  <c r="N75" i="518"/>
  <c r="K75" i="518" a="1"/>
  <c r="K75" i="518" s="1"/>
  <c r="M75" i="518" s="1"/>
  <c r="J75" i="518" a="1"/>
  <c r="J75" i="518" s="1"/>
  <c r="H75" i="518"/>
  <c r="V74" i="518"/>
  <c r="W74" i="518" s="1"/>
  <c r="N74" i="518"/>
  <c r="K74" i="518"/>
  <c r="M74" i="518" s="1"/>
  <c r="K74" i="518" a="1"/>
  <c r="J74" i="518"/>
  <c r="J74" i="518" a="1"/>
  <c r="H74" i="518"/>
  <c r="V73" i="518"/>
  <c r="W73" i="518" s="1"/>
  <c r="N73" i="518"/>
  <c r="K73" i="518" a="1"/>
  <c r="K73" i="518" s="1"/>
  <c r="M73" i="518" s="1"/>
  <c r="J73" i="518" a="1"/>
  <c r="J73" i="518" s="1"/>
  <c r="H73" i="518"/>
  <c r="V72" i="518"/>
  <c r="W72" i="518" s="1"/>
  <c r="N72" i="518"/>
  <c r="K72" i="518" a="1"/>
  <c r="K72" i="518" s="1"/>
  <c r="M72" i="518" s="1"/>
  <c r="J72" i="518" a="1"/>
  <c r="J72" i="518" s="1"/>
  <c r="H72" i="518"/>
  <c r="H71" i="518"/>
  <c r="V70" i="518"/>
  <c r="W70" i="518" s="1"/>
  <c r="N70" i="518"/>
  <c r="K70" i="518"/>
  <c r="M70" i="518" s="1"/>
  <c r="K70" i="518" a="1"/>
  <c r="J70" i="518"/>
  <c r="J70" i="518" a="1"/>
  <c r="H70" i="518"/>
  <c r="V69" i="518"/>
  <c r="W69" i="518" s="1"/>
  <c r="N69" i="518"/>
  <c r="K69" i="518" a="1"/>
  <c r="K69" i="518" s="1"/>
  <c r="M69" i="518" s="1"/>
  <c r="J69" i="518" a="1"/>
  <c r="J69" i="518" s="1"/>
  <c r="H69" i="518"/>
  <c r="K68" i="518"/>
  <c r="K68" i="518" a="1"/>
  <c r="H68" i="518"/>
  <c r="K67" i="518" a="1"/>
  <c r="K67" i="518" s="1"/>
  <c r="H67" i="518"/>
  <c r="V66" i="518"/>
  <c r="W66" i="518" s="1"/>
  <c r="N66" i="518"/>
  <c r="K66" i="518"/>
  <c r="M66" i="518" s="1"/>
  <c r="K66" i="518" a="1"/>
  <c r="J66" i="518"/>
  <c r="J66" i="518" a="1"/>
  <c r="H66" i="518"/>
  <c r="V65" i="518"/>
  <c r="W65" i="518" s="1"/>
  <c r="N65" i="518"/>
  <c r="K65" i="518" a="1"/>
  <c r="K65" i="518" s="1"/>
  <c r="M65" i="518" s="1"/>
  <c r="J65" i="518" a="1"/>
  <c r="J65" i="518" s="1"/>
  <c r="H65" i="518"/>
  <c r="V64" i="518"/>
  <c r="W64" i="518" s="1"/>
  <c r="N64" i="518"/>
  <c r="K64" i="518" a="1"/>
  <c r="K64" i="518" s="1"/>
  <c r="M64" i="518" s="1"/>
  <c r="J64" i="518" a="1"/>
  <c r="J64" i="518" s="1"/>
  <c r="H64" i="518"/>
  <c r="V63" i="518"/>
  <c r="W63" i="518" s="1"/>
  <c r="N63" i="518"/>
  <c r="K63" i="518" a="1"/>
  <c r="K63" i="518" s="1"/>
  <c r="M63" i="518" s="1"/>
  <c r="J63" i="518" a="1"/>
  <c r="J63" i="518" s="1"/>
  <c r="H63" i="518"/>
  <c r="V62" i="518"/>
  <c r="W62" i="518" s="1"/>
  <c r="N62" i="518"/>
  <c r="K62" i="518"/>
  <c r="M62" i="518" s="1"/>
  <c r="K62" i="518" a="1"/>
  <c r="J62" i="518"/>
  <c r="J62" i="518" a="1"/>
  <c r="H62" i="518"/>
  <c r="V61" i="518"/>
  <c r="W61" i="518" s="1"/>
  <c r="N61" i="518"/>
  <c r="K61" i="518" a="1"/>
  <c r="K61" i="518" s="1"/>
  <c r="M61" i="518" s="1"/>
  <c r="J61" i="518" a="1"/>
  <c r="J61" i="518" s="1"/>
  <c r="H61" i="518"/>
  <c r="V60" i="518"/>
  <c r="W60" i="518" s="1"/>
  <c r="N60" i="518"/>
  <c r="K60" i="518" a="1"/>
  <c r="K60" i="518" s="1"/>
  <c r="M60" i="518" s="1"/>
  <c r="J60" i="518" a="1"/>
  <c r="J60" i="518" s="1"/>
  <c r="H60" i="518"/>
  <c r="V59" i="518"/>
  <c r="W59" i="518" s="1"/>
  <c r="N59" i="518"/>
  <c r="K59" i="518" a="1"/>
  <c r="K59" i="518" s="1"/>
  <c r="M59" i="518" s="1"/>
  <c r="J59" i="518" a="1"/>
  <c r="J59" i="518" s="1"/>
  <c r="H59" i="518"/>
  <c r="V58" i="518"/>
  <c r="W58" i="518" s="1"/>
  <c r="N58" i="518"/>
  <c r="K58" i="518"/>
  <c r="M58" i="518" s="1"/>
  <c r="K58" i="518" a="1"/>
  <c r="J58" i="518"/>
  <c r="J58" i="518" a="1"/>
  <c r="H58" i="518"/>
  <c r="V57" i="518"/>
  <c r="W57" i="518" s="1"/>
  <c r="N57" i="518"/>
  <c r="K57" i="518" a="1"/>
  <c r="K57" i="518" s="1"/>
  <c r="M57" i="518" s="1"/>
  <c r="J57" i="518" a="1"/>
  <c r="J57" i="518" s="1"/>
  <c r="H57" i="518"/>
  <c r="K56" i="518" a="1"/>
  <c r="K56" i="518" s="1"/>
  <c r="M56" i="518" s="1"/>
  <c r="H56" i="518"/>
  <c r="K55" i="518" a="1"/>
  <c r="K55" i="518" s="1"/>
  <c r="M55" i="518" s="1"/>
  <c r="H55" i="518"/>
  <c r="K54" i="518" a="1"/>
  <c r="K54" i="518" s="1"/>
  <c r="M54" i="518" s="1"/>
  <c r="H54" i="518"/>
  <c r="K53" i="518" a="1"/>
  <c r="K53" i="518" s="1"/>
  <c r="M53" i="518" s="1"/>
  <c r="H53" i="518"/>
  <c r="N52" i="518"/>
  <c r="K52" i="518" a="1"/>
  <c r="K52" i="518" s="1"/>
  <c r="M52" i="518" s="1"/>
  <c r="H52" i="518"/>
  <c r="N51" i="518"/>
  <c r="K51" i="518" a="1"/>
  <c r="K51" i="518" s="1"/>
  <c r="M51" i="518" s="1"/>
  <c r="H51" i="518"/>
  <c r="N50" i="518"/>
  <c r="K50" i="518"/>
  <c r="M50" i="518" s="1"/>
  <c r="K50" i="518" a="1"/>
  <c r="H50" i="518"/>
  <c r="N49" i="518"/>
  <c r="K49" i="518" a="1"/>
  <c r="K49" i="518" s="1"/>
  <c r="M49" i="518" s="1"/>
  <c r="H49" i="518"/>
  <c r="V48" i="518"/>
  <c r="W48" i="518" s="1"/>
  <c r="N48" i="518"/>
  <c r="K48" i="518" a="1"/>
  <c r="K48" i="518" s="1"/>
  <c r="M48" i="518" s="1"/>
  <c r="J48" i="518" a="1"/>
  <c r="J48" i="518" s="1"/>
  <c r="H48" i="518"/>
  <c r="V47" i="518"/>
  <c r="W47" i="518" s="1"/>
  <c r="N47" i="518"/>
  <c r="K47" i="518" a="1"/>
  <c r="K47" i="518" s="1"/>
  <c r="M47" i="518" s="1"/>
  <c r="J47" i="518" a="1"/>
  <c r="J47" i="518" s="1"/>
  <c r="H47" i="518"/>
  <c r="V46" i="518"/>
  <c r="W46" i="518" s="1"/>
  <c r="N46" i="518"/>
  <c r="K46" i="518"/>
  <c r="M46" i="518" s="1"/>
  <c r="K46" i="518" a="1"/>
  <c r="J46" i="518"/>
  <c r="J46" i="518" a="1"/>
  <c r="H46" i="518"/>
  <c r="V45" i="518"/>
  <c r="W45" i="518" s="1"/>
  <c r="N45" i="518"/>
  <c r="K45" i="518" a="1"/>
  <c r="K45" i="518" s="1"/>
  <c r="M45" i="518" s="1"/>
  <c r="J45" i="518" a="1"/>
  <c r="J45" i="518" s="1"/>
  <c r="H45" i="518"/>
  <c r="V44" i="518"/>
  <c r="W44" i="518" s="1"/>
  <c r="N44" i="518"/>
  <c r="K44" i="518" a="1"/>
  <c r="K44" i="518" s="1"/>
  <c r="M44" i="518" s="1"/>
  <c r="J44" i="518" a="1"/>
  <c r="J44" i="518" s="1"/>
  <c r="H44" i="518"/>
  <c r="V43" i="518"/>
  <c r="W43" i="518" s="1"/>
  <c r="N43" i="518"/>
  <c r="K43" i="518" a="1"/>
  <c r="K43" i="518" s="1"/>
  <c r="M43" i="518" s="1"/>
  <c r="J43" i="518" a="1"/>
  <c r="J43" i="518" s="1"/>
  <c r="H43" i="518"/>
  <c r="V42" i="518"/>
  <c r="W42" i="518" s="1"/>
  <c r="N42" i="518"/>
  <c r="K42" i="518"/>
  <c r="M42" i="518" s="1"/>
  <c r="K42" i="518" a="1"/>
  <c r="J42" i="518"/>
  <c r="J42" i="518" a="1"/>
  <c r="H42" i="518"/>
  <c r="V41" i="518"/>
  <c r="W41" i="518" s="1"/>
  <c r="N41" i="518"/>
  <c r="K41" i="518" a="1"/>
  <c r="K41" i="518" s="1"/>
  <c r="M41" i="518" s="1"/>
  <c r="J41" i="518" a="1"/>
  <c r="J41" i="518" s="1"/>
  <c r="H41" i="518"/>
  <c r="V40" i="518"/>
  <c r="W40" i="518" s="1"/>
  <c r="N40" i="518"/>
  <c r="K40" i="518" a="1"/>
  <c r="K40" i="518" s="1"/>
  <c r="M40" i="518" s="1"/>
  <c r="J40" i="518" a="1"/>
  <c r="J40" i="518" s="1"/>
  <c r="H40" i="518"/>
  <c r="V39" i="518"/>
  <c r="W39" i="518" s="1"/>
  <c r="N39" i="518"/>
  <c r="K39" i="518" a="1"/>
  <c r="K39" i="518" s="1"/>
  <c r="M39" i="518" s="1"/>
  <c r="J39" i="518" a="1"/>
  <c r="J39" i="518" s="1"/>
  <c r="H39" i="518"/>
  <c r="V38" i="518"/>
  <c r="W38" i="518" s="1"/>
  <c r="N38" i="518"/>
  <c r="K38" i="518"/>
  <c r="M38" i="518" s="1"/>
  <c r="K38" i="518" a="1"/>
  <c r="J38" i="518"/>
  <c r="J38" i="518" a="1"/>
  <c r="H38" i="518"/>
  <c r="V37" i="518"/>
  <c r="W37" i="518" s="1"/>
  <c r="N37" i="518"/>
  <c r="K37" i="518" a="1"/>
  <c r="K37" i="518" s="1"/>
  <c r="M37" i="518" s="1"/>
  <c r="J37" i="518" a="1"/>
  <c r="J37" i="518" s="1"/>
  <c r="H37" i="518"/>
  <c r="H36" i="518"/>
  <c r="H35" i="518"/>
  <c r="H34" i="518"/>
  <c r="V33" i="518"/>
  <c r="W33" i="518" s="1"/>
  <c r="N33" i="518"/>
  <c r="K33" i="518" a="1"/>
  <c r="K33" i="518" s="1"/>
  <c r="M33" i="518" s="1"/>
  <c r="J33" i="518" a="1"/>
  <c r="J33" i="518" s="1"/>
  <c r="H33" i="518"/>
  <c r="V32" i="518"/>
  <c r="W32" i="518" s="1"/>
  <c r="N32" i="518"/>
  <c r="K32" i="518" a="1"/>
  <c r="K32" i="518" s="1"/>
  <c r="M32" i="518" s="1"/>
  <c r="J32" i="518" a="1"/>
  <c r="J32" i="518" s="1"/>
  <c r="H32" i="518"/>
  <c r="V31" i="518"/>
  <c r="W31" i="518" s="1"/>
  <c r="N31" i="518"/>
  <c r="K31" i="518" a="1"/>
  <c r="K31" i="518" s="1"/>
  <c r="M31" i="518" s="1"/>
  <c r="J31" i="518" a="1"/>
  <c r="J31" i="518" s="1"/>
  <c r="H31" i="518"/>
  <c r="K30" i="518" a="1"/>
  <c r="K30" i="518" s="1"/>
  <c r="H30" i="518"/>
  <c r="V29" i="518"/>
  <c r="N29" i="518"/>
  <c r="M29" i="518"/>
  <c r="K29" i="518" a="1"/>
  <c r="K29" i="518" s="1"/>
  <c r="J29" i="518" a="1"/>
  <c r="J29" i="518" s="1"/>
  <c r="H29" i="518"/>
  <c r="AA28" i="518"/>
  <c r="AA163" i="518" s="1"/>
  <c r="Z28" i="518"/>
  <c r="Z163" i="518" s="1"/>
  <c r="Y28" i="518"/>
  <c r="Y163" i="518" s="1"/>
  <c r="X28" i="518"/>
  <c r="X163" i="518" s="1"/>
  <c r="U28" i="518"/>
  <c r="U163" i="518" s="1"/>
  <c r="T28" i="518"/>
  <c r="T163" i="518" s="1"/>
  <c r="S28" i="518"/>
  <c r="S163" i="518" s="1"/>
  <c r="R28" i="518"/>
  <c r="R163" i="518" s="1"/>
  <c r="Q28" i="518"/>
  <c r="Q163" i="518" s="1"/>
  <c r="P28" i="518"/>
  <c r="X166" i="518" s="1"/>
  <c r="O28" i="518"/>
  <c r="I28" i="518"/>
  <c r="G28" i="518"/>
  <c r="J28" i="518" s="1" a="1"/>
  <c r="J28" i="518" s="1"/>
  <c r="V27" i="518"/>
  <c r="W27" i="518" s="1"/>
  <c r="N27" i="518"/>
  <c r="K27" i="518" a="1"/>
  <c r="K27" i="518" s="1"/>
  <c r="M27" i="518" s="1"/>
  <c r="J27" i="518" a="1"/>
  <c r="J27" i="518" s="1"/>
  <c r="H27" i="518"/>
  <c r="V26" i="518"/>
  <c r="W26" i="518" s="1"/>
  <c r="N26" i="518"/>
  <c r="K26" i="518" a="1"/>
  <c r="K26" i="518" s="1"/>
  <c r="M26" i="518" s="1"/>
  <c r="J26" i="518" a="1"/>
  <c r="J26" i="518" s="1"/>
  <c r="H26" i="518"/>
  <c r="K25" i="518" a="1"/>
  <c r="K25" i="518" s="1"/>
  <c r="M25" i="518" s="1"/>
  <c r="J25" i="518" a="1"/>
  <c r="J25" i="518" s="1"/>
  <c r="H25" i="518"/>
  <c r="K24" i="518" a="1"/>
  <c r="K24" i="518" s="1"/>
  <c r="M24" i="518" s="1"/>
  <c r="J24" i="518" a="1"/>
  <c r="J24" i="518" s="1"/>
  <c r="H24" i="518"/>
  <c r="K23" i="518" a="1"/>
  <c r="K23" i="518" s="1"/>
  <c r="M23" i="518" s="1"/>
  <c r="J23" i="518" a="1"/>
  <c r="J23" i="518" s="1"/>
  <c r="H23" i="518"/>
  <c r="K22" i="518" a="1"/>
  <c r="K22" i="518" s="1"/>
  <c r="M22" i="518" s="1"/>
  <c r="J22" i="518" a="1"/>
  <c r="J22" i="518" s="1"/>
  <c r="H22" i="518"/>
  <c r="V21" i="518"/>
  <c r="W21" i="518" s="1"/>
  <c r="N21" i="518"/>
  <c r="K21" i="518"/>
  <c r="M21" i="518" s="1"/>
  <c r="K21" i="518" a="1"/>
  <c r="J21" i="518"/>
  <c r="J21" i="518" a="1"/>
  <c r="H21" i="518"/>
  <c r="V20" i="518"/>
  <c r="W20" i="518" s="1"/>
  <c r="N20" i="518"/>
  <c r="K20" i="518" a="1"/>
  <c r="K20" i="518" s="1"/>
  <c r="M20" i="518" s="1"/>
  <c r="J20" i="518" a="1"/>
  <c r="J20" i="518" s="1"/>
  <c r="H20" i="518"/>
  <c r="V19" i="518"/>
  <c r="W19" i="518" s="1"/>
  <c r="N19" i="518"/>
  <c r="K19" i="518" a="1"/>
  <c r="K19" i="518" s="1"/>
  <c r="M19" i="518" s="1"/>
  <c r="J19" i="518" a="1"/>
  <c r="J19" i="518" s="1"/>
  <c r="H19" i="518"/>
  <c r="N18" i="518"/>
  <c r="K18" i="518" a="1"/>
  <c r="K18" i="518" s="1"/>
  <c r="M18" i="518" s="1"/>
  <c r="J18" i="518" a="1"/>
  <c r="J18" i="518" s="1"/>
  <c r="H18" i="518"/>
  <c r="N17" i="518"/>
  <c r="K17" i="518" a="1"/>
  <c r="K17" i="518" s="1"/>
  <c r="M17" i="518" s="1"/>
  <c r="J17" i="518" a="1"/>
  <c r="J17" i="518" s="1"/>
  <c r="H17" i="518"/>
  <c r="V16" i="518"/>
  <c r="W16" i="518" s="1"/>
  <c r="N16" i="518"/>
  <c r="K16" i="518" a="1"/>
  <c r="K16" i="518" s="1"/>
  <c r="M16" i="518" s="1"/>
  <c r="J16" i="518" a="1"/>
  <c r="J16" i="518" s="1"/>
  <c r="H16" i="518"/>
  <c r="V15" i="518"/>
  <c r="W15" i="518" s="1"/>
  <c r="N15" i="518"/>
  <c r="K15" i="518"/>
  <c r="M15" i="518" s="1"/>
  <c r="K15" i="518" a="1"/>
  <c r="J15" i="518"/>
  <c r="J15" i="518" a="1"/>
  <c r="H15" i="518"/>
  <c r="N14" i="518"/>
  <c r="K14" i="518" a="1"/>
  <c r="K14" i="518" s="1"/>
  <c r="M14" i="518" s="1"/>
  <c r="H14" i="518"/>
  <c r="N13" i="518"/>
  <c r="K13" i="518" a="1"/>
  <c r="K13" i="518" s="1"/>
  <c r="M13" i="518" s="1"/>
  <c r="H13" i="518"/>
  <c r="V12" i="518"/>
  <c r="W12" i="518" s="1"/>
  <c r="N12" i="518"/>
  <c r="K12" i="518" a="1"/>
  <c r="K12" i="518" s="1"/>
  <c r="M12" i="518" s="1"/>
  <c r="J12" i="518" a="1"/>
  <c r="J12" i="518" s="1"/>
  <c r="H12" i="518"/>
  <c r="V11" i="518"/>
  <c r="W11" i="518" s="1"/>
  <c r="N11" i="518"/>
  <c r="K11" i="518"/>
  <c r="M11" i="518" s="1"/>
  <c r="K11" i="518" a="1"/>
  <c r="J11" i="518"/>
  <c r="J11" i="518" a="1"/>
  <c r="H11" i="518"/>
  <c r="V10" i="518"/>
  <c r="W10" i="518" s="1"/>
  <c r="N10" i="518"/>
  <c r="K10" i="518" a="1"/>
  <c r="K10" i="518" s="1"/>
  <c r="M10" i="518" s="1"/>
  <c r="J10" i="518" a="1"/>
  <c r="J10" i="518" s="1"/>
  <c r="H10" i="518"/>
  <c r="V9" i="518"/>
  <c r="W9" i="518" s="1"/>
  <c r="N9" i="518"/>
  <c r="K9" i="518" a="1"/>
  <c r="K9" i="518" s="1"/>
  <c r="M9" i="518" s="1"/>
  <c r="J9" i="518" a="1"/>
  <c r="J9" i="518" s="1"/>
  <c r="H9" i="518"/>
  <c r="V8" i="518"/>
  <c r="W8" i="518" s="1"/>
  <c r="N8" i="518"/>
  <c r="K8" i="518" a="1"/>
  <c r="K8" i="518" s="1"/>
  <c r="M8" i="518" s="1"/>
  <c r="J8" i="518" a="1"/>
  <c r="J8" i="518" s="1"/>
  <c r="H8" i="518"/>
  <c r="V7" i="518"/>
  <c r="W7" i="518" s="1"/>
  <c r="N7" i="518"/>
  <c r="K7" i="518"/>
  <c r="K7" i="518" a="1"/>
  <c r="J7" i="518"/>
  <c r="J7" i="518" a="1"/>
  <c r="H7" i="518"/>
  <c r="H28" i="518" s="1"/>
  <c r="N147" i="518" l="1"/>
  <c r="N198" i="518"/>
  <c r="H368" i="518"/>
  <c r="V368" i="518"/>
  <c r="H198" i="518"/>
  <c r="V198" i="518"/>
  <c r="H137" i="518"/>
  <c r="W138" i="518"/>
  <c r="I171" i="519"/>
  <c r="M171" i="519" s="1"/>
  <c r="O516" i="519" a="1"/>
  <c r="O516" i="519" s="1"/>
  <c r="E341" i="519"/>
  <c r="I341" i="519" s="1"/>
  <c r="M341" i="519" s="1"/>
  <c r="L333" i="519"/>
  <c r="I340" i="519" s="1"/>
  <c r="T341" i="519"/>
  <c r="T337" i="519"/>
  <c r="T338" i="519"/>
  <c r="T339" i="519"/>
  <c r="T340" i="519"/>
  <c r="E512" i="519"/>
  <c r="I512" i="519" s="1"/>
  <c r="M512" i="519" s="1"/>
  <c r="L504" i="519"/>
  <c r="I511" i="519" s="1"/>
  <c r="Z506" i="519" a="1"/>
  <c r="Z506" i="519" s="1"/>
  <c r="K527" i="519"/>
  <c r="T171" i="519"/>
  <c r="T168" i="519"/>
  <c r="T166" i="519"/>
  <c r="T167" i="519"/>
  <c r="T169" i="519"/>
  <c r="T170" i="519"/>
  <c r="L163" i="519"/>
  <c r="I170" i="519" s="1"/>
  <c r="I513" i="519"/>
  <c r="M513" i="519" s="1" a="1"/>
  <c r="M513" i="519" s="1"/>
  <c r="W504" i="519"/>
  <c r="Z512" i="519"/>
  <c r="Z510" i="519"/>
  <c r="Z509" i="519"/>
  <c r="Z511" i="519"/>
  <c r="Z508" i="519"/>
  <c r="K518" i="519"/>
  <c r="O518" i="519" s="1" a="1"/>
  <c r="O518" i="519" s="1"/>
  <c r="M172" i="519" a="1"/>
  <c r="M172" i="519" s="1"/>
  <c r="Q527" i="519"/>
  <c r="S523" i="519" s="1"/>
  <c r="E525" i="519"/>
  <c r="E526" i="519"/>
  <c r="E524" i="519"/>
  <c r="E522" i="519"/>
  <c r="E523" i="519"/>
  <c r="T165" i="519" a="1"/>
  <c r="T165" i="519" s="1"/>
  <c r="M521" i="519" a="1"/>
  <c r="M521" i="519" s="1"/>
  <c r="T336" i="519"/>
  <c r="T512" i="519"/>
  <c r="T507" i="519"/>
  <c r="T511" i="519"/>
  <c r="T509" i="519"/>
  <c r="T508" i="519"/>
  <c r="T510" i="519"/>
  <c r="J317" i="518" a="1"/>
  <c r="J317" i="518" s="1"/>
  <c r="J291" i="518" a="1"/>
  <c r="J291" i="518" s="1"/>
  <c r="I163" i="518"/>
  <c r="B171" i="518" s="1"/>
  <c r="C517" i="518" s="1"/>
  <c r="C533" i="518"/>
  <c r="J531" i="518"/>
  <c r="Q531" i="518" s="1"/>
  <c r="S531" i="518" s="1" a="1"/>
  <c r="S531" i="518" s="1"/>
  <c r="J532" i="518"/>
  <c r="Q532" i="518" s="1"/>
  <c r="K487" i="518"/>
  <c r="W488" i="518"/>
  <c r="R511" i="518"/>
  <c r="J426" i="518" a="1"/>
  <c r="J426" i="518" s="1"/>
  <c r="R507" i="518"/>
  <c r="N461" i="518"/>
  <c r="N504" i="518" s="1"/>
  <c r="B513" i="518" s="1"/>
  <c r="E513" i="518" s="1"/>
  <c r="H477" i="518"/>
  <c r="H504" i="518" s="1"/>
  <c r="E511" i="518" s="1"/>
  <c r="V477" i="518"/>
  <c r="W477" i="518" s="1"/>
  <c r="M307" i="518"/>
  <c r="N307" i="518"/>
  <c r="W292" i="518"/>
  <c r="N291" i="518"/>
  <c r="W257" i="518"/>
  <c r="H291" i="518"/>
  <c r="K291" i="518"/>
  <c r="W317" i="518"/>
  <c r="R170" i="518"/>
  <c r="N137" i="518"/>
  <c r="N121" i="518"/>
  <c r="N28" i="518"/>
  <c r="N86" i="518"/>
  <c r="V121" i="518"/>
  <c r="W121" i="518" s="1"/>
  <c r="J162" i="518" a="1"/>
  <c r="J162" i="518" s="1"/>
  <c r="M147" i="518"/>
  <c r="J147" i="518" a="1"/>
  <c r="J147" i="518" s="1"/>
  <c r="W147" i="518"/>
  <c r="K28" i="518"/>
  <c r="M7" i="518"/>
  <c r="M28" i="518" s="1"/>
  <c r="V28" i="518"/>
  <c r="C521" i="518"/>
  <c r="G163" i="518"/>
  <c r="O163" i="518"/>
  <c r="R165" i="518"/>
  <c r="H86" i="518"/>
  <c r="H163" i="518" s="1"/>
  <c r="E170" i="518" s="1"/>
  <c r="K86" i="518"/>
  <c r="K522" i="518"/>
  <c r="K523" i="518"/>
  <c r="K198" i="518"/>
  <c r="M177" i="518"/>
  <c r="M198" i="518" s="1"/>
  <c r="Q522" i="518"/>
  <c r="M86" i="518"/>
  <c r="V86" i="518"/>
  <c r="W86" i="518" s="1"/>
  <c r="W29" i="518"/>
  <c r="K121" i="518"/>
  <c r="M87" i="518"/>
  <c r="M121" i="518" s="1"/>
  <c r="K137" i="518"/>
  <c r="M122" i="518"/>
  <c r="M137" i="518" s="1"/>
  <c r="K524" i="518"/>
  <c r="K525" i="518"/>
  <c r="K162" i="518"/>
  <c r="M148" i="518"/>
  <c r="M162" i="518" s="1"/>
  <c r="K526" i="518"/>
  <c r="K256" i="518"/>
  <c r="M199" i="518"/>
  <c r="M256" i="518" s="1"/>
  <c r="V137" i="518"/>
  <c r="W137" i="518" s="1"/>
  <c r="K147" i="518"/>
  <c r="V162" i="518"/>
  <c r="W162" i="518" s="1"/>
  <c r="P163" i="518"/>
  <c r="X167" i="518" s="1"/>
  <c r="K165" i="518"/>
  <c r="J333" i="518" a="1"/>
  <c r="J333" i="518" s="1"/>
  <c r="M340" i="518" s="1"/>
  <c r="B340" i="518"/>
  <c r="O333" i="518"/>
  <c r="R335" i="518"/>
  <c r="J86" i="518" a="1"/>
  <c r="J86" i="518" s="1"/>
  <c r="W87" i="518"/>
  <c r="J121" i="518" a="1"/>
  <c r="J121" i="518" s="1"/>
  <c r="J137" i="518" a="1"/>
  <c r="J137" i="518" s="1"/>
  <c r="W177" i="518"/>
  <c r="W198" i="518" s="1"/>
  <c r="J198" i="518" a="1"/>
  <c r="J198" i="518" s="1"/>
  <c r="X336" i="518"/>
  <c r="P333" i="518"/>
  <c r="X337" i="518" s="1"/>
  <c r="H256" i="518"/>
  <c r="H333" i="518" s="1"/>
  <c r="E340" i="518" s="1"/>
  <c r="N256" i="518"/>
  <c r="N333" i="518" s="1"/>
  <c r="B342" i="518" s="1"/>
  <c r="W199" i="518"/>
  <c r="K317" i="518"/>
  <c r="M308" i="518"/>
  <c r="M317" i="518" s="1"/>
  <c r="K332" i="518"/>
  <c r="M318" i="518"/>
  <c r="M332" i="518" s="1"/>
  <c r="W332" i="518"/>
  <c r="M257" i="518"/>
  <c r="M291" i="518" s="1"/>
  <c r="K307" i="518"/>
  <c r="V332" i="518"/>
  <c r="V333" i="518" s="1"/>
  <c r="I342" i="518" s="1"/>
  <c r="M342" i="518" s="1" a="1"/>
  <c r="M342" i="518" s="1"/>
  <c r="K335" i="518"/>
  <c r="M427" i="518"/>
  <c r="M461" i="518" s="1"/>
  <c r="K461" i="518"/>
  <c r="W308" i="518"/>
  <c r="K368" i="518"/>
  <c r="M347" i="518"/>
  <c r="M368" i="518" s="1"/>
  <c r="K426" i="518"/>
  <c r="M369" i="518"/>
  <c r="M426" i="518" s="1"/>
  <c r="M462" i="518"/>
  <c r="M477" i="518" s="1"/>
  <c r="K477" i="518"/>
  <c r="J504" i="518" a="1"/>
  <c r="J504" i="518" s="1"/>
  <c r="M511" i="518" s="1"/>
  <c r="B511" i="518"/>
  <c r="X506" i="518"/>
  <c r="O504" i="518"/>
  <c r="X507" i="518" s="1"/>
  <c r="R506" i="518"/>
  <c r="V426" i="518"/>
  <c r="W426" i="518" s="1"/>
  <c r="W427" i="518"/>
  <c r="R509" i="518"/>
  <c r="M478" i="518"/>
  <c r="M487" i="518" s="1"/>
  <c r="W478" i="518"/>
  <c r="V487" i="518"/>
  <c r="W487" i="518" s="1"/>
  <c r="W347" i="518"/>
  <c r="W368" i="518" s="1"/>
  <c r="J368" i="518" a="1"/>
  <c r="J368" i="518" s="1"/>
  <c r="W503" i="518"/>
  <c r="K506" i="518"/>
  <c r="T533" i="518" a="1"/>
  <c r="T533" i="518" s="1"/>
  <c r="M488" i="518"/>
  <c r="M503" i="518" s="1"/>
  <c r="Q533" i="518"/>
  <c r="S530" i="518" a="1"/>
  <c r="S530" i="518" s="1"/>
  <c r="R531" i="518"/>
  <c r="J533" i="518"/>
  <c r="T530" i="518" a="1"/>
  <c r="T530" i="518" s="1"/>
  <c r="G286" i="516"/>
  <c r="G308" i="516"/>
  <c r="G285" i="517"/>
  <c r="G287" i="517"/>
  <c r="S522" i="519" l="1"/>
  <c r="E527" i="519"/>
  <c r="G517" i="519"/>
  <c r="S525" i="519"/>
  <c r="S521" i="519" a="1"/>
  <c r="S521" i="519" s="1"/>
  <c r="S524" i="519"/>
  <c r="S526" i="519"/>
  <c r="M525" i="519"/>
  <c r="M522" i="519"/>
  <c r="M524" i="519"/>
  <c r="M526" i="519"/>
  <c r="M523" i="519"/>
  <c r="S532" i="518" a="1"/>
  <c r="S532" i="518" s="1"/>
  <c r="R532" i="518"/>
  <c r="R533" i="518" s="1"/>
  <c r="N163" i="518"/>
  <c r="B172" i="518" s="1"/>
  <c r="E172" i="518" s="1"/>
  <c r="E342" i="518"/>
  <c r="C518" i="518"/>
  <c r="G518" i="518" s="1"/>
  <c r="G516" i="518"/>
  <c r="S533" i="518" a="1"/>
  <c r="S533" i="518" s="1"/>
  <c r="R513" i="518"/>
  <c r="X513" i="518"/>
  <c r="Z506" i="518" a="1"/>
  <c r="Z506" i="518" s="1"/>
  <c r="M504" i="518"/>
  <c r="M335" i="518"/>
  <c r="K339" i="518"/>
  <c r="M339" i="518" s="1"/>
  <c r="W333" i="518"/>
  <c r="R342" i="518"/>
  <c r="Q523" i="518"/>
  <c r="K333" i="518"/>
  <c r="K521" i="518"/>
  <c r="R172" i="518"/>
  <c r="J163" i="518" a="1"/>
  <c r="J163" i="518" s="1"/>
  <c r="M170" i="518" s="1"/>
  <c r="B170" i="518"/>
  <c r="C516" i="518" s="1"/>
  <c r="V163" i="518"/>
  <c r="I172" i="518" s="1"/>
  <c r="W28" i="518"/>
  <c r="W163" i="518" s="1"/>
  <c r="K163" i="518"/>
  <c r="E171" i="518" s="1"/>
  <c r="M506" i="518"/>
  <c r="K510" i="518"/>
  <c r="M510" i="518" s="1"/>
  <c r="T509" i="518"/>
  <c r="Z507" i="518"/>
  <c r="V504" i="518"/>
  <c r="K504" i="518"/>
  <c r="X342" i="518"/>
  <c r="Z336" i="518" s="1"/>
  <c r="M165" i="518"/>
  <c r="K169" i="518"/>
  <c r="M169" i="518" s="1"/>
  <c r="X172" i="518"/>
  <c r="M333" i="518"/>
  <c r="C527" i="518"/>
  <c r="M163" i="518"/>
  <c r="I285" i="517"/>
  <c r="I261" i="517"/>
  <c r="I320" i="516"/>
  <c r="I316" i="517"/>
  <c r="I286" i="516"/>
  <c r="I287" i="517"/>
  <c r="I310" i="516"/>
  <c r="I308" i="516"/>
  <c r="I146" i="517"/>
  <c r="I151" i="517"/>
  <c r="G146" i="517"/>
  <c r="G316" i="517"/>
  <c r="G321" i="517"/>
  <c r="G283" i="517"/>
  <c r="G151" i="517"/>
  <c r="G116" i="517"/>
  <c r="G138" i="516"/>
  <c r="S527" i="519" l="1"/>
  <c r="K517" i="519"/>
  <c r="O517" i="519" s="1"/>
  <c r="K516" i="519"/>
  <c r="Z337" i="518"/>
  <c r="L163" i="518"/>
  <c r="I170" i="518" s="1"/>
  <c r="E523" i="518"/>
  <c r="E525" i="518"/>
  <c r="E522" i="518"/>
  <c r="E524" i="518"/>
  <c r="E526" i="518"/>
  <c r="I513" i="518"/>
  <c r="M513" i="518" s="1" a="1"/>
  <c r="M513" i="518" s="1"/>
  <c r="W504" i="518"/>
  <c r="K527" i="518"/>
  <c r="T171" i="518"/>
  <c r="T166" i="518"/>
  <c r="T167" i="518"/>
  <c r="T168" i="518"/>
  <c r="T169" i="518"/>
  <c r="T170" i="518"/>
  <c r="E341" i="518"/>
  <c r="I341" i="518" s="1"/>
  <c r="M341" i="518" s="1"/>
  <c r="L333" i="518"/>
  <c r="I340" i="518" s="1"/>
  <c r="Q527" i="518"/>
  <c r="T341" i="518"/>
  <c r="T336" i="518"/>
  <c r="T338" i="518"/>
  <c r="T337" i="518"/>
  <c r="T339" i="518"/>
  <c r="T340" i="518"/>
  <c r="T512" i="518"/>
  <c r="T511" i="518"/>
  <c r="T507" i="518"/>
  <c r="T510" i="518"/>
  <c r="T508" i="518"/>
  <c r="E521" i="518"/>
  <c r="E527" i="518" s="1"/>
  <c r="Z171" i="518"/>
  <c r="Z165" i="518" a="1"/>
  <c r="Z165" i="518" s="1"/>
  <c r="Z168" i="518"/>
  <c r="Z170" i="518"/>
  <c r="Z166" i="518"/>
  <c r="Z169" i="518"/>
  <c r="Z335" i="518" a="1"/>
  <c r="Z335" i="518" s="1"/>
  <c r="Z338" i="518"/>
  <c r="Z341" i="518"/>
  <c r="Z339" i="518"/>
  <c r="Z340" i="518"/>
  <c r="E512" i="518"/>
  <c r="I512" i="518" s="1"/>
  <c r="M512" i="518" s="1"/>
  <c r="L504" i="518"/>
  <c r="I511" i="518" s="1"/>
  <c r="G517" i="518"/>
  <c r="K517" i="518" s="1"/>
  <c r="O517" i="518" s="1"/>
  <c r="I171" i="518"/>
  <c r="M171" i="518" s="1"/>
  <c r="K518" i="518"/>
  <c r="O518" i="518" s="1" a="1"/>
  <c r="O518" i="518" s="1"/>
  <c r="M172" i="518" a="1"/>
  <c r="M172" i="518" s="1"/>
  <c r="O516" i="518" a="1"/>
  <c r="O516" i="518" s="1"/>
  <c r="T165" i="518" a="1"/>
  <c r="T165" i="518" s="1"/>
  <c r="M521" i="518" a="1"/>
  <c r="M521" i="518" s="1"/>
  <c r="Z167" i="518"/>
  <c r="T335" i="518" a="1"/>
  <c r="T335" i="518" s="1"/>
  <c r="Z512" i="518"/>
  <c r="Z508" i="518"/>
  <c r="Z511" i="518"/>
  <c r="Z509" i="518"/>
  <c r="Z510" i="518"/>
  <c r="T506" i="518" a="1"/>
  <c r="T506" i="518" s="1"/>
  <c r="AA502" i="489"/>
  <c r="Z502" i="489"/>
  <c r="Y502" i="489"/>
  <c r="X502" i="489"/>
  <c r="U502" i="489"/>
  <c r="T502" i="489"/>
  <c r="S502" i="489"/>
  <c r="R502" i="489"/>
  <c r="Q502" i="489"/>
  <c r="P502" i="489"/>
  <c r="O502" i="489"/>
  <c r="I502" i="489"/>
  <c r="G502" i="489"/>
  <c r="AA501" i="489"/>
  <c r="Z501" i="489"/>
  <c r="Y501" i="489"/>
  <c r="X501" i="489"/>
  <c r="U501" i="489"/>
  <c r="T501" i="489"/>
  <c r="S501" i="489"/>
  <c r="R501" i="489"/>
  <c r="Q501" i="489"/>
  <c r="P501" i="489"/>
  <c r="O501" i="489"/>
  <c r="I501" i="489"/>
  <c r="G501" i="489"/>
  <c r="I500" i="489"/>
  <c r="G500" i="489"/>
  <c r="AA499" i="489"/>
  <c r="Z499" i="489"/>
  <c r="Y499" i="489"/>
  <c r="X499" i="489"/>
  <c r="U499" i="489"/>
  <c r="T499" i="489"/>
  <c r="S499" i="489"/>
  <c r="R499" i="489"/>
  <c r="Q499" i="489"/>
  <c r="P499" i="489"/>
  <c r="O499" i="489"/>
  <c r="I499" i="489"/>
  <c r="G499" i="489"/>
  <c r="AA498" i="489"/>
  <c r="Z498" i="489"/>
  <c r="Y498" i="489"/>
  <c r="X498" i="489"/>
  <c r="U498" i="489"/>
  <c r="T498" i="489"/>
  <c r="S498" i="489"/>
  <c r="R498" i="489"/>
  <c r="Q498" i="489"/>
  <c r="P498" i="489"/>
  <c r="O498" i="489"/>
  <c r="I498" i="489"/>
  <c r="G498" i="489"/>
  <c r="G497" i="489"/>
  <c r="G496" i="489"/>
  <c r="AA495" i="489"/>
  <c r="Z495" i="489"/>
  <c r="Y495" i="489"/>
  <c r="X495" i="489"/>
  <c r="U495" i="489"/>
  <c r="T495" i="489"/>
  <c r="S495" i="489"/>
  <c r="R495" i="489"/>
  <c r="Q495" i="489"/>
  <c r="P495" i="489"/>
  <c r="O495" i="489"/>
  <c r="I495" i="489"/>
  <c r="G495" i="489"/>
  <c r="AA494" i="489"/>
  <c r="Z494" i="489"/>
  <c r="Y494" i="489"/>
  <c r="X494" i="489"/>
  <c r="U494" i="489"/>
  <c r="T494" i="489"/>
  <c r="S494" i="489"/>
  <c r="R494" i="489"/>
  <c r="Q494" i="489"/>
  <c r="P494" i="489"/>
  <c r="O494" i="489"/>
  <c r="I494" i="489"/>
  <c r="G494" i="489"/>
  <c r="AA493" i="489"/>
  <c r="Z493" i="489"/>
  <c r="Y493" i="489"/>
  <c r="X493" i="489"/>
  <c r="U493" i="489"/>
  <c r="T493" i="489"/>
  <c r="S493" i="489"/>
  <c r="R493" i="489"/>
  <c r="Q493" i="489"/>
  <c r="P493" i="489"/>
  <c r="O493" i="489"/>
  <c r="I493" i="489"/>
  <c r="G493" i="489"/>
  <c r="AA492" i="489"/>
  <c r="Z492" i="489"/>
  <c r="Y492" i="489"/>
  <c r="X492" i="489"/>
  <c r="U492" i="489"/>
  <c r="T492" i="489"/>
  <c r="S492" i="489"/>
  <c r="R492" i="489"/>
  <c r="Q492" i="489"/>
  <c r="P492" i="489"/>
  <c r="O492" i="489"/>
  <c r="I492" i="489"/>
  <c r="G492" i="489"/>
  <c r="AA491" i="489"/>
  <c r="Z491" i="489"/>
  <c r="Y491" i="489"/>
  <c r="X491" i="489"/>
  <c r="U491" i="489"/>
  <c r="T491" i="489"/>
  <c r="S491" i="489"/>
  <c r="R491" i="489"/>
  <c r="Q491" i="489"/>
  <c r="P491" i="489"/>
  <c r="O491" i="489"/>
  <c r="I491" i="489"/>
  <c r="G491" i="489"/>
  <c r="AA490" i="489"/>
  <c r="Z490" i="489"/>
  <c r="Y490" i="489"/>
  <c r="X490" i="489"/>
  <c r="U490" i="489"/>
  <c r="T490" i="489"/>
  <c r="S490" i="489"/>
  <c r="R490" i="489"/>
  <c r="Q490" i="489"/>
  <c r="P490" i="489"/>
  <c r="O490" i="489"/>
  <c r="I490" i="489"/>
  <c r="G490" i="489"/>
  <c r="AA489" i="489"/>
  <c r="Z489" i="489"/>
  <c r="Y489" i="489"/>
  <c r="X489" i="489"/>
  <c r="U489" i="489"/>
  <c r="T489" i="489"/>
  <c r="S489" i="489"/>
  <c r="R489" i="489"/>
  <c r="Q489" i="489"/>
  <c r="P489" i="489"/>
  <c r="O489" i="489"/>
  <c r="I489" i="489"/>
  <c r="G489" i="489"/>
  <c r="AA488" i="489"/>
  <c r="Z488" i="489"/>
  <c r="Y488" i="489"/>
  <c r="X488" i="489"/>
  <c r="U488" i="489"/>
  <c r="T488" i="489"/>
  <c r="S488" i="489"/>
  <c r="R488" i="489"/>
  <c r="Q488" i="489"/>
  <c r="P488" i="489"/>
  <c r="O488" i="489"/>
  <c r="I488" i="489"/>
  <c r="G488" i="489"/>
  <c r="AA486" i="489"/>
  <c r="Z486" i="489"/>
  <c r="Y486" i="489"/>
  <c r="X486" i="489"/>
  <c r="U486" i="489"/>
  <c r="T486" i="489"/>
  <c r="S486" i="489"/>
  <c r="R486" i="489"/>
  <c r="Q486" i="489"/>
  <c r="P486" i="489"/>
  <c r="O486" i="489"/>
  <c r="I486" i="489"/>
  <c r="G486" i="489"/>
  <c r="G483" i="489"/>
  <c r="AA482" i="489"/>
  <c r="Z482" i="489"/>
  <c r="Y482" i="489"/>
  <c r="X482" i="489"/>
  <c r="U482" i="489"/>
  <c r="T482" i="489"/>
  <c r="S482" i="489"/>
  <c r="R482" i="489"/>
  <c r="Q482" i="489"/>
  <c r="P482" i="489"/>
  <c r="O482" i="489"/>
  <c r="I482" i="489"/>
  <c r="G482" i="489"/>
  <c r="AA481" i="489"/>
  <c r="Z481" i="489"/>
  <c r="Y481" i="489"/>
  <c r="X481" i="489"/>
  <c r="U481" i="489"/>
  <c r="T481" i="489"/>
  <c r="S481" i="489"/>
  <c r="R481" i="489"/>
  <c r="Q481" i="489"/>
  <c r="P481" i="489"/>
  <c r="O481" i="489"/>
  <c r="I481" i="489"/>
  <c r="G481" i="489"/>
  <c r="AA480" i="489"/>
  <c r="Z480" i="489"/>
  <c r="Y480" i="489"/>
  <c r="X480" i="489"/>
  <c r="U480" i="489"/>
  <c r="T480" i="489"/>
  <c r="S480" i="489"/>
  <c r="R480" i="489"/>
  <c r="Q480" i="489"/>
  <c r="P480" i="489"/>
  <c r="O480" i="489"/>
  <c r="I480" i="489"/>
  <c r="G480" i="489"/>
  <c r="AA479" i="489"/>
  <c r="Z479" i="489"/>
  <c r="Y479" i="489"/>
  <c r="X479" i="489"/>
  <c r="U479" i="489"/>
  <c r="T479" i="489"/>
  <c r="S479" i="489"/>
  <c r="R479" i="489"/>
  <c r="Q479" i="489"/>
  <c r="P479" i="489"/>
  <c r="O479" i="489"/>
  <c r="I479" i="489"/>
  <c r="G479" i="489"/>
  <c r="AA478" i="489"/>
  <c r="Z478" i="489"/>
  <c r="Y478" i="489"/>
  <c r="X478" i="489"/>
  <c r="U478" i="489"/>
  <c r="T478" i="489"/>
  <c r="S478" i="489"/>
  <c r="R478" i="489"/>
  <c r="Q478" i="489"/>
  <c r="P478" i="489"/>
  <c r="O478" i="489"/>
  <c r="I478" i="489"/>
  <c r="G478" i="489"/>
  <c r="AA476" i="489"/>
  <c r="Z476" i="489"/>
  <c r="Y476" i="489"/>
  <c r="X476" i="489"/>
  <c r="U476" i="489"/>
  <c r="T476" i="489"/>
  <c r="S476" i="489"/>
  <c r="R476" i="489"/>
  <c r="Q476" i="489"/>
  <c r="P476" i="489"/>
  <c r="O476" i="489"/>
  <c r="I476" i="489"/>
  <c r="G476" i="489"/>
  <c r="AA475" i="489"/>
  <c r="Z475" i="489"/>
  <c r="Y475" i="489"/>
  <c r="X475" i="489"/>
  <c r="U475" i="489"/>
  <c r="T475" i="489"/>
  <c r="S475" i="489"/>
  <c r="R475" i="489"/>
  <c r="Q475" i="489"/>
  <c r="P475" i="489"/>
  <c r="O475" i="489"/>
  <c r="I475" i="489"/>
  <c r="G475" i="489"/>
  <c r="AA474" i="489"/>
  <c r="Z474" i="489"/>
  <c r="Y474" i="489"/>
  <c r="X474" i="489"/>
  <c r="U474" i="489"/>
  <c r="T474" i="489"/>
  <c r="S474" i="489"/>
  <c r="R474" i="489"/>
  <c r="Q474" i="489"/>
  <c r="P474" i="489"/>
  <c r="O474" i="489"/>
  <c r="I474" i="489"/>
  <c r="G474" i="489"/>
  <c r="AA473" i="489"/>
  <c r="Z473" i="489"/>
  <c r="Y473" i="489"/>
  <c r="X473" i="489"/>
  <c r="U473" i="489"/>
  <c r="T473" i="489"/>
  <c r="S473" i="489"/>
  <c r="R473" i="489"/>
  <c r="Q473" i="489"/>
  <c r="P473" i="489"/>
  <c r="O473" i="489"/>
  <c r="I473" i="489"/>
  <c r="G473" i="489"/>
  <c r="AA472" i="489"/>
  <c r="Z472" i="489"/>
  <c r="Y472" i="489"/>
  <c r="X472" i="489"/>
  <c r="U472" i="489"/>
  <c r="T472" i="489"/>
  <c r="S472" i="489"/>
  <c r="R472" i="489"/>
  <c r="Q472" i="489"/>
  <c r="P472" i="489"/>
  <c r="O472" i="489"/>
  <c r="I472" i="489"/>
  <c r="G472" i="489"/>
  <c r="AA471" i="489"/>
  <c r="Z471" i="489"/>
  <c r="Y471" i="489"/>
  <c r="X471" i="489"/>
  <c r="U471" i="489"/>
  <c r="T471" i="489"/>
  <c r="S471" i="489"/>
  <c r="R471" i="489"/>
  <c r="Q471" i="489"/>
  <c r="P471" i="489"/>
  <c r="O471" i="489"/>
  <c r="I471" i="489"/>
  <c r="G471" i="489"/>
  <c r="AA470" i="489"/>
  <c r="Z470" i="489"/>
  <c r="Y470" i="489"/>
  <c r="X470" i="489"/>
  <c r="U470" i="489"/>
  <c r="T470" i="489"/>
  <c r="S470" i="489"/>
  <c r="R470" i="489"/>
  <c r="Q470" i="489"/>
  <c r="P470" i="489"/>
  <c r="O470" i="489"/>
  <c r="I470" i="489"/>
  <c r="G470" i="489"/>
  <c r="AA469" i="489"/>
  <c r="Z469" i="489"/>
  <c r="Y469" i="489"/>
  <c r="X469" i="489"/>
  <c r="U469" i="489"/>
  <c r="T469" i="489"/>
  <c r="S469" i="489"/>
  <c r="R469" i="489"/>
  <c r="Q469" i="489"/>
  <c r="P469" i="489"/>
  <c r="O469" i="489"/>
  <c r="I469" i="489"/>
  <c r="G469" i="489"/>
  <c r="AA468" i="489"/>
  <c r="Z468" i="489"/>
  <c r="Y468" i="489"/>
  <c r="X468" i="489"/>
  <c r="U468" i="489"/>
  <c r="T468" i="489"/>
  <c r="S468" i="489"/>
  <c r="R468" i="489"/>
  <c r="Q468" i="489"/>
  <c r="P468" i="489"/>
  <c r="O468" i="489"/>
  <c r="I468" i="489"/>
  <c r="G468" i="489"/>
  <c r="AA467" i="489"/>
  <c r="Z467" i="489"/>
  <c r="Y467" i="489"/>
  <c r="X467" i="489"/>
  <c r="U467" i="489"/>
  <c r="T467" i="489"/>
  <c r="S467" i="489"/>
  <c r="R467" i="489"/>
  <c r="Q467" i="489"/>
  <c r="P467" i="489"/>
  <c r="O467" i="489"/>
  <c r="I467" i="489"/>
  <c r="G467" i="489"/>
  <c r="AA466" i="489"/>
  <c r="Z466" i="489"/>
  <c r="Y466" i="489"/>
  <c r="X466" i="489"/>
  <c r="U466" i="489"/>
  <c r="T466" i="489"/>
  <c r="S466" i="489"/>
  <c r="R466" i="489"/>
  <c r="Q466" i="489"/>
  <c r="P466" i="489"/>
  <c r="O466" i="489"/>
  <c r="I466" i="489"/>
  <c r="G466" i="489"/>
  <c r="AA465" i="489"/>
  <c r="Z465" i="489"/>
  <c r="Y465" i="489"/>
  <c r="X465" i="489"/>
  <c r="U465" i="489"/>
  <c r="T465" i="489"/>
  <c r="S465" i="489"/>
  <c r="R465" i="489"/>
  <c r="Q465" i="489"/>
  <c r="P465" i="489"/>
  <c r="O465" i="489"/>
  <c r="I465" i="489"/>
  <c r="G465" i="489"/>
  <c r="AA464" i="489"/>
  <c r="Z464" i="489"/>
  <c r="Y464" i="489"/>
  <c r="X464" i="489"/>
  <c r="U464" i="489"/>
  <c r="T464" i="489"/>
  <c r="S464" i="489"/>
  <c r="R464" i="489"/>
  <c r="Q464" i="489"/>
  <c r="P464" i="489"/>
  <c r="O464" i="489"/>
  <c r="I464" i="489"/>
  <c r="G464" i="489"/>
  <c r="AA463" i="489"/>
  <c r="Z463" i="489"/>
  <c r="Y463" i="489"/>
  <c r="X463" i="489"/>
  <c r="U463" i="489"/>
  <c r="T463" i="489"/>
  <c r="S463" i="489"/>
  <c r="R463" i="489"/>
  <c r="Q463" i="489"/>
  <c r="P463" i="489"/>
  <c r="O463" i="489"/>
  <c r="I463" i="489"/>
  <c r="G463" i="489"/>
  <c r="AA462" i="489"/>
  <c r="Z462" i="489"/>
  <c r="Y462" i="489"/>
  <c r="X462" i="489"/>
  <c r="U462" i="489"/>
  <c r="T462" i="489"/>
  <c r="S462" i="489"/>
  <c r="R462" i="489"/>
  <c r="Q462" i="489"/>
  <c r="P462" i="489"/>
  <c r="O462" i="489"/>
  <c r="I462" i="489"/>
  <c r="G462" i="489"/>
  <c r="AA460" i="489"/>
  <c r="Z460" i="489"/>
  <c r="Y460" i="489"/>
  <c r="X460" i="489"/>
  <c r="U460" i="489"/>
  <c r="T460" i="489"/>
  <c r="S460" i="489"/>
  <c r="R460" i="489"/>
  <c r="Q460" i="489"/>
  <c r="P460" i="489"/>
  <c r="O460" i="489"/>
  <c r="I460" i="489"/>
  <c r="G460" i="489"/>
  <c r="AA459" i="489"/>
  <c r="Z459" i="489"/>
  <c r="Y459" i="489"/>
  <c r="X459" i="489"/>
  <c r="U459" i="489"/>
  <c r="T459" i="489"/>
  <c r="S459" i="489"/>
  <c r="R459" i="489"/>
  <c r="Q459" i="489"/>
  <c r="P459" i="489"/>
  <c r="O459" i="489"/>
  <c r="I459" i="489"/>
  <c r="G459" i="489"/>
  <c r="AA458" i="489"/>
  <c r="Z458" i="489"/>
  <c r="Y458" i="489"/>
  <c r="X458" i="489"/>
  <c r="U458" i="489"/>
  <c r="T458" i="489"/>
  <c r="S458" i="489"/>
  <c r="R458" i="489"/>
  <c r="Q458" i="489"/>
  <c r="P458" i="489"/>
  <c r="O458" i="489"/>
  <c r="I458" i="489"/>
  <c r="G458" i="489"/>
  <c r="I457" i="489"/>
  <c r="G457" i="489"/>
  <c r="I456" i="489"/>
  <c r="G456" i="489"/>
  <c r="I455" i="489"/>
  <c r="G455" i="489"/>
  <c r="AA454" i="489"/>
  <c r="Z454" i="489"/>
  <c r="Y454" i="489"/>
  <c r="X454" i="489"/>
  <c r="U454" i="489"/>
  <c r="T454" i="489"/>
  <c r="S454" i="489"/>
  <c r="R454" i="489"/>
  <c r="Q454" i="489"/>
  <c r="P454" i="489"/>
  <c r="O454" i="489"/>
  <c r="I454" i="489"/>
  <c r="G454" i="489"/>
  <c r="AA453" i="489"/>
  <c r="Z453" i="489"/>
  <c r="Y453" i="489"/>
  <c r="X453" i="489"/>
  <c r="U453" i="489"/>
  <c r="T453" i="489"/>
  <c r="S453" i="489"/>
  <c r="R453" i="489"/>
  <c r="Q453" i="489"/>
  <c r="P453" i="489"/>
  <c r="O453" i="489"/>
  <c r="I453" i="489"/>
  <c r="G453" i="489"/>
  <c r="AA452" i="489"/>
  <c r="Z452" i="489"/>
  <c r="Y452" i="489"/>
  <c r="X452" i="489"/>
  <c r="U452" i="489"/>
  <c r="T452" i="489"/>
  <c r="S452" i="489"/>
  <c r="R452" i="489"/>
  <c r="Q452" i="489"/>
  <c r="P452" i="489"/>
  <c r="O452" i="489"/>
  <c r="I452" i="489"/>
  <c r="G452" i="489"/>
  <c r="AA451" i="489"/>
  <c r="Z451" i="489"/>
  <c r="Y451" i="489"/>
  <c r="X451" i="489"/>
  <c r="U451" i="489"/>
  <c r="T451" i="489"/>
  <c r="S451" i="489"/>
  <c r="R451" i="489"/>
  <c r="Q451" i="489"/>
  <c r="P451" i="489"/>
  <c r="O451" i="489"/>
  <c r="I451" i="489"/>
  <c r="G451" i="489"/>
  <c r="AA450" i="489"/>
  <c r="Z450" i="489"/>
  <c r="Y450" i="489"/>
  <c r="X450" i="489"/>
  <c r="U450" i="489"/>
  <c r="T450" i="489"/>
  <c r="S450" i="489"/>
  <c r="R450" i="489"/>
  <c r="Q450" i="489"/>
  <c r="P450" i="489"/>
  <c r="O450" i="489"/>
  <c r="I450" i="489"/>
  <c r="G450" i="489"/>
  <c r="AA449" i="489"/>
  <c r="Z449" i="489"/>
  <c r="Y449" i="489"/>
  <c r="X449" i="489"/>
  <c r="U449" i="489"/>
  <c r="T449" i="489"/>
  <c r="S449" i="489"/>
  <c r="R449" i="489"/>
  <c r="Q449" i="489"/>
  <c r="P449" i="489"/>
  <c r="O449" i="489"/>
  <c r="I449" i="489"/>
  <c r="G449" i="489"/>
  <c r="AA448" i="489"/>
  <c r="Z448" i="489"/>
  <c r="Y448" i="489"/>
  <c r="X448" i="489"/>
  <c r="U448" i="489"/>
  <c r="T448" i="489"/>
  <c r="S448" i="489"/>
  <c r="R448" i="489"/>
  <c r="Q448" i="489"/>
  <c r="P448" i="489"/>
  <c r="O448" i="489"/>
  <c r="I448" i="489"/>
  <c r="G448" i="489"/>
  <c r="AA447" i="489"/>
  <c r="Z447" i="489"/>
  <c r="Y447" i="489"/>
  <c r="X447" i="489"/>
  <c r="U447" i="489"/>
  <c r="T447" i="489"/>
  <c r="S447" i="489"/>
  <c r="R447" i="489"/>
  <c r="Q447" i="489"/>
  <c r="P447" i="489"/>
  <c r="O447" i="489"/>
  <c r="I447" i="489"/>
  <c r="G447" i="489"/>
  <c r="AA446" i="489"/>
  <c r="Z446" i="489"/>
  <c r="Y446" i="489"/>
  <c r="X446" i="489"/>
  <c r="U446" i="489"/>
  <c r="T446" i="489"/>
  <c r="S446" i="489"/>
  <c r="R446" i="489"/>
  <c r="Q446" i="489"/>
  <c r="P446" i="489"/>
  <c r="O446" i="489"/>
  <c r="I446" i="489"/>
  <c r="G446" i="489"/>
  <c r="AA445" i="489"/>
  <c r="Z445" i="489"/>
  <c r="Y445" i="489"/>
  <c r="X445" i="489"/>
  <c r="U445" i="489"/>
  <c r="T445" i="489"/>
  <c r="S445" i="489"/>
  <c r="R445" i="489"/>
  <c r="Q445" i="489"/>
  <c r="P445" i="489"/>
  <c r="O445" i="489"/>
  <c r="I445" i="489"/>
  <c r="G445" i="489"/>
  <c r="AA444" i="489"/>
  <c r="Z444" i="489"/>
  <c r="Y444" i="489"/>
  <c r="X444" i="489"/>
  <c r="U444" i="489"/>
  <c r="T444" i="489"/>
  <c r="S444" i="489"/>
  <c r="R444" i="489"/>
  <c r="Q444" i="489"/>
  <c r="P444" i="489"/>
  <c r="O444" i="489"/>
  <c r="I444" i="489"/>
  <c r="G444" i="489"/>
  <c r="AA443" i="489"/>
  <c r="Z443" i="489"/>
  <c r="Y443" i="489"/>
  <c r="X443" i="489"/>
  <c r="U443" i="489"/>
  <c r="T443" i="489"/>
  <c r="S443" i="489"/>
  <c r="R443" i="489"/>
  <c r="Q443" i="489"/>
  <c r="P443" i="489"/>
  <c r="O443" i="489"/>
  <c r="I443" i="489"/>
  <c r="G443" i="489"/>
  <c r="AA442" i="489"/>
  <c r="Z442" i="489"/>
  <c r="Y442" i="489"/>
  <c r="X442" i="489"/>
  <c r="U442" i="489"/>
  <c r="T442" i="489"/>
  <c r="S442" i="489"/>
  <c r="R442" i="489"/>
  <c r="Q442" i="489"/>
  <c r="P442" i="489"/>
  <c r="O442" i="489"/>
  <c r="I442" i="489"/>
  <c r="G442" i="489"/>
  <c r="AA441" i="489"/>
  <c r="Z441" i="489"/>
  <c r="Y441" i="489"/>
  <c r="X441" i="489"/>
  <c r="U441" i="489"/>
  <c r="T441" i="489"/>
  <c r="S441" i="489"/>
  <c r="R441" i="489"/>
  <c r="Q441" i="489"/>
  <c r="P441" i="489"/>
  <c r="O441" i="489"/>
  <c r="I441" i="489"/>
  <c r="G441" i="489"/>
  <c r="AA440" i="489"/>
  <c r="Z440" i="489"/>
  <c r="Y440" i="489"/>
  <c r="X440" i="489"/>
  <c r="U440" i="489"/>
  <c r="T440" i="489"/>
  <c r="S440" i="489"/>
  <c r="R440" i="489"/>
  <c r="Q440" i="489"/>
  <c r="P440" i="489"/>
  <c r="O440" i="489"/>
  <c r="I440" i="489"/>
  <c r="G440" i="489"/>
  <c r="AA439" i="489"/>
  <c r="Z439" i="489"/>
  <c r="Y439" i="489"/>
  <c r="X439" i="489"/>
  <c r="U439" i="489"/>
  <c r="T439" i="489"/>
  <c r="S439" i="489"/>
  <c r="R439" i="489"/>
  <c r="Q439" i="489"/>
  <c r="P439" i="489"/>
  <c r="O439" i="489"/>
  <c r="I439" i="489"/>
  <c r="G439" i="489"/>
  <c r="AA438" i="489"/>
  <c r="Z438" i="489"/>
  <c r="Y438" i="489"/>
  <c r="X438" i="489"/>
  <c r="U438" i="489"/>
  <c r="T438" i="489"/>
  <c r="S438" i="489"/>
  <c r="R438" i="489"/>
  <c r="Q438" i="489"/>
  <c r="P438" i="489"/>
  <c r="O438" i="489"/>
  <c r="I438" i="489"/>
  <c r="G438" i="489"/>
  <c r="AA437" i="489"/>
  <c r="Z437" i="489"/>
  <c r="Y437" i="489"/>
  <c r="X437" i="489"/>
  <c r="U437" i="489"/>
  <c r="T437" i="489"/>
  <c r="S437" i="489"/>
  <c r="R437" i="489"/>
  <c r="Q437" i="489"/>
  <c r="P437" i="489"/>
  <c r="O437" i="489"/>
  <c r="I437" i="489"/>
  <c r="G437" i="489"/>
  <c r="AA436" i="489"/>
  <c r="Z436" i="489"/>
  <c r="Y436" i="489"/>
  <c r="X436" i="489"/>
  <c r="U436" i="489"/>
  <c r="T436" i="489"/>
  <c r="S436" i="489"/>
  <c r="R436" i="489"/>
  <c r="Q436" i="489"/>
  <c r="P436" i="489"/>
  <c r="O436" i="489"/>
  <c r="I436" i="489"/>
  <c r="G436" i="489"/>
  <c r="AA435" i="489"/>
  <c r="Z435" i="489"/>
  <c r="Y435" i="489"/>
  <c r="X435" i="489"/>
  <c r="U435" i="489"/>
  <c r="T435" i="489"/>
  <c r="S435" i="489"/>
  <c r="R435" i="489"/>
  <c r="Q435" i="489"/>
  <c r="P435" i="489"/>
  <c r="O435" i="489"/>
  <c r="I435" i="489"/>
  <c r="G435" i="489"/>
  <c r="AA434" i="489"/>
  <c r="Z434" i="489"/>
  <c r="Y434" i="489"/>
  <c r="X434" i="489"/>
  <c r="U434" i="489"/>
  <c r="T434" i="489"/>
  <c r="S434" i="489"/>
  <c r="R434" i="489"/>
  <c r="Q434" i="489"/>
  <c r="P434" i="489"/>
  <c r="O434" i="489"/>
  <c r="I434" i="489"/>
  <c r="G434" i="489"/>
  <c r="AA433" i="489"/>
  <c r="Z433" i="489"/>
  <c r="Y433" i="489"/>
  <c r="X433" i="489"/>
  <c r="U433" i="489"/>
  <c r="T433" i="489"/>
  <c r="S433" i="489"/>
  <c r="R433" i="489"/>
  <c r="Q433" i="489"/>
  <c r="P433" i="489"/>
  <c r="O433" i="489"/>
  <c r="I433" i="489"/>
  <c r="G433" i="489"/>
  <c r="AA432" i="489"/>
  <c r="Z432" i="489"/>
  <c r="Y432" i="489"/>
  <c r="X432" i="489"/>
  <c r="U432" i="489"/>
  <c r="T432" i="489"/>
  <c r="S432" i="489"/>
  <c r="R432" i="489"/>
  <c r="Q432" i="489"/>
  <c r="P432" i="489"/>
  <c r="O432" i="489"/>
  <c r="I432" i="489"/>
  <c r="G432" i="489"/>
  <c r="AA431" i="489"/>
  <c r="Z431" i="489"/>
  <c r="Y431" i="489"/>
  <c r="X431" i="489"/>
  <c r="U431" i="489"/>
  <c r="T431" i="489"/>
  <c r="S431" i="489"/>
  <c r="R431" i="489"/>
  <c r="Q431" i="489"/>
  <c r="P431" i="489"/>
  <c r="O431" i="489"/>
  <c r="I431" i="489"/>
  <c r="G431" i="489"/>
  <c r="AA430" i="489"/>
  <c r="Z430" i="489"/>
  <c r="Y430" i="489"/>
  <c r="X430" i="489"/>
  <c r="U430" i="489"/>
  <c r="T430" i="489"/>
  <c r="S430" i="489"/>
  <c r="R430" i="489"/>
  <c r="Q430" i="489"/>
  <c r="P430" i="489"/>
  <c r="O430" i="489"/>
  <c r="I430" i="489"/>
  <c r="G430" i="489"/>
  <c r="AA429" i="489"/>
  <c r="Z429" i="489"/>
  <c r="Y429" i="489"/>
  <c r="X429" i="489"/>
  <c r="U429" i="489"/>
  <c r="T429" i="489"/>
  <c r="S429" i="489"/>
  <c r="R429" i="489"/>
  <c r="Q429" i="489"/>
  <c r="P429" i="489"/>
  <c r="O429" i="489"/>
  <c r="I429" i="489"/>
  <c r="G429" i="489"/>
  <c r="AA428" i="489"/>
  <c r="Z428" i="489"/>
  <c r="Y428" i="489"/>
  <c r="X428" i="489"/>
  <c r="U428" i="489"/>
  <c r="T428" i="489"/>
  <c r="S428" i="489"/>
  <c r="R428" i="489"/>
  <c r="Q428" i="489"/>
  <c r="P428" i="489"/>
  <c r="O428" i="489"/>
  <c r="I428" i="489"/>
  <c r="G428" i="489"/>
  <c r="AA427" i="489"/>
  <c r="Z427" i="489"/>
  <c r="Y427" i="489"/>
  <c r="X427" i="489"/>
  <c r="U427" i="489"/>
  <c r="T427" i="489"/>
  <c r="S427" i="489"/>
  <c r="R427" i="489"/>
  <c r="Q427" i="489"/>
  <c r="P427" i="489"/>
  <c r="O427" i="489"/>
  <c r="I427" i="489"/>
  <c r="G427" i="489"/>
  <c r="AA425" i="489"/>
  <c r="Z425" i="489"/>
  <c r="Y425" i="489"/>
  <c r="X425" i="489"/>
  <c r="U425" i="489"/>
  <c r="T425" i="489"/>
  <c r="S425" i="489"/>
  <c r="R425" i="489"/>
  <c r="Q425" i="489"/>
  <c r="P425" i="489"/>
  <c r="O425" i="489"/>
  <c r="I425" i="489"/>
  <c r="G425" i="489"/>
  <c r="AA424" i="489"/>
  <c r="Z424" i="489"/>
  <c r="Y424" i="489"/>
  <c r="X424" i="489"/>
  <c r="U424" i="489"/>
  <c r="T424" i="489"/>
  <c r="S424" i="489"/>
  <c r="R424" i="489"/>
  <c r="Q424" i="489"/>
  <c r="P424" i="489"/>
  <c r="O424" i="489"/>
  <c r="I424" i="489"/>
  <c r="G424" i="489"/>
  <c r="AA423" i="489"/>
  <c r="Z423" i="489"/>
  <c r="Y423" i="489"/>
  <c r="X423" i="489"/>
  <c r="U423" i="489"/>
  <c r="T423" i="489"/>
  <c r="S423" i="489"/>
  <c r="R423" i="489"/>
  <c r="Q423" i="489"/>
  <c r="P423" i="489"/>
  <c r="O423" i="489"/>
  <c r="I423" i="489"/>
  <c r="G423" i="489"/>
  <c r="I422" i="489"/>
  <c r="G422" i="489"/>
  <c r="I421" i="489"/>
  <c r="G421" i="489"/>
  <c r="I420" i="489"/>
  <c r="G420" i="489"/>
  <c r="AA419" i="489"/>
  <c r="Z419" i="489"/>
  <c r="Y419" i="489"/>
  <c r="X419" i="489"/>
  <c r="U419" i="489"/>
  <c r="T419" i="489"/>
  <c r="S419" i="489"/>
  <c r="R419" i="489"/>
  <c r="Q419" i="489"/>
  <c r="P419" i="489"/>
  <c r="O419" i="489"/>
  <c r="I419" i="489"/>
  <c r="G419" i="489"/>
  <c r="AA418" i="489"/>
  <c r="Z418" i="489"/>
  <c r="Y418" i="489"/>
  <c r="X418" i="489"/>
  <c r="U418" i="489"/>
  <c r="T418" i="489"/>
  <c r="S418" i="489"/>
  <c r="R418" i="489"/>
  <c r="Q418" i="489"/>
  <c r="P418" i="489"/>
  <c r="O418" i="489"/>
  <c r="I418" i="489"/>
  <c r="G418" i="489"/>
  <c r="AA417" i="489"/>
  <c r="Z417" i="489"/>
  <c r="Y417" i="489"/>
  <c r="X417" i="489"/>
  <c r="U417" i="489"/>
  <c r="T417" i="489"/>
  <c r="S417" i="489"/>
  <c r="R417" i="489"/>
  <c r="Q417" i="489"/>
  <c r="P417" i="489"/>
  <c r="O417" i="489"/>
  <c r="I417" i="489"/>
  <c r="G417" i="489"/>
  <c r="AA416" i="489"/>
  <c r="Z416" i="489"/>
  <c r="Y416" i="489"/>
  <c r="X416" i="489"/>
  <c r="U416" i="489"/>
  <c r="T416" i="489"/>
  <c r="S416" i="489"/>
  <c r="R416" i="489"/>
  <c r="Q416" i="489"/>
  <c r="P416" i="489"/>
  <c r="O416" i="489"/>
  <c r="I416" i="489"/>
  <c r="G416" i="489"/>
  <c r="AA415" i="489"/>
  <c r="Z415" i="489"/>
  <c r="Y415" i="489"/>
  <c r="X415" i="489"/>
  <c r="U415" i="489"/>
  <c r="T415" i="489"/>
  <c r="S415" i="489"/>
  <c r="R415" i="489"/>
  <c r="Q415" i="489"/>
  <c r="P415" i="489"/>
  <c r="O415" i="489"/>
  <c r="I415" i="489"/>
  <c r="G415" i="489"/>
  <c r="AA414" i="489"/>
  <c r="Z414" i="489"/>
  <c r="Y414" i="489"/>
  <c r="X414" i="489"/>
  <c r="U414" i="489"/>
  <c r="T414" i="489"/>
  <c r="S414" i="489"/>
  <c r="R414" i="489"/>
  <c r="Q414" i="489"/>
  <c r="P414" i="489"/>
  <c r="O414" i="489"/>
  <c r="I414" i="489"/>
  <c r="G414" i="489"/>
  <c r="AA413" i="489"/>
  <c r="Z413" i="489"/>
  <c r="Y413" i="489"/>
  <c r="X413" i="489"/>
  <c r="U413" i="489"/>
  <c r="T413" i="489"/>
  <c r="S413" i="489"/>
  <c r="R413" i="489"/>
  <c r="Q413" i="489"/>
  <c r="P413" i="489"/>
  <c r="O413" i="489"/>
  <c r="I413" i="489"/>
  <c r="G413" i="489"/>
  <c r="AA412" i="489"/>
  <c r="Z412" i="489"/>
  <c r="Y412" i="489"/>
  <c r="X412" i="489"/>
  <c r="U412" i="489"/>
  <c r="T412" i="489"/>
  <c r="S412" i="489"/>
  <c r="R412" i="489"/>
  <c r="Q412" i="489"/>
  <c r="P412" i="489"/>
  <c r="O412" i="489"/>
  <c r="I412" i="489"/>
  <c r="G412" i="489"/>
  <c r="AA411" i="489"/>
  <c r="Z411" i="489"/>
  <c r="Y411" i="489"/>
  <c r="X411" i="489"/>
  <c r="U411" i="489"/>
  <c r="T411" i="489"/>
  <c r="S411" i="489"/>
  <c r="R411" i="489"/>
  <c r="Q411" i="489"/>
  <c r="P411" i="489"/>
  <c r="O411" i="489"/>
  <c r="I411" i="489"/>
  <c r="G411" i="489"/>
  <c r="AA410" i="489"/>
  <c r="Z410" i="489"/>
  <c r="Y410" i="489"/>
  <c r="X410" i="489"/>
  <c r="U410" i="489"/>
  <c r="T410" i="489"/>
  <c r="S410" i="489"/>
  <c r="R410" i="489"/>
  <c r="Q410" i="489"/>
  <c r="P410" i="489"/>
  <c r="O410" i="489"/>
  <c r="I410" i="489"/>
  <c r="G410" i="489"/>
  <c r="AA409" i="489"/>
  <c r="Z409" i="489"/>
  <c r="Y409" i="489"/>
  <c r="X409" i="489"/>
  <c r="U409" i="489"/>
  <c r="T409" i="489"/>
  <c r="S409" i="489"/>
  <c r="R409" i="489"/>
  <c r="Q409" i="489"/>
  <c r="P409" i="489"/>
  <c r="O409" i="489"/>
  <c r="I409" i="489"/>
  <c r="G409" i="489"/>
  <c r="AA408" i="489"/>
  <c r="Z408" i="489"/>
  <c r="Y408" i="489"/>
  <c r="X408" i="489"/>
  <c r="U408" i="489"/>
  <c r="T408" i="489"/>
  <c r="S408" i="489"/>
  <c r="R408" i="489"/>
  <c r="Q408" i="489"/>
  <c r="P408" i="489"/>
  <c r="O408" i="489"/>
  <c r="I408" i="489"/>
  <c r="G408" i="489"/>
  <c r="AA406" i="489"/>
  <c r="Z406" i="489"/>
  <c r="Y406" i="489"/>
  <c r="X406" i="489"/>
  <c r="U406" i="489"/>
  <c r="T406" i="489"/>
  <c r="S406" i="489"/>
  <c r="R406" i="489"/>
  <c r="Q406" i="489"/>
  <c r="P406" i="489"/>
  <c r="O406" i="489"/>
  <c r="I406" i="489"/>
  <c r="G406" i="489"/>
  <c r="AA405" i="489"/>
  <c r="Z405" i="489"/>
  <c r="Y405" i="489"/>
  <c r="X405" i="489"/>
  <c r="U405" i="489"/>
  <c r="T405" i="489"/>
  <c r="S405" i="489"/>
  <c r="R405" i="489"/>
  <c r="Q405" i="489"/>
  <c r="P405" i="489"/>
  <c r="O405" i="489"/>
  <c r="I405" i="489"/>
  <c r="G405" i="489"/>
  <c r="AA404" i="489"/>
  <c r="Z404" i="489"/>
  <c r="Y404" i="489"/>
  <c r="X404" i="489"/>
  <c r="U404" i="489"/>
  <c r="T404" i="489"/>
  <c r="S404" i="489"/>
  <c r="R404" i="489"/>
  <c r="Q404" i="489"/>
  <c r="P404" i="489"/>
  <c r="O404" i="489"/>
  <c r="I404" i="489"/>
  <c r="G404" i="489"/>
  <c r="AA403" i="489"/>
  <c r="Z403" i="489"/>
  <c r="Y403" i="489"/>
  <c r="X403" i="489"/>
  <c r="U403" i="489"/>
  <c r="T403" i="489"/>
  <c r="S403" i="489"/>
  <c r="R403" i="489"/>
  <c r="Q403" i="489"/>
  <c r="P403" i="489"/>
  <c r="O403" i="489"/>
  <c r="I403" i="489"/>
  <c r="G403" i="489"/>
  <c r="AA402" i="489"/>
  <c r="Z402" i="489"/>
  <c r="Y402" i="489"/>
  <c r="X402" i="489"/>
  <c r="U402" i="489"/>
  <c r="T402" i="489"/>
  <c r="S402" i="489"/>
  <c r="R402" i="489"/>
  <c r="Q402" i="489"/>
  <c r="P402" i="489"/>
  <c r="O402" i="489"/>
  <c r="I402" i="489"/>
  <c r="G402" i="489"/>
  <c r="AA401" i="489"/>
  <c r="Z401" i="489"/>
  <c r="Y401" i="489"/>
  <c r="X401" i="489"/>
  <c r="U401" i="489"/>
  <c r="T401" i="489"/>
  <c r="S401" i="489"/>
  <c r="R401" i="489"/>
  <c r="Q401" i="489"/>
  <c r="P401" i="489"/>
  <c r="O401" i="489"/>
  <c r="I401" i="489"/>
  <c r="G401" i="489"/>
  <c r="AA400" i="489"/>
  <c r="Z400" i="489"/>
  <c r="Y400" i="489"/>
  <c r="X400" i="489"/>
  <c r="U400" i="489"/>
  <c r="T400" i="489"/>
  <c r="S400" i="489"/>
  <c r="R400" i="489"/>
  <c r="Q400" i="489"/>
  <c r="P400" i="489"/>
  <c r="O400" i="489"/>
  <c r="I400" i="489"/>
  <c r="G400" i="489"/>
  <c r="AA399" i="489"/>
  <c r="Z399" i="489"/>
  <c r="Y399" i="489"/>
  <c r="X399" i="489"/>
  <c r="U399" i="489"/>
  <c r="T399" i="489"/>
  <c r="S399" i="489"/>
  <c r="R399" i="489"/>
  <c r="Q399" i="489"/>
  <c r="P399" i="489"/>
  <c r="O399" i="489"/>
  <c r="I399" i="489"/>
  <c r="G399" i="489"/>
  <c r="AA398" i="489"/>
  <c r="Z398" i="489"/>
  <c r="Y398" i="489"/>
  <c r="X398" i="489"/>
  <c r="U398" i="489"/>
  <c r="T398" i="489"/>
  <c r="S398" i="489"/>
  <c r="R398" i="489"/>
  <c r="Q398" i="489"/>
  <c r="P398" i="489"/>
  <c r="O398" i="489"/>
  <c r="I398" i="489"/>
  <c r="G398" i="489"/>
  <c r="AA397" i="489"/>
  <c r="Z397" i="489"/>
  <c r="Y397" i="489"/>
  <c r="X397" i="489"/>
  <c r="U397" i="489"/>
  <c r="T397" i="489"/>
  <c r="S397" i="489"/>
  <c r="R397" i="489"/>
  <c r="Q397" i="489"/>
  <c r="P397" i="489"/>
  <c r="O397" i="489"/>
  <c r="I397" i="489"/>
  <c r="G397" i="489"/>
  <c r="AA396" i="489"/>
  <c r="Z396" i="489"/>
  <c r="Y396" i="489"/>
  <c r="X396" i="489"/>
  <c r="U396" i="489"/>
  <c r="T396" i="489"/>
  <c r="S396" i="489"/>
  <c r="R396" i="489"/>
  <c r="Q396" i="489"/>
  <c r="P396" i="489"/>
  <c r="O396" i="489"/>
  <c r="I396" i="489"/>
  <c r="G396" i="489"/>
  <c r="AA395" i="489"/>
  <c r="Z395" i="489"/>
  <c r="Y395" i="489"/>
  <c r="X395" i="489"/>
  <c r="U395" i="489"/>
  <c r="T395" i="489"/>
  <c r="S395" i="489"/>
  <c r="R395" i="489"/>
  <c r="Q395" i="489"/>
  <c r="P395" i="489"/>
  <c r="O395" i="489"/>
  <c r="I395" i="489"/>
  <c r="G395" i="489"/>
  <c r="AA394" i="489"/>
  <c r="Z394" i="489"/>
  <c r="Y394" i="489"/>
  <c r="X394" i="489"/>
  <c r="U394" i="489"/>
  <c r="T394" i="489"/>
  <c r="S394" i="489"/>
  <c r="R394" i="489"/>
  <c r="Q394" i="489"/>
  <c r="P394" i="489"/>
  <c r="O394" i="489"/>
  <c r="I394" i="489"/>
  <c r="G394" i="489"/>
  <c r="AA393" i="489"/>
  <c r="Z393" i="489"/>
  <c r="Y393" i="489"/>
  <c r="X393" i="489"/>
  <c r="U393" i="489"/>
  <c r="T393" i="489"/>
  <c r="S393" i="489"/>
  <c r="R393" i="489"/>
  <c r="Q393" i="489"/>
  <c r="P393" i="489"/>
  <c r="O393" i="489"/>
  <c r="I393" i="489"/>
  <c r="G393" i="489"/>
  <c r="AA392" i="489"/>
  <c r="Z392" i="489"/>
  <c r="Y392" i="489"/>
  <c r="X392" i="489"/>
  <c r="U392" i="489"/>
  <c r="T392" i="489"/>
  <c r="S392" i="489"/>
  <c r="R392" i="489"/>
  <c r="Q392" i="489"/>
  <c r="P392" i="489"/>
  <c r="O392" i="489"/>
  <c r="I392" i="489"/>
  <c r="G392" i="489"/>
  <c r="AA391" i="489"/>
  <c r="Z391" i="489"/>
  <c r="Y391" i="489"/>
  <c r="X391" i="489"/>
  <c r="U391" i="489"/>
  <c r="T391" i="489"/>
  <c r="S391" i="489"/>
  <c r="R391" i="489"/>
  <c r="Q391" i="489"/>
  <c r="P391" i="489"/>
  <c r="O391" i="489"/>
  <c r="I391" i="489"/>
  <c r="G391" i="489"/>
  <c r="AA390" i="489"/>
  <c r="Z390" i="489"/>
  <c r="Y390" i="489"/>
  <c r="X390" i="489"/>
  <c r="U390" i="489"/>
  <c r="T390" i="489"/>
  <c r="S390" i="489"/>
  <c r="R390" i="489"/>
  <c r="Q390" i="489"/>
  <c r="P390" i="489"/>
  <c r="O390" i="489"/>
  <c r="I390" i="489"/>
  <c r="G390" i="489"/>
  <c r="AA389" i="489"/>
  <c r="Z389" i="489"/>
  <c r="Y389" i="489"/>
  <c r="X389" i="489"/>
  <c r="U389" i="489"/>
  <c r="T389" i="489"/>
  <c r="S389" i="489"/>
  <c r="R389" i="489"/>
  <c r="Q389" i="489"/>
  <c r="P389" i="489"/>
  <c r="O389" i="489"/>
  <c r="I389" i="489"/>
  <c r="G389" i="489"/>
  <c r="AA388" i="489"/>
  <c r="Z388" i="489"/>
  <c r="Y388" i="489"/>
  <c r="X388" i="489"/>
  <c r="U388" i="489"/>
  <c r="T388" i="489"/>
  <c r="S388" i="489"/>
  <c r="R388" i="489"/>
  <c r="Q388" i="489"/>
  <c r="P388" i="489"/>
  <c r="O388" i="489"/>
  <c r="I388" i="489"/>
  <c r="G388" i="489"/>
  <c r="AA387" i="489"/>
  <c r="Z387" i="489"/>
  <c r="Y387" i="489"/>
  <c r="X387" i="489"/>
  <c r="U387" i="489"/>
  <c r="T387" i="489"/>
  <c r="S387" i="489"/>
  <c r="R387" i="489"/>
  <c r="Q387" i="489"/>
  <c r="P387" i="489"/>
  <c r="O387" i="489"/>
  <c r="I387" i="489"/>
  <c r="G387" i="489"/>
  <c r="AA386" i="489"/>
  <c r="Z386" i="489"/>
  <c r="Y386" i="489"/>
  <c r="X386" i="489"/>
  <c r="U386" i="489"/>
  <c r="T386" i="489"/>
  <c r="S386" i="489"/>
  <c r="R386" i="489"/>
  <c r="Q386" i="489"/>
  <c r="P386" i="489"/>
  <c r="O386" i="489"/>
  <c r="I386" i="489"/>
  <c r="G386" i="489"/>
  <c r="AA385" i="489"/>
  <c r="Z385" i="489"/>
  <c r="Y385" i="489"/>
  <c r="X385" i="489"/>
  <c r="U385" i="489"/>
  <c r="T385" i="489"/>
  <c r="S385" i="489"/>
  <c r="R385" i="489"/>
  <c r="Q385" i="489"/>
  <c r="P385" i="489"/>
  <c r="O385" i="489"/>
  <c r="I385" i="489"/>
  <c r="G385" i="489"/>
  <c r="AA384" i="489"/>
  <c r="Z384" i="489"/>
  <c r="Y384" i="489"/>
  <c r="X384" i="489"/>
  <c r="U384" i="489"/>
  <c r="T384" i="489"/>
  <c r="S384" i="489"/>
  <c r="R384" i="489"/>
  <c r="Q384" i="489"/>
  <c r="P384" i="489"/>
  <c r="O384" i="489"/>
  <c r="I384" i="489"/>
  <c r="G384" i="489"/>
  <c r="AA383" i="489"/>
  <c r="Z383" i="489"/>
  <c r="Y383" i="489"/>
  <c r="X383" i="489"/>
  <c r="U383" i="489"/>
  <c r="T383" i="489"/>
  <c r="S383" i="489"/>
  <c r="R383" i="489"/>
  <c r="Q383" i="489"/>
  <c r="P383" i="489"/>
  <c r="O383" i="489"/>
  <c r="I383" i="489"/>
  <c r="G383" i="489"/>
  <c r="AA382" i="489"/>
  <c r="Z382" i="489"/>
  <c r="Y382" i="489"/>
  <c r="X382" i="489"/>
  <c r="U382" i="489"/>
  <c r="T382" i="489"/>
  <c r="S382" i="489"/>
  <c r="R382" i="489"/>
  <c r="Q382" i="489"/>
  <c r="P382" i="489"/>
  <c r="O382" i="489"/>
  <c r="I382" i="489"/>
  <c r="G382" i="489"/>
  <c r="AA381" i="489"/>
  <c r="Z381" i="489"/>
  <c r="Y381" i="489"/>
  <c r="X381" i="489"/>
  <c r="U381" i="489"/>
  <c r="T381" i="489"/>
  <c r="S381" i="489"/>
  <c r="R381" i="489"/>
  <c r="Q381" i="489"/>
  <c r="P381" i="489"/>
  <c r="O381" i="489"/>
  <c r="I381" i="489"/>
  <c r="G381" i="489"/>
  <c r="AA380" i="489"/>
  <c r="Z380" i="489"/>
  <c r="Y380" i="489"/>
  <c r="X380" i="489"/>
  <c r="U380" i="489"/>
  <c r="T380" i="489"/>
  <c r="S380" i="489"/>
  <c r="R380" i="489"/>
  <c r="Q380" i="489"/>
  <c r="P380" i="489"/>
  <c r="O380" i="489"/>
  <c r="I380" i="489"/>
  <c r="G380" i="489"/>
  <c r="AA379" i="489"/>
  <c r="Z379" i="489"/>
  <c r="Y379" i="489"/>
  <c r="X379" i="489"/>
  <c r="U379" i="489"/>
  <c r="T379" i="489"/>
  <c r="S379" i="489"/>
  <c r="R379" i="489"/>
  <c r="Q379" i="489"/>
  <c r="P379" i="489"/>
  <c r="O379" i="489"/>
  <c r="I379" i="489"/>
  <c r="G379" i="489"/>
  <c r="AA378" i="489"/>
  <c r="Z378" i="489"/>
  <c r="Y378" i="489"/>
  <c r="X378" i="489"/>
  <c r="U378" i="489"/>
  <c r="T378" i="489"/>
  <c r="S378" i="489"/>
  <c r="R378" i="489"/>
  <c r="Q378" i="489"/>
  <c r="P378" i="489"/>
  <c r="O378" i="489"/>
  <c r="I378" i="489"/>
  <c r="G378" i="489"/>
  <c r="AA377" i="489"/>
  <c r="Z377" i="489"/>
  <c r="Y377" i="489"/>
  <c r="X377" i="489"/>
  <c r="U377" i="489"/>
  <c r="T377" i="489"/>
  <c r="S377" i="489"/>
  <c r="R377" i="489"/>
  <c r="Q377" i="489"/>
  <c r="P377" i="489"/>
  <c r="O377" i="489"/>
  <c r="I377" i="489"/>
  <c r="G377" i="489"/>
  <c r="I376" i="489"/>
  <c r="G376" i="489"/>
  <c r="I375" i="489"/>
  <c r="G375" i="489"/>
  <c r="I374" i="489"/>
  <c r="G374" i="489"/>
  <c r="AA373" i="489"/>
  <c r="Z373" i="489"/>
  <c r="Y373" i="489"/>
  <c r="X373" i="489"/>
  <c r="U373" i="489"/>
  <c r="T373" i="489"/>
  <c r="S373" i="489"/>
  <c r="R373" i="489"/>
  <c r="Q373" i="489"/>
  <c r="P373" i="489"/>
  <c r="O373" i="489"/>
  <c r="I373" i="489"/>
  <c r="G373" i="489"/>
  <c r="AA372" i="489"/>
  <c r="Z372" i="489"/>
  <c r="Y372" i="489"/>
  <c r="X372" i="489"/>
  <c r="U372" i="489"/>
  <c r="T372" i="489"/>
  <c r="S372" i="489"/>
  <c r="R372" i="489"/>
  <c r="Q372" i="489"/>
  <c r="P372" i="489"/>
  <c r="O372" i="489"/>
  <c r="I372" i="489"/>
  <c r="G372" i="489"/>
  <c r="AA371" i="489"/>
  <c r="Z371" i="489"/>
  <c r="Y371" i="489"/>
  <c r="X371" i="489"/>
  <c r="U371" i="489"/>
  <c r="T371" i="489"/>
  <c r="S371" i="489"/>
  <c r="R371" i="489"/>
  <c r="Q371" i="489"/>
  <c r="P371" i="489"/>
  <c r="O371" i="489"/>
  <c r="I371" i="489"/>
  <c r="G371" i="489"/>
  <c r="AA369" i="489"/>
  <c r="Z369" i="489"/>
  <c r="Y369" i="489"/>
  <c r="X369" i="489"/>
  <c r="U369" i="489"/>
  <c r="T369" i="489"/>
  <c r="S369" i="489"/>
  <c r="R369" i="489"/>
  <c r="Q369" i="489"/>
  <c r="P369" i="489"/>
  <c r="O369" i="489"/>
  <c r="I369" i="489"/>
  <c r="G369" i="489"/>
  <c r="AA367" i="489"/>
  <c r="Z367" i="489"/>
  <c r="Y367" i="489"/>
  <c r="X367" i="489"/>
  <c r="U367" i="489"/>
  <c r="T367" i="489"/>
  <c r="S367" i="489"/>
  <c r="R367" i="489"/>
  <c r="Q367" i="489"/>
  <c r="P367" i="489"/>
  <c r="O367" i="489"/>
  <c r="I367" i="489"/>
  <c r="G367" i="489"/>
  <c r="AA366" i="489"/>
  <c r="Z366" i="489"/>
  <c r="Y366" i="489"/>
  <c r="X366" i="489"/>
  <c r="U366" i="489"/>
  <c r="T366" i="489"/>
  <c r="S366" i="489"/>
  <c r="R366" i="489"/>
  <c r="Q366" i="489"/>
  <c r="P366" i="489"/>
  <c r="O366" i="489"/>
  <c r="I366" i="489"/>
  <c r="G366" i="489"/>
  <c r="AA365" i="489"/>
  <c r="Z365" i="489"/>
  <c r="Y365" i="489"/>
  <c r="X365" i="489"/>
  <c r="U365" i="489"/>
  <c r="T365" i="489"/>
  <c r="S365" i="489"/>
  <c r="R365" i="489"/>
  <c r="Q365" i="489"/>
  <c r="P365" i="489"/>
  <c r="O365" i="489"/>
  <c r="I365" i="489"/>
  <c r="G365" i="489"/>
  <c r="AA364" i="489"/>
  <c r="Z364" i="489"/>
  <c r="Y364" i="489"/>
  <c r="X364" i="489"/>
  <c r="U364" i="489"/>
  <c r="T364" i="489"/>
  <c r="S364" i="489"/>
  <c r="R364" i="489"/>
  <c r="Q364" i="489"/>
  <c r="P364" i="489"/>
  <c r="O364" i="489"/>
  <c r="I364" i="489"/>
  <c r="G364" i="489"/>
  <c r="AA363" i="489"/>
  <c r="Z363" i="489"/>
  <c r="Y363" i="489"/>
  <c r="X363" i="489"/>
  <c r="U363" i="489"/>
  <c r="T363" i="489"/>
  <c r="S363" i="489"/>
  <c r="R363" i="489"/>
  <c r="Q363" i="489"/>
  <c r="P363" i="489"/>
  <c r="O363" i="489"/>
  <c r="I363" i="489"/>
  <c r="G363" i="489"/>
  <c r="AA362" i="489"/>
  <c r="Z362" i="489"/>
  <c r="Y362" i="489"/>
  <c r="X362" i="489"/>
  <c r="U362" i="489"/>
  <c r="T362" i="489"/>
  <c r="S362" i="489"/>
  <c r="R362" i="489"/>
  <c r="Q362" i="489"/>
  <c r="P362" i="489"/>
  <c r="O362" i="489"/>
  <c r="I362" i="489"/>
  <c r="G362" i="489"/>
  <c r="AA361" i="489"/>
  <c r="Z361" i="489"/>
  <c r="Y361" i="489"/>
  <c r="X361" i="489"/>
  <c r="U361" i="489"/>
  <c r="T361" i="489"/>
  <c r="S361" i="489"/>
  <c r="R361" i="489"/>
  <c r="Q361" i="489"/>
  <c r="P361" i="489"/>
  <c r="O361" i="489"/>
  <c r="I361" i="489"/>
  <c r="G361" i="489"/>
  <c r="AA360" i="489"/>
  <c r="Z360" i="489"/>
  <c r="Y360" i="489"/>
  <c r="X360" i="489"/>
  <c r="U360" i="489"/>
  <c r="T360" i="489"/>
  <c r="S360" i="489"/>
  <c r="R360" i="489"/>
  <c r="Q360" i="489"/>
  <c r="P360" i="489"/>
  <c r="O360" i="489"/>
  <c r="I360" i="489"/>
  <c r="G360" i="489"/>
  <c r="AA359" i="489"/>
  <c r="Z359" i="489"/>
  <c r="Y359" i="489"/>
  <c r="X359" i="489"/>
  <c r="U359" i="489"/>
  <c r="T359" i="489"/>
  <c r="S359" i="489"/>
  <c r="R359" i="489"/>
  <c r="Q359" i="489"/>
  <c r="P359" i="489"/>
  <c r="O359" i="489"/>
  <c r="I359" i="489"/>
  <c r="G359" i="489"/>
  <c r="AA356" i="489"/>
  <c r="Z356" i="489"/>
  <c r="Y356" i="489"/>
  <c r="X356" i="489"/>
  <c r="U356" i="489"/>
  <c r="T356" i="489"/>
  <c r="S356" i="489"/>
  <c r="R356" i="489"/>
  <c r="Q356" i="489"/>
  <c r="P356" i="489"/>
  <c r="O356" i="489"/>
  <c r="I356" i="489"/>
  <c r="G356" i="489"/>
  <c r="AA355" i="489"/>
  <c r="Z355" i="489"/>
  <c r="Y355" i="489"/>
  <c r="X355" i="489"/>
  <c r="U355" i="489"/>
  <c r="T355" i="489"/>
  <c r="S355" i="489"/>
  <c r="R355" i="489"/>
  <c r="Q355" i="489"/>
  <c r="P355" i="489"/>
  <c r="O355" i="489"/>
  <c r="I355" i="489"/>
  <c r="G355" i="489"/>
  <c r="AA354" i="489"/>
  <c r="Z354" i="489"/>
  <c r="Y354" i="489"/>
  <c r="X354" i="489"/>
  <c r="U354" i="489"/>
  <c r="T354" i="489"/>
  <c r="S354" i="489"/>
  <c r="R354" i="489"/>
  <c r="Q354" i="489"/>
  <c r="P354" i="489"/>
  <c r="O354" i="489"/>
  <c r="I354" i="489"/>
  <c r="G354" i="489"/>
  <c r="AA353" i="489"/>
  <c r="Z353" i="489"/>
  <c r="Y353" i="489"/>
  <c r="X353" i="489"/>
  <c r="U353" i="489"/>
  <c r="T353" i="489"/>
  <c r="S353" i="489"/>
  <c r="R353" i="489"/>
  <c r="Q353" i="489"/>
  <c r="P353" i="489"/>
  <c r="O353" i="489"/>
  <c r="I353" i="489"/>
  <c r="G353" i="489"/>
  <c r="AA352" i="489"/>
  <c r="Z352" i="489"/>
  <c r="Y352" i="489"/>
  <c r="X352" i="489"/>
  <c r="U352" i="489"/>
  <c r="T352" i="489"/>
  <c r="S352" i="489"/>
  <c r="R352" i="489"/>
  <c r="Q352" i="489"/>
  <c r="P352" i="489"/>
  <c r="O352" i="489"/>
  <c r="I352" i="489"/>
  <c r="G352" i="489"/>
  <c r="AA351" i="489"/>
  <c r="Z351" i="489"/>
  <c r="Y351" i="489"/>
  <c r="X351" i="489"/>
  <c r="U351" i="489"/>
  <c r="T351" i="489"/>
  <c r="S351" i="489"/>
  <c r="R351" i="489"/>
  <c r="Q351" i="489"/>
  <c r="P351" i="489"/>
  <c r="O351" i="489"/>
  <c r="I351" i="489"/>
  <c r="G351" i="489"/>
  <c r="AA350" i="489"/>
  <c r="Z350" i="489"/>
  <c r="Y350" i="489"/>
  <c r="X350" i="489"/>
  <c r="U350" i="489"/>
  <c r="T350" i="489"/>
  <c r="S350" i="489"/>
  <c r="R350" i="489"/>
  <c r="Q350" i="489"/>
  <c r="P350" i="489"/>
  <c r="O350" i="489"/>
  <c r="I350" i="489"/>
  <c r="G350" i="489"/>
  <c r="AA349" i="489"/>
  <c r="Z349" i="489"/>
  <c r="Y349" i="489"/>
  <c r="X349" i="489"/>
  <c r="U349" i="489"/>
  <c r="T349" i="489"/>
  <c r="S349" i="489"/>
  <c r="R349" i="489"/>
  <c r="Q349" i="489"/>
  <c r="P349" i="489"/>
  <c r="O349" i="489"/>
  <c r="I349" i="489"/>
  <c r="G349" i="489"/>
  <c r="AA348" i="489"/>
  <c r="Z348" i="489"/>
  <c r="Y348" i="489"/>
  <c r="X348" i="489"/>
  <c r="U348" i="489"/>
  <c r="T348" i="489"/>
  <c r="S348" i="489"/>
  <c r="R348" i="489"/>
  <c r="Q348" i="489"/>
  <c r="P348" i="489"/>
  <c r="O348" i="489"/>
  <c r="I348" i="489"/>
  <c r="G348" i="489"/>
  <c r="AA347" i="489"/>
  <c r="Z347" i="489"/>
  <c r="Y347" i="489"/>
  <c r="X347" i="489"/>
  <c r="U347" i="489"/>
  <c r="T347" i="489"/>
  <c r="S347" i="489"/>
  <c r="R347" i="489"/>
  <c r="Q347" i="489"/>
  <c r="P347" i="489"/>
  <c r="O347" i="489"/>
  <c r="I347" i="489"/>
  <c r="G347" i="489"/>
  <c r="G338" i="489"/>
  <c r="C338" i="489"/>
  <c r="G337" i="489"/>
  <c r="C337" i="489"/>
  <c r="G336" i="489"/>
  <c r="C336" i="489"/>
  <c r="G335" i="489"/>
  <c r="C335" i="489"/>
  <c r="AA331" i="489"/>
  <c r="Z331" i="489"/>
  <c r="Y331" i="489"/>
  <c r="X331" i="489"/>
  <c r="U331" i="489"/>
  <c r="T331" i="489"/>
  <c r="S331" i="489"/>
  <c r="R331" i="489"/>
  <c r="Q331" i="489"/>
  <c r="P331" i="489"/>
  <c r="O331" i="489"/>
  <c r="I331" i="489"/>
  <c r="G331" i="489"/>
  <c r="AA330" i="489"/>
  <c r="Z330" i="489"/>
  <c r="Y330" i="489"/>
  <c r="X330" i="489"/>
  <c r="U330" i="489"/>
  <c r="T330" i="489"/>
  <c r="S330" i="489"/>
  <c r="R330" i="489"/>
  <c r="Q330" i="489"/>
  <c r="P330" i="489"/>
  <c r="O330" i="489"/>
  <c r="I330" i="489"/>
  <c r="G330" i="489"/>
  <c r="AA329" i="489"/>
  <c r="Z329" i="489"/>
  <c r="Y329" i="489"/>
  <c r="X329" i="489"/>
  <c r="U329" i="489"/>
  <c r="T329" i="489"/>
  <c r="S329" i="489"/>
  <c r="R329" i="489"/>
  <c r="Q329" i="489"/>
  <c r="P329" i="489"/>
  <c r="O329" i="489"/>
  <c r="I329" i="489"/>
  <c r="G329" i="489"/>
  <c r="AA328" i="489"/>
  <c r="Z328" i="489"/>
  <c r="Y328" i="489"/>
  <c r="X328" i="489"/>
  <c r="U328" i="489"/>
  <c r="T328" i="489"/>
  <c r="S328" i="489"/>
  <c r="R328" i="489"/>
  <c r="Q328" i="489"/>
  <c r="P328" i="489"/>
  <c r="O328" i="489"/>
  <c r="I328" i="489"/>
  <c r="G328" i="489"/>
  <c r="AA326" i="489"/>
  <c r="Z326" i="489"/>
  <c r="Y326" i="489"/>
  <c r="X326" i="489"/>
  <c r="U326" i="489"/>
  <c r="T326" i="489"/>
  <c r="S326" i="489"/>
  <c r="R326" i="489"/>
  <c r="Q326" i="489"/>
  <c r="P326" i="489"/>
  <c r="O326" i="489"/>
  <c r="I326" i="489"/>
  <c r="G326" i="489"/>
  <c r="G325" i="489"/>
  <c r="AA324" i="489"/>
  <c r="Z324" i="489"/>
  <c r="Y324" i="489"/>
  <c r="X324" i="489"/>
  <c r="U324" i="489"/>
  <c r="T324" i="489"/>
  <c r="S324" i="489"/>
  <c r="R324" i="489"/>
  <c r="Q324" i="489"/>
  <c r="P324" i="489"/>
  <c r="O324" i="489"/>
  <c r="I324" i="489"/>
  <c r="G324" i="489"/>
  <c r="AA323" i="489"/>
  <c r="Z323" i="489"/>
  <c r="Y323" i="489"/>
  <c r="X323" i="489"/>
  <c r="U323" i="489"/>
  <c r="T323" i="489"/>
  <c r="S323" i="489"/>
  <c r="R323" i="489"/>
  <c r="Q323" i="489"/>
  <c r="P323" i="489"/>
  <c r="O323" i="489"/>
  <c r="I323" i="489"/>
  <c r="G323" i="489"/>
  <c r="AA322" i="489"/>
  <c r="Z322" i="489"/>
  <c r="Y322" i="489"/>
  <c r="X322" i="489"/>
  <c r="U322" i="489"/>
  <c r="T322" i="489"/>
  <c r="S322" i="489"/>
  <c r="R322" i="489"/>
  <c r="Q322" i="489"/>
  <c r="P322" i="489"/>
  <c r="O322" i="489"/>
  <c r="I322" i="489"/>
  <c r="G322" i="489"/>
  <c r="AA321" i="489"/>
  <c r="Z321" i="489"/>
  <c r="Y321" i="489"/>
  <c r="X321" i="489"/>
  <c r="U321" i="489"/>
  <c r="T321" i="489"/>
  <c r="S321" i="489"/>
  <c r="R321" i="489"/>
  <c r="Q321" i="489"/>
  <c r="P321" i="489"/>
  <c r="O321" i="489"/>
  <c r="I321" i="489"/>
  <c r="G321" i="489"/>
  <c r="AA320" i="489"/>
  <c r="Z320" i="489"/>
  <c r="Y320" i="489"/>
  <c r="X320" i="489"/>
  <c r="U320" i="489"/>
  <c r="T320" i="489"/>
  <c r="S320" i="489"/>
  <c r="R320" i="489"/>
  <c r="Q320" i="489"/>
  <c r="P320" i="489"/>
  <c r="O320" i="489"/>
  <c r="I320" i="489"/>
  <c r="G320" i="489"/>
  <c r="AA319" i="489"/>
  <c r="Z319" i="489"/>
  <c r="Y319" i="489"/>
  <c r="X319" i="489"/>
  <c r="U319" i="489"/>
  <c r="T319" i="489"/>
  <c r="S319" i="489"/>
  <c r="R319" i="489"/>
  <c r="Q319" i="489"/>
  <c r="P319" i="489"/>
  <c r="O319" i="489"/>
  <c r="I319" i="489"/>
  <c r="G319" i="489"/>
  <c r="AA318" i="489"/>
  <c r="Z318" i="489"/>
  <c r="Y318" i="489"/>
  <c r="X318" i="489"/>
  <c r="U318" i="489"/>
  <c r="T318" i="489"/>
  <c r="S318" i="489"/>
  <c r="R318" i="489"/>
  <c r="Q318" i="489"/>
  <c r="P318" i="489"/>
  <c r="O318" i="489"/>
  <c r="I318" i="489"/>
  <c r="G318" i="489"/>
  <c r="AA316" i="489"/>
  <c r="Z316" i="489"/>
  <c r="Y316" i="489"/>
  <c r="X316" i="489"/>
  <c r="U316" i="489"/>
  <c r="T316" i="489"/>
  <c r="S316" i="489"/>
  <c r="R316" i="489"/>
  <c r="Q316" i="489"/>
  <c r="P316" i="489"/>
  <c r="O316" i="489"/>
  <c r="I316" i="489"/>
  <c r="G316" i="489"/>
  <c r="G313" i="489"/>
  <c r="H313" i="489" s="1"/>
  <c r="AA312" i="489"/>
  <c r="Z312" i="489"/>
  <c r="Y312" i="489"/>
  <c r="X312" i="489"/>
  <c r="U312" i="489"/>
  <c r="T312" i="489"/>
  <c r="S312" i="489"/>
  <c r="R312" i="489"/>
  <c r="Q312" i="489"/>
  <c r="P312" i="489"/>
  <c r="O312" i="489"/>
  <c r="I312" i="489"/>
  <c r="G312" i="489"/>
  <c r="AA311" i="489"/>
  <c r="Z311" i="489"/>
  <c r="Y311" i="489"/>
  <c r="X311" i="489"/>
  <c r="U311" i="489"/>
  <c r="T311" i="489"/>
  <c r="S311" i="489"/>
  <c r="R311" i="489"/>
  <c r="Q311" i="489"/>
  <c r="P311" i="489"/>
  <c r="O311" i="489"/>
  <c r="I311" i="489"/>
  <c r="G311" i="489"/>
  <c r="AA310" i="489"/>
  <c r="Z310" i="489"/>
  <c r="Y310" i="489"/>
  <c r="X310" i="489"/>
  <c r="U310" i="489"/>
  <c r="T310" i="489"/>
  <c r="S310" i="489"/>
  <c r="R310" i="489"/>
  <c r="Q310" i="489"/>
  <c r="P310" i="489"/>
  <c r="O310" i="489"/>
  <c r="I310" i="489"/>
  <c r="G310" i="489"/>
  <c r="AA309" i="489"/>
  <c r="Z309" i="489"/>
  <c r="Y309" i="489"/>
  <c r="X309" i="489"/>
  <c r="U309" i="489"/>
  <c r="T309" i="489"/>
  <c r="S309" i="489"/>
  <c r="R309" i="489"/>
  <c r="Q309" i="489"/>
  <c r="P309" i="489"/>
  <c r="O309" i="489"/>
  <c r="I309" i="489"/>
  <c r="G309" i="489"/>
  <c r="AA308" i="489"/>
  <c r="Z308" i="489"/>
  <c r="Y308" i="489"/>
  <c r="X308" i="489"/>
  <c r="U308" i="489"/>
  <c r="T308" i="489"/>
  <c r="S308" i="489"/>
  <c r="R308" i="489"/>
  <c r="Q308" i="489"/>
  <c r="P308" i="489"/>
  <c r="O308" i="489"/>
  <c r="I308" i="489"/>
  <c r="G308" i="489"/>
  <c r="AA306" i="489"/>
  <c r="Z306" i="489"/>
  <c r="Y306" i="489"/>
  <c r="X306" i="489"/>
  <c r="U306" i="489"/>
  <c r="T306" i="489"/>
  <c r="S306" i="489"/>
  <c r="R306" i="489"/>
  <c r="Q306" i="489"/>
  <c r="P306" i="489"/>
  <c r="O306" i="489"/>
  <c r="I306" i="489"/>
  <c r="G306" i="489"/>
  <c r="AA305" i="489"/>
  <c r="Z305" i="489"/>
  <c r="Y305" i="489"/>
  <c r="X305" i="489"/>
  <c r="U305" i="489"/>
  <c r="T305" i="489"/>
  <c r="S305" i="489"/>
  <c r="R305" i="489"/>
  <c r="Q305" i="489"/>
  <c r="P305" i="489"/>
  <c r="O305" i="489"/>
  <c r="I305" i="489"/>
  <c r="G305" i="489"/>
  <c r="AA304" i="489"/>
  <c r="Z304" i="489"/>
  <c r="Y304" i="489"/>
  <c r="X304" i="489"/>
  <c r="U304" i="489"/>
  <c r="T304" i="489"/>
  <c r="S304" i="489"/>
  <c r="R304" i="489"/>
  <c r="Q304" i="489"/>
  <c r="P304" i="489"/>
  <c r="O304" i="489"/>
  <c r="I304" i="489"/>
  <c r="G304" i="489"/>
  <c r="AA303" i="489"/>
  <c r="Z303" i="489"/>
  <c r="Y303" i="489"/>
  <c r="X303" i="489"/>
  <c r="U303" i="489"/>
  <c r="T303" i="489"/>
  <c r="S303" i="489"/>
  <c r="R303" i="489"/>
  <c r="Q303" i="489"/>
  <c r="P303" i="489"/>
  <c r="O303" i="489"/>
  <c r="I303" i="489"/>
  <c r="G303" i="489"/>
  <c r="AA302" i="489"/>
  <c r="Z302" i="489"/>
  <c r="Y302" i="489"/>
  <c r="X302" i="489"/>
  <c r="U302" i="489"/>
  <c r="T302" i="489"/>
  <c r="S302" i="489"/>
  <c r="R302" i="489"/>
  <c r="Q302" i="489"/>
  <c r="P302" i="489"/>
  <c r="O302" i="489"/>
  <c r="I302" i="489"/>
  <c r="G302" i="489"/>
  <c r="AA301" i="489"/>
  <c r="Z301" i="489"/>
  <c r="Y301" i="489"/>
  <c r="X301" i="489"/>
  <c r="U301" i="489"/>
  <c r="T301" i="489"/>
  <c r="S301" i="489"/>
  <c r="R301" i="489"/>
  <c r="Q301" i="489"/>
  <c r="P301" i="489"/>
  <c r="O301" i="489"/>
  <c r="I301" i="489"/>
  <c r="G301" i="489"/>
  <c r="AA300" i="489"/>
  <c r="Z300" i="489"/>
  <c r="Y300" i="489"/>
  <c r="X300" i="489"/>
  <c r="U300" i="489"/>
  <c r="T300" i="489"/>
  <c r="S300" i="489"/>
  <c r="R300" i="489"/>
  <c r="Q300" i="489"/>
  <c r="P300" i="489"/>
  <c r="O300" i="489"/>
  <c r="I300" i="489"/>
  <c r="G300" i="489"/>
  <c r="AA299" i="489"/>
  <c r="Z299" i="489"/>
  <c r="Y299" i="489"/>
  <c r="X299" i="489"/>
  <c r="U299" i="489"/>
  <c r="T299" i="489"/>
  <c r="S299" i="489"/>
  <c r="R299" i="489"/>
  <c r="Q299" i="489"/>
  <c r="P299" i="489"/>
  <c r="O299" i="489"/>
  <c r="I299" i="489"/>
  <c r="G299" i="489"/>
  <c r="AA298" i="489"/>
  <c r="Z298" i="489"/>
  <c r="Y298" i="489"/>
  <c r="X298" i="489"/>
  <c r="U298" i="489"/>
  <c r="T298" i="489"/>
  <c r="S298" i="489"/>
  <c r="R298" i="489"/>
  <c r="Q298" i="489"/>
  <c r="P298" i="489"/>
  <c r="O298" i="489"/>
  <c r="I298" i="489"/>
  <c r="G298" i="489"/>
  <c r="AA297" i="489"/>
  <c r="Z297" i="489"/>
  <c r="Y297" i="489"/>
  <c r="X297" i="489"/>
  <c r="U297" i="489"/>
  <c r="T297" i="489"/>
  <c r="S297" i="489"/>
  <c r="R297" i="489"/>
  <c r="Q297" i="489"/>
  <c r="P297" i="489"/>
  <c r="O297" i="489"/>
  <c r="I297" i="489"/>
  <c r="G297" i="489"/>
  <c r="AA296" i="489"/>
  <c r="Z296" i="489"/>
  <c r="Y296" i="489"/>
  <c r="X296" i="489"/>
  <c r="U296" i="489"/>
  <c r="T296" i="489"/>
  <c r="S296" i="489"/>
  <c r="R296" i="489"/>
  <c r="Q296" i="489"/>
  <c r="P296" i="489"/>
  <c r="O296" i="489"/>
  <c r="I296" i="489"/>
  <c r="G296" i="489"/>
  <c r="AA295" i="489"/>
  <c r="Z295" i="489"/>
  <c r="Y295" i="489"/>
  <c r="X295" i="489"/>
  <c r="U295" i="489"/>
  <c r="T295" i="489"/>
  <c r="S295" i="489"/>
  <c r="R295" i="489"/>
  <c r="Q295" i="489"/>
  <c r="P295" i="489"/>
  <c r="O295" i="489"/>
  <c r="I295" i="489"/>
  <c r="G295" i="489"/>
  <c r="AA294" i="489"/>
  <c r="Z294" i="489"/>
  <c r="Y294" i="489"/>
  <c r="X294" i="489"/>
  <c r="U294" i="489"/>
  <c r="T294" i="489"/>
  <c r="S294" i="489"/>
  <c r="R294" i="489"/>
  <c r="Q294" i="489"/>
  <c r="P294" i="489"/>
  <c r="O294" i="489"/>
  <c r="I294" i="489"/>
  <c r="G294" i="489"/>
  <c r="AA293" i="489"/>
  <c r="Z293" i="489"/>
  <c r="Y293" i="489"/>
  <c r="X293" i="489"/>
  <c r="U293" i="489"/>
  <c r="T293" i="489"/>
  <c r="S293" i="489"/>
  <c r="R293" i="489"/>
  <c r="Q293" i="489"/>
  <c r="P293" i="489"/>
  <c r="O293" i="489"/>
  <c r="I293" i="489"/>
  <c r="G293" i="489"/>
  <c r="AA292" i="489"/>
  <c r="Z292" i="489"/>
  <c r="Y292" i="489"/>
  <c r="X292" i="489"/>
  <c r="U292" i="489"/>
  <c r="T292" i="489"/>
  <c r="S292" i="489"/>
  <c r="R292" i="489"/>
  <c r="Q292" i="489"/>
  <c r="P292" i="489"/>
  <c r="O292" i="489"/>
  <c r="I292" i="489"/>
  <c r="G292" i="489"/>
  <c r="AA290" i="489"/>
  <c r="Z290" i="489"/>
  <c r="Y290" i="489"/>
  <c r="X290" i="489"/>
  <c r="U290" i="489"/>
  <c r="T290" i="489"/>
  <c r="S290" i="489"/>
  <c r="R290" i="489"/>
  <c r="Q290" i="489"/>
  <c r="P290" i="489"/>
  <c r="O290" i="489"/>
  <c r="I290" i="489"/>
  <c r="G290" i="489"/>
  <c r="AA289" i="489"/>
  <c r="Z289" i="489"/>
  <c r="Y289" i="489"/>
  <c r="X289" i="489"/>
  <c r="U289" i="489"/>
  <c r="T289" i="489"/>
  <c r="S289" i="489"/>
  <c r="R289" i="489"/>
  <c r="Q289" i="489"/>
  <c r="P289" i="489"/>
  <c r="O289" i="489"/>
  <c r="I289" i="489"/>
  <c r="G289" i="489"/>
  <c r="AA288" i="489"/>
  <c r="Z288" i="489"/>
  <c r="Y288" i="489"/>
  <c r="X288" i="489"/>
  <c r="U288" i="489"/>
  <c r="T288" i="489"/>
  <c r="S288" i="489"/>
  <c r="R288" i="489"/>
  <c r="Q288" i="489"/>
  <c r="P288" i="489"/>
  <c r="O288" i="489"/>
  <c r="I288" i="489"/>
  <c r="G288" i="489"/>
  <c r="I287" i="489"/>
  <c r="G287" i="489"/>
  <c r="I286" i="489"/>
  <c r="G286" i="489"/>
  <c r="I285" i="489"/>
  <c r="G285" i="489"/>
  <c r="AA284" i="489"/>
  <c r="Z284" i="489"/>
  <c r="Y284" i="489"/>
  <c r="X284" i="489"/>
  <c r="U284" i="489"/>
  <c r="T284" i="489"/>
  <c r="S284" i="489"/>
  <c r="R284" i="489"/>
  <c r="Q284" i="489"/>
  <c r="P284" i="489"/>
  <c r="O284" i="489"/>
  <c r="I284" i="489"/>
  <c r="G284" i="489"/>
  <c r="AA283" i="489"/>
  <c r="Z283" i="489"/>
  <c r="Y283" i="489"/>
  <c r="X283" i="489"/>
  <c r="U283" i="489"/>
  <c r="T283" i="489"/>
  <c r="S283" i="489"/>
  <c r="R283" i="489"/>
  <c r="Q283" i="489"/>
  <c r="P283" i="489"/>
  <c r="O283" i="489"/>
  <c r="I283" i="489"/>
  <c r="G283" i="489"/>
  <c r="AA282" i="489"/>
  <c r="Z282" i="489"/>
  <c r="Y282" i="489"/>
  <c r="X282" i="489"/>
  <c r="U282" i="489"/>
  <c r="T282" i="489"/>
  <c r="S282" i="489"/>
  <c r="R282" i="489"/>
  <c r="Q282" i="489"/>
  <c r="P282" i="489"/>
  <c r="O282" i="489"/>
  <c r="I282" i="489"/>
  <c r="G282" i="489"/>
  <c r="AA281" i="489"/>
  <c r="Z281" i="489"/>
  <c r="Y281" i="489"/>
  <c r="X281" i="489"/>
  <c r="U281" i="489"/>
  <c r="T281" i="489"/>
  <c r="S281" i="489"/>
  <c r="R281" i="489"/>
  <c r="Q281" i="489"/>
  <c r="P281" i="489"/>
  <c r="O281" i="489"/>
  <c r="I281" i="489"/>
  <c r="G281" i="489"/>
  <c r="AA280" i="489"/>
  <c r="Z280" i="489"/>
  <c r="Y280" i="489"/>
  <c r="X280" i="489"/>
  <c r="U280" i="489"/>
  <c r="T280" i="489"/>
  <c r="S280" i="489"/>
  <c r="R280" i="489"/>
  <c r="Q280" i="489"/>
  <c r="P280" i="489"/>
  <c r="O280" i="489"/>
  <c r="I280" i="489"/>
  <c r="G280" i="489"/>
  <c r="AA279" i="489"/>
  <c r="Z279" i="489"/>
  <c r="Y279" i="489"/>
  <c r="X279" i="489"/>
  <c r="U279" i="489"/>
  <c r="T279" i="489"/>
  <c r="S279" i="489"/>
  <c r="R279" i="489"/>
  <c r="Q279" i="489"/>
  <c r="P279" i="489"/>
  <c r="O279" i="489"/>
  <c r="I279" i="489"/>
  <c r="G279" i="489"/>
  <c r="AA278" i="489"/>
  <c r="Z278" i="489"/>
  <c r="Y278" i="489"/>
  <c r="X278" i="489"/>
  <c r="U278" i="489"/>
  <c r="T278" i="489"/>
  <c r="S278" i="489"/>
  <c r="R278" i="489"/>
  <c r="Q278" i="489"/>
  <c r="P278" i="489"/>
  <c r="O278" i="489"/>
  <c r="I278" i="489"/>
  <c r="G278" i="489"/>
  <c r="AA277" i="489"/>
  <c r="Z277" i="489"/>
  <c r="Y277" i="489"/>
  <c r="X277" i="489"/>
  <c r="U277" i="489"/>
  <c r="T277" i="489"/>
  <c r="S277" i="489"/>
  <c r="R277" i="489"/>
  <c r="Q277" i="489"/>
  <c r="P277" i="489"/>
  <c r="O277" i="489"/>
  <c r="I277" i="489"/>
  <c r="G277" i="489"/>
  <c r="AA276" i="489"/>
  <c r="Z276" i="489"/>
  <c r="Y276" i="489"/>
  <c r="X276" i="489"/>
  <c r="U276" i="489"/>
  <c r="T276" i="489"/>
  <c r="S276" i="489"/>
  <c r="R276" i="489"/>
  <c r="Q276" i="489"/>
  <c r="P276" i="489"/>
  <c r="O276" i="489"/>
  <c r="I276" i="489"/>
  <c r="G276" i="489"/>
  <c r="AA275" i="489"/>
  <c r="Z275" i="489"/>
  <c r="Y275" i="489"/>
  <c r="X275" i="489"/>
  <c r="U275" i="489"/>
  <c r="T275" i="489"/>
  <c r="S275" i="489"/>
  <c r="R275" i="489"/>
  <c r="Q275" i="489"/>
  <c r="P275" i="489"/>
  <c r="O275" i="489"/>
  <c r="I275" i="489"/>
  <c r="G275" i="489"/>
  <c r="AA274" i="489"/>
  <c r="Z274" i="489"/>
  <c r="Y274" i="489"/>
  <c r="X274" i="489"/>
  <c r="U274" i="489"/>
  <c r="T274" i="489"/>
  <c r="S274" i="489"/>
  <c r="R274" i="489"/>
  <c r="Q274" i="489"/>
  <c r="P274" i="489"/>
  <c r="O274" i="489"/>
  <c r="I274" i="489"/>
  <c r="G274" i="489"/>
  <c r="AA273" i="489"/>
  <c r="Z273" i="489"/>
  <c r="Y273" i="489"/>
  <c r="X273" i="489"/>
  <c r="U273" i="489"/>
  <c r="T273" i="489"/>
  <c r="S273" i="489"/>
  <c r="R273" i="489"/>
  <c r="Q273" i="489"/>
  <c r="P273" i="489"/>
  <c r="O273" i="489"/>
  <c r="I273" i="489"/>
  <c r="G273" i="489"/>
  <c r="AA272" i="489"/>
  <c r="Z272" i="489"/>
  <c r="Y272" i="489"/>
  <c r="X272" i="489"/>
  <c r="U272" i="489"/>
  <c r="T272" i="489"/>
  <c r="S272" i="489"/>
  <c r="R272" i="489"/>
  <c r="Q272" i="489"/>
  <c r="P272" i="489"/>
  <c r="O272" i="489"/>
  <c r="I272" i="489"/>
  <c r="G272" i="489"/>
  <c r="AA271" i="489"/>
  <c r="Z271" i="489"/>
  <c r="Y271" i="489"/>
  <c r="X271" i="489"/>
  <c r="U271" i="489"/>
  <c r="T271" i="489"/>
  <c r="S271" i="489"/>
  <c r="R271" i="489"/>
  <c r="Q271" i="489"/>
  <c r="P271" i="489"/>
  <c r="O271" i="489"/>
  <c r="I271" i="489"/>
  <c r="G271" i="489"/>
  <c r="AA270" i="489"/>
  <c r="Z270" i="489"/>
  <c r="Y270" i="489"/>
  <c r="X270" i="489"/>
  <c r="U270" i="489"/>
  <c r="T270" i="489"/>
  <c r="S270" i="489"/>
  <c r="R270" i="489"/>
  <c r="Q270" i="489"/>
  <c r="P270" i="489"/>
  <c r="O270" i="489"/>
  <c r="I270" i="489"/>
  <c r="G270" i="489"/>
  <c r="AA269" i="489"/>
  <c r="Z269" i="489"/>
  <c r="Y269" i="489"/>
  <c r="X269" i="489"/>
  <c r="U269" i="489"/>
  <c r="T269" i="489"/>
  <c r="S269" i="489"/>
  <c r="R269" i="489"/>
  <c r="Q269" i="489"/>
  <c r="P269" i="489"/>
  <c r="O269" i="489"/>
  <c r="I269" i="489"/>
  <c r="G269" i="489"/>
  <c r="AA268" i="489"/>
  <c r="Z268" i="489"/>
  <c r="Y268" i="489"/>
  <c r="X268" i="489"/>
  <c r="U268" i="489"/>
  <c r="T268" i="489"/>
  <c r="S268" i="489"/>
  <c r="R268" i="489"/>
  <c r="Q268" i="489"/>
  <c r="P268" i="489"/>
  <c r="O268" i="489"/>
  <c r="I268" i="489"/>
  <c r="G268" i="489"/>
  <c r="AA267" i="489"/>
  <c r="Z267" i="489"/>
  <c r="Y267" i="489"/>
  <c r="X267" i="489"/>
  <c r="U267" i="489"/>
  <c r="T267" i="489"/>
  <c r="S267" i="489"/>
  <c r="R267" i="489"/>
  <c r="Q267" i="489"/>
  <c r="P267" i="489"/>
  <c r="O267" i="489"/>
  <c r="I267" i="489"/>
  <c r="G267" i="489"/>
  <c r="AA266" i="489"/>
  <c r="Z266" i="489"/>
  <c r="Y266" i="489"/>
  <c r="X266" i="489"/>
  <c r="U266" i="489"/>
  <c r="T266" i="489"/>
  <c r="S266" i="489"/>
  <c r="R266" i="489"/>
  <c r="Q266" i="489"/>
  <c r="P266" i="489"/>
  <c r="O266" i="489"/>
  <c r="I266" i="489"/>
  <c r="G266" i="489"/>
  <c r="AA265" i="489"/>
  <c r="Z265" i="489"/>
  <c r="Y265" i="489"/>
  <c r="X265" i="489"/>
  <c r="U265" i="489"/>
  <c r="T265" i="489"/>
  <c r="S265" i="489"/>
  <c r="R265" i="489"/>
  <c r="Q265" i="489"/>
  <c r="P265" i="489"/>
  <c r="O265" i="489"/>
  <c r="I265" i="489"/>
  <c r="G265" i="489"/>
  <c r="AA264" i="489"/>
  <c r="Z264" i="489"/>
  <c r="Y264" i="489"/>
  <c r="X264" i="489"/>
  <c r="U264" i="489"/>
  <c r="T264" i="489"/>
  <c r="S264" i="489"/>
  <c r="R264" i="489"/>
  <c r="Q264" i="489"/>
  <c r="P264" i="489"/>
  <c r="O264" i="489"/>
  <c r="I264" i="489"/>
  <c r="G264" i="489"/>
  <c r="AA263" i="489"/>
  <c r="Z263" i="489"/>
  <c r="Y263" i="489"/>
  <c r="X263" i="489"/>
  <c r="U263" i="489"/>
  <c r="T263" i="489"/>
  <c r="S263" i="489"/>
  <c r="R263" i="489"/>
  <c r="Q263" i="489"/>
  <c r="P263" i="489"/>
  <c r="O263" i="489"/>
  <c r="I263" i="489"/>
  <c r="G263" i="489"/>
  <c r="AA262" i="489"/>
  <c r="Z262" i="489"/>
  <c r="Y262" i="489"/>
  <c r="X262" i="489"/>
  <c r="U262" i="489"/>
  <c r="T262" i="489"/>
  <c r="S262" i="489"/>
  <c r="R262" i="489"/>
  <c r="Q262" i="489"/>
  <c r="P262" i="489"/>
  <c r="O262" i="489"/>
  <c r="I262" i="489"/>
  <c r="G262" i="489"/>
  <c r="AA261" i="489"/>
  <c r="Z261" i="489"/>
  <c r="Y261" i="489"/>
  <c r="X261" i="489"/>
  <c r="U261" i="489"/>
  <c r="T261" i="489"/>
  <c r="S261" i="489"/>
  <c r="R261" i="489"/>
  <c r="Q261" i="489"/>
  <c r="P261" i="489"/>
  <c r="O261" i="489"/>
  <c r="I261" i="489"/>
  <c r="G261" i="489"/>
  <c r="AA260" i="489"/>
  <c r="Z260" i="489"/>
  <c r="Y260" i="489"/>
  <c r="X260" i="489"/>
  <c r="U260" i="489"/>
  <c r="T260" i="489"/>
  <c r="S260" i="489"/>
  <c r="R260" i="489"/>
  <c r="Q260" i="489"/>
  <c r="P260" i="489"/>
  <c r="O260" i="489"/>
  <c r="I260" i="489"/>
  <c r="G260" i="489"/>
  <c r="AA259" i="489"/>
  <c r="Z259" i="489"/>
  <c r="Y259" i="489"/>
  <c r="X259" i="489"/>
  <c r="U259" i="489"/>
  <c r="T259" i="489"/>
  <c r="S259" i="489"/>
  <c r="R259" i="489"/>
  <c r="Q259" i="489"/>
  <c r="P259" i="489"/>
  <c r="O259" i="489"/>
  <c r="I259" i="489"/>
  <c r="G259" i="489"/>
  <c r="AA258" i="489"/>
  <c r="Z258" i="489"/>
  <c r="Y258" i="489"/>
  <c r="X258" i="489"/>
  <c r="U258" i="489"/>
  <c r="T258" i="489"/>
  <c r="S258" i="489"/>
  <c r="R258" i="489"/>
  <c r="Q258" i="489"/>
  <c r="P258" i="489"/>
  <c r="O258" i="489"/>
  <c r="I258" i="489"/>
  <c r="G258" i="489"/>
  <c r="AA257" i="489"/>
  <c r="Z257" i="489"/>
  <c r="Y257" i="489"/>
  <c r="X257" i="489"/>
  <c r="U257" i="489"/>
  <c r="T257" i="489"/>
  <c r="S257" i="489"/>
  <c r="R257" i="489"/>
  <c r="Q257" i="489"/>
  <c r="P257" i="489"/>
  <c r="O257" i="489"/>
  <c r="I257" i="489"/>
  <c r="G257" i="489"/>
  <c r="AA255" i="489"/>
  <c r="Z255" i="489"/>
  <c r="Y255" i="489"/>
  <c r="X255" i="489"/>
  <c r="U255" i="489"/>
  <c r="T255" i="489"/>
  <c r="S255" i="489"/>
  <c r="R255" i="489"/>
  <c r="Q255" i="489"/>
  <c r="P255" i="489"/>
  <c r="O255" i="489"/>
  <c r="I255" i="489"/>
  <c r="G255" i="489"/>
  <c r="AA254" i="489"/>
  <c r="Z254" i="489"/>
  <c r="Y254" i="489"/>
  <c r="X254" i="489"/>
  <c r="U254" i="489"/>
  <c r="T254" i="489"/>
  <c r="S254" i="489"/>
  <c r="R254" i="489"/>
  <c r="Q254" i="489"/>
  <c r="P254" i="489"/>
  <c r="O254" i="489"/>
  <c r="I254" i="489"/>
  <c r="G254" i="489"/>
  <c r="AA253" i="489"/>
  <c r="Z253" i="489"/>
  <c r="Y253" i="489"/>
  <c r="X253" i="489"/>
  <c r="U253" i="489"/>
  <c r="T253" i="489"/>
  <c r="S253" i="489"/>
  <c r="R253" i="489"/>
  <c r="Q253" i="489"/>
  <c r="P253" i="489"/>
  <c r="O253" i="489"/>
  <c r="I253" i="489"/>
  <c r="G253" i="489"/>
  <c r="I252" i="489"/>
  <c r="G252" i="489"/>
  <c r="I251" i="489"/>
  <c r="G251" i="489"/>
  <c r="I250" i="489"/>
  <c r="G250" i="489"/>
  <c r="AA249" i="489"/>
  <c r="Z249" i="489"/>
  <c r="Y249" i="489"/>
  <c r="X249" i="489"/>
  <c r="U249" i="489"/>
  <c r="T249" i="489"/>
  <c r="S249" i="489"/>
  <c r="R249" i="489"/>
  <c r="Q249" i="489"/>
  <c r="P249" i="489"/>
  <c r="O249" i="489"/>
  <c r="N249" i="489"/>
  <c r="I249" i="489"/>
  <c r="G249" i="489"/>
  <c r="AA248" i="489"/>
  <c r="Z248" i="489"/>
  <c r="Y248" i="489"/>
  <c r="X248" i="489"/>
  <c r="U248" i="489"/>
  <c r="T248" i="489"/>
  <c r="S248" i="489"/>
  <c r="R248" i="489"/>
  <c r="Q248" i="489"/>
  <c r="P248" i="489"/>
  <c r="O248" i="489"/>
  <c r="N248" i="489"/>
  <c r="I248" i="489"/>
  <c r="G248" i="489"/>
  <c r="AA247" i="489"/>
  <c r="Z247" i="489"/>
  <c r="Y247" i="489"/>
  <c r="X247" i="489"/>
  <c r="U247" i="489"/>
  <c r="T247" i="489"/>
  <c r="S247" i="489"/>
  <c r="R247" i="489"/>
  <c r="Q247" i="489"/>
  <c r="P247" i="489"/>
  <c r="O247" i="489"/>
  <c r="N247" i="489"/>
  <c r="I247" i="489"/>
  <c r="G247" i="489"/>
  <c r="AA246" i="489"/>
  <c r="Z246" i="489"/>
  <c r="Y246" i="489"/>
  <c r="X246" i="489"/>
  <c r="U246" i="489"/>
  <c r="T246" i="489"/>
  <c r="S246" i="489"/>
  <c r="R246" i="489"/>
  <c r="Q246" i="489"/>
  <c r="P246" i="489"/>
  <c r="O246" i="489"/>
  <c r="N246" i="489"/>
  <c r="I246" i="489"/>
  <c r="G246" i="489"/>
  <c r="AA245" i="489"/>
  <c r="Z245" i="489"/>
  <c r="Y245" i="489"/>
  <c r="X245" i="489"/>
  <c r="U245" i="489"/>
  <c r="T245" i="489"/>
  <c r="S245" i="489"/>
  <c r="R245" i="489"/>
  <c r="Q245" i="489"/>
  <c r="P245" i="489"/>
  <c r="O245" i="489"/>
  <c r="I245" i="489"/>
  <c r="G245" i="489"/>
  <c r="AA244" i="489"/>
  <c r="Z244" i="489"/>
  <c r="Y244" i="489"/>
  <c r="X244" i="489"/>
  <c r="U244" i="489"/>
  <c r="T244" i="489"/>
  <c r="S244" i="489"/>
  <c r="R244" i="489"/>
  <c r="Q244" i="489"/>
  <c r="P244" i="489"/>
  <c r="O244" i="489"/>
  <c r="I244" i="489"/>
  <c r="G244" i="489"/>
  <c r="AA243" i="489"/>
  <c r="Z243" i="489"/>
  <c r="Y243" i="489"/>
  <c r="X243" i="489"/>
  <c r="U243" i="489"/>
  <c r="T243" i="489"/>
  <c r="S243" i="489"/>
  <c r="R243" i="489"/>
  <c r="Q243" i="489"/>
  <c r="P243" i="489"/>
  <c r="O243" i="489"/>
  <c r="I243" i="489"/>
  <c r="G243" i="489"/>
  <c r="AA242" i="489"/>
  <c r="Z242" i="489"/>
  <c r="Y242" i="489"/>
  <c r="X242" i="489"/>
  <c r="U242" i="489"/>
  <c r="T242" i="489"/>
  <c r="S242" i="489"/>
  <c r="R242" i="489"/>
  <c r="Q242" i="489"/>
  <c r="P242" i="489"/>
  <c r="O242" i="489"/>
  <c r="I242" i="489"/>
  <c r="G242" i="489"/>
  <c r="AA241" i="489"/>
  <c r="Z241" i="489"/>
  <c r="Y241" i="489"/>
  <c r="X241" i="489"/>
  <c r="U241" i="489"/>
  <c r="T241" i="489"/>
  <c r="S241" i="489"/>
  <c r="R241" i="489"/>
  <c r="Q241" i="489"/>
  <c r="P241" i="489"/>
  <c r="O241" i="489"/>
  <c r="N241" i="489"/>
  <c r="I241" i="489"/>
  <c r="G241" i="489"/>
  <c r="AA240" i="489"/>
  <c r="Z240" i="489"/>
  <c r="Y240" i="489"/>
  <c r="X240" i="489"/>
  <c r="U240" i="489"/>
  <c r="T240" i="489"/>
  <c r="S240" i="489"/>
  <c r="R240" i="489"/>
  <c r="Q240" i="489"/>
  <c r="P240" i="489"/>
  <c r="O240" i="489"/>
  <c r="I240" i="489"/>
  <c r="G240" i="489"/>
  <c r="AA239" i="489"/>
  <c r="Z239" i="489"/>
  <c r="Y239" i="489"/>
  <c r="X239" i="489"/>
  <c r="U239" i="489"/>
  <c r="T239" i="489"/>
  <c r="S239" i="489"/>
  <c r="R239" i="489"/>
  <c r="Q239" i="489"/>
  <c r="P239" i="489"/>
  <c r="O239" i="489"/>
  <c r="I239" i="489"/>
  <c r="G239" i="489"/>
  <c r="AA238" i="489"/>
  <c r="Z238" i="489"/>
  <c r="Y238" i="489"/>
  <c r="X238" i="489"/>
  <c r="U238" i="489"/>
  <c r="T238" i="489"/>
  <c r="S238" i="489"/>
  <c r="R238" i="489"/>
  <c r="Q238" i="489"/>
  <c r="P238" i="489"/>
  <c r="O238" i="489"/>
  <c r="N238" i="489"/>
  <c r="I238" i="489"/>
  <c r="G238" i="489"/>
  <c r="I237" i="489"/>
  <c r="G237" i="489"/>
  <c r="AA236" i="489"/>
  <c r="Z236" i="489"/>
  <c r="Y236" i="489"/>
  <c r="X236" i="489"/>
  <c r="U236" i="489"/>
  <c r="T236" i="489"/>
  <c r="S236" i="489"/>
  <c r="R236" i="489"/>
  <c r="Q236" i="489"/>
  <c r="P236" i="489"/>
  <c r="O236" i="489"/>
  <c r="I236" i="489"/>
  <c r="G236" i="489"/>
  <c r="AA235" i="489"/>
  <c r="Z235" i="489"/>
  <c r="Y235" i="489"/>
  <c r="X235" i="489"/>
  <c r="U235" i="489"/>
  <c r="T235" i="489"/>
  <c r="S235" i="489"/>
  <c r="R235" i="489"/>
  <c r="Q235" i="489"/>
  <c r="P235" i="489"/>
  <c r="O235" i="489"/>
  <c r="I235" i="489"/>
  <c r="G235" i="489"/>
  <c r="AA234" i="489"/>
  <c r="Z234" i="489"/>
  <c r="Y234" i="489"/>
  <c r="X234" i="489"/>
  <c r="U234" i="489"/>
  <c r="T234" i="489"/>
  <c r="S234" i="489"/>
  <c r="R234" i="489"/>
  <c r="Q234" i="489"/>
  <c r="P234" i="489"/>
  <c r="O234" i="489"/>
  <c r="I234" i="489"/>
  <c r="G234" i="489"/>
  <c r="AA233" i="489"/>
  <c r="Z233" i="489"/>
  <c r="Y233" i="489"/>
  <c r="X233" i="489"/>
  <c r="U233" i="489"/>
  <c r="T233" i="489"/>
  <c r="S233" i="489"/>
  <c r="R233" i="489"/>
  <c r="Q233" i="489"/>
  <c r="P233" i="489"/>
  <c r="O233" i="489"/>
  <c r="I233" i="489"/>
  <c r="G233" i="489"/>
  <c r="AA232" i="489"/>
  <c r="Z232" i="489"/>
  <c r="Y232" i="489"/>
  <c r="X232" i="489"/>
  <c r="U232" i="489"/>
  <c r="T232" i="489"/>
  <c r="S232" i="489"/>
  <c r="R232" i="489"/>
  <c r="Q232" i="489"/>
  <c r="P232" i="489"/>
  <c r="O232" i="489"/>
  <c r="I232" i="489"/>
  <c r="G232" i="489"/>
  <c r="AA231" i="489"/>
  <c r="Z231" i="489"/>
  <c r="Y231" i="489"/>
  <c r="X231" i="489"/>
  <c r="U231" i="489"/>
  <c r="T231" i="489"/>
  <c r="S231" i="489"/>
  <c r="R231" i="489"/>
  <c r="Q231" i="489"/>
  <c r="P231" i="489"/>
  <c r="O231" i="489"/>
  <c r="I231" i="489"/>
  <c r="G231" i="489"/>
  <c r="AA230" i="489"/>
  <c r="Z230" i="489"/>
  <c r="Y230" i="489"/>
  <c r="X230" i="489"/>
  <c r="U230" i="489"/>
  <c r="T230" i="489"/>
  <c r="S230" i="489"/>
  <c r="R230" i="489"/>
  <c r="Q230" i="489"/>
  <c r="P230" i="489"/>
  <c r="O230" i="489"/>
  <c r="I230" i="489"/>
  <c r="G230" i="489"/>
  <c r="AA229" i="489"/>
  <c r="Z229" i="489"/>
  <c r="Y229" i="489"/>
  <c r="X229" i="489"/>
  <c r="U229" i="489"/>
  <c r="T229" i="489"/>
  <c r="S229" i="489"/>
  <c r="R229" i="489"/>
  <c r="Q229" i="489"/>
  <c r="P229" i="489"/>
  <c r="O229" i="489"/>
  <c r="I229" i="489"/>
  <c r="G229" i="489"/>
  <c r="AA228" i="489"/>
  <c r="Z228" i="489"/>
  <c r="Y228" i="489"/>
  <c r="X228" i="489"/>
  <c r="U228" i="489"/>
  <c r="T228" i="489"/>
  <c r="S228" i="489"/>
  <c r="R228" i="489"/>
  <c r="Q228" i="489"/>
  <c r="P228" i="489"/>
  <c r="O228" i="489"/>
  <c r="I228" i="489"/>
  <c r="G228" i="489"/>
  <c r="AA227" i="489"/>
  <c r="Z227" i="489"/>
  <c r="Y227" i="489"/>
  <c r="X227" i="489"/>
  <c r="U227" i="489"/>
  <c r="T227" i="489"/>
  <c r="S227" i="489"/>
  <c r="R227" i="489"/>
  <c r="Q227" i="489"/>
  <c r="P227" i="489"/>
  <c r="O227" i="489"/>
  <c r="I227" i="489"/>
  <c r="G227" i="489"/>
  <c r="AA226" i="489"/>
  <c r="Z226" i="489"/>
  <c r="Y226" i="489"/>
  <c r="X226" i="489"/>
  <c r="U226" i="489"/>
  <c r="T226" i="489"/>
  <c r="S226" i="489"/>
  <c r="R226" i="489"/>
  <c r="Q226" i="489"/>
  <c r="P226" i="489"/>
  <c r="O226" i="489"/>
  <c r="I226" i="489"/>
  <c r="G226" i="489"/>
  <c r="AA225" i="489"/>
  <c r="Z225" i="489"/>
  <c r="Y225" i="489"/>
  <c r="X225" i="489"/>
  <c r="U225" i="489"/>
  <c r="T225" i="489"/>
  <c r="S225" i="489"/>
  <c r="R225" i="489"/>
  <c r="Q225" i="489"/>
  <c r="P225" i="489"/>
  <c r="O225" i="489"/>
  <c r="I225" i="489"/>
  <c r="G225" i="489"/>
  <c r="AA224" i="489"/>
  <c r="Z224" i="489"/>
  <c r="Y224" i="489"/>
  <c r="X224" i="489"/>
  <c r="U224" i="489"/>
  <c r="T224" i="489"/>
  <c r="S224" i="489"/>
  <c r="R224" i="489"/>
  <c r="Q224" i="489"/>
  <c r="P224" i="489"/>
  <c r="O224" i="489"/>
  <c r="I224" i="489"/>
  <c r="G224" i="489"/>
  <c r="AA223" i="489"/>
  <c r="Z223" i="489"/>
  <c r="Y223" i="489"/>
  <c r="X223" i="489"/>
  <c r="U223" i="489"/>
  <c r="T223" i="489"/>
  <c r="S223" i="489"/>
  <c r="R223" i="489"/>
  <c r="Q223" i="489"/>
  <c r="P223" i="489"/>
  <c r="O223" i="489"/>
  <c r="I223" i="489"/>
  <c r="G223" i="489"/>
  <c r="AA222" i="489"/>
  <c r="Z222" i="489"/>
  <c r="Y222" i="489"/>
  <c r="X222" i="489"/>
  <c r="U222" i="489"/>
  <c r="T222" i="489"/>
  <c r="S222" i="489"/>
  <c r="R222" i="489"/>
  <c r="Q222" i="489"/>
  <c r="P222" i="489"/>
  <c r="O222" i="489"/>
  <c r="I222" i="489"/>
  <c r="G222" i="489"/>
  <c r="AA221" i="489"/>
  <c r="Z221" i="489"/>
  <c r="Y221" i="489"/>
  <c r="X221" i="489"/>
  <c r="U221" i="489"/>
  <c r="T221" i="489"/>
  <c r="S221" i="489"/>
  <c r="R221" i="489"/>
  <c r="Q221" i="489"/>
  <c r="P221" i="489"/>
  <c r="O221" i="489"/>
  <c r="I221" i="489"/>
  <c r="G221" i="489"/>
  <c r="AA220" i="489"/>
  <c r="Z220" i="489"/>
  <c r="Y220" i="489"/>
  <c r="X220" i="489"/>
  <c r="U220" i="489"/>
  <c r="T220" i="489"/>
  <c r="S220" i="489"/>
  <c r="R220" i="489"/>
  <c r="Q220" i="489"/>
  <c r="P220" i="489"/>
  <c r="O220" i="489"/>
  <c r="I220" i="489"/>
  <c r="G220" i="489"/>
  <c r="AA219" i="489"/>
  <c r="Z219" i="489"/>
  <c r="Y219" i="489"/>
  <c r="X219" i="489"/>
  <c r="U219" i="489"/>
  <c r="T219" i="489"/>
  <c r="S219" i="489"/>
  <c r="R219" i="489"/>
  <c r="Q219" i="489"/>
  <c r="P219" i="489"/>
  <c r="O219" i="489"/>
  <c r="I219" i="489"/>
  <c r="G219" i="489"/>
  <c r="AA218" i="489"/>
  <c r="Z218" i="489"/>
  <c r="Y218" i="489"/>
  <c r="X218" i="489"/>
  <c r="U218" i="489"/>
  <c r="T218" i="489"/>
  <c r="S218" i="489"/>
  <c r="R218" i="489"/>
  <c r="Q218" i="489"/>
  <c r="P218" i="489"/>
  <c r="O218" i="489"/>
  <c r="I218" i="489"/>
  <c r="G218" i="489"/>
  <c r="AA217" i="489"/>
  <c r="Z217" i="489"/>
  <c r="Y217" i="489"/>
  <c r="X217" i="489"/>
  <c r="U217" i="489"/>
  <c r="T217" i="489"/>
  <c r="S217" i="489"/>
  <c r="R217" i="489"/>
  <c r="Q217" i="489"/>
  <c r="P217" i="489"/>
  <c r="O217" i="489"/>
  <c r="I217" i="489"/>
  <c r="G217" i="489"/>
  <c r="AA216" i="489"/>
  <c r="Z216" i="489"/>
  <c r="Y216" i="489"/>
  <c r="X216" i="489"/>
  <c r="U216" i="489"/>
  <c r="T216" i="489"/>
  <c r="S216" i="489"/>
  <c r="R216" i="489"/>
  <c r="Q216" i="489"/>
  <c r="P216" i="489"/>
  <c r="O216" i="489"/>
  <c r="I216" i="489"/>
  <c r="G216" i="489"/>
  <c r="AA215" i="489"/>
  <c r="Z215" i="489"/>
  <c r="Y215" i="489"/>
  <c r="X215" i="489"/>
  <c r="U215" i="489"/>
  <c r="T215" i="489"/>
  <c r="S215" i="489"/>
  <c r="R215" i="489"/>
  <c r="Q215" i="489"/>
  <c r="P215" i="489"/>
  <c r="O215" i="489"/>
  <c r="I215" i="489"/>
  <c r="G215" i="489"/>
  <c r="AA214" i="489"/>
  <c r="Z214" i="489"/>
  <c r="Y214" i="489"/>
  <c r="X214" i="489"/>
  <c r="U214" i="489"/>
  <c r="T214" i="489"/>
  <c r="S214" i="489"/>
  <c r="R214" i="489"/>
  <c r="Q214" i="489"/>
  <c r="P214" i="489"/>
  <c r="O214" i="489"/>
  <c r="I214" i="489"/>
  <c r="G214" i="489"/>
  <c r="AA213" i="489"/>
  <c r="Z213" i="489"/>
  <c r="Y213" i="489"/>
  <c r="X213" i="489"/>
  <c r="U213" i="489"/>
  <c r="T213" i="489"/>
  <c r="S213" i="489"/>
  <c r="R213" i="489"/>
  <c r="Q213" i="489"/>
  <c r="P213" i="489"/>
  <c r="O213" i="489"/>
  <c r="I213" i="489"/>
  <c r="G213" i="489"/>
  <c r="AA212" i="489"/>
  <c r="Z212" i="489"/>
  <c r="Y212" i="489"/>
  <c r="X212" i="489"/>
  <c r="U212" i="489"/>
  <c r="T212" i="489"/>
  <c r="S212" i="489"/>
  <c r="R212" i="489"/>
  <c r="Q212" i="489"/>
  <c r="P212" i="489"/>
  <c r="O212" i="489"/>
  <c r="I212" i="489"/>
  <c r="G212" i="489"/>
  <c r="AA211" i="489"/>
  <c r="Z211" i="489"/>
  <c r="Y211" i="489"/>
  <c r="X211" i="489"/>
  <c r="U211" i="489"/>
  <c r="T211" i="489"/>
  <c r="S211" i="489"/>
  <c r="R211" i="489"/>
  <c r="Q211" i="489"/>
  <c r="P211" i="489"/>
  <c r="O211" i="489"/>
  <c r="I211" i="489"/>
  <c r="G211" i="489"/>
  <c r="AA210" i="489"/>
  <c r="Z210" i="489"/>
  <c r="Y210" i="489"/>
  <c r="X210" i="489"/>
  <c r="U210" i="489"/>
  <c r="T210" i="489"/>
  <c r="S210" i="489"/>
  <c r="R210" i="489"/>
  <c r="Q210" i="489"/>
  <c r="P210" i="489"/>
  <c r="O210" i="489"/>
  <c r="I210" i="489"/>
  <c r="G210" i="489"/>
  <c r="AA209" i="489"/>
  <c r="Z209" i="489"/>
  <c r="Y209" i="489"/>
  <c r="X209" i="489"/>
  <c r="U209" i="489"/>
  <c r="T209" i="489"/>
  <c r="S209" i="489"/>
  <c r="R209" i="489"/>
  <c r="Q209" i="489"/>
  <c r="P209" i="489"/>
  <c r="O209" i="489"/>
  <c r="I209" i="489"/>
  <c r="G209" i="489"/>
  <c r="AA208" i="489"/>
  <c r="Z208" i="489"/>
  <c r="Y208" i="489"/>
  <c r="X208" i="489"/>
  <c r="U208" i="489"/>
  <c r="T208" i="489"/>
  <c r="S208" i="489"/>
  <c r="R208" i="489"/>
  <c r="Q208" i="489"/>
  <c r="P208" i="489"/>
  <c r="O208" i="489"/>
  <c r="I208" i="489"/>
  <c r="G208" i="489"/>
  <c r="AA207" i="489"/>
  <c r="Z207" i="489"/>
  <c r="Y207" i="489"/>
  <c r="X207" i="489"/>
  <c r="U207" i="489"/>
  <c r="T207" i="489"/>
  <c r="S207" i="489"/>
  <c r="R207" i="489"/>
  <c r="Q207" i="489"/>
  <c r="P207" i="489"/>
  <c r="O207" i="489"/>
  <c r="I207" i="489"/>
  <c r="G207" i="489"/>
  <c r="I206" i="489"/>
  <c r="G206" i="489"/>
  <c r="I205" i="489"/>
  <c r="G205" i="489"/>
  <c r="I204" i="489"/>
  <c r="G204" i="489"/>
  <c r="AA203" i="489"/>
  <c r="Z203" i="489"/>
  <c r="Y203" i="489"/>
  <c r="X203" i="489"/>
  <c r="U203" i="489"/>
  <c r="T203" i="489"/>
  <c r="S203" i="489"/>
  <c r="R203" i="489"/>
  <c r="Q203" i="489"/>
  <c r="P203" i="489"/>
  <c r="O203" i="489"/>
  <c r="I203" i="489"/>
  <c r="G203" i="489"/>
  <c r="AA202" i="489"/>
  <c r="Z202" i="489"/>
  <c r="Y202" i="489"/>
  <c r="X202" i="489"/>
  <c r="U202" i="489"/>
  <c r="T202" i="489"/>
  <c r="S202" i="489"/>
  <c r="R202" i="489"/>
  <c r="Q202" i="489"/>
  <c r="P202" i="489"/>
  <c r="O202" i="489"/>
  <c r="I202" i="489"/>
  <c r="G202" i="489"/>
  <c r="AA201" i="489"/>
  <c r="Z201" i="489"/>
  <c r="Y201" i="489"/>
  <c r="X201" i="489"/>
  <c r="U201" i="489"/>
  <c r="T201" i="489"/>
  <c r="S201" i="489"/>
  <c r="R201" i="489"/>
  <c r="Q201" i="489"/>
  <c r="P201" i="489"/>
  <c r="O201" i="489"/>
  <c r="I201" i="489"/>
  <c r="G201" i="489"/>
  <c r="I200" i="489"/>
  <c r="G200" i="489"/>
  <c r="AA199" i="489"/>
  <c r="Z199" i="489"/>
  <c r="Y199" i="489"/>
  <c r="X199" i="489"/>
  <c r="U199" i="489"/>
  <c r="T199" i="489"/>
  <c r="S199" i="489"/>
  <c r="R199" i="489"/>
  <c r="Q199" i="489"/>
  <c r="P199" i="489"/>
  <c r="O199" i="489"/>
  <c r="I199" i="489"/>
  <c r="G199" i="489"/>
  <c r="AA197" i="489"/>
  <c r="Z197" i="489"/>
  <c r="Y197" i="489"/>
  <c r="X197" i="489"/>
  <c r="U197" i="489"/>
  <c r="T197" i="489"/>
  <c r="S197" i="489"/>
  <c r="R197" i="489"/>
  <c r="Q197" i="489"/>
  <c r="P197" i="489"/>
  <c r="O197" i="489"/>
  <c r="I197" i="489"/>
  <c r="G197" i="489"/>
  <c r="AA196" i="489"/>
  <c r="Z196" i="489"/>
  <c r="Y196" i="489"/>
  <c r="X196" i="489"/>
  <c r="U196" i="489"/>
  <c r="T196" i="489"/>
  <c r="S196" i="489"/>
  <c r="R196" i="489"/>
  <c r="Q196" i="489"/>
  <c r="P196" i="489"/>
  <c r="O196" i="489"/>
  <c r="I196" i="489"/>
  <c r="G196" i="489"/>
  <c r="AA195" i="489"/>
  <c r="Z195" i="489"/>
  <c r="Y195" i="489"/>
  <c r="X195" i="489"/>
  <c r="U195" i="489"/>
  <c r="T195" i="489"/>
  <c r="S195" i="489"/>
  <c r="R195" i="489"/>
  <c r="Q195" i="489"/>
  <c r="P195" i="489"/>
  <c r="O195" i="489"/>
  <c r="N195" i="489"/>
  <c r="I195" i="489"/>
  <c r="G195" i="489"/>
  <c r="AA194" i="489"/>
  <c r="Z194" i="489"/>
  <c r="Y194" i="489"/>
  <c r="X194" i="489"/>
  <c r="U194" i="489"/>
  <c r="T194" i="489"/>
  <c r="S194" i="489"/>
  <c r="R194" i="489"/>
  <c r="Q194" i="489"/>
  <c r="P194" i="489"/>
  <c r="O194" i="489"/>
  <c r="N194" i="489"/>
  <c r="I194" i="489"/>
  <c r="G194" i="489"/>
  <c r="AA193" i="489"/>
  <c r="Z193" i="489"/>
  <c r="Y193" i="489"/>
  <c r="X193" i="489"/>
  <c r="U193" i="489"/>
  <c r="T193" i="489"/>
  <c r="S193" i="489"/>
  <c r="R193" i="489"/>
  <c r="Q193" i="489"/>
  <c r="P193" i="489"/>
  <c r="O193" i="489"/>
  <c r="N193" i="489"/>
  <c r="I193" i="489"/>
  <c r="G193" i="489"/>
  <c r="AA192" i="489"/>
  <c r="Z192" i="489"/>
  <c r="Y192" i="489"/>
  <c r="X192" i="489"/>
  <c r="U192" i="489"/>
  <c r="T192" i="489"/>
  <c r="S192" i="489"/>
  <c r="R192" i="489"/>
  <c r="Q192" i="489"/>
  <c r="P192" i="489"/>
  <c r="O192" i="489"/>
  <c r="N192" i="489"/>
  <c r="I192" i="489"/>
  <c r="G192" i="489"/>
  <c r="AA191" i="489"/>
  <c r="Z191" i="489"/>
  <c r="Y191" i="489"/>
  <c r="X191" i="489"/>
  <c r="U191" i="489"/>
  <c r="T191" i="489"/>
  <c r="S191" i="489"/>
  <c r="R191" i="489"/>
  <c r="Q191" i="489"/>
  <c r="P191" i="489"/>
  <c r="O191" i="489"/>
  <c r="I191" i="489"/>
  <c r="G191" i="489"/>
  <c r="AA190" i="489"/>
  <c r="Z190" i="489"/>
  <c r="Y190" i="489"/>
  <c r="X190" i="489"/>
  <c r="U190" i="489"/>
  <c r="T190" i="489"/>
  <c r="S190" i="489"/>
  <c r="R190" i="489"/>
  <c r="Q190" i="489"/>
  <c r="P190" i="489"/>
  <c r="O190" i="489"/>
  <c r="I190" i="489"/>
  <c r="G190" i="489"/>
  <c r="AA189" i="489"/>
  <c r="Z189" i="489"/>
  <c r="Y189" i="489"/>
  <c r="X189" i="489"/>
  <c r="U189" i="489"/>
  <c r="T189" i="489"/>
  <c r="S189" i="489"/>
  <c r="R189" i="489"/>
  <c r="Q189" i="489"/>
  <c r="P189" i="489"/>
  <c r="O189" i="489"/>
  <c r="I189" i="489"/>
  <c r="G189" i="489"/>
  <c r="AA188" i="489"/>
  <c r="Z188" i="489"/>
  <c r="Y188" i="489"/>
  <c r="X188" i="489"/>
  <c r="U188" i="489"/>
  <c r="T188" i="489"/>
  <c r="S188" i="489"/>
  <c r="R188" i="489"/>
  <c r="Q188" i="489"/>
  <c r="P188" i="489"/>
  <c r="O188" i="489"/>
  <c r="I188" i="489"/>
  <c r="G188" i="489"/>
  <c r="AA187" i="489"/>
  <c r="Z187" i="489"/>
  <c r="Y187" i="489"/>
  <c r="X187" i="489"/>
  <c r="U187" i="489"/>
  <c r="T187" i="489"/>
  <c r="S187" i="489"/>
  <c r="R187" i="489"/>
  <c r="Q187" i="489"/>
  <c r="P187" i="489"/>
  <c r="O187" i="489"/>
  <c r="I187" i="489"/>
  <c r="G187" i="489"/>
  <c r="AA186" i="489"/>
  <c r="Z186" i="489"/>
  <c r="Y186" i="489"/>
  <c r="X186" i="489"/>
  <c r="U186" i="489"/>
  <c r="T186" i="489"/>
  <c r="S186" i="489"/>
  <c r="R186" i="489"/>
  <c r="Q186" i="489"/>
  <c r="P186" i="489"/>
  <c r="O186" i="489"/>
  <c r="I186" i="489"/>
  <c r="G186" i="489"/>
  <c r="AA185" i="489"/>
  <c r="Z185" i="489"/>
  <c r="Y185" i="489"/>
  <c r="X185" i="489"/>
  <c r="U185" i="489"/>
  <c r="T185" i="489"/>
  <c r="S185" i="489"/>
  <c r="R185" i="489"/>
  <c r="Q185" i="489"/>
  <c r="P185" i="489"/>
  <c r="O185" i="489"/>
  <c r="I185" i="489"/>
  <c r="G185" i="489"/>
  <c r="AA184" i="489"/>
  <c r="Z184" i="489"/>
  <c r="Y184" i="489"/>
  <c r="X184" i="489"/>
  <c r="U184" i="489"/>
  <c r="T184" i="489"/>
  <c r="S184" i="489"/>
  <c r="R184" i="489"/>
  <c r="Q184" i="489"/>
  <c r="P184" i="489"/>
  <c r="O184" i="489"/>
  <c r="I184" i="489"/>
  <c r="G184" i="489"/>
  <c r="AA183" i="489"/>
  <c r="Z183" i="489"/>
  <c r="Y183" i="489"/>
  <c r="X183" i="489"/>
  <c r="U183" i="489"/>
  <c r="T183" i="489"/>
  <c r="S183" i="489"/>
  <c r="R183" i="489"/>
  <c r="Q183" i="489"/>
  <c r="P183" i="489"/>
  <c r="O183" i="489"/>
  <c r="I183" i="489"/>
  <c r="G183" i="489"/>
  <c r="AA182" i="489"/>
  <c r="Z182" i="489"/>
  <c r="Y182" i="489"/>
  <c r="X182" i="489"/>
  <c r="U182" i="489"/>
  <c r="T182" i="489"/>
  <c r="S182" i="489"/>
  <c r="R182" i="489"/>
  <c r="Q182" i="489"/>
  <c r="P182" i="489"/>
  <c r="O182" i="489"/>
  <c r="I182" i="489"/>
  <c r="G182" i="489"/>
  <c r="AA181" i="489"/>
  <c r="Z181" i="489"/>
  <c r="Y181" i="489"/>
  <c r="X181" i="489"/>
  <c r="U181" i="489"/>
  <c r="T181" i="489"/>
  <c r="S181" i="489"/>
  <c r="R181" i="489"/>
  <c r="Q181" i="489"/>
  <c r="P181" i="489"/>
  <c r="O181" i="489"/>
  <c r="I181" i="489"/>
  <c r="G181" i="489"/>
  <c r="AA180" i="489"/>
  <c r="Z180" i="489"/>
  <c r="Y180" i="489"/>
  <c r="X180" i="489"/>
  <c r="U180" i="489"/>
  <c r="T180" i="489"/>
  <c r="S180" i="489"/>
  <c r="R180" i="489"/>
  <c r="Q180" i="489"/>
  <c r="P180" i="489"/>
  <c r="O180" i="489"/>
  <c r="I180" i="489"/>
  <c r="G180" i="489"/>
  <c r="AA179" i="489"/>
  <c r="Z179" i="489"/>
  <c r="Y179" i="489"/>
  <c r="X179" i="489"/>
  <c r="U179" i="489"/>
  <c r="T179" i="489"/>
  <c r="S179" i="489"/>
  <c r="R179" i="489"/>
  <c r="Q179" i="489"/>
  <c r="P179" i="489"/>
  <c r="O179" i="489"/>
  <c r="I179" i="489"/>
  <c r="G179" i="489"/>
  <c r="AA178" i="489"/>
  <c r="Z178" i="489"/>
  <c r="Y178" i="489"/>
  <c r="X178" i="489"/>
  <c r="U178" i="489"/>
  <c r="T178" i="489"/>
  <c r="S178" i="489"/>
  <c r="R178" i="489"/>
  <c r="Q178" i="489"/>
  <c r="P178" i="489"/>
  <c r="O178" i="489"/>
  <c r="I178" i="489"/>
  <c r="G178" i="489"/>
  <c r="AA177" i="489"/>
  <c r="Z177" i="489"/>
  <c r="Y177" i="489"/>
  <c r="X177" i="489"/>
  <c r="U177" i="489"/>
  <c r="T177" i="489"/>
  <c r="S177" i="489"/>
  <c r="R177" i="489"/>
  <c r="Q177" i="489"/>
  <c r="P177" i="489"/>
  <c r="O177" i="489"/>
  <c r="I177" i="489"/>
  <c r="G177" i="489"/>
  <c r="G168" i="489"/>
  <c r="C168" i="489"/>
  <c r="G167" i="489"/>
  <c r="C167" i="489"/>
  <c r="G166" i="489"/>
  <c r="C166" i="489"/>
  <c r="G165" i="489"/>
  <c r="C165" i="489"/>
  <c r="G161" i="489"/>
  <c r="AA160" i="489"/>
  <c r="Z160" i="489"/>
  <c r="Y160" i="489"/>
  <c r="X160" i="489"/>
  <c r="U160" i="489"/>
  <c r="T160" i="489"/>
  <c r="S160" i="489"/>
  <c r="R160" i="489"/>
  <c r="Q160" i="489"/>
  <c r="P160" i="489"/>
  <c r="O160" i="489"/>
  <c r="N160" i="489"/>
  <c r="I160" i="489"/>
  <c r="G160" i="489"/>
  <c r="AA159" i="489"/>
  <c r="Z159" i="489"/>
  <c r="Y159" i="489"/>
  <c r="X159" i="489"/>
  <c r="U159" i="489"/>
  <c r="T159" i="489"/>
  <c r="S159" i="489"/>
  <c r="R159" i="489"/>
  <c r="Q159" i="489"/>
  <c r="P159" i="489"/>
  <c r="O159" i="489"/>
  <c r="N159" i="489"/>
  <c r="I159" i="489"/>
  <c r="G159" i="489"/>
  <c r="AA158" i="489"/>
  <c r="Z158" i="489"/>
  <c r="Y158" i="489"/>
  <c r="X158" i="489"/>
  <c r="U158" i="489"/>
  <c r="T158" i="489"/>
  <c r="S158" i="489"/>
  <c r="R158" i="489"/>
  <c r="Q158" i="489"/>
  <c r="P158" i="489"/>
  <c r="O158" i="489"/>
  <c r="I158" i="489"/>
  <c r="G158" i="489"/>
  <c r="AA157" i="489"/>
  <c r="Z157" i="489"/>
  <c r="Y157" i="489"/>
  <c r="X157" i="489"/>
  <c r="U157" i="489"/>
  <c r="T157" i="489"/>
  <c r="S157" i="489"/>
  <c r="R157" i="489"/>
  <c r="Q157" i="489"/>
  <c r="P157" i="489"/>
  <c r="O157" i="489"/>
  <c r="I157" i="489"/>
  <c r="G157" i="489"/>
  <c r="G156" i="489"/>
  <c r="G155" i="489"/>
  <c r="AA154" i="489"/>
  <c r="Z154" i="489"/>
  <c r="Y154" i="489"/>
  <c r="X154" i="489"/>
  <c r="U154" i="489"/>
  <c r="T154" i="489"/>
  <c r="S154" i="489"/>
  <c r="R154" i="489"/>
  <c r="Q154" i="489"/>
  <c r="P154" i="489"/>
  <c r="O154" i="489"/>
  <c r="I154" i="489"/>
  <c r="G154" i="489"/>
  <c r="AA153" i="489"/>
  <c r="Z153" i="489"/>
  <c r="Y153" i="489"/>
  <c r="X153" i="489"/>
  <c r="U153" i="489"/>
  <c r="T153" i="489"/>
  <c r="S153" i="489"/>
  <c r="R153" i="489"/>
  <c r="Q153" i="489"/>
  <c r="P153" i="489"/>
  <c r="O153" i="489"/>
  <c r="I153" i="489"/>
  <c r="G153" i="489"/>
  <c r="AA152" i="489"/>
  <c r="Z152" i="489"/>
  <c r="Y152" i="489"/>
  <c r="X152" i="489"/>
  <c r="U152" i="489"/>
  <c r="T152" i="489"/>
  <c r="S152" i="489"/>
  <c r="R152" i="489"/>
  <c r="Q152" i="489"/>
  <c r="P152" i="489"/>
  <c r="O152" i="489"/>
  <c r="N152" i="489"/>
  <c r="I152" i="489"/>
  <c r="G152" i="489"/>
  <c r="AA151" i="489"/>
  <c r="Z151" i="489"/>
  <c r="Y151" i="489"/>
  <c r="X151" i="489"/>
  <c r="U151" i="489"/>
  <c r="T151" i="489"/>
  <c r="S151" i="489"/>
  <c r="R151" i="489"/>
  <c r="Q151" i="489"/>
  <c r="P151" i="489"/>
  <c r="O151" i="489"/>
  <c r="I151" i="489"/>
  <c r="G151" i="489"/>
  <c r="AA150" i="489"/>
  <c r="Z150" i="489"/>
  <c r="Y150" i="489"/>
  <c r="X150" i="489"/>
  <c r="U150" i="489"/>
  <c r="T150" i="489"/>
  <c r="S150" i="489"/>
  <c r="R150" i="489"/>
  <c r="Q150" i="489"/>
  <c r="P150" i="489"/>
  <c r="O150" i="489"/>
  <c r="I150" i="489"/>
  <c r="G150" i="489"/>
  <c r="AA149" i="489"/>
  <c r="Z149" i="489"/>
  <c r="Y149" i="489"/>
  <c r="X149" i="489"/>
  <c r="U149" i="489"/>
  <c r="T149" i="489"/>
  <c r="S149" i="489"/>
  <c r="R149" i="489"/>
  <c r="Q149" i="489"/>
  <c r="P149" i="489"/>
  <c r="O149" i="489"/>
  <c r="I149" i="489"/>
  <c r="G149" i="489"/>
  <c r="AA148" i="489"/>
  <c r="Z148" i="489"/>
  <c r="Y148" i="489"/>
  <c r="X148" i="489"/>
  <c r="U148" i="489"/>
  <c r="T148" i="489"/>
  <c r="S148" i="489"/>
  <c r="R148" i="489"/>
  <c r="Q148" i="489"/>
  <c r="P148" i="489"/>
  <c r="O148" i="489"/>
  <c r="I148" i="489"/>
  <c r="G148" i="489"/>
  <c r="AA146" i="489"/>
  <c r="Z146" i="489"/>
  <c r="Y146" i="489"/>
  <c r="X146" i="489"/>
  <c r="U146" i="489"/>
  <c r="T146" i="489"/>
  <c r="S146" i="489"/>
  <c r="R146" i="489"/>
  <c r="Q146" i="489"/>
  <c r="P146" i="489"/>
  <c r="O146" i="489"/>
  <c r="I146" i="489"/>
  <c r="G146" i="489"/>
  <c r="G143" i="489"/>
  <c r="K143" i="489" s="1" a="1"/>
  <c r="K143" i="489" s="1"/>
  <c r="AA142" i="489"/>
  <c r="Z142" i="489"/>
  <c r="Y142" i="489"/>
  <c r="X142" i="489"/>
  <c r="U142" i="489"/>
  <c r="T142" i="489"/>
  <c r="S142" i="489"/>
  <c r="R142" i="489"/>
  <c r="Q142" i="489"/>
  <c r="P142" i="489"/>
  <c r="O142" i="489"/>
  <c r="I142" i="489"/>
  <c r="G142" i="489"/>
  <c r="AA141" i="489"/>
  <c r="Z141" i="489"/>
  <c r="Y141" i="489"/>
  <c r="X141" i="489"/>
  <c r="U141" i="489"/>
  <c r="T141" i="489"/>
  <c r="S141" i="489"/>
  <c r="R141" i="489"/>
  <c r="Q141" i="489"/>
  <c r="P141" i="489"/>
  <c r="O141" i="489"/>
  <c r="I141" i="489"/>
  <c r="G141" i="489"/>
  <c r="AA140" i="489"/>
  <c r="Z140" i="489"/>
  <c r="Y140" i="489"/>
  <c r="X140" i="489"/>
  <c r="U140" i="489"/>
  <c r="T140" i="489"/>
  <c r="S140" i="489"/>
  <c r="R140" i="489"/>
  <c r="Q140" i="489"/>
  <c r="P140" i="489"/>
  <c r="O140" i="489"/>
  <c r="I140" i="489"/>
  <c r="G140" i="489"/>
  <c r="AA139" i="489"/>
  <c r="Z139" i="489"/>
  <c r="Y139" i="489"/>
  <c r="X139" i="489"/>
  <c r="U139" i="489"/>
  <c r="T139" i="489"/>
  <c r="S139" i="489"/>
  <c r="R139" i="489"/>
  <c r="Q139" i="489"/>
  <c r="P139" i="489"/>
  <c r="O139" i="489"/>
  <c r="I139" i="489"/>
  <c r="G139" i="489"/>
  <c r="AA138" i="489"/>
  <c r="Z138" i="489"/>
  <c r="Y138" i="489"/>
  <c r="X138" i="489"/>
  <c r="U138" i="489"/>
  <c r="T138" i="489"/>
  <c r="S138" i="489"/>
  <c r="R138" i="489"/>
  <c r="Q138" i="489"/>
  <c r="P138" i="489"/>
  <c r="O138" i="489"/>
  <c r="I138" i="489"/>
  <c r="G138" i="489"/>
  <c r="R137" i="489"/>
  <c r="AA136" i="489"/>
  <c r="Z136" i="489"/>
  <c r="Y136" i="489"/>
  <c r="X136" i="489"/>
  <c r="U136" i="489"/>
  <c r="T136" i="489"/>
  <c r="S136" i="489"/>
  <c r="R136" i="489"/>
  <c r="Q136" i="489"/>
  <c r="P136" i="489"/>
  <c r="O136" i="489"/>
  <c r="I136" i="489"/>
  <c r="G136" i="489"/>
  <c r="AA135" i="489"/>
  <c r="Z135" i="489"/>
  <c r="Y135" i="489"/>
  <c r="X135" i="489"/>
  <c r="U135" i="489"/>
  <c r="T135" i="489"/>
  <c r="S135" i="489"/>
  <c r="R135" i="489"/>
  <c r="Q135" i="489"/>
  <c r="P135" i="489"/>
  <c r="O135" i="489"/>
  <c r="I135" i="489"/>
  <c r="G135" i="489"/>
  <c r="AA134" i="489"/>
  <c r="Z134" i="489"/>
  <c r="Y134" i="489"/>
  <c r="X134" i="489"/>
  <c r="U134" i="489"/>
  <c r="T134" i="489"/>
  <c r="S134" i="489"/>
  <c r="R134" i="489"/>
  <c r="Q134" i="489"/>
  <c r="P134" i="489"/>
  <c r="O134" i="489"/>
  <c r="I134" i="489"/>
  <c r="G134" i="489"/>
  <c r="AA133" i="489"/>
  <c r="Z133" i="489"/>
  <c r="Y133" i="489"/>
  <c r="X133" i="489"/>
  <c r="U133" i="489"/>
  <c r="T133" i="489"/>
  <c r="S133" i="489"/>
  <c r="R133" i="489"/>
  <c r="Q133" i="489"/>
  <c r="P133" i="489"/>
  <c r="O133" i="489"/>
  <c r="I133" i="489"/>
  <c r="G133" i="489"/>
  <c r="AA132" i="489"/>
  <c r="Z132" i="489"/>
  <c r="Y132" i="489"/>
  <c r="X132" i="489"/>
  <c r="U132" i="489"/>
  <c r="T132" i="489"/>
  <c r="S132" i="489"/>
  <c r="R132" i="489"/>
  <c r="Q132" i="489"/>
  <c r="P132" i="489"/>
  <c r="O132" i="489"/>
  <c r="I132" i="489"/>
  <c r="G132" i="489"/>
  <c r="AA131" i="489"/>
  <c r="Z131" i="489"/>
  <c r="Y131" i="489"/>
  <c r="X131" i="489"/>
  <c r="U131" i="489"/>
  <c r="T131" i="489"/>
  <c r="S131" i="489"/>
  <c r="R131" i="489"/>
  <c r="Q131" i="489"/>
  <c r="P131" i="489"/>
  <c r="O131" i="489"/>
  <c r="I131" i="489"/>
  <c r="G131" i="489"/>
  <c r="AA130" i="489"/>
  <c r="Z130" i="489"/>
  <c r="Y130" i="489"/>
  <c r="X130" i="489"/>
  <c r="U130" i="489"/>
  <c r="T130" i="489"/>
  <c r="S130" i="489"/>
  <c r="R130" i="489"/>
  <c r="Q130" i="489"/>
  <c r="P130" i="489"/>
  <c r="O130" i="489"/>
  <c r="I130" i="489"/>
  <c r="G130" i="489"/>
  <c r="AA129" i="489"/>
  <c r="Z129" i="489"/>
  <c r="Y129" i="489"/>
  <c r="X129" i="489"/>
  <c r="U129" i="489"/>
  <c r="T129" i="489"/>
  <c r="S129" i="489"/>
  <c r="R129" i="489"/>
  <c r="Q129" i="489"/>
  <c r="P129" i="489"/>
  <c r="O129" i="489"/>
  <c r="I129" i="489"/>
  <c r="G129" i="489"/>
  <c r="AA128" i="489"/>
  <c r="Z128" i="489"/>
  <c r="Y128" i="489"/>
  <c r="X128" i="489"/>
  <c r="U128" i="489"/>
  <c r="T128" i="489"/>
  <c r="S128" i="489"/>
  <c r="R128" i="489"/>
  <c r="Q128" i="489"/>
  <c r="P128" i="489"/>
  <c r="O128" i="489"/>
  <c r="I128" i="489"/>
  <c r="G128" i="489"/>
  <c r="AA127" i="489"/>
  <c r="Z127" i="489"/>
  <c r="Y127" i="489"/>
  <c r="X127" i="489"/>
  <c r="U127" i="489"/>
  <c r="T127" i="489"/>
  <c r="S127" i="489"/>
  <c r="R127" i="489"/>
  <c r="Q127" i="489"/>
  <c r="P127" i="489"/>
  <c r="O127" i="489"/>
  <c r="I127" i="489"/>
  <c r="G127" i="489"/>
  <c r="AA126" i="489"/>
  <c r="Z126" i="489"/>
  <c r="Y126" i="489"/>
  <c r="X126" i="489"/>
  <c r="U126" i="489"/>
  <c r="T126" i="489"/>
  <c r="S126" i="489"/>
  <c r="R126" i="489"/>
  <c r="Q126" i="489"/>
  <c r="P126" i="489"/>
  <c r="O126" i="489"/>
  <c r="I126" i="489"/>
  <c r="G126" i="489"/>
  <c r="AA125" i="489"/>
  <c r="Z125" i="489"/>
  <c r="Y125" i="489"/>
  <c r="X125" i="489"/>
  <c r="U125" i="489"/>
  <c r="T125" i="489"/>
  <c r="S125" i="489"/>
  <c r="R125" i="489"/>
  <c r="Q125" i="489"/>
  <c r="P125" i="489"/>
  <c r="O125" i="489"/>
  <c r="I125" i="489"/>
  <c r="G125" i="489"/>
  <c r="AA124" i="489"/>
  <c r="Z124" i="489"/>
  <c r="Y124" i="489"/>
  <c r="X124" i="489"/>
  <c r="U124" i="489"/>
  <c r="T124" i="489"/>
  <c r="S124" i="489"/>
  <c r="R124" i="489"/>
  <c r="Q124" i="489"/>
  <c r="P124" i="489"/>
  <c r="O124" i="489"/>
  <c r="I124" i="489"/>
  <c r="G124" i="489"/>
  <c r="AA123" i="489"/>
  <c r="Z123" i="489"/>
  <c r="Y123" i="489"/>
  <c r="X123" i="489"/>
  <c r="U123" i="489"/>
  <c r="T123" i="489"/>
  <c r="S123" i="489"/>
  <c r="R123" i="489"/>
  <c r="Q123" i="489"/>
  <c r="P123" i="489"/>
  <c r="O123" i="489"/>
  <c r="I123" i="489"/>
  <c r="G123" i="489"/>
  <c r="AA122" i="489"/>
  <c r="Z122" i="489"/>
  <c r="Y122" i="489"/>
  <c r="X122" i="489"/>
  <c r="U122" i="489"/>
  <c r="T122" i="489"/>
  <c r="S122" i="489"/>
  <c r="R122" i="489"/>
  <c r="Q122" i="489"/>
  <c r="P122" i="489"/>
  <c r="O122" i="489"/>
  <c r="I122" i="489"/>
  <c r="G122" i="489"/>
  <c r="AA120" i="489"/>
  <c r="Z120" i="489"/>
  <c r="Y120" i="489"/>
  <c r="X120" i="489"/>
  <c r="U120" i="489"/>
  <c r="T120" i="489"/>
  <c r="S120" i="489"/>
  <c r="R120" i="489"/>
  <c r="Q120" i="489"/>
  <c r="P120" i="489"/>
  <c r="O120" i="489"/>
  <c r="I120" i="489"/>
  <c r="G120" i="489"/>
  <c r="AA119" i="489"/>
  <c r="Z119" i="489"/>
  <c r="Y119" i="489"/>
  <c r="X119" i="489"/>
  <c r="U119" i="489"/>
  <c r="T119" i="489"/>
  <c r="S119" i="489"/>
  <c r="R119" i="489"/>
  <c r="Q119" i="489"/>
  <c r="P119" i="489"/>
  <c r="O119" i="489"/>
  <c r="I119" i="489"/>
  <c r="G119" i="489"/>
  <c r="AA118" i="489"/>
  <c r="Z118" i="489"/>
  <c r="Y118" i="489"/>
  <c r="X118" i="489"/>
  <c r="U118" i="489"/>
  <c r="T118" i="489"/>
  <c r="S118" i="489"/>
  <c r="R118" i="489"/>
  <c r="Q118" i="489"/>
  <c r="P118" i="489"/>
  <c r="O118" i="489"/>
  <c r="I118" i="489"/>
  <c r="G118" i="489"/>
  <c r="I117" i="489"/>
  <c r="G117" i="489"/>
  <c r="I116" i="489"/>
  <c r="G116" i="489"/>
  <c r="I115" i="489"/>
  <c r="G115" i="489"/>
  <c r="AA114" i="489"/>
  <c r="Z114" i="489"/>
  <c r="Y114" i="489"/>
  <c r="X114" i="489"/>
  <c r="U114" i="489"/>
  <c r="T114" i="489"/>
  <c r="S114" i="489"/>
  <c r="R114" i="489"/>
  <c r="Q114" i="489"/>
  <c r="P114" i="489"/>
  <c r="O114" i="489"/>
  <c r="I114" i="489"/>
  <c r="G114" i="489"/>
  <c r="AA113" i="489"/>
  <c r="Z113" i="489"/>
  <c r="Y113" i="489"/>
  <c r="X113" i="489"/>
  <c r="U113" i="489"/>
  <c r="T113" i="489"/>
  <c r="S113" i="489"/>
  <c r="R113" i="489"/>
  <c r="Q113" i="489"/>
  <c r="P113" i="489"/>
  <c r="O113" i="489"/>
  <c r="I113" i="489"/>
  <c r="G113" i="489"/>
  <c r="AA112" i="489"/>
  <c r="Z112" i="489"/>
  <c r="Y112" i="489"/>
  <c r="X112" i="489"/>
  <c r="U112" i="489"/>
  <c r="T112" i="489"/>
  <c r="S112" i="489"/>
  <c r="R112" i="489"/>
  <c r="Q112" i="489"/>
  <c r="P112" i="489"/>
  <c r="O112" i="489"/>
  <c r="I112" i="489"/>
  <c r="G112" i="489"/>
  <c r="AA111" i="489"/>
  <c r="Z111" i="489"/>
  <c r="Y111" i="489"/>
  <c r="X111" i="489"/>
  <c r="U111" i="489"/>
  <c r="T111" i="489"/>
  <c r="S111" i="489"/>
  <c r="R111" i="489"/>
  <c r="Q111" i="489"/>
  <c r="P111" i="489"/>
  <c r="O111" i="489"/>
  <c r="I111" i="489"/>
  <c r="G111" i="489"/>
  <c r="AA110" i="489"/>
  <c r="Z110" i="489"/>
  <c r="Y110" i="489"/>
  <c r="X110" i="489"/>
  <c r="U110" i="489"/>
  <c r="T110" i="489"/>
  <c r="S110" i="489"/>
  <c r="R110" i="489"/>
  <c r="Q110" i="489"/>
  <c r="P110" i="489"/>
  <c r="O110" i="489"/>
  <c r="I110" i="489"/>
  <c r="G110" i="489"/>
  <c r="AA109" i="489"/>
  <c r="Z109" i="489"/>
  <c r="Y109" i="489"/>
  <c r="X109" i="489"/>
  <c r="U109" i="489"/>
  <c r="T109" i="489"/>
  <c r="S109" i="489"/>
  <c r="R109" i="489"/>
  <c r="Q109" i="489"/>
  <c r="P109" i="489"/>
  <c r="O109" i="489"/>
  <c r="I109" i="489"/>
  <c r="G109" i="489"/>
  <c r="AA108" i="489"/>
  <c r="Z108" i="489"/>
  <c r="Y108" i="489"/>
  <c r="X108" i="489"/>
  <c r="U108" i="489"/>
  <c r="T108" i="489"/>
  <c r="S108" i="489"/>
  <c r="R108" i="489"/>
  <c r="Q108" i="489"/>
  <c r="P108" i="489"/>
  <c r="O108" i="489"/>
  <c r="I108" i="489"/>
  <c r="G108" i="489"/>
  <c r="AA107" i="489"/>
  <c r="Z107" i="489"/>
  <c r="Y107" i="489"/>
  <c r="X107" i="489"/>
  <c r="U107" i="489"/>
  <c r="T107" i="489"/>
  <c r="S107" i="489"/>
  <c r="R107" i="489"/>
  <c r="Q107" i="489"/>
  <c r="P107" i="489"/>
  <c r="O107" i="489"/>
  <c r="I107" i="489"/>
  <c r="G107" i="489"/>
  <c r="AA106" i="489"/>
  <c r="Z106" i="489"/>
  <c r="Y106" i="489"/>
  <c r="X106" i="489"/>
  <c r="U106" i="489"/>
  <c r="T106" i="489"/>
  <c r="S106" i="489"/>
  <c r="R106" i="489"/>
  <c r="Q106" i="489"/>
  <c r="P106" i="489"/>
  <c r="O106" i="489"/>
  <c r="I106" i="489"/>
  <c r="G106" i="489"/>
  <c r="AA105" i="489"/>
  <c r="Z105" i="489"/>
  <c r="Y105" i="489"/>
  <c r="X105" i="489"/>
  <c r="U105" i="489"/>
  <c r="T105" i="489"/>
  <c r="S105" i="489"/>
  <c r="R105" i="489"/>
  <c r="Q105" i="489"/>
  <c r="P105" i="489"/>
  <c r="O105" i="489"/>
  <c r="I105" i="489"/>
  <c r="G105" i="489"/>
  <c r="AA104" i="489"/>
  <c r="Z104" i="489"/>
  <c r="Y104" i="489"/>
  <c r="X104" i="489"/>
  <c r="U104" i="489"/>
  <c r="T104" i="489"/>
  <c r="S104" i="489"/>
  <c r="R104" i="489"/>
  <c r="Q104" i="489"/>
  <c r="P104" i="489"/>
  <c r="O104" i="489"/>
  <c r="I104" i="489"/>
  <c r="G104" i="489"/>
  <c r="AA103" i="489"/>
  <c r="Z103" i="489"/>
  <c r="Y103" i="489"/>
  <c r="X103" i="489"/>
  <c r="U103" i="489"/>
  <c r="T103" i="489"/>
  <c r="S103" i="489"/>
  <c r="R103" i="489"/>
  <c r="Q103" i="489"/>
  <c r="P103" i="489"/>
  <c r="O103" i="489"/>
  <c r="I103" i="489"/>
  <c r="G103" i="489"/>
  <c r="AA102" i="489"/>
  <c r="Z102" i="489"/>
  <c r="Y102" i="489"/>
  <c r="X102" i="489"/>
  <c r="U102" i="489"/>
  <c r="T102" i="489"/>
  <c r="S102" i="489"/>
  <c r="R102" i="489"/>
  <c r="Q102" i="489"/>
  <c r="P102" i="489"/>
  <c r="O102" i="489"/>
  <c r="I102" i="489"/>
  <c r="G102" i="489"/>
  <c r="AA101" i="489"/>
  <c r="Z101" i="489"/>
  <c r="Y101" i="489"/>
  <c r="X101" i="489"/>
  <c r="U101" i="489"/>
  <c r="T101" i="489"/>
  <c r="S101" i="489"/>
  <c r="R101" i="489"/>
  <c r="Q101" i="489"/>
  <c r="P101" i="489"/>
  <c r="O101" i="489"/>
  <c r="I101" i="489"/>
  <c r="G101" i="489"/>
  <c r="AA100" i="489"/>
  <c r="Z100" i="489"/>
  <c r="Y100" i="489"/>
  <c r="X100" i="489"/>
  <c r="U100" i="489"/>
  <c r="T100" i="489"/>
  <c r="S100" i="489"/>
  <c r="R100" i="489"/>
  <c r="Q100" i="489"/>
  <c r="P100" i="489"/>
  <c r="O100" i="489"/>
  <c r="I100" i="489"/>
  <c r="G100" i="489"/>
  <c r="AA99" i="489"/>
  <c r="Z99" i="489"/>
  <c r="Y99" i="489"/>
  <c r="X99" i="489"/>
  <c r="U99" i="489"/>
  <c r="T99" i="489"/>
  <c r="S99" i="489"/>
  <c r="R99" i="489"/>
  <c r="Q99" i="489"/>
  <c r="P99" i="489"/>
  <c r="O99" i="489"/>
  <c r="I99" i="489"/>
  <c r="G99" i="489"/>
  <c r="AA98" i="489"/>
  <c r="Z98" i="489"/>
  <c r="Y98" i="489"/>
  <c r="X98" i="489"/>
  <c r="U98" i="489"/>
  <c r="T98" i="489"/>
  <c r="S98" i="489"/>
  <c r="R98" i="489"/>
  <c r="Q98" i="489"/>
  <c r="P98" i="489"/>
  <c r="O98" i="489"/>
  <c r="I98" i="489"/>
  <c r="G98" i="489"/>
  <c r="AA97" i="489"/>
  <c r="Z97" i="489"/>
  <c r="Y97" i="489"/>
  <c r="X97" i="489"/>
  <c r="U97" i="489"/>
  <c r="T97" i="489"/>
  <c r="S97" i="489"/>
  <c r="R97" i="489"/>
  <c r="Q97" i="489"/>
  <c r="P97" i="489"/>
  <c r="O97" i="489"/>
  <c r="I97" i="489"/>
  <c r="G97" i="489"/>
  <c r="AA96" i="489"/>
  <c r="Z96" i="489"/>
  <c r="Y96" i="489"/>
  <c r="X96" i="489"/>
  <c r="U96" i="489"/>
  <c r="T96" i="489"/>
  <c r="S96" i="489"/>
  <c r="R96" i="489"/>
  <c r="Q96" i="489"/>
  <c r="P96" i="489"/>
  <c r="O96" i="489"/>
  <c r="I96" i="489"/>
  <c r="G96" i="489"/>
  <c r="AA95" i="489"/>
  <c r="Z95" i="489"/>
  <c r="Y95" i="489"/>
  <c r="X95" i="489"/>
  <c r="U95" i="489"/>
  <c r="T95" i="489"/>
  <c r="S95" i="489"/>
  <c r="R95" i="489"/>
  <c r="Q95" i="489"/>
  <c r="P95" i="489"/>
  <c r="O95" i="489"/>
  <c r="I95" i="489"/>
  <c r="G95" i="489"/>
  <c r="AA94" i="489"/>
  <c r="Z94" i="489"/>
  <c r="Y94" i="489"/>
  <c r="X94" i="489"/>
  <c r="U94" i="489"/>
  <c r="T94" i="489"/>
  <c r="S94" i="489"/>
  <c r="R94" i="489"/>
  <c r="Q94" i="489"/>
  <c r="P94" i="489"/>
  <c r="O94" i="489"/>
  <c r="N94" i="489"/>
  <c r="I94" i="489"/>
  <c r="G94" i="489"/>
  <c r="AA93" i="489"/>
  <c r="Z93" i="489"/>
  <c r="Y93" i="489"/>
  <c r="X93" i="489"/>
  <c r="U93" i="489"/>
  <c r="T93" i="489"/>
  <c r="S93" i="489"/>
  <c r="R93" i="489"/>
  <c r="Q93" i="489"/>
  <c r="P93" i="489"/>
  <c r="O93" i="489"/>
  <c r="I93" i="489"/>
  <c r="G93" i="489"/>
  <c r="AA92" i="489"/>
  <c r="Z92" i="489"/>
  <c r="Y92" i="489"/>
  <c r="X92" i="489"/>
  <c r="U92" i="489"/>
  <c r="T92" i="489"/>
  <c r="S92" i="489"/>
  <c r="R92" i="489"/>
  <c r="Q92" i="489"/>
  <c r="P92" i="489"/>
  <c r="O92" i="489"/>
  <c r="I92" i="489"/>
  <c r="G92" i="489"/>
  <c r="AA91" i="489"/>
  <c r="Z91" i="489"/>
  <c r="Y91" i="489"/>
  <c r="X91" i="489"/>
  <c r="U91" i="489"/>
  <c r="T91" i="489"/>
  <c r="S91" i="489"/>
  <c r="R91" i="489"/>
  <c r="Q91" i="489"/>
  <c r="P91" i="489"/>
  <c r="O91" i="489"/>
  <c r="I91" i="489"/>
  <c r="G91" i="489"/>
  <c r="AA90" i="489"/>
  <c r="Z90" i="489"/>
  <c r="Y90" i="489"/>
  <c r="X90" i="489"/>
  <c r="U90" i="489"/>
  <c r="T90" i="489"/>
  <c r="S90" i="489"/>
  <c r="R90" i="489"/>
  <c r="Q90" i="489"/>
  <c r="P90" i="489"/>
  <c r="O90" i="489"/>
  <c r="I90" i="489"/>
  <c r="G90" i="489"/>
  <c r="AA89" i="489"/>
  <c r="Z89" i="489"/>
  <c r="Y89" i="489"/>
  <c r="X89" i="489"/>
  <c r="U89" i="489"/>
  <c r="T89" i="489"/>
  <c r="S89" i="489"/>
  <c r="R89" i="489"/>
  <c r="Q89" i="489"/>
  <c r="P89" i="489"/>
  <c r="O89" i="489"/>
  <c r="I89" i="489"/>
  <c r="G89" i="489"/>
  <c r="AA88" i="489"/>
  <c r="Z88" i="489"/>
  <c r="Y88" i="489"/>
  <c r="X88" i="489"/>
  <c r="U88" i="489"/>
  <c r="T88" i="489"/>
  <c r="S88" i="489"/>
  <c r="R88" i="489"/>
  <c r="Q88" i="489"/>
  <c r="P88" i="489"/>
  <c r="O88" i="489"/>
  <c r="I88" i="489"/>
  <c r="G88" i="489"/>
  <c r="AA87" i="489"/>
  <c r="Z87" i="489"/>
  <c r="Y87" i="489"/>
  <c r="X87" i="489"/>
  <c r="U87" i="489"/>
  <c r="T87" i="489"/>
  <c r="S87" i="489"/>
  <c r="R87" i="489"/>
  <c r="Q87" i="489"/>
  <c r="P87" i="489"/>
  <c r="O87" i="489"/>
  <c r="I87" i="489"/>
  <c r="G87" i="489"/>
  <c r="AA85" i="489"/>
  <c r="Z85" i="489"/>
  <c r="Y85" i="489"/>
  <c r="X85" i="489"/>
  <c r="U85" i="489"/>
  <c r="T85" i="489"/>
  <c r="S85" i="489"/>
  <c r="R85" i="489"/>
  <c r="Q85" i="489"/>
  <c r="P85" i="489"/>
  <c r="O85" i="489"/>
  <c r="N85" i="489"/>
  <c r="I85" i="489"/>
  <c r="G85" i="489"/>
  <c r="AA84" i="489"/>
  <c r="Z84" i="489"/>
  <c r="Y84" i="489"/>
  <c r="X84" i="489"/>
  <c r="U84" i="489"/>
  <c r="T84" i="489"/>
  <c r="S84" i="489"/>
  <c r="R84" i="489"/>
  <c r="Q84" i="489"/>
  <c r="P84" i="489"/>
  <c r="O84" i="489"/>
  <c r="N84" i="489"/>
  <c r="I84" i="489"/>
  <c r="G84" i="489"/>
  <c r="AA83" i="489"/>
  <c r="Z83" i="489"/>
  <c r="Y83" i="489"/>
  <c r="X83" i="489"/>
  <c r="U83" i="489"/>
  <c r="T83" i="489"/>
  <c r="S83" i="489"/>
  <c r="R83" i="489"/>
  <c r="Q83" i="489"/>
  <c r="P83" i="489"/>
  <c r="O83" i="489"/>
  <c r="N83" i="489"/>
  <c r="I83" i="489"/>
  <c r="G83" i="489"/>
  <c r="N82" i="489"/>
  <c r="I82" i="489"/>
  <c r="G82" i="489"/>
  <c r="N81" i="489"/>
  <c r="I81" i="489"/>
  <c r="G81" i="489"/>
  <c r="N80" i="489"/>
  <c r="I80" i="489"/>
  <c r="G80" i="489"/>
  <c r="AA79" i="489"/>
  <c r="Z79" i="489"/>
  <c r="Y79" i="489"/>
  <c r="X79" i="489"/>
  <c r="U79" i="489"/>
  <c r="T79" i="489"/>
  <c r="S79" i="489"/>
  <c r="R79" i="489"/>
  <c r="Q79" i="489"/>
  <c r="P79" i="489"/>
  <c r="O79" i="489"/>
  <c r="N79" i="489"/>
  <c r="I79" i="489"/>
  <c r="G79" i="489"/>
  <c r="AA78" i="489"/>
  <c r="Z78" i="489"/>
  <c r="Y78" i="489"/>
  <c r="X78" i="489"/>
  <c r="U78" i="489"/>
  <c r="T78" i="489"/>
  <c r="S78" i="489"/>
  <c r="R78" i="489"/>
  <c r="Q78" i="489"/>
  <c r="P78" i="489"/>
  <c r="O78" i="489"/>
  <c r="N78" i="489"/>
  <c r="I78" i="489"/>
  <c r="G78" i="489"/>
  <c r="AA77" i="489"/>
  <c r="Z77" i="489"/>
  <c r="Y77" i="489"/>
  <c r="X77" i="489"/>
  <c r="U77" i="489"/>
  <c r="T77" i="489"/>
  <c r="S77" i="489"/>
  <c r="R77" i="489"/>
  <c r="Q77" i="489"/>
  <c r="P77" i="489"/>
  <c r="O77" i="489"/>
  <c r="N77" i="489"/>
  <c r="I77" i="489"/>
  <c r="G77" i="489"/>
  <c r="AA76" i="489"/>
  <c r="Z76" i="489"/>
  <c r="Y76" i="489"/>
  <c r="X76" i="489"/>
  <c r="U76" i="489"/>
  <c r="T76" i="489"/>
  <c r="S76" i="489"/>
  <c r="R76" i="489"/>
  <c r="Q76" i="489"/>
  <c r="P76" i="489"/>
  <c r="O76" i="489"/>
  <c r="N76" i="489"/>
  <c r="I76" i="489"/>
  <c r="G76" i="489"/>
  <c r="AA75" i="489"/>
  <c r="Z75" i="489"/>
  <c r="Y75" i="489"/>
  <c r="X75" i="489"/>
  <c r="U75" i="489"/>
  <c r="T75" i="489"/>
  <c r="S75" i="489"/>
  <c r="R75" i="489"/>
  <c r="Q75" i="489"/>
  <c r="P75" i="489"/>
  <c r="O75" i="489"/>
  <c r="I75" i="489"/>
  <c r="G75" i="489"/>
  <c r="AA74" i="489"/>
  <c r="Z74" i="489"/>
  <c r="Y74" i="489"/>
  <c r="X74" i="489"/>
  <c r="U74" i="489"/>
  <c r="T74" i="489"/>
  <c r="S74" i="489"/>
  <c r="R74" i="489"/>
  <c r="Q74" i="489"/>
  <c r="P74" i="489"/>
  <c r="O74" i="489"/>
  <c r="I74" i="489"/>
  <c r="G74" i="489"/>
  <c r="AA73" i="489"/>
  <c r="Z73" i="489"/>
  <c r="Y73" i="489"/>
  <c r="X73" i="489"/>
  <c r="U73" i="489"/>
  <c r="T73" i="489"/>
  <c r="S73" i="489"/>
  <c r="R73" i="489"/>
  <c r="Q73" i="489"/>
  <c r="P73" i="489"/>
  <c r="O73" i="489"/>
  <c r="I73" i="489"/>
  <c r="G73" i="489"/>
  <c r="AA72" i="489"/>
  <c r="Z72" i="489"/>
  <c r="Y72" i="489"/>
  <c r="X72" i="489"/>
  <c r="U72" i="489"/>
  <c r="T72" i="489"/>
  <c r="S72" i="489"/>
  <c r="R72" i="489"/>
  <c r="Q72" i="489"/>
  <c r="P72" i="489"/>
  <c r="O72" i="489"/>
  <c r="I72" i="489"/>
  <c r="G72" i="489"/>
  <c r="AA71" i="489"/>
  <c r="Z71" i="489"/>
  <c r="Y71" i="489"/>
  <c r="X71" i="489"/>
  <c r="U71" i="489"/>
  <c r="T71" i="489"/>
  <c r="S71" i="489"/>
  <c r="R71" i="489"/>
  <c r="Q71" i="489"/>
  <c r="P71" i="489"/>
  <c r="O71" i="489"/>
  <c r="N71" i="489"/>
  <c r="I71" i="489"/>
  <c r="G71" i="489"/>
  <c r="AA70" i="489"/>
  <c r="Z70" i="489"/>
  <c r="Y70" i="489"/>
  <c r="X70" i="489"/>
  <c r="U70" i="489"/>
  <c r="T70" i="489"/>
  <c r="S70" i="489"/>
  <c r="R70" i="489"/>
  <c r="Q70" i="489"/>
  <c r="P70" i="489"/>
  <c r="O70" i="489"/>
  <c r="I70" i="489"/>
  <c r="G70" i="489"/>
  <c r="AA69" i="489"/>
  <c r="Z69" i="489"/>
  <c r="Y69" i="489"/>
  <c r="X69" i="489"/>
  <c r="U69" i="489"/>
  <c r="T69" i="489"/>
  <c r="S69" i="489"/>
  <c r="R69" i="489"/>
  <c r="Q69" i="489"/>
  <c r="P69" i="489"/>
  <c r="O69" i="489"/>
  <c r="I69" i="489"/>
  <c r="G69" i="489"/>
  <c r="AA68" i="489"/>
  <c r="Z68" i="489"/>
  <c r="Y68" i="489"/>
  <c r="X68" i="489"/>
  <c r="U68" i="489"/>
  <c r="T68" i="489"/>
  <c r="S68" i="489"/>
  <c r="R68" i="489"/>
  <c r="Q68" i="489"/>
  <c r="P68" i="489"/>
  <c r="O68" i="489"/>
  <c r="N68" i="489"/>
  <c r="I68" i="489"/>
  <c r="G68" i="489"/>
  <c r="G67" i="489"/>
  <c r="AA66" i="489"/>
  <c r="Z66" i="489"/>
  <c r="Y66" i="489"/>
  <c r="X66" i="489"/>
  <c r="U66" i="489"/>
  <c r="T66" i="489"/>
  <c r="S66" i="489"/>
  <c r="R66" i="489"/>
  <c r="Q66" i="489"/>
  <c r="P66" i="489"/>
  <c r="O66" i="489"/>
  <c r="I66" i="489"/>
  <c r="G66" i="489"/>
  <c r="AA65" i="489"/>
  <c r="Z65" i="489"/>
  <c r="Y65" i="489"/>
  <c r="X65" i="489"/>
  <c r="U65" i="489"/>
  <c r="T65" i="489"/>
  <c r="S65" i="489"/>
  <c r="R65" i="489"/>
  <c r="Q65" i="489"/>
  <c r="P65" i="489"/>
  <c r="O65" i="489"/>
  <c r="I65" i="489"/>
  <c r="G65" i="489"/>
  <c r="AA64" i="489"/>
  <c r="Z64" i="489"/>
  <c r="Y64" i="489"/>
  <c r="X64" i="489"/>
  <c r="U64" i="489"/>
  <c r="T64" i="489"/>
  <c r="S64" i="489"/>
  <c r="R64" i="489"/>
  <c r="Q64" i="489"/>
  <c r="P64" i="489"/>
  <c r="O64" i="489"/>
  <c r="I64" i="489"/>
  <c r="G64" i="489"/>
  <c r="AA63" i="489"/>
  <c r="Z63" i="489"/>
  <c r="Y63" i="489"/>
  <c r="X63" i="489"/>
  <c r="U63" i="489"/>
  <c r="T63" i="489"/>
  <c r="S63" i="489"/>
  <c r="R63" i="489"/>
  <c r="Q63" i="489"/>
  <c r="P63" i="489"/>
  <c r="O63" i="489"/>
  <c r="I63" i="489"/>
  <c r="G63" i="489"/>
  <c r="AA62" i="489"/>
  <c r="Z62" i="489"/>
  <c r="Y62" i="489"/>
  <c r="X62" i="489"/>
  <c r="U62" i="489"/>
  <c r="T62" i="489"/>
  <c r="S62" i="489"/>
  <c r="R62" i="489"/>
  <c r="Q62" i="489"/>
  <c r="P62" i="489"/>
  <c r="O62" i="489"/>
  <c r="I62" i="489"/>
  <c r="G62" i="489"/>
  <c r="AA61" i="489"/>
  <c r="Z61" i="489"/>
  <c r="Y61" i="489"/>
  <c r="X61" i="489"/>
  <c r="U61" i="489"/>
  <c r="T61" i="489"/>
  <c r="S61" i="489"/>
  <c r="R61" i="489"/>
  <c r="Q61" i="489"/>
  <c r="P61" i="489"/>
  <c r="O61" i="489"/>
  <c r="I61" i="489"/>
  <c r="G61" i="489"/>
  <c r="AA60" i="489"/>
  <c r="Z60" i="489"/>
  <c r="Y60" i="489"/>
  <c r="X60" i="489"/>
  <c r="U60" i="489"/>
  <c r="T60" i="489"/>
  <c r="S60" i="489"/>
  <c r="R60" i="489"/>
  <c r="Q60" i="489"/>
  <c r="P60" i="489"/>
  <c r="O60" i="489"/>
  <c r="I60" i="489"/>
  <c r="G60" i="489"/>
  <c r="AA59" i="489"/>
  <c r="Z59" i="489"/>
  <c r="Y59" i="489"/>
  <c r="X59" i="489"/>
  <c r="U59" i="489"/>
  <c r="T59" i="489"/>
  <c r="S59" i="489"/>
  <c r="R59" i="489"/>
  <c r="Q59" i="489"/>
  <c r="P59" i="489"/>
  <c r="O59" i="489"/>
  <c r="I59" i="489"/>
  <c r="G59" i="489"/>
  <c r="AA58" i="489"/>
  <c r="Z58" i="489"/>
  <c r="Y58" i="489"/>
  <c r="X58" i="489"/>
  <c r="U58" i="489"/>
  <c r="T58" i="489"/>
  <c r="S58" i="489"/>
  <c r="R58" i="489"/>
  <c r="Q58" i="489"/>
  <c r="P58" i="489"/>
  <c r="O58" i="489"/>
  <c r="I58" i="489"/>
  <c r="G58" i="489"/>
  <c r="AA57" i="489"/>
  <c r="Z57" i="489"/>
  <c r="Y57" i="489"/>
  <c r="X57" i="489"/>
  <c r="U57" i="489"/>
  <c r="T57" i="489"/>
  <c r="S57" i="489"/>
  <c r="R57" i="489"/>
  <c r="Q57" i="489"/>
  <c r="P57" i="489"/>
  <c r="O57" i="489"/>
  <c r="I57" i="489"/>
  <c r="G57" i="489"/>
  <c r="AA56" i="489"/>
  <c r="Z56" i="489"/>
  <c r="Y56" i="489"/>
  <c r="X56" i="489"/>
  <c r="U56" i="489"/>
  <c r="T56" i="489"/>
  <c r="S56" i="489"/>
  <c r="R56" i="489"/>
  <c r="Q56" i="489"/>
  <c r="P56" i="489"/>
  <c r="O56" i="489"/>
  <c r="N56" i="489"/>
  <c r="I56" i="489"/>
  <c r="G56" i="489"/>
  <c r="AA55" i="489"/>
  <c r="Z55" i="489"/>
  <c r="Y55" i="489"/>
  <c r="X55" i="489"/>
  <c r="U55" i="489"/>
  <c r="T55" i="489"/>
  <c r="S55" i="489"/>
  <c r="R55" i="489"/>
  <c r="Q55" i="489"/>
  <c r="P55" i="489"/>
  <c r="O55" i="489"/>
  <c r="N55" i="489"/>
  <c r="I55" i="489"/>
  <c r="G55" i="489"/>
  <c r="AA54" i="489"/>
  <c r="Z54" i="489"/>
  <c r="Y54" i="489"/>
  <c r="X54" i="489"/>
  <c r="U54" i="489"/>
  <c r="T54" i="489"/>
  <c r="S54" i="489"/>
  <c r="R54" i="489"/>
  <c r="Q54" i="489"/>
  <c r="P54" i="489"/>
  <c r="O54" i="489"/>
  <c r="N54" i="489"/>
  <c r="I54" i="489"/>
  <c r="G54" i="489"/>
  <c r="AA53" i="489"/>
  <c r="Z53" i="489"/>
  <c r="Y53" i="489"/>
  <c r="X53" i="489"/>
  <c r="U53" i="489"/>
  <c r="T53" i="489"/>
  <c r="S53" i="489"/>
  <c r="R53" i="489"/>
  <c r="Q53" i="489"/>
  <c r="P53" i="489"/>
  <c r="O53" i="489"/>
  <c r="N53" i="489"/>
  <c r="I53" i="489"/>
  <c r="G53" i="489"/>
  <c r="AA52" i="489"/>
  <c r="Z52" i="489"/>
  <c r="Y52" i="489"/>
  <c r="X52" i="489"/>
  <c r="U52" i="489"/>
  <c r="T52" i="489"/>
  <c r="S52" i="489"/>
  <c r="R52" i="489"/>
  <c r="Q52" i="489"/>
  <c r="P52" i="489"/>
  <c r="O52" i="489"/>
  <c r="I52" i="489"/>
  <c r="G52" i="489"/>
  <c r="AA51" i="489"/>
  <c r="Z51" i="489"/>
  <c r="Y51" i="489"/>
  <c r="X51" i="489"/>
  <c r="U51" i="489"/>
  <c r="T51" i="489"/>
  <c r="S51" i="489"/>
  <c r="R51" i="489"/>
  <c r="Q51" i="489"/>
  <c r="P51" i="489"/>
  <c r="O51" i="489"/>
  <c r="I51" i="489"/>
  <c r="G51" i="489"/>
  <c r="AA50" i="489"/>
  <c r="Z50" i="489"/>
  <c r="Y50" i="489"/>
  <c r="X50" i="489"/>
  <c r="U50" i="489"/>
  <c r="T50" i="489"/>
  <c r="S50" i="489"/>
  <c r="R50" i="489"/>
  <c r="Q50" i="489"/>
  <c r="P50" i="489"/>
  <c r="O50" i="489"/>
  <c r="I50" i="489"/>
  <c r="G50" i="489"/>
  <c r="AA49" i="489"/>
  <c r="Z49" i="489"/>
  <c r="Y49" i="489"/>
  <c r="X49" i="489"/>
  <c r="U49" i="489"/>
  <c r="T49" i="489"/>
  <c r="S49" i="489"/>
  <c r="R49" i="489"/>
  <c r="Q49" i="489"/>
  <c r="P49" i="489"/>
  <c r="O49" i="489"/>
  <c r="I49" i="489"/>
  <c r="G49" i="489"/>
  <c r="AA48" i="489"/>
  <c r="Z48" i="489"/>
  <c r="Y48" i="489"/>
  <c r="X48" i="489"/>
  <c r="U48" i="489"/>
  <c r="T48" i="489"/>
  <c r="S48" i="489"/>
  <c r="R48" i="489"/>
  <c r="Q48" i="489"/>
  <c r="P48" i="489"/>
  <c r="O48" i="489"/>
  <c r="I48" i="489"/>
  <c r="G48" i="489"/>
  <c r="AA47" i="489"/>
  <c r="Z47" i="489"/>
  <c r="Y47" i="489"/>
  <c r="X47" i="489"/>
  <c r="U47" i="489"/>
  <c r="T47" i="489"/>
  <c r="S47" i="489"/>
  <c r="R47" i="489"/>
  <c r="Q47" i="489"/>
  <c r="P47" i="489"/>
  <c r="O47" i="489"/>
  <c r="I47" i="489"/>
  <c r="G47" i="489"/>
  <c r="AA46" i="489"/>
  <c r="Z46" i="489"/>
  <c r="Y46" i="489"/>
  <c r="X46" i="489"/>
  <c r="U46" i="489"/>
  <c r="T46" i="489"/>
  <c r="S46" i="489"/>
  <c r="R46" i="489"/>
  <c r="Q46" i="489"/>
  <c r="P46" i="489"/>
  <c r="O46" i="489"/>
  <c r="I46" i="489"/>
  <c r="G46" i="489"/>
  <c r="AA45" i="489"/>
  <c r="Z45" i="489"/>
  <c r="Y45" i="489"/>
  <c r="X45" i="489"/>
  <c r="U45" i="489"/>
  <c r="T45" i="489"/>
  <c r="S45" i="489"/>
  <c r="R45" i="489"/>
  <c r="Q45" i="489"/>
  <c r="P45" i="489"/>
  <c r="O45" i="489"/>
  <c r="I45" i="489"/>
  <c r="G45" i="489"/>
  <c r="AA44" i="489"/>
  <c r="Z44" i="489"/>
  <c r="Y44" i="489"/>
  <c r="X44" i="489"/>
  <c r="U44" i="489"/>
  <c r="T44" i="489"/>
  <c r="S44" i="489"/>
  <c r="R44" i="489"/>
  <c r="Q44" i="489"/>
  <c r="P44" i="489"/>
  <c r="O44" i="489"/>
  <c r="I44" i="489"/>
  <c r="G44" i="489"/>
  <c r="AA43" i="489"/>
  <c r="Z43" i="489"/>
  <c r="Y43" i="489"/>
  <c r="X43" i="489"/>
  <c r="U43" i="489"/>
  <c r="T43" i="489"/>
  <c r="S43" i="489"/>
  <c r="R43" i="489"/>
  <c r="Q43" i="489"/>
  <c r="P43" i="489"/>
  <c r="O43" i="489"/>
  <c r="I43" i="489"/>
  <c r="G43" i="489"/>
  <c r="AA42" i="489"/>
  <c r="Z42" i="489"/>
  <c r="Y42" i="489"/>
  <c r="X42" i="489"/>
  <c r="U42" i="489"/>
  <c r="T42" i="489"/>
  <c r="S42" i="489"/>
  <c r="R42" i="489"/>
  <c r="Q42" i="489"/>
  <c r="P42" i="489"/>
  <c r="O42" i="489"/>
  <c r="I42" i="489"/>
  <c r="G42" i="489"/>
  <c r="AA41" i="489"/>
  <c r="Z41" i="489"/>
  <c r="Y41" i="489"/>
  <c r="X41" i="489"/>
  <c r="U41" i="489"/>
  <c r="T41" i="489"/>
  <c r="S41" i="489"/>
  <c r="R41" i="489"/>
  <c r="Q41" i="489"/>
  <c r="P41" i="489"/>
  <c r="O41" i="489"/>
  <c r="I41" i="489"/>
  <c r="G41" i="489"/>
  <c r="AA40" i="489"/>
  <c r="Z40" i="489"/>
  <c r="Y40" i="489"/>
  <c r="X40" i="489"/>
  <c r="U40" i="489"/>
  <c r="T40" i="489"/>
  <c r="S40" i="489"/>
  <c r="R40" i="489"/>
  <c r="Q40" i="489"/>
  <c r="P40" i="489"/>
  <c r="O40" i="489"/>
  <c r="I40" i="489"/>
  <c r="G40" i="489"/>
  <c r="AA39" i="489"/>
  <c r="Z39" i="489"/>
  <c r="Y39" i="489"/>
  <c r="X39" i="489"/>
  <c r="U39" i="489"/>
  <c r="T39" i="489"/>
  <c r="S39" i="489"/>
  <c r="R39" i="489"/>
  <c r="Q39" i="489"/>
  <c r="P39" i="489"/>
  <c r="O39" i="489"/>
  <c r="I39" i="489"/>
  <c r="G39" i="489"/>
  <c r="AA38" i="489"/>
  <c r="Z38" i="489"/>
  <c r="Y38" i="489"/>
  <c r="X38" i="489"/>
  <c r="U38" i="489"/>
  <c r="T38" i="489"/>
  <c r="S38" i="489"/>
  <c r="R38" i="489"/>
  <c r="Q38" i="489"/>
  <c r="P38" i="489"/>
  <c r="O38" i="489"/>
  <c r="I38" i="489"/>
  <c r="G38" i="489"/>
  <c r="AA37" i="489"/>
  <c r="Z37" i="489"/>
  <c r="Y37" i="489"/>
  <c r="X37" i="489"/>
  <c r="U37" i="489"/>
  <c r="T37" i="489"/>
  <c r="S37" i="489"/>
  <c r="R37" i="489"/>
  <c r="Q37" i="489"/>
  <c r="P37" i="489"/>
  <c r="O37" i="489"/>
  <c r="I37" i="489"/>
  <c r="G37" i="489"/>
  <c r="I36" i="489"/>
  <c r="G36" i="489"/>
  <c r="I35" i="489"/>
  <c r="G35" i="489"/>
  <c r="I34" i="489"/>
  <c r="G34" i="489"/>
  <c r="AA33" i="489"/>
  <c r="Z33" i="489"/>
  <c r="Y33" i="489"/>
  <c r="X33" i="489"/>
  <c r="U33" i="489"/>
  <c r="T33" i="489"/>
  <c r="S33" i="489"/>
  <c r="R33" i="489"/>
  <c r="Q33" i="489"/>
  <c r="P33" i="489"/>
  <c r="O33" i="489"/>
  <c r="I33" i="489"/>
  <c r="G33" i="489"/>
  <c r="AA32" i="489"/>
  <c r="Z32" i="489"/>
  <c r="Y32" i="489"/>
  <c r="X32" i="489"/>
  <c r="U32" i="489"/>
  <c r="T32" i="489"/>
  <c r="S32" i="489"/>
  <c r="R32" i="489"/>
  <c r="Q32" i="489"/>
  <c r="P32" i="489"/>
  <c r="O32" i="489"/>
  <c r="I32" i="489"/>
  <c r="G32" i="489"/>
  <c r="AA31" i="489"/>
  <c r="Z31" i="489"/>
  <c r="Y31" i="489"/>
  <c r="X31" i="489"/>
  <c r="U31" i="489"/>
  <c r="T31" i="489"/>
  <c r="S31" i="489"/>
  <c r="R31" i="489"/>
  <c r="Q31" i="489"/>
  <c r="P31" i="489"/>
  <c r="O31" i="489"/>
  <c r="I31" i="489"/>
  <c r="G31" i="489"/>
  <c r="G30" i="489"/>
  <c r="AA29" i="489"/>
  <c r="Z29" i="489"/>
  <c r="Y29" i="489"/>
  <c r="X29" i="489"/>
  <c r="U29" i="489"/>
  <c r="T29" i="489"/>
  <c r="S29" i="489"/>
  <c r="R29" i="489"/>
  <c r="Q29" i="489"/>
  <c r="P29" i="489"/>
  <c r="O29" i="489"/>
  <c r="I29" i="489"/>
  <c r="G29" i="489"/>
  <c r="AA27" i="489"/>
  <c r="Z27" i="489"/>
  <c r="Y27" i="489"/>
  <c r="X27" i="489"/>
  <c r="U27" i="489"/>
  <c r="T27" i="489"/>
  <c r="S27" i="489"/>
  <c r="R27" i="489"/>
  <c r="Q27" i="489"/>
  <c r="P27" i="489"/>
  <c r="O27" i="489"/>
  <c r="I27" i="489"/>
  <c r="G27" i="489"/>
  <c r="AA26" i="489"/>
  <c r="Z26" i="489"/>
  <c r="Y26" i="489"/>
  <c r="X26" i="489"/>
  <c r="U26" i="489"/>
  <c r="T26" i="489"/>
  <c r="S26" i="489"/>
  <c r="R26" i="489"/>
  <c r="Q26" i="489"/>
  <c r="P26" i="489"/>
  <c r="O26" i="489"/>
  <c r="I26" i="489"/>
  <c r="G26" i="489"/>
  <c r="AA25" i="489"/>
  <c r="Z25" i="489"/>
  <c r="Y25" i="489"/>
  <c r="X25" i="489"/>
  <c r="U25" i="489"/>
  <c r="T25" i="489"/>
  <c r="S25" i="489"/>
  <c r="R25" i="489"/>
  <c r="Q25" i="489"/>
  <c r="P25" i="489"/>
  <c r="O25" i="489"/>
  <c r="N25" i="489"/>
  <c r="I25" i="489"/>
  <c r="G25" i="489"/>
  <c r="AA24" i="489"/>
  <c r="Z24" i="489"/>
  <c r="Y24" i="489"/>
  <c r="X24" i="489"/>
  <c r="U24" i="489"/>
  <c r="T24" i="489"/>
  <c r="S24" i="489"/>
  <c r="R24" i="489"/>
  <c r="Q24" i="489"/>
  <c r="P24" i="489"/>
  <c r="O24" i="489"/>
  <c r="N24" i="489"/>
  <c r="I24" i="489"/>
  <c r="G24" i="489"/>
  <c r="AA23" i="489"/>
  <c r="Z23" i="489"/>
  <c r="Y23" i="489"/>
  <c r="X23" i="489"/>
  <c r="U23" i="489"/>
  <c r="T23" i="489"/>
  <c r="S23" i="489"/>
  <c r="R23" i="489"/>
  <c r="Q23" i="489"/>
  <c r="P23" i="489"/>
  <c r="O23" i="489"/>
  <c r="N23" i="489"/>
  <c r="I23" i="489"/>
  <c r="G23" i="489"/>
  <c r="AA22" i="489"/>
  <c r="Z22" i="489"/>
  <c r="Y22" i="489"/>
  <c r="X22" i="489"/>
  <c r="U22" i="489"/>
  <c r="T22" i="489"/>
  <c r="S22" i="489"/>
  <c r="R22" i="489"/>
  <c r="Q22" i="489"/>
  <c r="P22" i="489"/>
  <c r="O22" i="489"/>
  <c r="N22" i="489"/>
  <c r="I22" i="489"/>
  <c r="G22" i="489"/>
  <c r="AA21" i="489"/>
  <c r="Z21" i="489"/>
  <c r="Y21" i="489"/>
  <c r="X21" i="489"/>
  <c r="U21" i="489"/>
  <c r="T21" i="489"/>
  <c r="S21" i="489"/>
  <c r="R21" i="489"/>
  <c r="Q21" i="489"/>
  <c r="P21" i="489"/>
  <c r="O21" i="489"/>
  <c r="I21" i="489"/>
  <c r="G21" i="489"/>
  <c r="AA20" i="489"/>
  <c r="Z20" i="489"/>
  <c r="Y20" i="489"/>
  <c r="X20" i="489"/>
  <c r="U20" i="489"/>
  <c r="T20" i="489"/>
  <c r="S20" i="489"/>
  <c r="R20" i="489"/>
  <c r="Q20" i="489"/>
  <c r="P20" i="489"/>
  <c r="O20" i="489"/>
  <c r="I20" i="489"/>
  <c r="G20" i="489"/>
  <c r="AA19" i="489"/>
  <c r="Z19" i="489"/>
  <c r="Y19" i="489"/>
  <c r="X19" i="489"/>
  <c r="U19" i="489"/>
  <c r="T19" i="489"/>
  <c r="S19" i="489"/>
  <c r="R19" i="489"/>
  <c r="Q19" i="489"/>
  <c r="P19" i="489"/>
  <c r="O19" i="489"/>
  <c r="I19" i="489"/>
  <c r="G19" i="489"/>
  <c r="AA18" i="489"/>
  <c r="Z18" i="489"/>
  <c r="Y18" i="489"/>
  <c r="X18" i="489"/>
  <c r="U18" i="489"/>
  <c r="T18" i="489"/>
  <c r="S18" i="489"/>
  <c r="R18" i="489"/>
  <c r="Q18" i="489"/>
  <c r="P18" i="489"/>
  <c r="O18" i="489"/>
  <c r="I18" i="489"/>
  <c r="G18" i="489"/>
  <c r="AA17" i="489"/>
  <c r="Z17" i="489"/>
  <c r="Y17" i="489"/>
  <c r="X17" i="489"/>
  <c r="U17" i="489"/>
  <c r="T17" i="489"/>
  <c r="S17" i="489"/>
  <c r="R17" i="489"/>
  <c r="Q17" i="489"/>
  <c r="P17" i="489"/>
  <c r="O17" i="489"/>
  <c r="I17" i="489"/>
  <c r="G17" i="489"/>
  <c r="AA16" i="489"/>
  <c r="Z16" i="489"/>
  <c r="Y16" i="489"/>
  <c r="X16" i="489"/>
  <c r="U16" i="489"/>
  <c r="T16" i="489"/>
  <c r="S16" i="489"/>
  <c r="R16" i="489"/>
  <c r="Q16" i="489"/>
  <c r="P16" i="489"/>
  <c r="O16" i="489"/>
  <c r="I16" i="489"/>
  <c r="G16" i="489"/>
  <c r="AA15" i="489"/>
  <c r="Z15" i="489"/>
  <c r="Y15" i="489"/>
  <c r="X15" i="489"/>
  <c r="U15" i="489"/>
  <c r="T15" i="489"/>
  <c r="S15" i="489"/>
  <c r="R15" i="489"/>
  <c r="Q15" i="489"/>
  <c r="P15" i="489"/>
  <c r="O15" i="489"/>
  <c r="I15" i="489"/>
  <c r="G15" i="489"/>
  <c r="AA14" i="489"/>
  <c r="Z14" i="489"/>
  <c r="Y14" i="489"/>
  <c r="X14" i="489"/>
  <c r="U14" i="489"/>
  <c r="T14" i="489"/>
  <c r="S14" i="489"/>
  <c r="R14" i="489"/>
  <c r="Q14" i="489"/>
  <c r="P14" i="489"/>
  <c r="O14" i="489"/>
  <c r="I14" i="489"/>
  <c r="G14" i="489"/>
  <c r="AA13" i="489"/>
  <c r="Z13" i="489"/>
  <c r="Y13" i="489"/>
  <c r="X13" i="489"/>
  <c r="U13" i="489"/>
  <c r="T13" i="489"/>
  <c r="S13" i="489"/>
  <c r="R13" i="489"/>
  <c r="Q13" i="489"/>
  <c r="P13" i="489"/>
  <c r="O13" i="489"/>
  <c r="I13" i="489"/>
  <c r="G13" i="489"/>
  <c r="AA12" i="489"/>
  <c r="Z12" i="489"/>
  <c r="Y12" i="489"/>
  <c r="X12" i="489"/>
  <c r="U12" i="489"/>
  <c r="T12" i="489"/>
  <c r="S12" i="489"/>
  <c r="R12" i="489"/>
  <c r="Q12" i="489"/>
  <c r="P12" i="489"/>
  <c r="O12" i="489"/>
  <c r="I12" i="489"/>
  <c r="G12" i="489"/>
  <c r="AA11" i="489"/>
  <c r="Z11" i="489"/>
  <c r="Y11" i="489"/>
  <c r="X11" i="489"/>
  <c r="U11" i="489"/>
  <c r="T11" i="489"/>
  <c r="S11" i="489"/>
  <c r="R11" i="489"/>
  <c r="Q11" i="489"/>
  <c r="P11" i="489"/>
  <c r="O11" i="489"/>
  <c r="I11" i="489"/>
  <c r="G11" i="489"/>
  <c r="AA10" i="489"/>
  <c r="Z10" i="489"/>
  <c r="Y10" i="489"/>
  <c r="X10" i="489"/>
  <c r="U10" i="489"/>
  <c r="T10" i="489"/>
  <c r="S10" i="489"/>
  <c r="R10" i="489"/>
  <c r="Q10" i="489"/>
  <c r="P10" i="489"/>
  <c r="O10" i="489"/>
  <c r="I10" i="489"/>
  <c r="G10" i="489"/>
  <c r="AA9" i="489"/>
  <c r="Z9" i="489"/>
  <c r="Y9" i="489"/>
  <c r="X9" i="489"/>
  <c r="U9" i="489"/>
  <c r="T9" i="489"/>
  <c r="S9" i="489"/>
  <c r="R9" i="489"/>
  <c r="Q9" i="489"/>
  <c r="P9" i="489"/>
  <c r="O9" i="489"/>
  <c r="I9" i="489"/>
  <c r="G9" i="489"/>
  <c r="AA8" i="489"/>
  <c r="Z8" i="489"/>
  <c r="Y8" i="489"/>
  <c r="X8" i="489"/>
  <c r="U8" i="489"/>
  <c r="T8" i="489"/>
  <c r="S8" i="489"/>
  <c r="R8" i="489"/>
  <c r="Q8" i="489"/>
  <c r="P8" i="489"/>
  <c r="O8" i="489"/>
  <c r="I8" i="489"/>
  <c r="G8" i="489"/>
  <c r="AA7" i="489"/>
  <c r="Z7" i="489"/>
  <c r="Y7" i="489"/>
  <c r="X7" i="489"/>
  <c r="U7" i="489"/>
  <c r="T7" i="489"/>
  <c r="S7" i="489"/>
  <c r="R7" i="489"/>
  <c r="Q7" i="489"/>
  <c r="P7" i="489"/>
  <c r="O7" i="489"/>
  <c r="I7" i="489"/>
  <c r="G7" i="489"/>
  <c r="P532" i="508"/>
  <c r="O532" i="508"/>
  <c r="N532" i="508"/>
  <c r="M532" i="508"/>
  <c r="L532" i="508"/>
  <c r="K532" i="508"/>
  <c r="I532" i="508"/>
  <c r="H532" i="508"/>
  <c r="G532" i="508"/>
  <c r="F532" i="508"/>
  <c r="E532" i="508"/>
  <c r="D532" i="508"/>
  <c r="P531" i="508"/>
  <c r="O531" i="508"/>
  <c r="N531" i="508"/>
  <c r="M531" i="508"/>
  <c r="L531" i="508"/>
  <c r="K531" i="508"/>
  <c r="I531" i="508"/>
  <c r="H531" i="508"/>
  <c r="G531" i="508"/>
  <c r="F531" i="508"/>
  <c r="E531" i="508"/>
  <c r="D531" i="508"/>
  <c r="P530" i="508"/>
  <c r="O530" i="508"/>
  <c r="N530" i="508"/>
  <c r="M530" i="508"/>
  <c r="L530" i="508"/>
  <c r="K530" i="508"/>
  <c r="I530" i="508"/>
  <c r="H530" i="508"/>
  <c r="G530" i="508"/>
  <c r="F530" i="508"/>
  <c r="E530" i="508"/>
  <c r="D530" i="508"/>
  <c r="C508" i="508"/>
  <c r="C507" i="508"/>
  <c r="C506" i="508"/>
  <c r="AA502" i="508"/>
  <c r="Z502" i="508"/>
  <c r="Y502" i="508"/>
  <c r="X502" i="508"/>
  <c r="U502" i="508"/>
  <c r="T502" i="508"/>
  <c r="S502" i="508"/>
  <c r="R502" i="508"/>
  <c r="Q502" i="508"/>
  <c r="P502" i="508"/>
  <c r="O502" i="508"/>
  <c r="I502" i="508"/>
  <c r="G502" i="508"/>
  <c r="AA501" i="508"/>
  <c r="Z501" i="508"/>
  <c r="Y501" i="508"/>
  <c r="X501" i="508"/>
  <c r="U501" i="508"/>
  <c r="T501" i="508"/>
  <c r="S501" i="508"/>
  <c r="R501" i="508"/>
  <c r="Q501" i="508"/>
  <c r="P501" i="508"/>
  <c r="O501" i="508"/>
  <c r="I501" i="508"/>
  <c r="G501" i="508"/>
  <c r="I500" i="508"/>
  <c r="G500" i="508"/>
  <c r="AA499" i="508"/>
  <c r="Z499" i="508"/>
  <c r="Y499" i="508"/>
  <c r="X499" i="508"/>
  <c r="U499" i="508"/>
  <c r="T499" i="508"/>
  <c r="S499" i="508"/>
  <c r="R499" i="508"/>
  <c r="Q499" i="508"/>
  <c r="P499" i="508"/>
  <c r="O499" i="508"/>
  <c r="I499" i="508"/>
  <c r="G499" i="508"/>
  <c r="AA498" i="508"/>
  <c r="Z498" i="508"/>
  <c r="Y498" i="508"/>
  <c r="X498" i="508"/>
  <c r="U498" i="508"/>
  <c r="T498" i="508"/>
  <c r="S498" i="508"/>
  <c r="R498" i="508"/>
  <c r="Q498" i="508"/>
  <c r="P498" i="508"/>
  <c r="O498" i="508"/>
  <c r="I498" i="508"/>
  <c r="G498" i="508"/>
  <c r="G497" i="508"/>
  <c r="G496" i="508"/>
  <c r="AA495" i="508"/>
  <c r="Z495" i="508"/>
  <c r="Y495" i="508"/>
  <c r="X495" i="508"/>
  <c r="U495" i="508"/>
  <c r="T495" i="508"/>
  <c r="S495" i="508"/>
  <c r="R495" i="508"/>
  <c r="Q495" i="508"/>
  <c r="P495" i="508"/>
  <c r="O495" i="508"/>
  <c r="I495" i="508"/>
  <c r="G495" i="508"/>
  <c r="AA494" i="508"/>
  <c r="Z494" i="508"/>
  <c r="Y494" i="508"/>
  <c r="X494" i="508"/>
  <c r="U494" i="508"/>
  <c r="T494" i="508"/>
  <c r="S494" i="508"/>
  <c r="R494" i="508"/>
  <c r="Q494" i="508"/>
  <c r="P494" i="508"/>
  <c r="O494" i="508"/>
  <c r="I494" i="508"/>
  <c r="G494" i="508"/>
  <c r="AA493" i="508"/>
  <c r="Z493" i="508"/>
  <c r="Y493" i="508"/>
  <c r="X493" i="508"/>
  <c r="U493" i="508"/>
  <c r="T493" i="508"/>
  <c r="S493" i="508"/>
  <c r="R493" i="508"/>
  <c r="Q493" i="508"/>
  <c r="P493" i="508"/>
  <c r="O493" i="508"/>
  <c r="I493" i="508"/>
  <c r="G493" i="508"/>
  <c r="AA492" i="508"/>
  <c r="Z492" i="508"/>
  <c r="Y492" i="508"/>
  <c r="X492" i="508"/>
  <c r="U492" i="508"/>
  <c r="T492" i="508"/>
  <c r="S492" i="508"/>
  <c r="R492" i="508"/>
  <c r="Q492" i="508"/>
  <c r="P492" i="508"/>
  <c r="O492" i="508"/>
  <c r="I492" i="508"/>
  <c r="G492" i="508"/>
  <c r="AA491" i="508"/>
  <c r="Z491" i="508"/>
  <c r="Y491" i="508"/>
  <c r="X491" i="508"/>
  <c r="U491" i="508"/>
  <c r="T491" i="508"/>
  <c r="S491" i="508"/>
  <c r="R491" i="508"/>
  <c r="Q491" i="508"/>
  <c r="P491" i="508"/>
  <c r="O491" i="508"/>
  <c r="I491" i="508"/>
  <c r="G491" i="508"/>
  <c r="AA490" i="508"/>
  <c r="Z490" i="508"/>
  <c r="Y490" i="508"/>
  <c r="X490" i="508"/>
  <c r="U490" i="508"/>
  <c r="T490" i="508"/>
  <c r="S490" i="508"/>
  <c r="R490" i="508"/>
  <c r="Q490" i="508"/>
  <c r="P490" i="508"/>
  <c r="O490" i="508"/>
  <c r="I490" i="508"/>
  <c r="G490" i="508"/>
  <c r="AA489" i="508"/>
  <c r="Z489" i="508"/>
  <c r="Y489" i="508"/>
  <c r="X489" i="508"/>
  <c r="U489" i="508"/>
  <c r="T489" i="508"/>
  <c r="S489" i="508"/>
  <c r="R489" i="508"/>
  <c r="Q489" i="508"/>
  <c r="P489" i="508"/>
  <c r="O489" i="508"/>
  <c r="I489" i="508"/>
  <c r="G489" i="508"/>
  <c r="AA488" i="508"/>
  <c r="Z488" i="508"/>
  <c r="Y488" i="508"/>
  <c r="X488" i="508"/>
  <c r="U488" i="508"/>
  <c r="T488" i="508"/>
  <c r="S488" i="508"/>
  <c r="R488" i="508"/>
  <c r="Q488" i="508"/>
  <c r="P488" i="508"/>
  <c r="O488" i="508"/>
  <c r="I488" i="508"/>
  <c r="G488" i="508"/>
  <c r="AA486" i="508"/>
  <c r="Z486" i="508"/>
  <c r="Y486" i="508"/>
  <c r="X486" i="508"/>
  <c r="U486" i="508"/>
  <c r="T486" i="508"/>
  <c r="S486" i="508"/>
  <c r="R486" i="508"/>
  <c r="Q486" i="508"/>
  <c r="P486" i="508"/>
  <c r="O486" i="508"/>
  <c r="I486" i="508"/>
  <c r="G486" i="508"/>
  <c r="I483" i="508"/>
  <c r="G483" i="508"/>
  <c r="AA482" i="508"/>
  <c r="Z482" i="508"/>
  <c r="Y482" i="508"/>
  <c r="X482" i="508"/>
  <c r="U482" i="508"/>
  <c r="T482" i="508"/>
  <c r="S482" i="508"/>
  <c r="R482" i="508"/>
  <c r="Q482" i="508"/>
  <c r="P482" i="508"/>
  <c r="O482" i="508"/>
  <c r="I482" i="508"/>
  <c r="G482" i="508"/>
  <c r="AA481" i="508"/>
  <c r="Z481" i="508"/>
  <c r="Y481" i="508"/>
  <c r="X481" i="508"/>
  <c r="U481" i="508"/>
  <c r="T481" i="508"/>
  <c r="S481" i="508"/>
  <c r="R481" i="508"/>
  <c r="Q481" i="508"/>
  <c r="P481" i="508"/>
  <c r="O481" i="508"/>
  <c r="I481" i="508"/>
  <c r="G481" i="508"/>
  <c r="AA480" i="508"/>
  <c r="Z480" i="508"/>
  <c r="Y480" i="508"/>
  <c r="X480" i="508"/>
  <c r="U480" i="508"/>
  <c r="T480" i="508"/>
  <c r="S480" i="508"/>
  <c r="R480" i="508"/>
  <c r="Q480" i="508"/>
  <c r="P480" i="508"/>
  <c r="O480" i="508"/>
  <c r="I480" i="508"/>
  <c r="G480" i="508"/>
  <c r="AA479" i="508"/>
  <c r="Z479" i="508"/>
  <c r="Y479" i="508"/>
  <c r="X479" i="508"/>
  <c r="U479" i="508"/>
  <c r="T479" i="508"/>
  <c r="S479" i="508"/>
  <c r="R479" i="508"/>
  <c r="Q479" i="508"/>
  <c r="P479" i="508"/>
  <c r="O479" i="508"/>
  <c r="I479" i="508"/>
  <c r="G479" i="508"/>
  <c r="AA478" i="508"/>
  <c r="Z478" i="508"/>
  <c r="Y478" i="508"/>
  <c r="X478" i="508"/>
  <c r="U478" i="508"/>
  <c r="T478" i="508"/>
  <c r="S478" i="508"/>
  <c r="R478" i="508"/>
  <c r="Q478" i="508"/>
  <c r="P478" i="508"/>
  <c r="O478" i="508"/>
  <c r="I478" i="508"/>
  <c r="G478" i="508"/>
  <c r="AA476" i="508"/>
  <c r="Z476" i="508"/>
  <c r="Y476" i="508"/>
  <c r="X476" i="508"/>
  <c r="U476" i="508"/>
  <c r="T476" i="508"/>
  <c r="S476" i="508"/>
  <c r="R476" i="508"/>
  <c r="Q476" i="508"/>
  <c r="P476" i="508"/>
  <c r="O476" i="508"/>
  <c r="I476" i="508"/>
  <c r="G476" i="508"/>
  <c r="AA475" i="508"/>
  <c r="Z475" i="508"/>
  <c r="Y475" i="508"/>
  <c r="X475" i="508"/>
  <c r="U475" i="508"/>
  <c r="T475" i="508"/>
  <c r="S475" i="508"/>
  <c r="R475" i="508"/>
  <c r="Q475" i="508"/>
  <c r="P475" i="508"/>
  <c r="O475" i="508"/>
  <c r="I475" i="508"/>
  <c r="G475" i="508"/>
  <c r="AA474" i="508"/>
  <c r="Z474" i="508"/>
  <c r="Y474" i="508"/>
  <c r="X474" i="508"/>
  <c r="U474" i="508"/>
  <c r="T474" i="508"/>
  <c r="S474" i="508"/>
  <c r="R474" i="508"/>
  <c r="Q474" i="508"/>
  <c r="P474" i="508"/>
  <c r="O474" i="508"/>
  <c r="I474" i="508"/>
  <c r="G474" i="508"/>
  <c r="AA473" i="508"/>
  <c r="Z473" i="508"/>
  <c r="Y473" i="508"/>
  <c r="X473" i="508"/>
  <c r="U473" i="508"/>
  <c r="T473" i="508"/>
  <c r="S473" i="508"/>
  <c r="R473" i="508"/>
  <c r="Q473" i="508"/>
  <c r="P473" i="508"/>
  <c r="O473" i="508"/>
  <c r="I473" i="508"/>
  <c r="G473" i="508"/>
  <c r="AA472" i="508"/>
  <c r="Z472" i="508"/>
  <c r="Y472" i="508"/>
  <c r="X472" i="508"/>
  <c r="U472" i="508"/>
  <c r="T472" i="508"/>
  <c r="S472" i="508"/>
  <c r="R472" i="508"/>
  <c r="Q472" i="508"/>
  <c r="P472" i="508"/>
  <c r="O472" i="508"/>
  <c r="I472" i="508"/>
  <c r="G472" i="508"/>
  <c r="AA471" i="508"/>
  <c r="Z471" i="508"/>
  <c r="Y471" i="508"/>
  <c r="X471" i="508"/>
  <c r="U471" i="508"/>
  <c r="T471" i="508"/>
  <c r="S471" i="508"/>
  <c r="R471" i="508"/>
  <c r="Q471" i="508"/>
  <c r="P471" i="508"/>
  <c r="O471" i="508"/>
  <c r="I471" i="508"/>
  <c r="G471" i="508"/>
  <c r="AA470" i="508"/>
  <c r="Z470" i="508"/>
  <c r="Y470" i="508"/>
  <c r="X470" i="508"/>
  <c r="U470" i="508"/>
  <c r="T470" i="508"/>
  <c r="S470" i="508"/>
  <c r="R470" i="508"/>
  <c r="Q470" i="508"/>
  <c r="P470" i="508"/>
  <c r="O470" i="508"/>
  <c r="I470" i="508"/>
  <c r="G470" i="508"/>
  <c r="AA469" i="508"/>
  <c r="Z469" i="508"/>
  <c r="Y469" i="508"/>
  <c r="X469" i="508"/>
  <c r="U469" i="508"/>
  <c r="T469" i="508"/>
  <c r="S469" i="508"/>
  <c r="R469" i="508"/>
  <c r="Q469" i="508"/>
  <c r="P469" i="508"/>
  <c r="O469" i="508"/>
  <c r="I469" i="508"/>
  <c r="G469" i="508"/>
  <c r="AA468" i="508"/>
  <c r="Z468" i="508"/>
  <c r="Y468" i="508"/>
  <c r="X468" i="508"/>
  <c r="U468" i="508"/>
  <c r="T468" i="508"/>
  <c r="S468" i="508"/>
  <c r="R468" i="508"/>
  <c r="Q468" i="508"/>
  <c r="P468" i="508"/>
  <c r="O468" i="508"/>
  <c r="I468" i="508"/>
  <c r="G468" i="508"/>
  <c r="AA467" i="508"/>
  <c r="Z467" i="508"/>
  <c r="Y467" i="508"/>
  <c r="X467" i="508"/>
  <c r="U467" i="508"/>
  <c r="T467" i="508"/>
  <c r="S467" i="508"/>
  <c r="R467" i="508"/>
  <c r="Q467" i="508"/>
  <c r="P467" i="508"/>
  <c r="O467" i="508"/>
  <c r="I467" i="508"/>
  <c r="G467" i="508"/>
  <c r="AA466" i="508"/>
  <c r="Z466" i="508"/>
  <c r="Y466" i="508"/>
  <c r="X466" i="508"/>
  <c r="U466" i="508"/>
  <c r="T466" i="508"/>
  <c r="S466" i="508"/>
  <c r="R466" i="508"/>
  <c r="Q466" i="508"/>
  <c r="P466" i="508"/>
  <c r="O466" i="508"/>
  <c r="I466" i="508"/>
  <c r="G466" i="508"/>
  <c r="AA465" i="508"/>
  <c r="Z465" i="508"/>
  <c r="Y465" i="508"/>
  <c r="X465" i="508"/>
  <c r="U465" i="508"/>
  <c r="T465" i="508"/>
  <c r="S465" i="508"/>
  <c r="R465" i="508"/>
  <c r="Q465" i="508"/>
  <c r="P465" i="508"/>
  <c r="O465" i="508"/>
  <c r="I465" i="508"/>
  <c r="G465" i="508"/>
  <c r="AA464" i="508"/>
  <c r="Z464" i="508"/>
  <c r="Y464" i="508"/>
  <c r="X464" i="508"/>
  <c r="U464" i="508"/>
  <c r="T464" i="508"/>
  <c r="S464" i="508"/>
  <c r="R464" i="508"/>
  <c r="Q464" i="508"/>
  <c r="P464" i="508"/>
  <c r="O464" i="508"/>
  <c r="I464" i="508"/>
  <c r="G464" i="508"/>
  <c r="AA463" i="508"/>
  <c r="Z463" i="508"/>
  <c r="Y463" i="508"/>
  <c r="X463" i="508"/>
  <c r="U463" i="508"/>
  <c r="T463" i="508"/>
  <c r="S463" i="508"/>
  <c r="R463" i="508"/>
  <c r="Q463" i="508"/>
  <c r="P463" i="508"/>
  <c r="O463" i="508"/>
  <c r="I463" i="508"/>
  <c r="G463" i="508"/>
  <c r="AA462" i="508"/>
  <c r="Z462" i="508"/>
  <c r="Y462" i="508"/>
  <c r="X462" i="508"/>
  <c r="U462" i="508"/>
  <c r="T462" i="508"/>
  <c r="S462" i="508"/>
  <c r="R462" i="508"/>
  <c r="Q462" i="508"/>
  <c r="P462" i="508"/>
  <c r="O462" i="508"/>
  <c r="I462" i="508"/>
  <c r="G462" i="508"/>
  <c r="AA460" i="508"/>
  <c r="Z460" i="508"/>
  <c r="Y460" i="508"/>
  <c r="X460" i="508"/>
  <c r="U460" i="508"/>
  <c r="T460" i="508"/>
  <c r="S460" i="508"/>
  <c r="R460" i="508"/>
  <c r="Q460" i="508"/>
  <c r="P460" i="508"/>
  <c r="O460" i="508"/>
  <c r="I460" i="508"/>
  <c r="G460" i="508"/>
  <c r="AA459" i="508"/>
  <c r="Z459" i="508"/>
  <c r="Y459" i="508"/>
  <c r="X459" i="508"/>
  <c r="U459" i="508"/>
  <c r="T459" i="508"/>
  <c r="S459" i="508"/>
  <c r="R459" i="508"/>
  <c r="Q459" i="508"/>
  <c r="P459" i="508"/>
  <c r="O459" i="508"/>
  <c r="I459" i="508"/>
  <c r="G459" i="508"/>
  <c r="AA458" i="508"/>
  <c r="Z458" i="508"/>
  <c r="Y458" i="508"/>
  <c r="X458" i="508"/>
  <c r="U458" i="508"/>
  <c r="T458" i="508"/>
  <c r="S458" i="508"/>
  <c r="R458" i="508"/>
  <c r="Q458" i="508"/>
  <c r="P458" i="508"/>
  <c r="O458" i="508"/>
  <c r="I458" i="508"/>
  <c r="G458" i="508"/>
  <c r="I457" i="508"/>
  <c r="G457" i="508"/>
  <c r="I456" i="508"/>
  <c r="G456" i="508"/>
  <c r="I455" i="508"/>
  <c r="G455" i="508"/>
  <c r="AA454" i="508"/>
  <c r="Z454" i="508"/>
  <c r="Y454" i="508"/>
  <c r="X454" i="508"/>
  <c r="U454" i="508"/>
  <c r="T454" i="508"/>
  <c r="S454" i="508"/>
  <c r="R454" i="508"/>
  <c r="Q454" i="508"/>
  <c r="P454" i="508"/>
  <c r="O454" i="508"/>
  <c r="I454" i="508"/>
  <c r="G454" i="508"/>
  <c r="AA453" i="508"/>
  <c r="Z453" i="508"/>
  <c r="Y453" i="508"/>
  <c r="X453" i="508"/>
  <c r="U453" i="508"/>
  <c r="T453" i="508"/>
  <c r="S453" i="508"/>
  <c r="R453" i="508"/>
  <c r="Q453" i="508"/>
  <c r="P453" i="508"/>
  <c r="O453" i="508"/>
  <c r="I453" i="508"/>
  <c r="G453" i="508"/>
  <c r="AA452" i="508"/>
  <c r="Z452" i="508"/>
  <c r="Y452" i="508"/>
  <c r="X452" i="508"/>
  <c r="U452" i="508"/>
  <c r="T452" i="508"/>
  <c r="S452" i="508"/>
  <c r="R452" i="508"/>
  <c r="Q452" i="508"/>
  <c r="P452" i="508"/>
  <c r="O452" i="508"/>
  <c r="I452" i="508"/>
  <c r="G452" i="508"/>
  <c r="AA451" i="508"/>
  <c r="Z451" i="508"/>
  <c r="Y451" i="508"/>
  <c r="X451" i="508"/>
  <c r="U451" i="508"/>
  <c r="T451" i="508"/>
  <c r="S451" i="508"/>
  <c r="R451" i="508"/>
  <c r="Q451" i="508"/>
  <c r="P451" i="508"/>
  <c r="O451" i="508"/>
  <c r="I451" i="508"/>
  <c r="G451" i="508"/>
  <c r="AA450" i="508"/>
  <c r="Z450" i="508"/>
  <c r="Y450" i="508"/>
  <c r="X450" i="508"/>
  <c r="U450" i="508"/>
  <c r="T450" i="508"/>
  <c r="S450" i="508"/>
  <c r="R450" i="508"/>
  <c r="Q450" i="508"/>
  <c r="P450" i="508"/>
  <c r="O450" i="508"/>
  <c r="I450" i="508"/>
  <c r="G450" i="508"/>
  <c r="AA449" i="508"/>
  <c r="Z449" i="508"/>
  <c r="Y449" i="508"/>
  <c r="X449" i="508"/>
  <c r="U449" i="508"/>
  <c r="T449" i="508"/>
  <c r="S449" i="508"/>
  <c r="R449" i="508"/>
  <c r="Q449" i="508"/>
  <c r="P449" i="508"/>
  <c r="O449" i="508"/>
  <c r="I449" i="508"/>
  <c r="G449" i="508"/>
  <c r="AA448" i="508"/>
  <c r="Z448" i="508"/>
  <c r="Y448" i="508"/>
  <c r="X448" i="508"/>
  <c r="U448" i="508"/>
  <c r="T448" i="508"/>
  <c r="S448" i="508"/>
  <c r="R448" i="508"/>
  <c r="Q448" i="508"/>
  <c r="P448" i="508"/>
  <c r="O448" i="508"/>
  <c r="I448" i="508"/>
  <c r="G448" i="508"/>
  <c r="AA447" i="508"/>
  <c r="Z447" i="508"/>
  <c r="Y447" i="508"/>
  <c r="X447" i="508"/>
  <c r="U447" i="508"/>
  <c r="T447" i="508"/>
  <c r="S447" i="508"/>
  <c r="R447" i="508"/>
  <c r="Q447" i="508"/>
  <c r="P447" i="508"/>
  <c r="O447" i="508"/>
  <c r="I447" i="508"/>
  <c r="G447" i="508"/>
  <c r="AA446" i="508"/>
  <c r="Z446" i="508"/>
  <c r="Y446" i="508"/>
  <c r="X446" i="508"/>
  <c r="U446" i="508"/>
  <c r="T446" i="508"/>
  <c r="S446" i="508"/>
  <c r="R446" i="508"/>
  <c r="Q446" i="508"/>
  <c r="P446" i="508"/>
  <c r="O446" i="508"/>
  <c r="I446" i="508"/>
  <c r="G446" i="508"/>
  <c r="AA445" i="508"/>
  <c r="Z445" i="508"/>
  <c r="Y445" i="508"/>
  <c r="X445" i="508"/>
  <c r="U445" i="508"/>
  <c r="T445" i="508"/>
  <c r="S445" i="508"/>
  <c r="R445" i="508"/>
  <c r="Q445" i="508"/>
  <c r="P445" i="508"/>
  <c r="O445" i="508"/>
  <c r="I445" i="508"/>
  <c r="G445" i="508"/>
  <c r="AA444" i="508"/>
  <c r="Z444" i="508"/>
  <c r="Y444" i="508"/>
  <c r="X444" i="508"/>
  <c r="U444" i="508"/>
  <c r="T444" i="508"/>
  <c r="S444" i="508"/>
  <c r="R444" i="508"/>
  <c r="Q444" i="508"/>
  <c r="P444" i="508"/>
  <c r="O444" i="508"/>
  <c r="I444" i="508"/>
  <c r="G444" i="508"/>
  <c r="AA443" i="508"/>
  <c r="Z443" i="508"/>
  <c r="Y443" i="508"/>
  <c r="X443" i="508"/>
  <c r="U443" i="508"/>
  <c r="T443" i="508"/>
  <c r="S443" i="508"/>
  <c r="R443" i="508"/>
  <c r="Q443" i="508"/>
  <c r="P443" i="508"/>
  <c r="O443" i="508"/>
  <c r="I443" i="508"/>
  <c r="G443" i="508"/>
  <c r="AA442" i="508"/>
  <c r="Z442" i="508"/>
  <c r="Y442" i="508"/>
  <c r="X442" i="508"/>
  <c r="U442" i="508"/>
  <c r="T442" i="508"/>
  <c r="S442" i="508"/>
  <c r="R442" i="508"/>
  <c r="Q442" i="508"/>
  <c r="P442" i="508"/>
  <c r="O442" i="508"/>
  <c r="I442" i="508"/>
  <c r="G442" i="508"/>
  <c r="AA441" i="508"/>
  <c r="Z441" i="508"/>
  <c r="Y441" i="508"/>
  <c r="X441" i="508"/>
  <c r="U441" i="508"/>
  <c r="T441" i="508"/>
  <c r="S441" i="508"/>
  <c r="R441" i="508"/>
  <c r="Q441" i="508"/>
  <c r="P441" i="508"/>
  <c r="O441" i="508"/>
  <c r="I441" i="508"/>
  <c r="G441" i="508"/>
  <c r="AA440" i="508"/>
  <c r="Z440" i="508"/>
  <c r="Y440" i="508"/>
  <c r="X440" i="508"/>
  <c r="U440" i="508"/>
  <c r="T440" i="508"/>
  <c r="S440" i="508"/>
  <c r="R440" i="508"/>
  <c r="Q440" i="508"/>
  <c r="P440" i="508"/>
  <c r="O440" i="508"/>
  <c r="I440" i="508"/>
  <c r="G440" i="508"/>
  <c r="AA439" i="508"/>
  <c r="Z439" i="508"/>
  <c r="Y439" i="508"/>
  <c r="X439" i="508"/>
  <c r="U439" i="508"/>
  <c r="T439" i="508"/>
  <c r="S439" i="508"/>
  <c r="R439" i="508"/>
  <c r="Q439" i="508"/>
  <c r="P439" i="508"/>
  <c r="O439" i="508"/>
  <c r="I439" i="508"/>
  <c r="G439" i="508"/>
  <c r="AA438" i="508"/>
  <c r="Z438" i="508"/>
  <c r="Y438" i="508"/>
  <c r="X438" i="508"/>
  <c r="U438" i="508"/>
  <c r="T438" i="508"/>
  <c r="S438" i="508"/>
  <c r="R438" i="508"/>
  <c r="Q438" i="508"/>
  <c r="P438" i="508"/>
  <c r="O438" i="508"/>
  <c r="I438" i="508"/>
  <c r="G438" i="508"/>
  <c r="AA437" i="508"/>
  <c r="Z437" i="508"/>
  <c r="Y437" i="508"/>
  <c r="X437" i="508"/>
  <c r="U437" i="508"/>
  <c r="T437" i="508"/>
  <c r="S437" i="508"/>
  <c r="R437" i="508"/>
  <c r="Q437" i="508"/>
  <c r="P437" i="508"/>
  <c r="O437" i="508"/>
  <c r="I437" i="508"/>
  <c r="G437" i="508"/>
  <c r="AA436" i="508"/>
  <c r="Z436" i="508"/>
  <c r="Y436" i="508"/>
  <c r="X436" i="508"/>
  <c r="U436" i="508"/>
  <c r="T436" i="508"/>
  <c r="S436" i="508"/>
  <c r="R436" i="508"/>
  <c r="Q436" i="508"/>
  <c r="P436" i="508"/>
  <c r="O436" i="508"/>
  <c r="I436" i="508"/>
  <c r="G436" i="508"/>
  <c r="AA435" i="508"/>
  <c r="Z435" i="508"/>
  <c r="Y435" i="508"/>
  <c r="X435" i="508"/>
  <c r="U435" i="508"/>
  <c r="T435" i="508"/>
  <c r="S435" i="508"/>
  <c r="R435" i="508"/>
  <c r="Q435" i="508"/>
  <c r="P435" i="508"/>
  <c r="O435" i="508"/>
  <c r="I435" i="508"/>
  <c r="G435" i="508"/>
  <c r="AA434" i="508"/>
  <c r="Z434" i="508"/>
  <c r="Y434" i="508"/>
  <c r="X434" i="508"/>
  <c r="U434" i="508"/>
  <c r="T434" i="508"/>
  <c r="S434" i="508"/>
  <c r="R434" i="508"/>
  <c r="Q434" i="508"/>
  <c r="P434" i="508"/>
  <c r="O434" i="508"/>
  <c r="I434" i="508"/>
  <c r="G434" i="508"/>
  <c r="AA433" i="508"/>
  <c r="Z433" i="508"/>
  <c r="Y433" i="508"/>
  <c r="X433" i="508"/>
  <c r="U433" i="508"/>
  <c r="T433" i="508"/>
  <c r="S433" i="508"/>
  <c r="R433" i="508"/>
  <c r="Q433" i="508"/>
  <c r="P433" i="508"/>
  <c r="O433" i="508"/>
  <c r="I433" i="508"/>
  <c r="G433" i="508"/>
  <c r="AA432" i="508"/>
  <c r="Z432" i="508"/>
  <c r="Y432" i="508"/>
  <c r="X432" i="508"/>
  <c r="U432" i="508"/>
  <c r="T432" i="508"/>
  <c r="S432" i="508"/>
  <c r="R432" i="508"/>
  <c r="Q432" i="508"/>
  <c r="P432" i="508"/>
  <c r="O432" i="508"/>
  <c r="I432" i="508"/>
  <c r="G432" i="508"/>
  <c r="AA431" i="508"/>
  <c r="Z431" i="508"/>
  <c r="Y431" i="508"/>
  <c r="X431" i="508"/>
  <c r="U431" i="508"/>
  <c r="T431" i="508"/>
  <c r="S431" i="508"/>
  <c r="R431" i="508"/>
  <c r="Q431" i="508"/>
  <c r="P431" i="508"/>
  <c r="O431" i="508"/>
  <c r="I431" i="508"/>
  <c r="G431" i="508"/>
  <c r="AA430" i="508"/>
  <c r="Z430" i="508"/>
  <c r="Y430" i="508"/>
  <c r="X430" i="508"/>
  <c r="U430" i="508"/>
  <c r="T430" i="508"/>
  <c r="S430" i="508"/>
  <c r="R430" i="508"/>
  <c r="Q430" i="508"/>
  <c r="P430" i="508"/>
  <c r="O430" i="508"/>
  <c r="I430" i="508"/>
  <c r="G430" i="508"/>
  <c r="AA429" i="508"/>
  <c r="Z429" i="508"/>
  <c r="Y429" i="508"/>
  <c r="X429" i="508"/>
  <c r="U429" i="508"/>
  <c r="T429" i="508"/>
  <c r="S429" i="508"/>
  <c r="R429" i="508"/>
  <c r="Q429" i="508"/>
  <c r="P429" i="508"/>
  <c r="O429" i="508"/>
  <c r="I429" i="508"/>
  <c r="G429" i="508"/>
  <c r="AA428" i="508"/>
  <c r="Z428" i="508"/>
  <c r="Y428" i="508"/>
  <c r="X428" i="508"/>
  <c r="U428" i="508"/>
  <c r="T428" i="508"/>
  <c r="S428" i="508"/>
  <c r="R428" i="508"/>
  <c r="Q428" i="508"/>
  <c r="P428" i="508"/>
  <c r="O428" i="508"/>
  <c r="I428" i="508"/>
  <c r="G428" i="508"/>
  <c r="AA427" i="508"/>
  <c r="Z427" i="508"/>
  <c r="Y427" i="508"/>
  <c r="X427" i="508"/>
  <c r="U427" i="508"/>
  <c r="T427" i="508"/>
  <c r="S427" i="508"/>
  <c r="R427" i="508"/>
  <c r="Q427" i="508"/>
  <c r="P427" i="508"/>
  <c r="O427" i="508"/>
  <c r="I427" i="508"/>
  <c r="G427" i="508"/>
  <c r="AA425" i="508"/>
  <c r="Z425" i="508"/>
  <c r="Y425" i="508"/>
  <c r="X425" i="508"/>
  <c r="U425" i="508"/>
  <c r="T425" i="508"/>
  <c r="S425" i="508"/>
  <c r="R425" i="508"/>
  <c r="Q425" i="508"/>
  <c r="P425" i="508"/>
  <c r="O425" i="508"/>
  <c r="I425" i="508"/>
  <c r="G425" i="508"/>
  <c r="AA424" i="508"/>
  <c r="Z424" i="508"/>
  <c r="Y424" i="508"/>
  <c r="X424" i="508"/>
  <c r="U424" i="508"/>
  <c r="T424" i="508"/>
  <c r="S424" i="508"/>
  <c r="R424" i="508"/>
  <c r="Q424" i="508"/>
  <c r="P424" i="508"/>
  <c r="O424" i="508"/>
  <c r="I424" i="508"/>
  <c r="G424" i="508"/>
  <c r="AA423" i="508"/>
  <c r="Z423" i="508"/>
  <c r="Y423" i="508"/>
  <c r="X423" i="508"/>
  <c r="U423" i="508"/>
  <c r="T423" i="508"/>
  <c r="S423" i="508"/>
  <c r="R423" i="508"/>
  <c r="Q423" i="508"/>
  <c r="P423" i="508"/>
  <c r="O423" i="508"/>
  <c r="I423" i="508"/>
  <c r="G423" i="508"/>
  <c r="I422" i="508"/>
  <c r="G422" i="508"/>
  <c r="I421" i="508"/>
  <c r="G421" i="508"/>
  <c r="I420" i="508"/>
  <c r="G420" i="508"/>
  <c r="AA419" i="508"/>
  <c r="Z419" i="508"/>
  <c r="Y419" i="508"/>
  <c r="X419" i="508"/>
  <c r="U419" i="508"/>
  <c r="T419" i="508"/>
  <c r="S419" i="508"/>
  <c r="R419" i="508"/>
  <c r="Q419" i="508"/>
  <c r="P419" i="508"/>
  <c r="O419" i="508"/>
  <c r="I419" i="508"/>
  <c r="G419" i="508"/>
  <c r="AA418" i="508"/>
  <c r="Z418" i="508"/>
  <c r="Y418" i="508"/>
  <c r="X418" i="508"/>
  <c r="U418" i="508"/>
  <c r="T418" i="508"/>
  <c r="S418" i="508"/>
  <c r="R418" i="508"/>
  <c r="Q418" i="508"/>
  <c r="P418" i="508"/>
  <c r="O418" i="508"/>
  <c r="I418" i="508"/>
  <c r="G418" i="508"/>
  <c r="AA417" i="508"/>
  <c r="Z417" i="508"/>
  <c r="Y417" i="508"/>
  <c r="X417" i="508"/>
  <c r="U417" i="508"/>
  <c r="T417" i="508"/>
  <c r="S417" i="508"/>
  <c r="R417" i="508"/>
  <c r="Q417" i="508"/>
  <c r="P417" i="508"/>
  <c r="O417" i="508"/>
  <c r="I417" i="508"/>
  <c r="G417" i="508"/>
  <c r="AA416" i="508"/>
  <c r="Z416" i="508"/>
  <c r="Y416" i="508"/>
  <c r="X416" i="508"/>
  <c r="U416" i="508"/>
  <c r="T416" i="508"/>
  <c r="S416" i="508"/>
  <c r="R416" i="508"/>
  <c r="Q416" i="508"/>
  <c r="P416" i="508"/>
  <c r="O416" i="508"/>
  <c r="I416" i="508"/>
  <c r="G416" i="508"/>
  <c r="AA415" i="508"/>
  <c r="Z415" i="508"/>
  <c r="Y415" i="508"/>
  <c r="X415" i="508"/>
  <c r="U415" i="508"/>
  <c r="T415" i="508"/>
  <c r="S415" i="508"/>
  <c r="R415" i="508"/>
  <c r="Q415" i="508"/>
  <c r="P415" i="508"/>
  <c r="O415" i="508"/>
  <c r="I415" i="508"/>
  <c r="G415" i="508"/>
  <c r="AA414" i="508"/>
  <c r="Z414" i="508"/>
  <c r="Y414" i="508"/>
  <c r="X414" i="508"/>
  <c r="U414" i="508"/>
  <c r="T414" i="508"/>
  <c r="S414" i="508"/>
  <c r="R414" i="508"/>
  <c r="Q414" i="508"/>
  <c r="P414" i="508"/>
  <c r="O414" i="508"/>
  <c r="I414" i="508"/>
  <c r="G414" i="508"/>
  <c r="AA413" i="508"/>
  <c r="Z413" i="508"/>
  <c r="Y413" i="508"/>
  <c r="X413" i="508"/>
  <c r="U413" i="508"/>
  <c r="T413" i="508"/>
  <c r="S413" i="508"/>
  <c r="R413" i="508"/>
  <c r="Q413" i="508"/>
  <c r="P413" i="508"/>
  <c r="O413" i="508"/>
  <c r="I413" i="508"/>
  <c r="G413" i="508"/>
  <c r="AA412" i="508"/>
  <c r="Z412" i="508"/>
  <c r="Y412" i="508"/>
  <c r="X412" i="508"/>
  <c r="U412" i="508"/>
  <c r="T412" i="508"/>
  <c r="S412" i="508"/>
  <c r="R412" i="508"/>
  <c r="Q412" i="508"/>
  <c r="P412" i="508"/>
  <c r="O412" i="508"/>
  <c r="I412" i="508"/>
  <c r="G412" i="508"/>
  <c r="AA411" i="508"/>
  <c r="Z411" i="508"/>
  <c r="Y411" i="508"/>
  <c r="X411" i="508"/>
  <c r="U411" i="508"/>
  <c r="T411" i="508"/>
  <c r="S411" i="508"/>
  <c r="R411" i="508"/>
  <c r="Q411" i="508"/>
  <c r="P411" i="508"/>
  <c r="O411" i="508"/>
  <c r="I411" i="508"/>
  <c r="G411" i="508"/>
  <c r="AA410" i="508"/>
  <c r="Z410" i="508"/>
  <c r="Y410" i="508"/>
  <c r="X410" i="508"/>
  <c r="U410" i="508"/>
  <c r="T410" i="508"/>
  <c r="S410" i="508"/>
  <c r="R410" i="508"/>
  <c r="Q410" i="508"/>
  <c r="P410" i="508"/>
  <c r="O410" i="508"/>
  <c r="I410" i="508"/>
  <c r="G410" i="508"/>
  <c r="AA409" i="508"/>
  <c r="Z409" i="508"/>
  <c r="Y409" i="508"/>
  <c r="X409" i="508"/>
  <c r="U409" i="508"/>
  <c r="T409" i="508"/>
  <c r="S409" i="508"/>
  <c r="R409" i="508"/>
  <c r="Q409" i="508"/>
  <c r="P409" i="508"/>
  <c r="O409" i="508"/>
  <c r="I409" i="508"/>
  <c r="G409" i="508"/>
  <c r="AA408" i="508"/>
  <c r="Z408" i="508"/>
  <c r="Y408" i="508"/>
  <c r="X408" i="508"/>
  <c r="U408" i="508"/>
  <c r="T408" i="508"/>
  <c r="S408" i="508"/>
  <c r="R408" i="508"/>
  <c r="Q408" i="508"/>
  <c r="P408" i="508"/>
  <c r="O408" i="508"/>
  <c r="I408" i="508"/>
  <c r="G408" i="508"/>
  <c r="G407" i="508"/>
  <c r="AA406" i="508"/>
  <c r="Z406" i="508"/>
  <c r="Y406" i="508"/>
  <c r="X406" i="508"/>
  <c r="U406" i="508"/>
  <c r="T406" i="508"/>
  <c r="S406" i="508"/>
  <c r="R406" i="508"/>
  <c r="Q406" i="508"/>
  <c r="P406" i="508"/>
  <c r="O406" i="508"/>
  <c r="I406" i="508"/>
  <c r="G406" i="508"/>
  <c r="AA405" i="508"/>
  <c r="Z405" i="508"/>
  <c r="Y405" i="508"/>
  <c r="X405" i="508"/>
  <c r="U405" i="508"/>
  <c r="T405" i="508"/>
  <c r="S405" i="508"/>
  <c r="R405" i="508"/>
  <c r="Q405" i="508"/>
  <c r="P405" i="508"/>
  <c r="O405" i="508"/>
  <c r="I405" i="508"/>
  <c r="G405" i="508"/>
  <c r="AA404" i="508"/>
  <c r="Z404" i="508"/>
  <c r="Y404" i="508"/>
  <c r="X404" i="508"/>
  <c r="U404" i="508"/>
  <c r="T404" i="508"/>
  <c r="S404" i="508"/>
  <c r="R404" i="508"/>
  <c r="Q404" i="508"/>
  <c r="P404" i="508"/>
  <c r="O404" i="508"/>
  <c r="I404" i="508"/>
  <c r="G404" i="508"/>
  <c r="AA403" i="508"/>
  <c r="Z403" i="508"/>
  <c r="Y403" i="508"/>
  <c r="X403" i="508"/>
  <c r="U403" i="508"/>
  <c r="T403" i="508"/>
  <c r="S403" i="508"/>
  <c r="R403" i="508"/>
  <c r="Q403" i="508"/>
  <c r="P403" i="508"/>
  <c r="O403" i="508"/>
  <c r="I403" i="508"/>
  <c r="G403" i="508"/>
  <c r="AA402" i="508"/>
  <c r="Z402" i="508"/>
  <c r="Y402" i="508"/>
  <c r="X402" i="508"/>
  <c r="U402" i="508"/>
  <c r="T402" i="508"/>
  <c r="S402" i="508"/>
  <c r="R402" i="508"/>
  <c r="Q402" i="508"/>
  <c r="P402" i="508"/>
  <c r="O402" i="508"/>
  <c r="I402" i="508"/>
  <c r="G402" i="508"/>
  <c r="AA401" i="508"/>
  <c r="Z401" i="508"/>
  <c r="Y401" i="508"/>
  <c r="X401" i="508"/>
  <c r="U401" i="508"/>
  <c r="T401" i="508"/>
  <c r="S401" i="508"/>
  <c r="R401" i="508"/>
  <c r="Q401" i="508"/>
  <c r="P401" i="508"/>
  <c r="O401" i="508"/>
  <c r="I401" i="508"/>
  <c r="G401" i="508"/>
  <c r="AA400" i="508"/>
  <c r="Z400" i="508"/>
  <c r="Y400" i="508"/>
  <c r="X400" i="508"/>
  <c r="U400" i="508"/>
  <c r="T400" i="508"/>
  <c r="S400" i="508"/>
  <c r="R400" i="508"/>
  <c r="Q400" i="508"/>
  <c r="P400" i="508"/>
  <c r="O400" i="508"/>
  <c r="I400" i="508"/>
  <c r="G400" i="508"/>
  <c r="AA399" i="508"/>
  <c r="Z399" i="508"/>
  <c r="Y399" i="508"/>
  <c r="X399" i="508"/>
  <c r="U399" i="508"/>
  <c r="T399" i="508"/>
  <c r="S399" i="508"/>
  <c r="R399" i="508"/>
  <c r="Q399" i="508"/>
  <c r="P399" i="508"/>
  <c r="O399" i="508"/>
  <c r="I399" i="508"/>
  <c r="G399" i="508"/>
  <c r="AA398" i="508"/>
  <c r="Z398" i="508"/>
  <c r="Y398" i="508"/>
  <c r="X398" i="508"/>
  <c r="U398" i="508"/>
  <c r="T398" i="508"/>
  <c r="S398" i="508"/>
  <c r="R398" i="508"/>
  <c r="Q398" i="508"/>
  <c r="P398" i="508"/>
  <c r="O398" i="508"/>
  <c r="I398" i="508"/>
  <c r="G398" i="508"/>
  <c r="AA397" i="508"/>
  <c r="Z397" i="508"/>
  <c r="Y397" i="508"/>
  <c r="X397" i="508"/>
  <c r="U397" i="508"/>
  <c r="T397" i="508"/>
  <c r="S397" i="508"/>
  <c r="R397" i="508"/>
  <c r="Q397" i="508"/>
  <c r="P397" i="508"/>
  <c r="O397" i="508"/>
  <c r="I397" i="508"/>
  <c r="G397" i="508"/>
  <c r="AA396" i="508"/>
  <c r="Z396" i="508"/>
  <c r="Y396" i="508"/>
  <c r="X396" i="508"/>
  <c r="U396" i="508"/>
  <c r="T396" i="508"/>
  <c r="S396" i="508"/>
  <c r="R396" i="508"/>
  <c r="Q396" i="508"/>
  <c r="P396" i="508"/>
  <c r="O396" i="508"/>
  <c r="I396" i="508"/>
  <c r="G396" i="508"/>
  <c r="AA395" i="508"/>
  <c r="Z395" i="508"/>
  <c r="Y395" i="508"/>
  <c r="X395" i="508"/>
  <c r="U395" i="508"/>
  <c r="T395" i="508"/>
  <c r="S395" i="508"/>
  <c r="R395" i="508"/>
  <c r="Q395" i="508"/>
  <c r="P395" i="508"/>
  <c r="O395" i="508"/>
  <c r="I395" i="508"/>
  <c r="G395" i="508"/>
  <c r="AA394" i="508"/>
  <c r="Z394" i="508"/>
  <c r="Y394" i="508"/>
  <c r="X394" i="508"/>
  <c r="U394" i="508"/>
  <c r="T394" i="508"/>
  <c r="S394" i="508"/>
  <c r="R394" i="508"/>
  <c r="Q394" i="508"/>
  <c r="P394" i="508"/>
  <c r="O394" i="508"/>
  <c r="I394" i="508"/>
  <c r="G394" i="508"/>
  <c r="AA393" i="508"/>
  <c r="Z393" i="508"/>
  <c r="Y393" i="508"/>
  <c r="X393" i="508"/>
  <c r="U393" i="508"/>
  <c r="T393" i="508"/>
  <c r="S393" i="508"/>
  <c r="R393" i="508"/>
  <c r="Q393" i="508"/>
  <c r="P393" i="508"/>
  <c r="O393" i="508"/>
  <c r="I393" i="508"/>
  <c r="G393" i="508"/>
  <c r="AA392" i="508"/>
  <c r="Z392" i="508"/>
  <c r="Y392" i="508"/>
  <c r="X392" i="508"/>
  <c r="U392" i="508"/>
  <c r="T392" i="508"/>
  <c r="S392" i="508"/>
  <c r="R392" i="508"/>
  <c r="Q392" i="508"/>
  <c r="P392" i="508"/>
  <c r="O392" i="508"/>
  <c r="I392" i="508"/>
  <c r="G392" i="508"/>
  <c r="AA391" i="508"/>
  <c r="Z391" i="508"/>
  <c r="Y391" i="508"/>
  <c r="X391" i="508"/>
  <c r="U391" i="508"/>
  <c r="T391" i="508"/>
  <c r="S391" i="508"/>
  <c r="R391" i="508"/>
  <c r="Q391" i="508"/>
  <c r="P391" i="508"/>
  <c r="O391" i="508"/>
  <c r="I391" i="508"/>
  <c r="G391" i="508"/>
  <c r="AA390" i="508"/>
  <c r="Z390" i="508"/>
  <c r="Y390" i="508"/>
  <c r="X390" i="508"/>
  <c r="U390" i="508"/>
  <c r="T390" i="508"/>
  <c r="S390" i="508"/>
  <c r="R390" i="508"/>
  <c r="Q390" i="508"/>
  <c r="P390" i="508"/>
  <c r="O390" i="508"/>
  <c r="I390" i="508"/>
  <c r="G390" i="508"/>
  <c r="AA389" i="508"/>
  <c r="Z389" i="508"/>
  <c r="Y389" i="508"/>
  <c r="X389" i="508"/>
  <c r="U389" i="508"/>
  <c r="T389" i="508"/>
  <c r="S389" i="508"/>
  <c r="R389" i="508"/>
  <c r="Q389" i="508"/>
  <c r="P389" i="508"/>
  <c r="O389" i="508"/>
  <c r="I389" i="508"/>
  <c r="G389" i="508"/>
  <c r="AA388" i="508"/>
  <c r="Z388" i="508"/>
  <c r="Y388" i="508"/>
  <c r="X388" i="508"/>
  <c r="U388" i="508"/>
  <c r="T388" i="508"/>
  <c r="S388" i="508"/>
  <c r="R388" i="508"/>
  <c r="Q388" i="508"/>
  <c r="P388" i="508"/>
  <c r="O388" i="508"/>
  <c r="I388" i="508"/>
  <c r="G388" i="508"/>
  <c r="AA387" i="508"/>
  <c r="Z387" i="508"/>
  <c r="Y387" i="508"/>
  <c r="X387" i="508"/>
  <c r="U387" i="508"/>
  <c r="T387" i="508"/>
  <c r="S387" i="508"/>
  <c r="R387" i="508"/>
  <c r="Q387" i="508"/>
  <c r="P387" i="508"/>
  <c r="O387" i="508"/>
  <c r="I387" i="508"/>
  <c r="G387" i="508"/>
  <c r="AA386" i="508"/>
  <c r="Z386" i="508"/>
  <c r="Y386" i="508"/>
  <c r="X386" i="508"/>
  <c r="U386" i="508"/>
  <c r="T386" i="508"/>
  <c r="S386" i="508"/>
  <c r="R386" i="508"/>
  <c r="Q386" i="508"/>
  <c r="P386" i="508"/>
  <c r="O386" i="508"/>
  <c r="I386" i="508"/>
  <c r="G386" i="508"/>
  <c r="AA385" i="508"/>
  <c r="Z385" i="508"/>
  <c r="Y385" i="508"/>
  <c r="X385" i="508"/>
  <c r="U385" i="508"/>
  <c r="T385" i="508"/>
  <c r="S385" i="508"/>
  <c r="R385" i="508"/>
  <c r="Q385" i="508"/>
  <c r="P385" i="508"/>
  <c r="O385" i="508"/>
  <c r="I385" i="508"/>
  <c r="G385" i="508"/>
  <c r="AA384" i="508"/>
  <c r="Z384" i="508"/>
  <c r="Y384" i="508"/>
  <c r="X384" i="508"/>
  <c r="U384" i="508"/>
  <c r="T384" i="508"/>
  <c r="S384" i="508"/>
  <c r="R384" i="508"/>
  <c r="Q384" i="508"/>
  <c r="P384" i="508"/>
  <c r="O384" i="508"/>
  <c r="I384" i="508"/>
  <c r="G384" i="508"/>
  <c r="AA383" i="508"/>
  <c r="Z383" i="508"/>
  <c r="Y383" i="508"/>
  <c r="X383" i="508"/>
  <c r="U383" i="508"/>
  <c r="T383" i="508"/>
  <c r="S383" i="508"/>
  <c r="R383" i="508"/>
  <c r="Q383" i="508"/>
  <c r="P383" i="508"/>
  <c r="O383" i="508"/>
  <c r="I383" i="508"/>
  <c r="G383" i="508"/>
  <c r="AA382" i="508"/>
  <c r="Z382" i="508"/>
  <c r="Y382" i="508"/>
  <c r="X382" i="508"/>
  <c r="U382" i="508"/>
  <c r="T382" i="508"/>
  <c r="S382" i="508"/>
  <c r="R382" i="508"/>
  <c r="Q382" i="508"/>
  <c r="P382" i="508"/>
  <c r="O382" i="508"/>
  <c r="I382" i="508"/>
  <c r="G382" i="508"/>
  <c r="AA381" i="508"/>
  <c r="Z381" i="508"/>
  <c r="Y381" i="508"/>
  <c r="X381" i="508"/>
  <c r="U381" i="508"/>
  <c r="T381" i="508"/>
  <c r="S381" i="508"/>
  <c r="R381" i="508"/>
  <c r="Q381" i="508"/>
  <c r="P381" i="508"/>
  <c r="O381" i="508"/>
  <c r="I381" i="508"/>
  <c r="G381" i="508"/>
  <c r="AA380" i="508"/>
  <c r="Z380" i="508"/>
  <c r="Y380" i="508"/>
  <c r="X380" i="508"/>
  <c r="U380" i="508"/>
  <c r="T380" i="508"/>
  <c r="S380" i="508"/>
  <c r="R380" i="508"/>
  <c r="Q380" i="508"/>
  <c r="P380" i="508"/>
  <c r="O380" i="508"/>
  <c r="I380" i="508"/>
  <c r="G380" i="508"/>
  <c r="AA379" i="508"/>
  <c r="Z379" i="508"/>
  <c r="Y379" i="508"/>
  <c r="X379" i="508"/>
  <c r="U379" i="508"/>
  <c r="T379" i="508"/>
  <c r="S379" i="508"/>
  <c r="R379" i="508"/>
  <c r="Q379" i="508"/>
  <c r="P379" i="508"/>
  <c r="O379" i="508"/>
  <c r="I379" i="508"/>
  <c r="G379" i="508"/>
  <c r="AA378" i="508"/>
  <c r="Z378" i="508"/>
  <c r="Y378" i="508"/>
  <c r="X378" i="508"/>
  <c r="U378" i="508"/>
  <c r="T378" i="508"/>
  <c r="S378" i="508"/>
  <c r="R378" i="508"/>
  <c r="Q378" i="508"/>
  <c r="P378" i="508"/>
  <c r="O378" i="508"/>
  <c r="I378" i="508"/>
  <c r="G378" i="508"/>
  <c r="AA377" i="508"/>
  <c r="Z377" i="508"/>
  <c r="Y377" i="508"/>
  <c r="X377" i="508"/>
  <c r="U377" i="508"/>
  <c r="T377" i="508"/>
  <c r="S377" i="508"/>
  <c r="R377" i="508"/>
  <c r="Q377" i="508"/>
  <c r="P377" i="508"/>
  <c r="O377" i="508"/>
  <c r="I377" i="508"/>
  <c r="G377" i="508"/>
  <c r="I376" i="508"/>
  <c r="G376" i="508"/>
  <c r="I375" i="508"/>
  <c r="G375" i="508"/>
  <c r="I374" i="508"/>
  <c r="G374" i="508"/>
  <c r="AA373" i="508"/>
  <c r="Z373" i="508"/>
  <c r="Y373" i="508"/>
  <c r="X373" i="508"/>
  <c r="U373" i="508"/>
  <c r="T373" i="508"/>
  <c r="S373" i="508"/>
  <c r="R373" i="508"/>
  <c r="Q373" i="508"/>
  <c r="P373" i="508"/>
  <c r="O373" i="508"/>
  <c r="I373" i="508"/>
  <c r="G373" i="508"/>
  <c r="AA372" i="508"/>
  <c r="Z372" i="508"/>
  <c r="Y372" i="508"/>
  <c r="X372" i="508"/>
  <c r="U372" i="508"/>
  <c r="T372" i="508"/>
  <c r="S372" i="508"/>
  <c r="R372" i="508"/>
  <c r="Q372" i="508"/>
  <c r="P372" i="508"/>
  <c r="O372" i="508"/>
  <c r="I372" i="508"/>
  <c r="G372" i="508"/>
  <c r="AA371" i="508"/>
  <c r="Z371" i="508"/>
  <c r="Y371" i="508"/>
  <c r="X371" i="508"/>
  <c r="U371" i="508"/>
  <c r="T371" i="508"/>
  <c r="S371" i="508"/>
  <c r="R371" i="508"/>
  <c r="Q371" i="508"/>
  <c r="P371" i="508"/>
  <c r="O371" i="508"/>
  <c r="I371" i="508"/>
  <c r="G371" i="508"/>
  <c r="G370" i="508"/>
  <c r="AA369" i="508"/>
  <c r="Z369" i="508"/>
  <c r="Y369" i="508"/>
  <c r="X369" i="508"/>
  <c r="U369" i="508"/>
  <c r="T369" i="508"/>
  <c r="S369" i="508"/>
  <c r="R369" i="508"/>
  <c r="Q369" i="508"/>
  <c r="P369" i="508"/>
  <c r="O369" i="508"/>
  <c r="I369" i="508"/>
  <c r="G369" i="508"/>
  <c r="AA367" i="508"/>
  <c r="Z367" i="508"/>
  <c r="Y367" i="508"/>
  <c r="X367" i="508"/>
  <c r="U367" i="508"/>
  <c r="T367" i="508"/>
  <c r="S367" i="508"/>
  <c r="R367" i="508"/>
  <c r="Q367" i="508"/>
  <c r="P367" i="508"/>
  <c r="O367" i="508"/>
  <c r="I367" i="508"/>
  <c r="G367" i="508"/>
  <c r="AA366" i="508"/>
  <c r="Z366" i="508"/>
  <c r="Y366" i="508"/>
  <c r="X366" i="508"/>
  <c r="U366" i="508"/>
  <c r="T366" i="508"/>
  <c r="S366" i="508"/>
  <c r="R366" i="508"/>
  <c r="Q366" i="508"/>
  <c r="P366" i="508"/>
  <c r="O366" i="508"/>
  <c r="I366" i="508"/>
  <c r="G366" i="508"/>
  <c r="AA365" i="508"/>
  <c r="Z365" i="508"/>
  <c r="Y365" i="508"/>
  <c r="X365" i="508"/>
  <c r="U365" i="508"/>
  <c r="T365" i="508"/>
  <c r="S365" i="508"/>
  <c r="R365" i="508"/>
  <c r="Q365" i="508"/>
  <c r="P365" i="508"/>
  <c r="O365" i="508"/>
  <c r="I365" i="508"/>
  <c r="G365" i="508"/>
  <c r="AA364" i="508"/>
  <c r="Z364" i="508"/>
  <c r="Y364" i="508"/>
  <c r="X364" i="508"/>
  <c r="U364" i="508"/>
  <c r="T364" i="508"/>
  <c r="S364" i="508"/>
  <c r="R364" i="508"/>
  <c r="Q364" i="508"/>
  <c r="P364" i="508"/>
  <c r="O364" i="508"/>
  <c r="I364" i="508"/>
  <c r="G364" i="508"/>
  <c r="AA363" i="508"/>
  <c r="Z363" i="508"/>
  <c r="Y363" i="508"/>
  <c r="X363" i="508"/>
  <c r="U363" i="508"/>
  <c r="T363" i="508"/>
  <c r="S363" i="508"/>
  <c r="R363" i="508"/>
  <c r="Q363" i="508"/>
  <c r="P363" i="508"/>
  <c r="O363" i="508"/>
  <c r="I363" i="508"/>
  <c r="G363" i="508"/>
  <c r="AA362" i="508"/>
  <c r="Z362" i="508"/>
  <c r="Y362" i="508"/>
  <c r="X362" i="508"/>
  <c r="U362" i="508"/>
  <c r="T362" i="508"/>
  <c r="S362" i="508"/>
  <c r="R362" i="508"/>
  <c r="Q362" i="508"/>
  <c r="P362" i="508"/>
  <c r="O362" i="508"/>
  <c r="I362" i="508"/>
  <c r="G362" i="508"/>
  <c r="AA361" i="508"/>
  <c r="Z361" i="508"/>
  <c r="Y361" i="508"/>
  <c r="X361" i="508"/>
  <c r="U361" i="508"/>
  <c r="T361" i="508"/>
  <c r="S361" i="508"/>
  <c r="R361" i="508"/>
  <c r="Q361" i="508"/>
  <c r="P361" i="508"/>
  <c r="O361" i="508"/>
  <c r="I361" i="508"/>
  <c r="G361" i="508"/>
  <c r="AA360" i="508"/>
  <c r="Z360" i="508"/>
  <c r="Y360" i="508"/>
  <c r="X360" i="508"/>
  <c r="U360" i="508"/>
  <c r="T360" i="508"/>
  <c r="S360" i="508"/>
  <c r="R360" i="508"/>
  <c r="Q360" i="508"/>
  <c r="P360" i="508"/>
  <c r="O360" i="508"/>
  <c r="I360" i="508"/>
  <c r="G360" i="508"/>
  <c r="AA359" i="508"/>
  <c r="Z359" i="508"/>
  <c r="Y359" i="508"/>
  <c r="X359" i="508"/>
  <c r="U359" i="508"/>
  <c r="T359" i="508"/>
  <c r="S359" i="508"/>
  <c r="R359" i="508"/>
  <c r="Q359" i="508"/>
  <c r="P359" i="508"/>
  <c r="O359" i="508"/>
  <c r="I359" i="508"/>
  <c r="G359" i="508"/>
  <c r="G358" i="508"/>
  <c r="G357" i="508"/>
  <c r="AA356" i="508"/>
  <c r="Z356" i="508"/>
  <c r="Y356" i="508"/>
  <c r="X356" i="508"/>
  <c r="U356" i="508"/>
  <c r="T356" i="508"/>
  <c r="S356" i="508"/>
  <c r="R356" i="508"/>
  <c r="Q356" i="508"/>
  <c r="P356" i="508"/>
  <c r="O356" i="508"/>
  <c r="I356" i="508"/>
  <c r="G356" i="508"/>
  <c r="AA355" i="508"/>
  <c r="Z355" i="508"/>
  <c r="Y355" i="508"/>
  <c r="X355" i="508"/>
  <c r="U355" i="508"/>
  <c r="T355" i="508"/>
  <c r="S355" i="508"/>
  <c r="R355" i="508"/>
  <c r="Q355" i="508"/>
  <c r="P355" i="508"/>
  <c r="O355" i="508"/>
  <c r="I355" i="508"/>
  <c r="G355" i="508"/>
  <c r="AA354" i="508"/>
  <c r="Z354" i="508"/>
  <c r="Y354" i="508"/>
  <c r="X354" i="508"/>
  <c r="U354" i="508"/>
  <c r="T354" i="508"/>
  <c r="S354" i="508"/>
  <c r="R354" i="508"/>
  <c r="Q354" i="508"/>
  <c r="P354" i="508"/>
  <c r="O354" i="508"/>
  <c r="I354" i="508"/>
  <c r="G354" i="508"/>
  <c r="AA353" i="508"/>
  <c r="Z353" i="508"/>
  <c r="Y353" i="508"/>
  <c r="X353" i="508"/>
  <c r="U353" i="508"/>
  <c r="T353" i="508"/>
  <c r="S353" i="508"/>
  <c r="R353" i="508"/>
  <c r="Q353" i="508"/>
  <c r="P353" i="508"/>
  <c r="O353" i="508"/>
  <c r="I353" i="508"/>
  <c r="G353" i="508"/>
  <c r="AA352" i="508"/>
  <c r="Z352" i="508"/>
  <c r="Y352" i="508"/>
  <c r="X352" i="508"/>
  <c r="U352" i="508"/>
  <c r="T352" i="508"/>
  <c r="S352" i="508"/>
  <c r="R352" i="508"/>
  <c r="Q352" i="508"/>
  <c r="P352" i="508"/>
  <c r="O352" i="508"/>
  <c r="I352" i="508"/>
  <c r="G352" i="508"/>
  <c r="AA351" i="508"/>
  <c r="Z351" i="508"/>
  <c r="Y351" i="508"/>
  <c r="X351" i="508"/>
  <c r="U351" i="508"/>
  <c r="T351" i="508"/>
  <c r="S351" i="508"/>
  <c r="R351" i="508"/>
  <c r="Q351" i="508"/>
  <c r="P351" i="508"/>
  <c r="O351" i="508"/>
  <c r="I351" i="508"/>
  <c r="G351" i="508"/>
  <c r="AA350" i="508"/>
  <c r="Z350" i="508"/>
  <c r="Y350" i="508"/>
  <c r="X350" i="508"/>
  <c r="U350" i="508"/>
  <c r="T350" i="508"/>
  <c r="S350" i="508"/>
  <c r="R350" i="508"/>
  <c r="Q350" i="508"/>
  <c r="P350" i="508"/>
  <c r="O350" i="508"/>
  <c r="I350" i="508"/>
  <c r="G350" i="508"/>
  <c r="AA349" i="508"/>
  <c r="Z349" i="508"/>
  <c r="Y349" i="508"/>
  <c r="X349" i="508"/>
  <c r="U349" i="508"/>
  <c r="T349" i="508"/>
  <c r="S349" i="508"/>
  <c r="R349" i="508"/>
  <c r="Q349" i="508"/>
  <c r="P349" i="508"/>
  <c r="O349" i="508"/>
  <c r="I349" i="508"/>
  <c r="G349" i="508"/>
  <c r="AA348" i="508"/>
  <c r="Z348" i="508"/>
  <c r="Y348" i="508"/>
  <c r="X348" i="508"/>
  <c r="U348" i="508"/>
  <c r="T348" i="508"/>
  <c r="S348" i="508"/>
  <c r="R348" i="508"/>
  <c r="Q348" i="508"/>
  <c r="P348" i="508"/>
  <c r="O348" i="508"/>
  <c r="I348" i="508"/>
  <c r="G348" i="508"/>
  <c r="AA347" i="508"/>
  <c r="Z347" i="508"/>
  <c r="Y347" i="508"/>
  <c r="X347" i="508"/>
  <c r="U347" i="508"/>
  <c r="T347" i="508"/>
  <c r="S347" i="508"/>
  <c r="R347" i="508"/>
  <c r="Q347" i="508"/>
  <c r="P347" i="508"/>
  <c r="O347" i="508"/>
  <c r="I347" i="508"/>
  <c r="G347" i="508"/>
  <c r="G338" i="508"/>
  <c r="C338" i="508"/>
  <c r="G337" i="508"/>
  <c r="C337" i="508"/>
  <c r="G336" i="508"/>
  <c r="C336" i="508"/>
  <c r="G335" i="508"/>
  <c r="C335" i="508"/>
  <c r="AA331" i="508"/>
  <c r="Z331" i="508"/>
  <c r="Y331" i="508"/>
  <c r="X331" i="508"/>
  <c r="U331" i="508"/>
  <c r="T331" i="508"/>
  <c r="S331" i="508"/>
  <c r="R331" i="508"/>
  <c r="Q331" i="508"/>
  <c r="P331" i="508"/>
  <c r="O331" i="508"/>
  <c r="I331" i="508"/>
  <c r="G331" i="508"/>
  <c r="AA330" i="508"/>
  <c r="Z330" i="508"/>
  <c r="Y330" i="508"/>
  <c r="X330" i="508"/>
  <c r="U330" i="508"/>
  <c r="T330" i="508"/>
  <c r="S330" i="508"/>
  <c r="R330" i="508"/>
  <c r="Q330" i="508"/>
  <c r="P330" i="508"/>
  <c r="O330" i="508"/>
  <c r="I330" i="508"/>
  <c r="G330" i="508"/>
  <c r="AA329" i="508"/>
  <c r="Z329" i="508"/>
  <c r="Y329" i="508"/>
  <c r="X329" i="508"/>
  <c r="U329" i="508"/>
  <c r="T329" i="508"/>
  <c r="S329" i="508"/>
  <c r="R329" i="508"/>
  <c r="Q329" i="508"/>
  <c r="P329" i="508"/>
  <c r="O329" i="508"/>
  <c r="I329" i="508"/>
  <c r="G329" i="508"/>
  <c r="AA328" i="508"/>
  <c r="Z328" i="508"/>
  <c r="Y328" i="508"/>
  <c r="X328" i="508"/>
  <c r="U328" i="508"/>
  <c r="T328" i="508"/>
  <c r="S328" i="508"/>
  <c r="R328" i="508"/>
  <c r="Q328" i="508"/>
  <c r="P328" i="508"/>
  <c r="O328" i="508"/>
  <c r="I328" i="508"/>
  <c r="G328" i="508"/>
  <c r="AA326" i="508"/>
  <c r="Z326" i="508"/>
  <c r="Y326" i="508"/>
  <c r="X326" i="508"/>
  <c r="U326" i="508"/>
  <c r="T326" i="508"/>
  <c r="S326" i="508"/>
  <c r="R326" i="508"/>
  <c r="Q326" i="508"/>
  <c r="P326" i="508"/>
  <c r="O326" i="508"/>
  <c r="I326" i="508"/>
  <c r="G326" i="508"/>
  <c r="I325" i="508"/>
  <c r="G325" i="508"/>
  <c r="AA324" i="508"/>
  <c r="Z324" i="508"/>
  <c r="Y324" i="508"/>
  <c r="X324" i="508"/>
  <c r="U324" i="508"/>
  <c r="T324" i="508"/>
  <c r="S324" i="508"/>
  <c r="R324" i="508"/>
  <c r="Q324" i="508"/>
  <c r="P324" i="508"/>
  <c r="O324" i="508"/>
  <c r="I324" i="508"/>
  <c r="G324" i="508"/>
  <c r="AA323" i="508"/>
  <c r="Z323" i="508"/>
  <c r="Y323" i="508"/>
  <c r="X323" i="508"/>
  <c r="U323" i="508"/>
  <c r="T323" i="508"/>
  <c r="S323" i="508"/>
  <c r="R323" i="508"/>
  <c r="Q323" i="508"/>
  <c r="P323" i="508"/>
  <c r="O323" i="508"/>
  <c r="I323" i="508"/>
  <c r="G323" i="508"/>
  <c r="AA322" i="508"/>
  <c r="Z322" i="508"/>
  <c r="Y322" i="508"/>
  <c r="X322" i="508"/>
  <c r="U322" i="508"/>
  <c r="T322" i="508"/>
  <c r="S322" i="508"/>
  <c r="R322" i="508"/>
  <c r="Q322" i="508"/>
  <c r="P322" i="508"/>
  <c r="O322" i="508"/>
  <c r="I322" i="508"/>
  <c r="G322" i="508"/>
  <c r="AA321" i="508"/>
  <c r="Z321" i="508"/>
  <c r="Y321" i="508"/>
  <c r="X321" i="508"/>
  <c r="U321" i="508"/>
  <c r="T321" i="508"/>
  <c r="S321" i="508"/>
  <c r="R321" i="508"/>
  <c r="Q321" i="508"/>
  <c r="P321" i="508"/>
  <c r="O321" i="508"/>
  <c r="I321" i="508"/>
  <c r="G321" i="508"/>
  <c r="AA320" i="508"/>
  <c r="Z320" i="508"/>
  <c r="Y320" i="508"/>
  <c r="X320" i="508"/>
  <c r="U320" i="508"/>
  <c r="T320" i="508"/>
  <c r="S320" i="508"/>
  <c r="R320" i="508"/>
  <c r="Q320" i="508"/>
  <c r="P320" i="508"/>
  <c r="O320" i="508"/>
  <c r="I320" i="508"/>
  <c r="G320" i="508"/>
  <c r="AA319" i="508"/>
  <c r="Z319" i="508"/>
  <c r="Y319" i="508"/>
  <c r="X319" i="508"/>
  <c r="U319" i="508"/>
  <c r="T319" i="508"/>
  <c r="S319" i="508"/>
  <c r="R319" i="508"/>
  <c r="Q319" i="508"/>
  <c r="P319" i="508"/>
  <c r="O319" i="508"/>
  <c r="I319" i="508"/>
  <c r="G319" i="508"/>
  <c r="AA318" i="508"/>
  <c r="Z318" i="508"/>
  <c r="Y318" i="508"/>
  <c r="X318" i="508"/>
  <c r="U318" i="508"/>
  <c r="T318" i="508"/>
  <c r="S318" i="508"/>
  <c r="R318" i="508"/>
  <c r="Q318" i="508"/>
  <c r="P318" i="508"/>
  <c r="O318" i="508"/>
  <c r="I318" i="508"/>
  <c r="G318" i="508"/>
  <c r="AA316" i="508"/>
  <c r="Z316" i="508"/>
  <c r="Y316" i="508"/>
  <c r="X316" i="508"/>
  <c r="U316" i="508"/>
  <c r="T316" i="508"/>
  <c r="S316" i="508"/>
  <c r="R316" i="508"/>
  <c r="Q316" i="508"/>
  <c r="P316" i="508"/>
  <c r="O316" i="508"/>
  <c r="I316" i="508"/>
  <c r="G316" i="508"/>
  <c r="I313" i="508"/>
  <c r="G313" i="508"/>
  <c r="H313" i="508" s="1"/>
  <c r="AA312" i="508"/>
  <c r="Z312" i="508"/>
  <c r="Y312" i="508"/>
  <c r="X312" i="508"/>
  <c r="U312" i="508"/>
  <c r="T312" i="508"/>
  <c r="S312" i="508"/>
  <c r="R312" i="508"/>
  <c r="Q312" i="508"/>
  <c r="P312" i="508"/>
  <c r="O312" i="508"/>
  <c r="I312" i="508"/>
  <c r="G312" i="508"/>
  <c r="AA311" i="508"/>
  <c r="Z311" i="508"/>
  <c r="Y311" i="508"/>
  <c r="X311" i="508"/>
  <c r="U311" i="508"/>
  <c r="T311" i="508"/>
  <c r="S311" i="508"/>
  <c r="R311" i="508"/>
  <c r="Q311" i="508"/>
  <c r="P311" i="508"/>
  <c r="O311" i="508"/>
  <c r="I311" i="508"/>
  <c r="G311" i="508"/>
  <c r="AA310" i="508"/>
  <c r="Z310" i="508"/>
  <c r="Y310" i="508"/>
  <c r="X310" i="508"/>
  <c r="U310" i="508"/>
  <c r="T310" i="508"/>
  <c r="S310" i="508"/>
  <c r="R310" i="508"/>
  <c r="Q310" i="508"/>
  <c r="P310" i="508"/>
  <c r="O310" i="508"/>
  <c r="I310" i="508"/>
  <c r="G310" i="508"/>
  <c r="AA309" i="508"/>
  <c r="Z309" i="508"/>
  <c r="Y309" i="508"/>
  <c r="X309" i="508"/>
  <c r="U309" i="508"/>
  <c r="T309" i="508"/>
  <c r="S309" i="508"/>
  <c r="R309" i="508"/>
  <c r="Q309" i="508"/>
  <c r="P309" i="508"/>
  <c r="O309" i="508"/>
  <c r="I309" i="508"/>
  <c r="G309" i="508"/>
  <c r="AA308" i="508"/>
  <c r="Z308" i="508"/>
  <c r="Y308" i="508"/>
  <c r="X308" i="508"/>
  <c r="U308" i="508"/>
  <c r="T308" i="508"/>
  <c r="S308" i="508"/>
  <c r="R308" i="508"/>
  <c r="Q308" i="508"/>
  <c r="P308" i="508"/>
  <c r="O308" i="508"/>
  <c r="I308" i="508"/>
  <c r="G308" i="508"/>
  <c r="AA306" i="508"/>
  <c r="Z306" i="508"/>
  <c r="Y306" i="508"/>
  <c r="X306" i="508"/>
  <c r="U306" i="508"/>
  <c r="T306" i="508"/>
  <c r="S306" i="508"/>
  <c r="R306" i="508"/>
  <c r="Q306" i="508"/>
  <c r="P306" i="508"/>
  <c r="O306" i="508"/>
  <c r="I306" i="508"/>
  <c r="G306" i="508"/>
  <c r="AA305" i="508"/>
  <c r="Z305" i="508"/>
  <c r="Y305" i="508"/>
  <c r="X305" i="508"/>
  <c r="U305" i="508"/>
  <c r="T305" i="508"/>
  <c r="S305" i="508"/>
  <c r="R305" i="508"/>
  <c r="Q305" i="508"/>
  <c r="P305" i="508"/>
  <c r="O305" i="508"/>
  <c r="I305" i="508"/>
  <c r="G305" i="508"/>
  <c r="AA304" i="508"/>
  <c r="Z304" i="508"/>
  <c r="Y304" i="508"/>
  <c r="X304" i="508"/>
  <c r="U304" i="508"/>
  <c r="T304" i="508"/>
  <c r="S304" i="508"/>
  <c r="R304" i="508"/>
  <c r="Q304" i="508"/>
  <c r="P304" i="508"/>
  <c r="O304" i="508"/>
  <c r="I304" i="508"/>
  <c r="G304" i="508"/>
  <c r="AA303" i="508"/>
  <c r="Z303" i="508"/>
  <c r="Y303" i="508"/>
  <c r="X303" i="508"/>
  <c r="U303" i="508"/>
  <c r="T303" i="508"/>
  <c r="S303" i="508"/>
  <c r="R303" i="508"/>
  <c r="Q303" i="508"/>
  <c r="P303" i="508"/>
  <c r="O303" i="508"/>
  <c r="I303" i="508"/>
  <c r="G303" i="508"/>
  <c r="AA302" i="508"/>
  <c r="Z302" i="508"/>
  <c r="Y302" i="508"/>
  <c r="X302" i="508"/>
  <c r="U302" i="508"/>
  <c r="T302" i="508"/>
  <c r="S302" i="508"/>
  <c r="R302" i="508"/>
  <c r="Q302" i="508"/>
  <c r="P302" i="508"/>
  <c r="O302" i="508"/>
  <c r="I302" i="508"/>
  <c r="G302" i="508"/>
  <c r="AA301" i="508"/>
  <c r="Z301" i="508"/>
  <c r="Y301" i="508"/>
  <c r="X301" i="508"/>
  <c r="U301" i="508"/>
  <c r="T301" i="508"/>
  <c r="S301" i="508"/>
  <c r="R301" i="508"/>
  <c r="Q301" i="508"/>
  <c r="P301" i="508"/>
  <c r="O301" i="508"/>
  <c r="I301" i="508"/>
  <c r="G301" i="508"/>
  <c r="AA300" i="508"/>
  <c r="Z300" i="508"/>
  <c r="Y300" i="508"/>
  <c r="X300" i="508"/>
  <c r="U300" i="508"/>
  <c r="T300" i="508"/>
  <c r="S300" i="508"/>
  <c r="R300" i="508"/>
  <c r="Q300" i="508"/>
  <c r="P300" i="508"/>
  <c r="O300" i="508"/>
  <c r="I300" i="508"/>
  <c r="G300" i="508"/>
  <c r="AA299" i="508"/>
  <c r="Z299" i="508"/>
  <c r="Y299" i="508"/>
  <c r="X299" i="508"/>
  <c r="U299" i="508"/>
  <c r="T299" i="508"/>
  <c r="S299" i="508"/>
  <c r="R299" i="508"/>
  <c r="Q299" i="508"/>
  <c r="P299" i="508"/>
  <c r="O299" i="508"/>
  <c r="I299" i="508"/>
  <c r="G299" i="508"/>
  <c r="AA298" i="508"/>
  <c r="Z298" i="508"/>
  <c r="Y298" i="508"/>
  <c r="X298" i="508"/>
  <c r="U298" i="508"/>
  <c r="T298" i="508"/>
  <c r="S298" i="508"/>
  <c r="R298" i="508"/>
  <c r="Q298" i="508"/>
  <c r="P298" i="508"/>
  <c r="O298" i="508"/>
  <c r="I298" i="508"/>
  <c r="G298" i="508"/>
  <c r="AA297" i="508"/>
  <c r="Z297" i="508"/>
  <c r="Y297" i="508"/>
  <c r="X297" i="508"/>
  <c r="U297" i="508"/>
  <c r="T297" i="508"/>
  <c r="S297" i="508"/>
  <c r="R297" i="508"/>
  <c r="Q297" i="508"/>
  <c r="P297" i="508"/>
  <c r="O297" i="508"/>
  <c r="I297" i="508"/>
  <c r="G297" i="508"/>
  <c r="AA296" i="508"/>
  <c r="Z296" i="508"/>
  <c r="Y296" i="508"/>
  <c r="X296" i="508"/>
  <c r="U296" i="508"/>
  <c r="T296" i="508"/>
  <c r="S296" i="508"/>
  <c r="R296" i="508"/>
  <c r="Q296" i="508"/>
  <c r="P296" i="508"/>
  <c r="O296" i="508"/>
  <c r="I296" i="508"/>
  <c r="G296" i="508"/>
  <c r="AA295" i="508"/>
  <c r="Z295" i="508"/>
  <c r="Y295" i="508"/>
  <c r="X295" i="508"/>
  <c r="U295" i="508"/>
  <c r="T295" i="508"/>
  <c r="S295" i="508"/>
  <c r="R295" i="508"/>
  <c r="Q295" i="508"/>
  <c r="P295" i="508"/>
  <c r="O295" i="508"/>
  <c r="I295" i="508"/>
  <c r="G295" i="508"/>
  <c r="AA294" i="508"/>
  <c r="Z294" i="508"/>
  <c r="Y294" i="508"/>
  <c r="X294" i="508"/>
  <c r="U294" i="508"/>
  <c r="T294" i="508"/>
  <c r="S294" i="508"/>
  <c r="R294" i="508"/>
  <c r="Q294" i="508"/>
  <c r="P294" i="508"/>
  <c r="O294" i="508"/>
  <c r="I294" i="508"/>
  <c r="G294" i="508"/>
  <c r="AA293" i="508"/>
  <c r="Z293" i="508"/>
  <c r="Y293" i="508"/>
  <c r="X293" i="508"/>
  <c r="U293" i="508"/>
  <c r="T293" i="508"/>
  <c r="S293" i="508"/>
  <c r="R293" i="508"/>
  <c r="Q293" i="508"/>
  <c r="P293" i="508"/>
  <c r="O293" i="508"/>
  <c r="I293" i="508"/>
  <c r="G293" i="508"/>
  <c r="AA292" i="508"/>
  <c r="Z292" i="508"/>
  <c r="Y292" i="508"/>
  <c r="X292" i="508"/>
  <c r="U292" i="508"/>
  <c r="T292" i="508"/>
  <c r="S292" i="508"/>
  <c r="R292" i="508"/>
  <c r="Q292" i="508"/>
  <c r="P292" i="508"/>
  <c r="O292" i="508"/>
  <c r="I292" i="508"/>
  <c r="G292" i="508"/>
  <c r="AA290" i="508"/>
  <c r="Z290" i="508"/>
  <c r="Y290" i="508"/>
  <c r="X290" i="508"/>
  <c r="U290" i="508"/>
  <c r="T290" i="508"/>
  <c r="S290" i="508"/>
  <c r="R290" i="508"/>
  <c r="Q290" i="508"/>
  <c r="P290" i="508"/>
  <c r="O290" i="508"/>
  <c r="I290" i="508"/>
  <c r="G290" i="508"/>
  <c r="AA289" i="508"/>
  <c r="Z289" i="508"/>
  <c r="Y289" i="508"/>
  <c r="X289" i="508"/>
  <c r="U289" i="508"/>
  <c r="T289" i="508"/>
  <c r="S289" i="508"/>
  <c r="R289" i="508"/>
  <c r="Q289" i="508"/>
  <c r="P289" i="508"/>
  <c r="O289" i="508"/>
  <c r="I289" i="508"/>
  <c r="G289" i="508"/>
  <c r="AA288" i="508"/>
  <c r="Z288" i="508"/>
  <c r="Y288" i="508"/>
  <c r="X288" i="508"/>
  <c r="U288" i="508"/>
  <c r="T288" i="508"/>
  <c r="S288" i="508"/>
  <c r="R288" i="508"/>
  <c r="Q288" i="508"/>
  <c r="P288" i="508"/>
  <c r="O288" i="508"/>
  <c r="I288" i="508"/>
  <c r="G288" i="508"/>
  <c r="I287" i="508"/>
  <c r="G287" i="508"/>
  <c r="I286" i="508"/>
  <c r="G286" i="508"/>
  <c r="I285" i="508"/>
  <c r="G285" i="508"/>
  <c r="AA284" i="508"/>
  <c r="Z284" i="508"/>
  <c r="Y284" i="508"/>
  <c r="X284" i="508"/>
  <c r="U284" i="508"/>
  <c r="T284" i="508"/>
  <c r="S284" i="508"/>
  <c r="R284" i="508"/>
  <c r="Q284" i="508"/>
  <c r="P284" i="508"/>
  <c r="O284" i="508"/>
  <c r="I284" i="508"/>
  <c r="G284" i="508"/>
  <c r="AA283" i="508"/>
  <c r="Z283" i="508"/>
  <c r="Y283" i="508"/>
  <c r="X283" i="508"/>
  <c r="U283" i="508"/>
  <c r="T283" i="508"/>
  <c r="S283" i="508"/>
  <c r="R283" i="508"/>
  <c r="Q283" i="508"/>
  <c r="P283" i="508"/>
  <c r="O283" i="508"/>
  <c r="I283" i="508"/>
  <c r="G283" i="508"/>
  <c r="AA282" i="508"/>
  <c r="Z282" i="508"/>
  <c r="Y282" i="508"/>
  <c r="X282" i="508"/>
  <c r="U282" i="508"/>
  <c r="T282" i="508"/>
  <c r="S282" i="508"/>
  <c r="R282" i="508"/>
  <c r="Q282" i="508"/>
  <c r="P282" i="508"/>
  <c r="O282" i="508"/>
  <c r="I282" i="508"/>
  <c r="G282" i="508"/>
  <c r="AA281" i="508"/>
  <c r="Z281" i="508"/>
  <c r="Y281" i="508"/>
  <c r="X281" i="508"/>
  <c r="U281" i="508"/>
  <c r="T281" i="508"/>
  <c r="S281" i="508"/>
  <c r="R281" i="508"/>
  <c r="Q281" i="508"/>
  <c r="P281" i="508"/>
  <c r="O281" i="508"/>
  <c r="I281" i="508"/>
  <c r="G281" i="508"/>
  <c r="AA280" i="508"/>
  <c r="Z280" i="508"/>
  <c r="Y280" i="508"/>
  <c r="X280" i="508"/>
  <c r="U280" i="508"/>
  <c r="T280" i="508"/>
  <c r="S280" i="508"/>
  <c r="R280" i="508"/>
  <c r="Q280" i="508"/>
  <c r="P280" i="508"/>
  <c r="O280" i="508"/>
  <c r="I280" i="508"/>
  <c r="G280" i="508"/>
  <c r="AA279" i="508"/>
  <c r="Z279" i="508"/>
  <c r="Y279" i="508"/>
  <c r="X279" i="508"/>
  <c r="U279" i="508"/>
  <c r="T279" i="508"/>
  <c r="S279" i="508"/>
  <c r="R279" i="508"/>
  <c r="Q279" i="508"/>
  <c r="P279" i="508"/>
  <c r="O279" i="508"/>
  <c r="I279" i="508"/>
  <c r="G279" i="508"/>
  <c r="AA278" i="508"/>
  <c r="Z278" i="508"/>
  <c r="Y278" i="508"/>
  <c r="X278" i="508"/>
  <c r="U278" i="508"/>
  <c r="T278" i="508"/>
  <c r="S278" i="508"/>
  <c r="R278" i="508"/>
  <c r="Q278" i="508"/>
  <c r="P278" i="508"/>
  <c r="O278" i="508"/>
  <c r="I278" i="508"/>
  <c r="G278" i="508"/>
  <c r="AA277" i="508"/>
  <c r="Z277" i="508"/>
  <c r="Y277" i="508"/>
  <c r="X277" i="508"/>
  <c r="U277" i="508"/>
  <c r="T277" i="508"/>
  <c r="S277" i="508"/>
  <c r="R277" i="508"/>
  <c r="Q277" i="508"/>
  <c r="P277" i="508"/>
  <c r="O277" i="508"/>
  <c r="I277" i="508"/>
  <c r="G277" i="508"/>
  <c r="AA276" i="508"/>
  <c r="Z276" i="508"/>
  <c r="Y276" i="508"/>
  <c r="X276" i="508"/>
  <c r="U276" i="508"/>
  <c r="T276" i="508"/>
  <c r="S276" i="508"/>
  <c r="R276" i="508"/>
  <c r="Q276" i="508"/>
  <c r="P276" i="508"/>
  <c r="O276" i="508"/>
  <c r="I276" i="508"/>
  <c r="G276" i="508"/>
  <c r="AA275" i="508"/>
  <c r="Z275" i="508"/>
  <c r="Y275" i="508"/>
  <c r="X275" i="508"/>
  <c r="U275" i="508"/>
  <c r="T275" i="508"/>
  <c r="S275" i="508"/>
  <c r="R275" i="508"/>
  <c r="Q275" i="508"/>
  <c r="P275" i="508"/>
  <c r="O275" i="508"/>
  <c r="I275" i="508"/>
  <c r="G275" i="508"/>
  <c r="AA274" i="508"/>
  <c r="Z274" i="508"/>
  <c r="Y274" i="508"/>
  <c r="X274" i="508"/>
  <c r="U274" i="508"/>
  <c r="T274" i="508"/>
  <c r="S274" i="508"/>
  <c r="R274" i="508"/>
  <c r="Q274" i="508"/>
  <c r="P274" i="508"/>
  <c r="O274" i="508"/>
  <c r="I274" i="508"/>
  <c r="G274" i="508"/>
  <c r="AA273" i="508"/>
  <c r="Z273" i="508"/>
  <c r="Y273" i="508"/>
  <c r="X273" i="508"/>
  <c r="U273" i="508"/>
  <c r="T273" i="508"/>
  <c r="S273" i="508"/>
  <c r="R273" i="508"/>
  <c r="Q273" i="508"/>
  <c r="P273" i="508"/>
  <c r="O273" i="508"/>
  <c r="I273" i="508"/>
  <c r="G273" i="508"/>
  <c r="AA272" i="508"/>
  <c r="Z272" i="508"/>
  <c r="Y272" i="508"/>
  <c r="X272" i="508"/>
  <c r="U272" i="508"/>
  <c r="T272" i="508"/>
  <c r="S272" i="508"/>
  <c r="R272" i="508"/>
  <c r="Q272" i="508"/>
  <c r="P272" i="508"/>
  <c r="O272" i="508"/>
  <c r="I272" i="508"/>
  <c r="G272" i="508"/>
  <c r="AA271" i="508"/>
  <c r="Z271" i="508"/>
  <c r="Y271" i="508"/>
  <c r="X271" i="508"/>
  <c r="U271" i="508"/>
  <c r="T271" i="508"/>
  <c r="S271" i="508"/>
  <c r="R271" i="508"/>
  <c r="Q271" i="508"/>
  <c r="P271" i="508"/>
  <c r="O271" i="508"/>
  <c r="I271" i="508"/>
  <c r="G271" i="508"/>
  <c r="AA270" i="508"/>
  <c r="Z270" i="508"/>
  <c r="Y270" i="508"/>
  <c r="X270" i="508"/>
  <c r="U270" i="508"/>
  <c r="T270" i="508"/>
  <c r="S270" i="508"/>
  <c r="R270" i="508"/>
  <c r="Q270" i="508"/>
  <c r="P270" i="508"/>
  <c r="O270" i="508"/>
  <c r="I270" i="508"/>
  <c r="G270" i="508"/>
  <c r="AA269" i="508"/>
  <c r="Z269" i="508"/>
  <c r="Y269" i="508"/>
  <c r="X269" i="508"/>
  <c r="U269" i="508"/>
  <c r="T269" i="508"/>
  <c r="S269" i="508"/>
  <c r="R269" i="508"/>
  <c r="Q269" i="508"/>
  <c r="P269" i="508"/>
  <c r="O269" i="508"/>
  <c r="I269" i="508"/>
  <c r="G269" i="508"/>
  <c r="AA268" i="508"/>
  <c r="Z268" i="508"/>
  <c r="Y268" i="508"/>
  <c r="X268" i="508"/>
  <c r="U268" i="508"/>
  <c r="T268" i="508"/>
  <c r="S268" i="508"/>
  <c r="R268" i="508"/>
  <c r="Q268" i="508"/>
  <c r="P268" i="508"/>
  <c r="O268" i="508"/>
  <c r="I268" i="508"/>
  <c r="G268" i="508"/>
  <c r="AA267" i="508"/>
  <c r="Z267" i="508"/>
  <c r="Y267" i="508"/>
  <c r="X267" i="508"/>
  <c r="U267" i="508"/>
  <c r="T267" i="508"/>
  <c r="S267" i="508"/>
  <c r="R267" i="508"/>
  <c r="Q267" i="508"/>
  <c r="P267" i="508"/>
  <c r="O267" i="508"/>
  <c r="I267" i="508"/>
  <c r="G267" i="508"/>
  <c r="AA266" i="508"/>
  <c r="Z266" i="508"/>
  <c r="Y266" i="508"/>
  <c r="X266" i="508"/>
  <c r="U266" i="508"/>
  <c r="T266" i="508"/>
  <c r="S266" i="508"/>
  <c r="R266" i="508"/>
  <c r="Q266" i="508"/>
  <c r="P266" i="508"/>
  <c r="O266" i="508"/>
  <c r="I266" i="508"/>
  <c r="G266" i="508"/>
  <c r="AA265" i="508"/>
  <c r="Z265" i="508"/>
  <c r="Y265" i="508"/>
  <c r="X265" i="508"/>
  <c r="U265" i="508"/>
  <c r="T265" i="508"/>
  <c r="S265" i="508"/>
  <c r="R265" i="508"/>
  <c r="Q265" i="508"/>
  <c r="P265" i="508"/>
  <c r="O265" i="508"/>
  <c r="I265" i="508"/>
  <c r="G265" i="508"/>
  <c r="AA264" i="508"/>
  <c r="Z264" i="508"/>
  <c r="Y264" i="508"/>
  <c r="X264" i="508"/>
  <c r="U264" i="508"/>
  <c r="T264" i="508"/>
  <c r="S264" i="508"/>
  <c r="R264" i="508"/>
  <c r="Q264" i="508"/>
  <c r="P264" i="508"/>
  <c r="O264" i="508"/>
  <c r="I264" i="508"/>
  <c r="G264" i="508"/>
  <c r="AA263" i="508"/>
  <c r="Z263" i="508"/>
  <c r="Y263" i="508"/>
  <c r="X263" i="508"/>
  <c r="U263" i="508"/>
  <c r="T263" i="508"/>
  <c r="S263" i="508"/>
  <c r="R263" i="508"/>
  <c r="Q263" i="508"/>
  <c r="P263" i="508"/>
  <c r="O263" i="508"/>
  <c r="I263" i="508"/>
  <c r="G263" i="508"/>
  <c r="AA262" i="508"/>
  <c r="Z262" i="508"/>
  <c r="Y262" i="508"/>
  <c r="X262" i="508"/>
  <c r="U262" i="508"/>
  <c r="T262" i="508"/>
  <c r="S262" i="508"/>
  <c r="R262" i="508"/>
  <c r="Q262" i="508"/>
  <c r="P262" i="508"/>
  <c r="O262" i="508"/>
  <c r="I262" i="508"/>
  <c r="G262" i="508"/>
  <c r="AA261" i="508"/>
  <c r="Z261" i="508"/>
  <c r="Y261" i="508"/>
  <c r="X261" i="508"/>
  <c r="U261" i="508"/>
  <c r="T261" i="508"/>
  <c r="S261" i="508"/>
  <c r="R261" i="508"/>
  <c r="Q261" i="508"/>
  <c r="P261" i="508"/>
  <c r="O261" i="508"/>
  <c r="I261" i="508"/>
  <c r="G261" i="508"/>
  <c r="AA260" i="508"/>
  <c r="Z260" i="508"/>
  <c r="Y260" i="508"/>
  <c r="X260" i="508"/>
  <c r="U260" i="508"/>
  <c r="T260" i="508"/>
  <c r="S260" i="508"/>
  <c r="R260" i="508"/>
  <c r="Q260" i="508"/>
  <c r="P260" i="508"/>
  <c r="O260" i="508"/>
  <c r="I260" i="508"/>
  <c r="G260" i="508"/>
  <c r="AA259" i="508"/>
  <c r="Z259" i="508"/>
  <c r="Y259" i="508"/>
  <c r="X259" i="508"/>
  <c r="U259" i="508"/>
  <c r="T259" i="508"/>
  <c r="S259" i="508"/>
  <c r="R259" i="508"/>
  <c r="Q259" i="508"/>
  <c r="P259" i="508"/>
  <c r="O259" i="508"/>
  <c r="I259" i="508"/>
  <c r="G259" i="508"/>
  <c r="AA258" i="508"/>
  <c r="Z258" i="508"/>
  <c r="Y258" i="508"/>
  <c r="X258" i="508"/>
  <c r="U258" i="508"/>
  <c r="T258" i="508"/>
  <c r="S258" i="508"/>
  <c r="R258" i="508"/>
  <c r="Q258" i="508"/>
  <c r="P258" i="508"/>
  <c r="O258" i="508"/>
  <c r="I258" i="508"/>
  <c r="G258" i="508"/>
  <c r="AA257" i="508"/>
  <c r="Z257" i="508"/>
  <c r="Y257" i="508"/>
  <c r="X257" i="508"/>
  <c r="U257" i="508"/>
  <c r="T257" i="508"/>
  <c r="S257" i="508"/>
  <c r="R257" i="508"/>
  <c r="Q257" i="508"/>
  <c r="P257" i="508"/>
  <c r="O257" i="508"/>
  <c r="I257" i="508"/>
  <c r="G257" i="508"/>
  <c r="AA255" i="508"/>
  <c r="Z255" i="508"/>
  <c r="Y255" i="508"/>
  <c r="X255" i="508"/>
  <c r="U255" i="508"/>
  <c r="T255" i="508"/>
  <c r="S255" i="508"/>
  <c r="R255" i="508"/>
  <c r="Q255" i="508"/>
  <c r="P255" i="508"/>
  <c r="O255" i="508"/>
  <c r="I255" i="508"/>
  <c r="G255" i="508"/>
  <c r="AA254" i="508"/>
  <c r="Z254" i="508"/>
  <c r="Y254" i="508"/>
  <c r="X254" i="508"/>
  <c r="U254" i="508"/>
  <c r="T254" i="508"/>
  <c r="S254" i="508"/>
  <c r="R254" i="508"/>
  <c r="Q254" i="508"/>
  <c r="P254" i="508"/>
  <c r="O254" i="508"/>
  <c r="I254" i="508"/>
  <c r="G254" i="508"/>
  <c r="AA253" i="508"/>
  <c r="Z253" i="508"/>
  <c r="Y253" i="508"/>
  <c r="X253" i="508"/>
  <c r="U253" i="508"/>
  <c r="T253" i="508"/>
  <c r="S253" i="508"/>
  <c r="R253" i="508"/>
  <c r="Q253" i="508"/>
  <c r="P253" i="508"/>
  <c r="O253" i="508"/>
  <c r="I253" i="508"/>
  <c r="G253" i="508"/>
  <c r="I252" i="508"/>
  <c r="G252" i="508"/>
  <c r="I251" i="508"/>
  <c r="G251" i="508"/>
  <c r="I250" i="508"/>
  <c r="G250" i="508"/>
  <c r="AA249" i="508"/>
  <c r="Z249" i="508"/>
  <c r="Y249" i="508"/>
  <c r="X249" i="508"/>
  <c r="U249" i="508"/>
  <c r="T249" i="508"/>
  <c r="S249" i="508"/>
  <c r="R249" i="508"/>
  <c r="Q249" i="508"/>
  <c r="P249" i="508"/>
  <c r="O249" i="508"/>
  <c r="N249" i="508"/>
  <c r="I249" i="508"/>
  <c r="G249" i="508"/>
  <c r="AA248" i="508"/>
  <c r="Z248" i="508"/>
  <c r="Y248" i="508"/>
  <c r="X248" i="508"/>
  <c r="U248" i="508"/>
  <c r="T248" i="508"/>
  <c r="S248" i="508"/>
  <c r="R248" i="508"/>
  <c r="Q248" i="508"/>
  <c r="P248" i="508"/>
  <c r="O248" i="508"/>
  <c r="N248" i="508"/>
  <c r="I248" i="508"/>
  <c r="G248" i="508"/>
  <c r="AA247" i="508"/>
  <c r="Z247" i="508"/>
  <c r="Y247" i="508"/>
  <c r="X247" i="508"/>
  <c r="U247" i="508"/>
  <c r="T247" i="508"/>
  <c r="S247" i="508"/>
  <c r="R247" i="508"/>
  <c r="Q247" i="508"/>
  <c r="P247" i="508"/>
  <c r="O247" i="508"/>
  <c r="N247" i="508"/>
  <c r="I247" i="508"/>
  <c r="G247" i="508"/>
  <c r="AA246" i="508"/>
  <c r="Z246" i="508"/>
  <c r="Y246" i="508"/>
  <c r="X246" i="508"/>
  <c r="U246" i="508"/>
  <c r="T246" i="508"/>
  <c r="S246" i="508"/>
  <c r="R246" i="508"/>
  <c r="Q246" i="508"/>
  <c r="P246" i="508"/>
  <c r="O246" i="508"/>
  <c r="N246" i="508"/>
  <c r="I246" i="508"/>
  <c r="G246" i="508"/>
  <c r="AA245" i="508"/>
  <c r="Z245" i="508"/>
  <c r="Y245" i="508"/>
  <c r="X245" i="508"/>
  <c r="U245" i="508"/>
  <c r="T245" i="508"/>
  <c r="S245" i="508"/>
  <c r="R245" i="508"/>
  <c r="Q245" i="508"/>
  <c r="P245" i="508"/>
  <c r="O245" i="508"/>
  <c r="I245" i="508"/>
  <c r="G245" i="508"/>
  <c r="AA244" i="508"/>
  <c r="Z244" i="508"/>
  <c r="Y244" i="508"/>
  <c r="X244" i="508"/>
  <c r="U244" i="508"/>
  <c r="T244" i="508"/>
  <c r="S244" i="508"/>
  <c r="R244" i="508"/>
  <c r="Q244" i="508"/>
  <c r="P244" i="508"/>
  <c r="O244" i="508"/>
  <c r="I244" i="508"/>
  <c r="G244" i="508"/>
  <c r="AA243" i="508"/>
  <c r="Z243" i="508"/>
  <c r="Y243" i="508"/>
  <c r="X243" i="508"/>
  <c r="U243" i="508"/>
  <c r="T243" i="508"/>
  <c r="S243" i="508"/>
  <c r="R243" i="508"/>
  <c r="Q243" i="508"/>
  <c r="P243" i="508"/>
  <c r="O243" i="508"/>
  <c r="I243" i="508"/>
  <c r="G243" i="508"/>
  <c r="AA242" i="508"/>
  <c r="Z242" i="508"/>
  <c r="Y242" i="508"/>
  <c r="X242" i="508"/>
  <c r="U242" i="508"/>
  <c r="T242" i="508"/>
  <c r="S242" i="508"/>
  <c r="R242" i="508"/>
  <c r="Q242" i="508"/>
  <c r="P242" i="508"/>
  <c r="O242" i="508"/>
  <c r="I242" i="508"/>
  <c r="G242" i="508"/>
  <c r="AA241" i="508"/>
  <c r="Z241" i="508"/>
  <c r="Y241" i="508"/>
  <c r="X241" i="508"/>
  <c r="U241" i="508"/>
  <c r="T241" i="508"/>
  <c r="S241" i="508"/>
  <c r="R241" i="508"/>
  <c r="Q241" i="508"/>
  <c r="P241" i="508"/>
  <c r="O241" i="508"/>
  <c r="N241" i="508"/>
  <c r="I241" i="508"/>
  <c r="G241" i="508"/>
  <c r="AA240" i="508"/>
  <c r="Z240" i="508"/>
  <c r="Y240" i="508"/>
  <c r="X240" i="508"/>
  <c r="U240" i="508"/>
  <c r="T240" i="508"/>
  <c r="S240" i="508"/>
  <c r="R240" i="508"/>
  <c r="Q240" i="508"/>
  <c r="P240" i="508"/>
  <c r="O240" i="508"/>
  <c r="I240" i="508"/>
  <c r="G240" i="508"/>
  <c r="AA239" i="508"/>
  <c r="Z239" i="508"/>
  <c r="Y239" i="508"/>
  <c r="X239" i="508"/>
  <c r="U239" i="508"/>
  <c r="T239" i="508"/>
  <c r="S239" i="508"/>
  <c r="R239" i="508"/>
  <c r="Q239" i="508"/>
  <c r="P239" i="508"/>
  <c r="O239" i="508"/>
  <c r="I239" i="508"/>
  <c r="G239" i="508"/>
  <c r="AA238" i="508"/>
  <c r="Z238" i="508"/>
  <c r="Y238" i="508"/>
  <c r="X238" i="508"/>
  <c r="U238" i="508"/>
  <c r="T238" i="508"/>
  <c r="S238" i="508"/>
  <c r="R238" i="508"/>
  <c r="Q238" i="508"/>
  <c r="P238" i="508"/>
  <c r="O238" i="508"/>
  <c r="N238" i="508"/>
  <c r="I238" i="508"/>
  <c r="G238" i="508"/>
  <c r="I237" i="508"/>
  <c r="G237" i="508"/>
  <c r="AA236" i="508"/>
  <c r="Z236" i="508"/>
  <c r="Y236" i="508"/>
  <c r="X236" i="508"/>
  <c r="U236" i="508"/>
  <c r="T236" i="508"/>
  <c r="S236" i="508"/>
  <c r="R236" i="508"/>
  <c r="Q236" i="508"/>
  <c r="P236" i="508"/>
  <c r="O236" i="508"/>
  <c r="I236" i="508"/>
  <c r="G236" i="508"/>
  <c r="AA235" i="508"/>
  <c r="Z235" i="508"/>
  <c r="Y235" i="508"/>
  <c r="X235" i="508"/>
  <c r="U235" i="508"/>
  <c r="T235" i="508"/>
  <c r="S235" i="508"/>
  <c r="R235" i="508"/>
  <c r="Q235" i="508"/>
  <c r="P235" i="508"/>
  <c r="O235" i="508"/>
  <c r="I235" i="508"/>
  <c r="G235" i="508"/>
  <c r="AA234" i="508"/>
  <c r="Z234" i="508"/>
  <c r="Y234" i="508"/>
  <c r="X234" i="508"/>
  <c r="U234" i="508"/>
  <c r="T234" i="508"/>
  <c r="S234" i="508"/>
  <c r="R234" i="508"/>
  <c r="Q234" i="508"/>
  <c r="P234" i="508"/>
  <c r="O234" i="508"/>
  <c r="I234" i="508"/>
  <c r="G234" i="508"/>
  <c r="AA233" i="508"/>
  <c r="Z233" i="508"/>
  <c r="Y233" i="508"/>
  <c r="X233" i="508"/>
  <c r="U233" i="508"/>
  <c r="T233" i="508"/>
  <c r="S233" i="508"/>
  <c r="R233" i="508"/>
  <c r="Q233" i="508"/>
  <c r="P233" i="508"/>
  <c r="O233" i="508"/>
  <c r="I233" i="508"/>
  <c r="G233" i="508"/>
  <c r="AA232" i="508"/>
  <c r="Z232" i="508"/>
  <c r="Y232" i="508"/>
  <c r="X232" i="508"/>
  <c r="U232" i="508"/>
  <c r="T232" i="508"/>
  <c r="S232" i="508"/>
  <c r="R232" i="508"/>
  <c r="Q232" i="508"/>
  <c r="P232" i="508"/>
  <c r="O232" i="508"/>
  <c r="I232" i="508"/>
  <c r="G232" i="508"/>
  <c r="AA231" i="508"/>
  <c r="Z231" i="508"/>
  <c r="Y231" i="508"/>
  <c r="X231" i="508"/>
  <c r="U231" i="508"/>
  <c r="T231" i="508"/>
  <c r="S231" i="508"/>
  <c r="R231" i="508"/>
  <c r="Q231" i="508"/>
  <c r="P231" i="508"/>
  <c r="O231" i="508"/>
  <c r="I231" i="508"/>
  <c r="G231" i="508"/>
  <c r="AA230" i="508"/>
  <c r="Z230" i="508"/>
  <c r="Y230" i="508"/>
  <c r="X230" i="508"/>
  <c r="U230" i="508"/>
  <c r="T230" i="508"/>
  <c r="S230" i="508"/>
  <c r="R230" i="508"/>
  <c r="Q230" i="508"/>
  <c r="P230" i="508"/>
  <c r="O230" i="508"/>
  <c r="I230" i="508"/>
  <c r="G230" i="508"/>
  <c r="AA229" i="508"/>
  <c r="Z229" i="508"/>
  <c r="Y229" i="508"/>
  <c r="X229" i="508"/>
  <c r="U229" i="508"/>
  <c r="T229" i="508"/>
  <c r="S229" i="508"/>
  <c r="R229" i="508"/>
  <c r="Q229" i="508"/>
  <c r="P229" i="508"/>
  <c r="O229" i="508"/>
  <c r="I229" i="508"/>
  <c r="G229" i="508"/>
  <c r="AA228" i="508"/>
  <c r="Z228" i="508"/>
  <c r="Y228" i="508"/>
  <c r="X228" i="508"/>
  <c r="U228" i="508"/>
  <c r="T228" i="508"/>
  <c r="S228" i="508"/>
  <c r="R228" i="508"/>
  <c r="Q228" i="508"/>
  <c r="P228" i="508"/>
  <c r="O228" i="508"/>
  <c r="I228" i="508"/>
  <c r="G228" i="508"/>
  <c r="AA227" i="508"/>
  <c r="Z227" i="508"/>
  <c r="Y227" i="508"/>
  <c r="X227" i="508"/>
  <c r="U227" i="508"/>
  <c r="T227" i="508"/>
  <c r="S227" i="508"/>
  <c r="R227" i="508"/>
  <c r="Q227" i="508"/>
  <c r="P227" i="508"/>
  <c r="O227" i="508"/>
  <c r="I227" i="508"/>
  <c r="G227" i="508"/>
  <c r="AA226" i="508"/>
  <c r="Z226" i="508"/>
  <c r="Y226" i="508"/>
  <c r="X226" i="508"/>
  <c r="U226" i="508"/>
  <c r="T226" i="508"/>
  <c r="S226" i="508"/>
  <c r="R226" i="508"/>
  <c r="Q226" i="508"/>
  <c r="P226" i="508"/>
  <c r="O226" i="508"/>
  <c r="I226" i="508"/>
  <c r="G226" i="508"/>
  <c r="AA225" i="508"/>
  <c r="Z225" i="508"/>
  <c r="Y225" i="508"/>
  <c r="X225" i="508"/>
  <c r="U225" i="508"/>
  <c r="T225" i="508"/>
  <c r="S225" i="508"/>
  <c r="R225" i="508"/>
  <c r="Q225" i="508"/>
  <c r="P225" i="508"/>
  <c r="O225" i="508"/>
  <c r="I225" i="508"/>
  <c r="G225" i="508"/>
  <c r="AA224" i="508"/>
  <c r="Z224" i="508"/>
  <c r="Y224" i="508"/>
  <c r="X224" i="508"/>
  <c r="U224" i="508"/>
  <c r="T224" i="508"/>
  <c r="S224" i="508"/>
  <c r="R224" i="508"/>
  <c r="Q224" i="508"/>
  <c r="P224" i="508"/>
  <c r="O224" i="508"/>
  <c r="I224" i="508"/>
  <c r="G224" i="508"/>
  <c r="AA223" i="508"/>
  <c r="Z223" i="508"/>
  <c r="Y223" i="508"/>
  <c r="X223" i="508"/>
  <c r="U223" i="508"/>
  <c r="T223" i="508"/>
  <c r="S223" i="508"/>
  <c r="R223" i="508"/>
  <c r="Q223" i="508"/>
  <c r="P223" i="508"/>
  <c r="O223" i="508"/>
  <c r="I223" i="508"/>
  <c r="G223" i="508"/>
  <c r="AA222" i="508"/>
  <c r="Z222" i="508"/>
  <c r="Y222" i="508"/>
  <c r="X222" i="508"/>
  <c r="U222" i="508"/>
  <c r="T222" i="508"/>
  <c r="S222" i="508"/>
  <c r="R222" i="508"/>
  <c r="Q222" i="508"/>
  <c r="P222" i="508"/>
  <c r="O222" i="508"/>
  <c r="I222" i="508"/>
  <c r="G222" i="508"/>
  <c r="AA221" i="508"/>
  <c r="Z221" i="508"/>
  <c r="Y221" i="508"/>
  <c r="X221" i="508"/>
  <c r="U221" i="508"/>
  <c r="T221" i="508"/>
  <c r="S221" i="508"/>
  <c r="R221" i="508"/>
  <c r="Q221" i="508"/>
  <c r="P221" i="508"/>
  <c r="O221" i="508"/>
  <c r="I221" i="508"/>
  <c r="G221" i="508"/>
  <c r="AA220" i="508"/>
  <c r="Z220" i="508"/>
  <c r="Y220" i="508"/>
  <c r="X220" i="508"/>
  <c r="U220" i="508"/>
  <c r="T220" i="508"/>
  <c r="S220" i="508"/>
  <c r="R220" i="508"/>
  <c r="Q220" i="508"/>
  <c r="P220" i="508"/>
  <c r="O220" i="508"/>
  <c r="I220" i="508"/>
  <c r="G220" i="508"/>
  <c r="AA219" i="508"/>
  <c r="Z219" i="508"/>
  <c r="Y219" i="508"/>
  <c r="X219" i="508"/>
  <c r="U219" i="508"/>
  <c r="T219" i="508"/>
  <c r="S219" i="508"/>
  <c r="R219" i="508"/>
  <c r="Q219" i="508"/>
  <c r="P219" i="508"/>
  <c r="O219" i="508"/>
  <c r="I219" i="508"/>
  <c r="G219" i="508"/>
  <c r="AA218" i="508"/>
  <c r="Z218" i="508"/>
  <c r="Y218" i="508"/>
  <c r="X218" i="508"/>
  <c r="U218" i="508"/>
  <c r="T218" i="508"/>
  <c r="S218" i="508"/>
  <c r="R218" i="508"/>
  <c r="Q218" i="508"/>
  <c r="P218" i="508"/>
  <c r="O218" i="508"/>
  <c r="I218" i="508"/>
  <c r="G218" i="508"/>
  <c r="AA217" i="508"/>
  <c r="Z217" i="508"/>
  <c r="Y217" i="508"/>
  <c r="X217" i="508"/>
  <c r="U217" i="508"/>
  <c r="T217" i="508"/>
  <c r="S217" i="508"/>
  <c r="R217" i="508"/>
  <c r="Q217" i="508"/>
  <c r="P217" i="508"/>
  <c r="O217" i="508"/>
  <c r="I217" i="508"/>
  <c r="G217" i="508"/>
  <c r="AA216" i="508"/>
  <c r="Z216" i="508"/>
  <c r="Y216" i="508"/>
  <c r="X216" i="508"/>
  <c r="U216" i="508"/>
  <c r="T216" i="508"/>
  <c r="S216" i="508"/>
  <c r="R216" i="508"/>
  <c r="Q216" i="508"/>
  <c r="P216" i="508"/>
  <c r="O216" i="508"/>
  <c r="I216" i="508"/>
  <c r="G216" i="508"/>
  <c r="AA215" i="508"/>
  <c r="Z215" i="508"/>
  <c r="Y215" i="508"/>
  <c r="X215" i="508"/>
  <c r="U215" i="508"/>
  <c r="T215" i="508"/>
  <c r="S215" i="508"/>
  <c r="R215" i="508"/>
  <c r="Q215" i="508"/>
  <c r="P215" i="508"/>
  <c r="O215" i="508"/>
  <c r="I215" i="508"/>
  <c r="G215" i="508"/>
  <c r="AA214" i="508"/>
  <c r="Z214" i="508"/>
  <c r="Y214" i="508"/>
  <c r="X214" i="508"/>
  <c r="U214" i="508"/>
  <c r="T214" i="508"/>
  <c r="S214" i="508"/>
  <c r="R214" i="508"/>
  <c r="Q214" i="508"/>
  <c r="P214" i="508"/>
  <c r="O214" i="508"/>
  <c r="I214" i="508"/>
  <c r="G214" i="508"/>
  <c r="AA213" i="508"/>
  <c r="Z213" i="508"/>
  <c r="Y213" i="508"/>
  <c r="X213" i="508"/>
  <c r="U213" i="508"/>
  <c r="T213" i="508"/>
  <c r="S213" i="508"/>
  <c r="R213" i="508"/>
  <c r="Q213" i="508"/>
  <c r="P213" i="508"/>
  <c r="O213" i="508"/>
  <c r="I213" i="508"/>
  <c r="G213" i="508"/>
  <c r="AA212" i="508"/>
  <c r="Z212" i="508"/>
  <c r="Y212" i="508"/>
  <c r="X212" i="508"/>
  <c r="U212" i="508"/>
  <c r="T212" i="508"/>
  <c r="S212" i="508"/>
  <c r="R212" i="508"/>
  <c r="Q212" i="508"/>
  <c r="P212" i="508"/>
  <c r="O212" i="508"/>
  <c r="I212" i="508"/>
  <c r="G212" i="508"/>
  <c r="AA211" i="508"/>
  <c r="Z211" i="508"/>
  <c r="Y211" i="508"/>
  <c r="X211" i="508"/>
  <c r="U211" i="508"/>
  <c r="T211" i="508"/>
  <c r="S211" i="508"/>
  <c r="R211" i="508"/>
  <c r="Q211" i="508"/>
  <c r="P211" i="508"/>
  <c r="O211" i="508"/>
  <c r="I211" i="508"/>
  <c r="G211" i="508"/>
  <c r="AA210" i="508"/>
  <c r="Z210" i="508"/>
  <c r="Y210" i="508"/>
  <c r="X210" i="508"/>
  <c r="U210" i="508"/>
  <c r="T210" i="508"/>
  <c r="S210" i="508"/>
  <c r="R210" i="508"/>
  <c r="Q210" i="508"/>
  <c r="P210" i="508"/>
  <c r="O210" i="508"/>
  <c r="I210" i="508"/>
  <c r="G210" i="508"/>
  <c r="AA209" i="508"/>
  <c r="Z209" i="508"/>
  <c r="Y209" i="508"/>
  <c r="X209" i="508"/>
  <c r="U209" i="508"/>
  <c r="T209" i="508"/>
  <c r="S209" i="508"/>
  <c r="R209" i="508"/>
  <c r="Q209" i="508"/>
  <c r="P209" i="508"/>
  <c r="O209" i="508"/>
  <c r="I209" i="508"/>
  <c r="G209" i="508"/>
  <c r="AA208" i="508"/>
  <c r="Z208" i="508"/>
  <c r="Y208" i="508"/>
  <c r="X208" i="508"/>
  <c r="U208" i="508"/>
  <c r="T208" i="508"/>
  <c r="S208" i="508"/>
  <c r="R208" i="508"/>
  <c r="Q208" i="508"/>
  <c r="P208" i="508"/>
  <c r="O208" i="508"/>
  <c r="I208" i="508"/>
  <c r="G208" i="508"/>
  <c r="AA207" i="508"/>
  <c r="Z207" i="508"/>
  <c r="Y207" i="508"/>
  <c r="X207" i="508"/>
  <c r="U207" i="508"/>
  <c r="T207" i="508"/>
  <c r="S207" i="508"/>
  <c r="R207" i="508"/>
  <c r="Q207" i="508"/>
  <c r="P207" i="508"/>
  <c r="O207" i="508"/>
  <c r="I207" i="508"/>
  <c r="G207" i="508"/>
  <c r="I206" i="508"/>
  <c r="G206" i="508"/>
  <c r="I205" i="508"/>
  <c r="G205" i="508"/>
  <c r="I204" i="508"/>
  <c r="G204" i="508"/>
  <c r="AA203" i="508"/>
  <c r="Z203" i="508"/>
  <c r="Y203" i="508"/>
  <c r="X203" i="508"/>
  <c r="U203" i="508"/>
  <c r="T203" i="508"/>
  <c r="S203" i="508"/>
  <c r="R203" i="508"/>
  <c r="Q203" i="508"/>
  <c r="P203" i="508"/>
  <c r="O203" i="508"/>
  <c r="I203" i="508"/>
  <c r="G203" i="508"/>
  <c r="AA202" i="508"/>
  <c r="Z202" i="508"/>
  <c r="Y202" i="508"/>
  <c r="X202" i="508"/>
  <c r="U202" i="508"/>
  <c r="T202" i="508"/>
  <c r="S202" i="508"/>
  <c r="R202" i="508"/>
  <c r="Q202" i="508"/>
  <c r="P202" i="508"/>
  <c r="O202" i="508"/>
  <c r="I202" i="508"/>
  <c r="G202" i="508"/>
  <c r="AA201" i="508"/>
  <c r="Z201" i="508"/>
  <c r="Y201" i="508"/>
  <c r="X201" i="508"/>
  <c r="U201" i="508"/>
  <c r="T201" i="508"/>
  <c r="S201" i="508"/>
  <c r="R201" i="508"/>
  <c r="Q201" i="508"/>
  <c r="P201" i="508"/>
  <c r="O201" i="508"/>
  <c r="I201" i="508"/>
  <c r="G201" i="508"/>
  <c r="I200" i="508"/>
  <c r="G200" i="508"/>
  <c r="AA199" i="508"/>
  <c r="Z199" i="508"/>
  <c r="Y199" i="508"/>
  <c r="X199" i="508"/>
  <c r="U199" i="508"/>
  <c r="T199" i="508"/>
  <c r="S199" i="508"/>
  <c r="R199" i="508"/>
  <c r="Q199" i="508"/>
  <c r="P199" i="508"/>
  <c r="O199" i="508"/>
  <c r="I199" i="508"/>
  <c r="G199" i="508"/>
  <c r="AA197" i="508"/>
  <c r="Z197" i="508"/>
  <c r="Y197" i="508"/>
  <c r="X197" i="508"/>
  <c r="U197" i="508"/>
  <c r="T197" i="508"/>
  <c r="S197" i="508"/>
  <c r="R197" i="508"/>
  <c r="Q197" i="508"/>
  <c r="P197" i="508"/>
  <c r="O197" i="508"/>
  <c r="I197" i="508"/>
  <c r="G197" i="508"/>
  <c r="AA196" i="508"/>
  <c r="Z196" i="508"/>
  <c r="Y196" i="508"/>
  <c r="X196" i="508"/>
  <c r="U196" i="508"/>
  <c r="T196" i="508"/>
  <c r="S196" i="508"/>
  <c r="R196" i="508"/>
  <c r="Q196" i="508"/>
  <c r="P196" i="508"/>
  <c r="O196" i="508"/>
  <c r="I196" i="508"/>
  <c r="G196" i="508"/>
  <c r="AA195" i="508"/>
  <c r="Z195" i="508"/>
  <c r="Y195" i="508"/>
  <c r="X195" i="508"/>
  <c r="U195" i="508"/>
  <c r="T195" i="508"/>
  <c r="S195" i="508"/>
  <c r="R195" i="508"/>
  <c r="Q195" i="508"/>
  <c r="P195" i="508"/>
  <c r="O195" i="508"/>
  <c r="N195" i="508"/>
  <c r="I195" i="508"/>
  <c r="G195" i="508"/>
  <c r="AA194" i="508"/>
  <c r="Z194" i="508"/>
  <c r="Y194" i="508"/>
  <c r="X194" i="508"/>
  <c r="U194" i="508"/>
  <c r="T194" i="508"/>
  <c r="S194" i="508"/>
  <c r="R194" i="508"/>
  <c r="Q194" i="508"/>
  <c r="P194" i="508"/>
  <c r="O194" i="508"/>
  <c r="N194" i="508"/>
  <c r="I194" i="508"/>
  <c r="G194" i="508"/>
  <c r="AA193" i="508"/>
  <c r="Z193" i="508"/>
  <c r="Y193" i="508"/>
  <c r="X193" i="508"/>
  <c r="U193" i="508"/>
  <c r="T193" i="508"/>
  <c r="S193" i="508"/>
  <c r="R193" i="508"/>
  <c r="Q193" i="508"/>
  <c r="P193" i="508"/>
  <c r="O193" i="508"/>
  <c r="N193" i="508"/>
  <c r="I193" i="508"/>
  <c r="G193" i="508"/>
  <c r="AA192" i="508"/>
  <c r="Z192" i="508"/>
  <c r="Y192" i="508"/>
  <c r="X192" i="508"/>
  <c r="U192" i="508"/>
  <c r="T192" i="508"/>
  <c r="S192" i="508"/>
  <c r="R192" i="508"/>
  <c r="Q192" i="508"/>
  <c r="P192" i="508"/>
  <c r="O192" i="508"/>
  <c r="N192" i="508"/>
  <c r="I192" i="508"/>
  <c r="G192" i="508"/>
  <c r="AA191" i="508"/>
  <c r="Z191" i="508"/>
  <c r="Y191" i="508"/>
  <c r="X191" i="508"/>
  <c r="U191" i="508"/>
  <c r="T191" i="508"/>
  <c r="S191" i="508"/>
  <c r="R191" i="508"/>
  <c r="Q191" i="508"/>
  <c r="P191" i="508"/>
  <c r="O191" i="508"/>
  <c r="I191" i="508"/>
  <c r="G191" i="508"/>
  <c r="AA190" i="508"/>
  <c r="Z190" i="508"/>
  <c r="Y190" i="508"/>
  <c r="X190" i="508"/>
  <c r="U190" i="508"/>
  <c r="T190" i="508"/>
  <c r="S190" i="508"/>
  <c r="R190" i="508"/>
  <c r="Q190" i="508"/>
  <c r="P190" i="508"/>
  <c r="O190" i="508"/>
  <c r="I190" i="508"/>
  <c r="G190" i="508"/>
  <c r="AA189" i="508"/>
  <c r="Z189" i="508"/>
  <c r="Y189" i="508"/>
  <c r="X189" i="508"/>
  <c r="U189" i="508"/>
  <c r="T189" i="508"/>
  <c r="S189" i="508"/>
  <c r="R189" i="508"/>
  <c r="Q189" i="508"/>
  <c r="P189" i="508"/>
  <c r="O189" i="508"/>
  <c r="I189" i="508"/>
  <c r="G189" i="508"/>
  <c r="AA188" i="508"/>
  <c r="Z188" i="508"/>
  <c r="Y188" i="508"/>
  <c r="X188" i="508"/>
  <c r="U188" i="508"/>
  <c r="T188" i="508"/>
  <c r="S188" i="508"/>
  <c r="R188" i="508"/>
  <c r="Q188" i="508"/>
  <c r="P188" i="508"/>
  <c r="O188" i="508"/>
  <c r="I188" i="508"/>
  <c r="G188" i="508"/>
  <c r="AA187" i="508"/>
  <c r="Z187" i="508"/>
  <c r="Y187" i="508"/>
  <c r="X187" i="508"/>
  <c r="U187" i="508"/>
  <c r="T187" i="508"/>
  <c r="S187" i="508"/>
  <c r="R187" i="508"/>
  <c r="Q187" i="508"/>
  <c r="P187" i="508"/>
  <c r="O187" i="508"/>
  <c r="I187" i="508"/>
  <c r="G187" i="508"/>
  <c r="AA186" i="508"/>
  <c r="Z186" i="508"/>
  <c r="Y186" i="508"/>
  <c r="X186" i="508"/>
  <c r="U186" i="508"/>
  <c r="T186" i="508"/>
  <c r="S186" i="508"/>
  <c r="R186" i="508"/>
  <c r="Q186" i="508"/>
  <c r="P186" i="508"/>
  <c r="O186" i="508"/>
  <c r="I186" i="508"/>
  <c r="G186" i="508"/>
  <c r="AA185" i="508"/>
  <c r="Z185" i="508"/>
  <c r="Y185" i="508"/>
  <c r="X185" i="508"/>
  <c r="U185" i="508"/>
  <c r="T185" i="508"/>
  <c r="S185" i="508"/>
  <c r="R185" i="508"/>
  <c r="Q185" i="508"/>
  <c r="P185" i="508"/>
  <c r="O185" i="508"/>
  <c r="I185" i="508"/>
  <c r="G185" i="508"/>
  <c r="AA184" i="508"/>
  <c r="Z184" i="508"/>
  <c r="Y184" i="508"/>
  <c r="X184" i="508"/>
  <c r="U184" i="508"/>
  <c r="T184" i="508"/>
  <c r="S184" i="508"/>
  <c r="R184" i="508"/>
  <c r="Q184" i="508"/>
  <c r="P184" i="508"/>
  <c r="O184" i="508"/>
  <c r="I184" i="508"/>
  <c r="G184" i="508"/>
  <c r="AA183" i="508"/>
  <c r="Z183" i="508"/>
  <c r="Y183" i="508"/>
  <c r="X183" i="508"/>
  <c r="U183" i="508"/>
  <c r="T183" i="508"/>
  <c r="S183" i="508"/>
  <c r="R183" i="508"/>
  <c r="Q183" i="508"/>
  <c r="P183" i="508"/>
  <c r="O183" i="508"/>
  <c r="I183" i="508"/>
  <c r="G183" i="508"/>
  <c r="AA182" i="508"/>
  <c r="Z182" i="508"/>
  <c r="Y182" i="508"/>
  <c r="X182" i="508"/>
  <c r="U182" i="508"/>
  <c r="T182" i="508"/>
  <c r="S182" i="508"/>
  <c r="R182" i="508"/>
  <c r="Q182" i="508"/>
  <c r="P182" i="508"/>
  <c r="O182" i="508"/>
  <c r="I182" i="508"/>
  <c r="G182" i="508"/>
  <c r="AA181" i="508"/>
  <c r="Z181" i="508"/>
  <c r="Y181" i="508"/>
  <c r="X181" i="508"/>
  <c r="U181" i="508"/>
  <c r="T181" i="508"/>
  <c r="S181" i="508"/>
  <c r="R181" i="508"/>
  <c r="Q181" i="508"/>
  <c r="P181" i="508"/>
  <c r="O181" i="508"/>
  <c r="I181" i="508"/>
  <c r="G181" i="508"/>
  <c r="AA180" i="508"/>
  <c r="Z180" i="508"/>
  <c r="Y180" i="508"/>
  <c r="X180" i="508"/>
  <c r="U180" i="508"/>
  <c r="T180" i="508"/>
  <c r="S180" i="508"/>
  <c r="R180" i="508"/>
  <c r="Q180" i="508"/>
  <c r="P180" i="508"/>
  <c r="O180" i="508"/>
  <c r="I180" i="508"/>
  <c r="G180" i="508"/>
  <c r="AA179" i="508"/>
  <c r="Z179" i="508"/>
  <c r="Y179" i="508"/>
  <c r="X179" i="508"/>
  <c r="U179" i="508"/>
  <c r="T179" i="508"/>
  <c r="S179" i="508"/>
  <c r="R179" i="508"/>
  <c r="Q179" i="508"/>
  <c r="P179" i="508"/>
  <c r="O179" i="508"/>
  <c r="I179" i="508"/>
  <c r="G179" i="508"/>
  <c r="AA178" i="508"/>
  <c r="Z178" i="508"/>
  <c r="Y178" i="508"/>
  <c r="X178" i="508"/>
  <c r="U178" i="508"/>
  <c r="T178" i="508"/>
  <c r="S178" i="508"/>
  <c r="R178" i="508"/>
  <c r="Q178" i="508"/>
  <c r="P178" i="508"/>
  <c r="O178" i="508"/>
  <c r="I178" i="508"/>
  <c r="G178" i="508"/>
  <c r="AA177" i="508"/>
  <c r="Z177" i="508"/>
  <c r="Y177" i="508"/>
  <c r="X177" i="508"/>
  <c r="U177" i="508"/>
  <c r="T177" i="508"/>
  <c r="S177" i="508"/>
  <c r="R177" i="508"/>
  <c r="Q177" i="508"/>
  <c r="P177" i="508"/>
  <c r="O177" i="508"/>
  <c r="I177" i="508"/>
  <c r="G177" i="508"/>
  <c r="G168" i="508"/>
  <c r="C168" i="508"/>
  <c r="G167" i="508"/>
  <c r="C167" i="508"/>
  <c r="G166" i="508"/>
  <c r="C166" i="508"/>
  <c r="G165" i="508"/>
  <c r="C165" i="508"/>
  <c r="I161" i="508"/>
  <c r="G161" i="508"/>
  <c r="AA160" i="508"/>
  <c r="Z160" i="508"/>
  <c r="Y160" i="508"/>
  <c r="X160" i="508"/>
  <c r="U160" i="508"/>
  <c r="T160" i="508"/>
  <c r="S160" i="508"/>
  <c r="R160" i="508"/>
  <c r="Q160" i="508"/>
  <c r="P160" i="508"/>
  <c r="O160" i="508"/>
  <c r="N160" i="508"/>
  <c r="I160" i="508"/>
  <c r="G160" i="508"/>
  <c r="AA159" i="508"/>
  <c r="Z159" i="508"/>
  <c r="Y159" i="508"/>
  <c r="X159" i="508"/>
  <c r="U159" i="508"/>
  <c r="T159" i="508"/>
  <c r="S159" i="508"/>
  <c r="R159" i="508"/>
  <c r="Q159" i="508"/>
  <c r="P159" i="508"/>
  <c r="O159" i="508"/>
  <c r="N159" i="508"/>
  <c r="I159" i="508"/>
  <c r="G159" i="508"/>
  <c r="AA158" i="508"/>
  <c r="Z158" i="508"/>
  <c r="Y158" i="508"/>
  <c r="X158" i="508"/>
  <c r="U158" i="508"/>
  <c r="T158" i="508"/>
  <c r="S158" i="508"/>
  <c r="R158" i="508"/>
  <c r="Q158" i="508"/>
  <c r="P158" i="508"/>
  <c r="O158" i="508"/>
  <c r="I158" i="508"/>
  <c r="G158" i="508"/>
  <c r="AA157" i="508"/>
  <c r="Z157" i="508"/>
  <c r="Y157" i="508"/>
  <c r="X157" i="508"/>
  <c r="U157" i="508"/>
  <c r="T157" i="508"/>
  <c r="S157" i="508"/>
  <c r="R157" i="508"/>
  <c r="Q157" i="508"/>
  <c r="P157" i="508"/>
  <c r="O157" i="508"/>
  <c r="I157" i="508"/>
  <c r="G157" i="508"/>
  <c r="G156" i="508"/>
  <c r="I155" i="508"/>
  <c r="G155" i="508"/>
  <c r="AA154" i="508"/>
  <c r="Z154" i="508"/>
  <c r="Y154" i="508"/>
  <c r="X154" i="508"/>
  <c r="U154" i="508"/>
  <c r="T154" i="508"/>
  <c r="S154" i="508"/>
  <c r="R154" i="508"/>
  <c r="Q154" i="508"/>
  <c r="P154" i="508"/>
  <c r="O154" i="508"/>
  <c r="I154" i="508"/>
  <c r="G154" i="508"/>
  <c r="AA153" i="508"/>
  <c r="Z153" i="508"/>
  <c r="Y153" i="508"/>
  <c r="X153" i="508"/>
  <c r="U153" i="508"/>
  <c r="T153" i="508"/>
  <c r="S153" i="508"/>
  <c r="R153" i="508"/>
  <c r="Q153" i="508"/>
  <c r="P153" i="508"/>
  <c r="O153" i="508"/>
  <c r="I153" i="508"/>
  <c r="G153" i="508"/>
  <c r="AA152" i="508"/>
  <c r="Z152" i="508"/>
  <c r="Y152" i="508"/>
  <c r="X152" i="508"/>
  <c r="U152" i="508"/>
  <c r="T152" i="508"/>
  <c r="S152" i="508"/>
  <c r="R152" i="508"/>
  <c r="Q152" i="508"/>
  <c r="P152" i="508"/>
  <c r="O152" i="508"/>
  <c r="N152" i="508"/>
  <c r="I152" i="508"/>
  <c r="G152" i="508"/>
  <c r="AA151" i="508"/>
  <c r="Z151" i="508"/>
  <c r="Y151" i="508"/>
  <c r="X151" i="508"/>
  <c r="U151" i="508"/>
  <c r="T151" i="508"/>
  <c r="S151" i="508"/>
  <c r="R151" i="508"/>
  <c r="Q151" i="508"/>
  <c r="P151" i="508"/>
  <c r="O151" i="508"/>
  <c r="I151" i="508"/>
  <c r="G151" i="508"/>
  <c r="AA150" i="508"/>
  <c r="Z150" i="508"/>
  <c r="Y150" i="508"/>
  <c r="X150" i="508"/>
  <c r="U150" i="508"/>
  <c r="T150" i="508"/>
  <c r="S150" i="508"/>
  <c r="R150" i="508"/>
  <c r="Q150" i="508"/>
  <c r="P150" i="508"/>
  <c r="O150" i="508"/>
  <c r="I150" i="508"/>
  <c r="G150" i="508"/>
  <c r="AA149" i="508"/>
  <c r="Z149" i="508"/>
  <c r="Y149" i="508"/>
  <c r="X149" i="508"/>
  <c r="U149" i="508"/>
  <c r="T149" i="508"/>
  <c r="S149" i="508"/>
  <c r="R149" i="508"/>
  <c r="Q149" i="508"/>
  <c r="P149" i="508"/>
  <c r="O149" i="508"/>
  <c r="I149" i="508"/>
  <c r="G149" i="508"/>
  <c r="AA148" i="508"/>
  <c r="Z148" i="508"/>
  <c r="Y148" i="508"/>
  <c r="X148" i="508"/>
  <c r="U148" i="508"/>
  <c r="T148" i="508"/>
  <c r="S148" i="508"/>
  <c r="R148" i="508"/>
  <c r="Q148" i="508"/>
  <c r="P148" i="508"/>
  <c r="O148" i="508"/>
  <c r="I148" i="508"/>
  <c r="G148" i="508"/>
  <c r="AA146" i="508"/>
  <c r="Z146" i="508"/>
  <c r="Y146" i="508"/>
  <c r="X146" i="508"/>
  <c r="U146" i="508"/>
  <c r="T146" i="508"/>
  <c r="S146" i="508"/>
  <c r="R146" i="508"/>
  <c r="Q146" i="508"/>
  <c r="P146" i="508"/>
  <c r="O146" i="508"/>
  <c r="I146" i="508"/>
  <c r="G146" i="508"/>
  <c r="I143" i="508"/>
  <c r="G143" i="508"/>
  <c r="K143" i="508" s="1" a="1"/>
  <c r="K143" i="508" s="1"/>
  <c r="AA142" i="508"/>
  <c r="Z142" i="508"/>
  <c r="Y142" i="508"/>
  <c r="X142" i="508"/>
  <c r="U142" i="508"/>
  <c r="T142" i="508"/>
  <c r="S142" i="508"/>
  <c r="R142" i="508"/>
  <c r="Q142" i="508"/>
  <c r="P142" i="508"/>
  <c r="O142" i="508"/>
  <c r="I142" i="508"/>
  <c r="G142" i="508"/>
  <c r="AA141" i="508"/>
  <c r="Z141" i="508"/>
  <c r="Y141" i="508"/>
  <c r="X141" i="508"/>
  <c r="U141" i="508"/>
  <c r="T141" i="508"/>
  <c r="S141" i="508"/>
  <c r="R141" i="508"/>
  <c r="Q141" i="508"/>
  <c r="P141" i="508"/>
  <c r="O141" i="508"/>
  <c r="I141" i="508"/>
  <c r="G141" i="508"/>
  <c r="AA140" i="508"/>
  <c r="Z140" i="508"/>
  <c r="Y140" i="508"/>
  <c r="X140" i="508"/>
  <c r="U140" i="508"/>
  <c r="T140" i="508"/>
  <c r="S140" i="508"/>
  <c r="R140" i="508"/>
  <c r="Q140" i="508"/>
  <c r="P140" i="508"/>
  <c r="O140" i="508"/>
  <c r="I140" i="508"/>
  <c r="G140" i="508"/>
  <c r="AA139" i="508"/>
  <c r="Z139" i="508"/>
  <c r="Y139" i="508"/>
  <c r="X139" i="508"/>
  <c r="U139" i="508"/>
  <c r="T139" i="508"/>
  <c r="S139" i="508"/>
  <c r="R139" i="508"/>
  <c r="Q139" i="508"/>
  <c r="P139" i="508"/>
  <c r="O139" i="508"/>
  <c r="I139" i="508"/>
  <c r="G139" i="508"/>
  <c r="AA138" i="508"/>
  <c r="Z138" i="508"/>
  <c r="Y138" i="508"/>
  <c r="X138" i="508"/>
  <c r="U138" i="508"/>
  <c r="T138" i="508"/>
  <c r="S138" i="508"/>
  <c r="R138" i="508"/>
  <c r="Q138" i="508"/>
  <c r="P138" i="508"/>
  <c r="O138" i="508"/>
  <c r="I138" i="508"/>
  <c r="G138" i="508"/>
  <c r="R137" i="508"/>
  <c r="AA136" i="508"/>
  <c r="Z136" i="508"/>
  <c r="Y136" i="508"/>
  <c r="X136" i="508"/>
  <c r="U136" i="508"/>
  <c r="T136" i="508"/>
  <c r="S136" i="508"/>
  <c r="R136" i="508"/>
  <c r="Q136" i="508"/>
  <c r="P136" i="508"/>
  <c r="O136" i="508"/>
  <c r="I136" i="508"/>
  <c r="G136" i="508"/>
  <c r="AA135" i="508"/>
  <c r="Z135" i="508"/>
  <c r="Y135" i="508"/>
  <c r="X135" i="508"/>
  <c r="U135" i="508"/>
  <c r="T135" i="508"/>
  <c r="S135" i="508"/>
  <c r="R135" i="508"/>
  <c r="Q135" i="508"/>
  <c r="P135" i="508"/>
  <c r="O135" i="508"/>
  <c r="I135" i="508"/>
  <c r="G135" i="508"/>
  <c r="AA134" i="508"/>
  <c r="Z134" i="508"/>
  <c r="Y134" i="508"/>
  <c r="X134" i="508"/>
  <c r="U134" i="508"/>
  <c r="T134" i="508"/>
  <c r="S134" i="508"/>
  <c r="R134" i="508"/>
  <c r="Q134" i="508"/>
  <c r="P134" i="508"/>
  <c r="O134" i="508"/>
  <c r="I134" i="508"/>
  <c r="G134" i="508"/>
  <c r="AA133" i="508"/>
  <c r="Z133" i="508"/>
  <c r="Y133" i="508"/>
  <c r="X133" i="508"/>
  <c r="U133" i="508"/>
  <c r="T133" i="508"/>
  <c r="S133" i="508"/>
  <c r="R133" i="508"/>
  <c r="Q133" i="508"/>
  <c r="P133" i="508"/>
  <c r="O133" i="508"/>
  <c r="I133" i="508"/>
  <c r="G133" i="508"/>
  <c r="AA132" i="508"/>
  <c r="Z132" i="508"/>
  <c r="Y132" i="508"/>
  <c r="X132" i="508"/>
  <c r="U132" i="508"/>
  <c r="T132" i="508"/>
  <c r="S132" i="508"/>
  <c r="R132" i="508"/>
  <c r="Q132" i="508"/>
  <c r="P132" i="508"/>
  <c r="O132" i="508"/>
  <c r="I132" i="508"/>
  <c r="G132" i="508"/>
  <c r="AA131" i="508"/>
  <c r="Z131" i="508"/>
  <c r="Y131" i="508"/>
  <c r="X131" i="508"/>
  <c r="U131" i="508"/>
  <c r="T131" i="508"/>
  <c r="S131" i="508"/>
  <c r="R131" i="508"/>
  <c r="Q131" i="508"/>
  <c r="P131" i="508"/>
  <c r="O131" i="508"/>
  <c r="I131" i="508"/>
  <c r="G131" i="508"/>
  <c r="AA130" i="508"/>
  <c r="Z130" i="508"/>
  <c r="Y130" i="508"/>
  <c r="X130" i="508"/>
  <c r="U130" i="508"/>
  <c r="T130" i="508"/>
  <c r="S130" i="508"/>
  <c r="R130" i="508"/>
  <c r="Q130" i="508"/>
  <c r="P130" i="508"/>
  <c r="O130" i="508"/>
  <c r="I130" i="508"/>
  <c r="G130" i="508"/>
  <c r="AA129" i="508"/>
  <c r="Z129" i="508"/>
  <c r="Y129" i="508"/>
  <c r="X129" i="508"/>
  <c r="U129" i="508"/>
  <c r="T129" i="508"/>
  <c r="S129" i="508"/>
  <c r="R129" i="508"/>
  <c r="Q129" i="508"/>
  <c r="P129" i="508"/>
  <c r="O129" i="508"/>
  <c r="I129" i="508"/>
  <c r="G129" i="508"/>
  <c r="AA128" i="508"/>
  <c r="Z128" i="508"/>
  <c r="Y128" i="508"/>
  <c r="X128" i="508"/>
  <c r="U128" i="508"/>
  <c r="T128" i="508"/>
  <c r="S128" i="508"/>
  <c r="R128" i="508"/>
  <c r="Q128" i="508"/>
  <c r="P128" i="508"/>
  <c r="O128" i="508"/>
  <c r="I128" i="508"/>
  <c r="G128" i="508"/>
  <c r="AA127" i="508"/>
  <c r="Z127" i="508"/>
  <c r="Y127" i="508"/>
  <c r="X127" i="508"/>
  <c r="U127" i="508"/>
  <c r="T127" i="508"/>
  <c r="S127" i="508"/>
  <c r="R127" i="508"/>
  <c r="Q127" i="508"/>
  <c r="P127" i="508"/>
  <c r="O127" i="508"/>
  <c r="I127" i="508"/>
  <c r="G127" i="508"/>
  <c r="AA126" i="508"/>
  <c r="Z126" i="508"/>
  <c r="Y126" i="508"/>
  <c r="X126" i="508"/>
  <c r="U126" i="508"/>
  <c r="T126" i="508"/>
  <c r="S126" i="508"/>
  <c r="R126" i="508"/>
  <c r="Q126" i="508"/>
  <c r="P126" i="508"/>
  <c r="O126" i="508"/>
  <c r="I126" i="508"/>
  <c r="G126" i="508"/>
  <c r="AA125" i="508"/>
  <c r="Z125" i="508"/>
  <c r="Y125" i="508"/>
  <c r="X125" i="508"/>
  <c r="U125" i="508"/>
  <c r="T125" i="508"/>
  <c r="S125" i="508"/>
  <c r="R125" i="508"/>
  <c r="Q125" i="508"/>
  <c r="P125" i="508"/>
  <c r="O125" i="508"/>
  <c r="I125" i="508"/>
  <c r="G125" i="508"/>
  <c r="AA124" i="508"/>
  <c r="Z124" i="508"/>
  <c r="Y124" i="508"/>
  <c r="X124" i="508"/>
  <c r="U124" i="508"/>
  <c r="T124" i="508"/>
  <c r="S124" i="508"/>
  <c r="R124" i="508"/>
  <c r="Q124" i="508"/>
  <c r="P124" i="508"/>
  <c r="O124" i="508"/>
  <c r="I124" i="508"/>
  <c r="G124" i="508"/>
  <c r="AA123" i="508"/>
  <c r="Z123" i="508"/>
  <c r="Y123" i="508"/>
  <c r="X123" i="508"/>
  <c r="U123" i="508"/>
  <c r="T123" i="508"/>
  <c r="S123" i="508"/>
  <c r="R123" i="508"/>
  <c r="Q123" i="508"/>
  <c r="P123" i="508"/>
  <c r="O123" i="508"/>
  <c r="I123" i="508"/>
  <c r="G123" i="508"/>
  <c r="AA122" i="508"/>
  <c r="Z122" i="508"/>
  <c r="Y122" i="508"/>
  <c r="X122" i="508"/>
  <c r="U122" i="508"/>
  <c r="T122" i="508"/>
  <c r="S122" i="508"/>
  <c r="R122" i="508"/>
  <c r="Q122" i="508"/>
  <c r="P122" i="508"/>
  <c r="O122" i="508"/>
  <c r="I122" i="508"/>
  <c r="G122" i="508"/>
  <c r="AA120" i="508"/>
  <c r="Z120" i="508"/>
  <c r="Y120" i="508"/>
  <c r="X120" i="508"/>
  <c r="U120" i="508"/>
  <c r="T120" i="508"/>
  <c r="S120" i="508"/>
  <c r="R120" i="508"/>
  <c r="Q120" i="508"/>
  <c r="P120" i="508"/>
  <c r="O120" i="508"/>
  <c r="I120" i="508"/>
  <c r="G120" i="508"/>
  <c r="AA119" i="508"/>
  <c r="Z119" i="508"/>
  <c r="Y119" i="508"/>
  <c r="X119" i="508"/>
  <c r="U119" i="508"/>
  <c r="T119" i="508"/>
  <c r="S119" i="508"/>
  <c r="R119" i="508"/>
  <c r="Q119" i="508"/>
  <c r="P119" i="508"/>
  <c r="O119" i="508"/>
  <c r="I119" i="508"/>
  <c r="G119" i="508"/>
  <c r="AA118" i="508"/>
  <c r="Z118" i="508"/>
  <c r="Y118" i="508"/>
  <c r="X118" i="508"/>
  <c r="U118" i="508"/>
  <c r="T118" i="508"/>
  <c r="S118" i="508"/>
  <c r="R118" i="508"/>
  <c r="Q118" i="508"/>
  <c r="P118" i="508"/>
  <c r="O118" i="508"/>
  <c r="I118" i="508"/>
  <c r="G118" i="508"/>
  <c r="I117" i="508"/>
  <c r="G117" i="508"/>
  <c r="I116" i="508"/>
  <c r="G116" i="508"/>
  <c r="I115" i="508"/>
  <c r="G115" i="508"/>
  <c r="AA114" i="508"/>
  <c r="Z114" i="508"/>
  <c r="Y114" i="508"/>
  <c r="X114" i="508"/>
  <c r="U114" i="508"/>
  <c r="T114" i="508"/>
  <c r="S114" i="508"/>
  <c r="R114" i="508"/>
  <c r="Q114" i="508"/>
  <c r="P114" i="508"/>
  <c r="O114" i="508"/>
  <c r="I114" i="508"/>
  <c r="G114" i="508"/>
  <c r="AA113" i="508"/>
  <c r="Z113" i="508"/>
  <c r="Y113" i="508"/>
  <c r="X113" i="508"/>
  <c r="U113" i="508"/>
  <c r="T113" i="508"/>
  <c r="S113" i="508"/>
  <c r="R113" i="508"/>
  <c r="Q113" i="508"/>
  <c r="P113" i="508"/>
  <c r="O113" i="508"/>
  <c r="I113" i="508"/>
  <c r="G113" i="508"/>
  <c r="AA112" i="508"/>
  <c r="Z112" i="508"/>
  <c r="Y112" i="508"/>
  <c r="X112" i="508"/>
  <c r="U112" i="508"/>
  <c r="T112" i="508"/>
  <c r="S112" i="508"/>
  <c r="R112" i="508"/>
  <c r="Q112" i="508"/>
  <c r="P112" i="508"/>
  <c r="O112" i="508"/>
  <c r="I112" i="508"/>
  <c r="G112" i="508"/>
  <c r="AA111" i="508"/>
  <c r="Z111" i="508"/>
  <c r="Y111" i="508"/>
  <c r="X111" i="508"/>
  <c r="U111" i="508"/>
  <c r="T111" i="508"/>
  <c r="S111" i="508"/>
  <c r="R111" i="508"/>
  <c r="Q111" i="508"/>
  <c r="P111" i="508"/>
  <c r="O111" i="508"/>
  <c r="I111" i="508"/>
  <c r="G111" i="508"/>
  <c r="AA110" i="508"/>
  <c r="Z110" i="508"/>
  <c r="Y110" i="508"/>
  <c r="X110" i="508"/>
  <c r="U110" i="508"/>
  <c r="T110" i="508"/>
  <c r="S110" i="508"/>
  <c r="R110" i="508"/>
  <c r="Q110" i="508"/>
  <c r="P110" i="508"/>
  <c r="O110" i="508"/>
  <c r="I110" i="508"/>
  <c r="G110" i="508"/>
  <c r="AA109" i="508"/>
  <c r="Z109" i="508"/>
  <c r="Y109" i="508"/>
  <c r="X109" i="508"/>
  <c r="U109" i="508"/>
  <c r="T109" i="508"/>
  <c r="S109" i="508"/>
  <c r="R109" i="508"/>
  <c r="Q109" i="508"/>
  <c r="P109" i="508"/>
  <c r="O109" i="508"/>
  <c r="I109" i="508"/>
  <c r="G109" i="508"/>
  <c r="AA108" i="508"/>
  <c r="Z108" i="508"/>
  <c r="Y108" i="508"/>
  <c r="X108" i="508"/>
  <c r="U108" i="508"/>
  <c r="T108" i="508"/>
  <c r="S108" i="508"/>
  <c r="R108" i="508"/>
  <c r="Q108" i="508"/>
  <c r="P108" i="508"/>
  <c r="O108" i="508"/>
  <c r="I108" i="508"/>
  <c r="G108" i="508"/>
  <c r="AA107" i="508"/>
  <c r="Z107" i="508"/>
  <c r="Y107" i="508"/>
  <c r="X107" i="508"/>
  <c r="U107" i="508"/>
  <c r="T107" i="508"/>
  <c r="S107" i="508"/>
  <c r="R107" i="508"/>
  <c r="Q107" i="508"/>
  <c r="P107" i="508"/>
  <c r="O107" i="508"/>
  <c r="I107" i="508"/>
  <c r="G107" i="508"/>
  <c r="AA106" i="508"/>
  <c r="Z106" i="508"/>
  <c r="Y106" i="508"/>
  <c r="X106" i="508"/>
  <c r="U106" i="508"/>
  <c r="T106" i="508"/>
  <c r="S106" i="508"/>
  <c r="R106" i="508"/>
  <c r="Q106" i="508"/>
  <c r="P106" i="508"/>
  <c r="O106" i="508"/>
  <c r="I106" i="508"/>
  <c r="G106" i="508"/>
  <c r="AA105" i="508"/>
  <c r="Z105" i="508"/>
  <c r="Y105" i="508"/>
  <c r="X105" i="508"/>
  <c r="U105" i="508"/>
  <c r="T105" i="508"/>
  <c r="S105" i="508"/>
  <c r="R105" i="508"/>
  <c r="Q105" i="508"/>
  <c r="P105" i="508"/>
  <c r="O105" i="508"/>
  <c r="I105" i="508"/>
  <c r="G105" i="508"/>
  <c r="AA104" i="508"/>
  <c r="Z104" i="508"/>
  <c r="Y104" i="508"/>
  <c r="X104" i="508"/>
  <c r="U104" i="508"/>
  <c r="T104" i="508"/>
  <c r="S104" i="508"/>
  <c r="R104" i="508"/>
  <c r="Q104" i="508"/>
  <c r="P104" i="508"/>
  <c r="O104" i="508"/>
  <c r="I104" i="508"/>
  <c r="G104" i="508"/>
  <c r="AA103" i="508"/>
  <c r="Z103" i="508"/>
  <c r="Y103" i="508"/>
  <c r="X103" i="508"/>
  <c r="U103" i="508"/>
  <c r="T103" i="508"/>
  <c r="S103" i="508"/>
  <c r="R103" i="508"/>
  <c r="Q103" i="508"/>
  <c r="P103" i="508"/>
  <c r="O103" i="508"/>
  <c r="I103" i="508"/>
  <c r="G103" i="508"/>
  <c r="AA102" i="508"/>
  <c r="Z102" i="508"/>
  <c r="Y102" i="508"/>
  <c r="X102" i="508"/>
  <c r="U102" i="508"/>
  <c r="T102" i="508"/>
  <c r="S102" i="508"/>
  <c r="R102" i="508"/>
  <c r="Q102" i="508"/>
  <c r="P102" i="508"/>
  <c r="O102" i="508"/>
  <c r="I102" i="508"/>
  <c r="G102" i="508"/>
  <c r="AA101" i="508"/>
  <c r="Z101" i="508"/>
  <c r="Y101" i="508"/>
  <c r="X101" i="508"/>
  <c r="U101" i="508"/>
  <c r="T101" i="508"/>
  <c r="S101" i="508"/>
  <c r="R101" i="508"/>
  <c r="Q101" i="508"/>
  <c r="P101" i="508"/>
  <c r="O101" i="508"/>
  <c r="I101" i="508"/>
  <c r="G101" i="508"/>
  <c r="AA100" i="508"/>
  <c r="Z100" i="508"/>
  <c r="Y100" i="508"/>
  <c r="X100" i="508"/>
  <c r="U100" i="508"/>
  <c r="T100" i="508"/>
  <c r="S100" i="508"/>
  <c r="R100" i="508"/>
  <c r="Q100" i="508"/>
  <c r="P100" i="508"/>
  <c r="O100" i="508"/>
  <c r="I100" i="508"/>
  <c r="G100" i="508"/>
  <c r="AA99" i="508"/>
  <c r="Z99" i="508"/>
  <c r="Y99" i="508"/>
  <c r="X99" i="508"/>
  <c r="U99" i="508"/>
  <c r="T99" i="508"/>
  <c r="S99" i="508"/>
  <c r="R99" i="508"/>
  <c r="Q99" i="508"/>
  <c r="P99" i="508"/>
  <c r="O99" i="508"/>
  <c r="I99" i="508"/>
  <c r="G99" i="508"/>
  <c r="AA98" i="508"/>
  <c r="Z98" i="508"/>
  <c r="Y98" i="508"/>
  <c r="X98" i="508"/>
  <c r="U98" i="508"/>
  <c r="T98" i="508"/>
  <c r="S98" i="508"/>
  <c r="R98" i="508"/>
  <c r="Q98" i="508"/>
  <c r="P98" i="508"/>
  <c r="O98" i="508"/>
  <c r="I98" i="508"/>
  <c r="G98" i="508"/>
  <c r="AA97" i="508"/>
  <c r="Z97" i="508"/>
  <c r="Y97" i="508"/>
  <c r="X97" i="508"/>
  <c r="U97" i="508"/>
  <c r="T97" i="508"/>
  <c r="S97" i="508"/>
  <c r="R97" i="508"/>
  <c r="Q97" i="508"/>
  <c r="P97" i="508"/>
  <c r="O97" i="508"/>
  <c r="I97" i="508"/>
  <c r="G97" i="508"/>
  <c r="AA96" i="508"/>
  <c r="Z96" i="508"/>
  <c r="Y96" i="508"/>
  <c r="X96" i="508"/>
  <c r="U96" i="508"/>
  <c r="T96" i="508"/>
  <c r="S96" i="508"/>
  <c r="R96" i="508"/>
  <c r="Q96" i="508"/>
  <c r="P96" i="508"/>
  <c r="O96" i="508"/>
  <c r="I96" i="508"/>
  <c r="G96" i="508"/>
  <c r="AA95" i="508"/>
  <c r="Z95" i="508"/>
  <c r="Y95" i="508"/>
  <c r="X95" i="508"/>
  <c r="U95" i="508"/>
  <c r="T95" i="508"/>
  <c r="S95" i="508"/>
  <c r="R95" i="508"/>
  <c r="Q95" i="508"/>
  <c r="P95" i="508"/>
  <c r="O95" i="508"/>
  <c r="I95" i="508"/>
  <c r="G95" i="508"/>
  <c r="AA94" i="508"/>
  <c r="Z94" i="508"/>
  <c r="Y94" i="508"/>
  <c r="X94" i="508"/>
  <c r="U94" i="508"/>
  <c r="T94" i="508"/>
  <c r="S94" i="508"/>
  <c r="R94" i="508"/>
  <c r="Q94" i="508"/>
  <c r="P94" i="508"/>
  <c r="O94" i="508"/>
  <c r="N94" i="508"/>
  <c r="I94" i="508"/>
  <c r="G94" i="508"/>
  <c r="AA93" i="508"/>
  <c r="Z93" i="508"/>
  <c r="Y93" i="508"/>
  <c r="X93" i="508"/>
  <c r="U93" i="508"/>
  <c r="T93" i="508"/>
  <c r="S93" i="508"/>
  <c r="R93" i="508"/>
  <c r="Q93" i="508"/>
  <c r="P93" i="508"/>
  <c r="O93" i="508"/>
  <c r="I93" i="508"/>
  <c r="G93" i="508"/>
  <c r="AA92" i="508"/>
  <c r="Z92" i="508"/>
  <c r="Y92" i="508"/>
  <c r="X92" i="508"/>
  <c r="U92" i="508"/>
  <c r="T92" i="508"/>
  <c r="S92" i="508"/>
  <c r="R92" i="508"/>
  <c r="Q92" i="508"/>
  <c r="P92" i="508"/>
  <c r="O92" i="508"/>
  <c r="I92" i="508"/>
  <c r="G92" i="508"/>
  <c r="AA91" i="508"/>
  <c r="Z91" i="508"/>
  <c r="Y91" i="508"/>
  <c r="X91" i="508"/>
  <c r="U91" i="508"/>
  <c r="T91" i="508"/>
  <c r="S91" i="508"/>
  <c r="R91" i="508"/>
  <c r="Q91" i="508"/>
  <c r="P91" i="508"/>
  <c r="O91" i="508"/>
  <c r="I91" i="508"/>
  <c r="G91" i="508"/>
  <c r="AA90" i="508"/>
  <c r="Z90" i="508"/>
  <c r="Y90" i="508"/>
  <c r="X90" i="508"/>
  <c r="U90" i="508"/>
  <c r="T90" i="508"/>
  <c r="S90" i="508"/>
  <c r="R90" i="508"/>
  <c r="Q90" i="508"/>
  <c r="P90" i="508"/>
  <c r="O90" i="508"/>
  <c r="I90" i="508"/>
  <c r="G90" i="508"/>
  <c r="AA89" i="508"/>
  <c r="Z89" i="508"/>
  <c r="Y89" i="508"/>
  <c r="X89" i="508"/>
  <c r="U89" i="508"/>
  <c r="T89" i="508"/>
  <c r="S89" i="508"/>
  <c r="R89" i="508"/>
  <c r="Q89" i="508"/>
  <c r="P89" i="508"/>
  <c r="O89" i="508"/>
  <c r="I89" i="508"/>
  <c r="G89" i="508"/>
  <c r="AA88" i="508"/>
  <c r="Z88" i="508"/>
  <c r="Y88" i="508"/>
  <c r="X88" i="508"/>
  <c r="U88" i="508"/>
  <c r="T88" i="508"/>
  <c r="S88" i="508"/>
  <c r="R88" i="508"/>
  <c r="Q88" i="508"/>
  <c r="P88" i="508"/>
  <c r="O88" i="508"/>
  <c r="I88" i="508"/>
  <c r="G88" i="508"/>
  <c r="AA87" i="508"/>
  <c r="Z87" i="508"/>
  <c r="Y87" i="508"/>
  <c r="X87" i="508"/>
  <c r="U87" i="508"/>
  <c r="T87" i="508"/>
  <c r="S87" i="508"/>
  <c r="R87" i="508"/>
  <c r="Q87" i="508"/>
  <c r="P87" i="508"/>
  <c r="O87" i="508"/>
  <c r="I87" i="508"/>
  <c r="G87" i="508"/>
  <c r="AA85" i="508"/>
  <c r="Z85" i="508"/>
  <c r="Y85" i="508"/>
  <c r="X85" i="508"/>
  <c r="U85" i="508"/>
  <c r="T85" i="508"/>
  <c r="S85" i="508"/>
  <c r="R85" i="508"/>
  <c r="Q85" i="508"/>
  <c r="P85" i="508"/>
  <c r="O85" i="508"/>
  <c r="N85" i="508"/>
  <c r="I85" i="508"/>
  <c r="G85" i="508"/>
  <c r="AA84" i="508"/>
  <c r="Z84" i="508"/>
  <c r="Y84" i="508"/>
  <c r="X84" i="508"/>
  <c r="U84" i="508"/>
  <c r="T84" i="508"/>
  <c r="S84" i="508"/>
  <c r="R84" i="508"/>
  <c r="Q84" i="508"/>
  <c r="P84" i="508"/>
  <c r="O84" i="508"/>
  <c r="N84" i="508"/>
  <c r="I84" i="508"/>
  <c r="G84" i="508"/>
  <c r="AA83" i="508"/>
  <c r="Z83" i="508"/>
  <c r="Y83" i="508"/>
  <c r="X83" i="508"/>
  <c r="U83" i="508"/>
  <c r="T83" i="508"/>
  <c r="S83" i="508"/>
  <c r="R83" i="508"/>
  <c r="Q83" i="508"/>
  <c r="P83" i="508"/>
  <c r="O83" i="508"/>
  <c r="N83" i="508"/>
  <c r="I83" i="508"/>
  <c r="G83" i="508"/>
  <c r="N82" i="508"/>
  <c r="I82" i="508"/>
  <c r="G82" i="508"/>
  <c r="N81" i="508"/>
  <c r="I81" i="508"/>
  <c r="G81" i="508"/>
  <c r="N80" i="508"/>
  <c r="I80" i="508"/>
  <c r="G80" i="508"/>
  <c r="AA79" i="508"/>
  <c r="Z79" i="508"/>
  <c r="Y79" i="508"/>
  <c r="X79" i="508"/>
  <c r="U79" i="508"/>
  <c r="T79" i="508"/>
  <c r="S79" i="508"/>
  <c r="R79" i="508"/>
  <c r="Q79" i="508"/>
  <c r="P79" i="508"/>
  <c r="O79" i="508"/>
  <c r="N79" i="508"/>
  <c r="I79" i="508"/>
  <c r="G79" i="508"/>
  <c r="AA78" i="508"/>
  <c r="Z78" i="508"/>
  <c r="Y78" i="508"/>
  <c r="X78" i="508"/>
  <c r="U78" i="508"/>
  <c r="T78" i="508"/>
  <c r="S78" i="508"/>
  <c r="R78" i="508"/>
  <c r="Q78" i="508"/>
  <c r="P78" i="508"/>
  <c r="O78" i="508"/>
  <c r="N78" i="508"/>
  <c r="I78" i="508"/>
  <c r="G78" i="508"/>
  <c r="AA77" i="508"/>
  <c r="Z77" i="508"/>
  <c r="Y77" i="508"/>
  <c r="X77" i="508"/>
  <c r="U77" i="508"/>
  <c r="T77" i="508"/>
  <c r="S77" i="508"/>
  <c r="R77" i="508"/>
  <c r="Q77" i="508"/>
  <c r="P77" i="508"/>
  <c r="O77" i="508"/>
  <c r="N77" i="508"/>
  <c r="I77" i="508"/>
  <c r="G77" i="508"/>
  <c r="AA76" i="508"/>
  <c r="Z76" i="508"/>
  <c r="Y76" i="508"/>
  <c r="X76" i="508"/>
  <c r="U76" i="508"/>
  <c r="T76" i="508"/>
  <c r="S76" i="508"/>
  <c r="R76" i="508"/>
  <c r="Q76" i="508"/>
  <c r="P76" i="508"/>
  <c r="O76" i="508"/>
  <c r="N76" i="508"/>
  <c r="I76" i="508"/>
  <c r="G76" i="508"/>
  <c r="AA75" i="508"/>
  <c r="Z75" i="508"/>
  <c r="Y75" i="508"/>
  <c r="X75" i="508"/>
  <c r="U75" i="508"/>
  <c r="T75" i="508"/>
  <c r="S75" i="508"/>
  <c r="R75" i="508"/>
  <c r="Q75" i="508"/>
  <c r="P75" i="508"/>
  <c r="O75" i="508"/>
  <c r="I75" i="508"/>
  <c r="G75" i="508"/>
  <c r="AA74" i="508"/>
  <c r="Z74" i="508"/>
  <c r="Y74" i="508"/>
  <c r="X74" i="508"/>
  <c r="U74" i="508"/>
  <c r="T74" i="508"/>
  <c r="S74" i="508"/>
  <c r="R74" i="508"/>
  <c r="Q74" i="508"/>
  <c r="P74" i="508"/>
  <c r="O74" i="508"/>
  <c r="I74" i="508"/>
  <c r="G74" i="508"/>
  <c r="AA73" i="508"/>
  <c r="Z73" i="508"/>
  <c r="Y73" i="508"/>
  <c r="X73" i="508"/>
  <c r="U73" i="508"/>
  <c r="T73" i="508"/>
  <c r="S73" i="508"/>
  <c r="R73" i="508"/>
  <c r="Q73" i="508"/>
  <c r="P73" i="508"/>
  <c r="O73" i="508"/>
  <c r="I73" i="508"/>
  <c r="G73" i="508"/>
  <c r="AA72" i="508"/>
  <c r="Z72" i="508"/>
  <c r="Y72" i="508"/>
  <c r="X72" i="508"/>
  <c r="U72" i="508"/>
  <c r="T72" i="508"/>
  <c r="S72" i="508"/>
  <c r="R72" i="508"/>
  <c r="Q72" i="508"/>
  <c r="P72" i="508"/>
  <c r="O72" i="508"/>
  <c r="I72" i="508"/>
  <c r="G72" i="508"/>
  <c r="AA71" i="508"/>
  <c r="Z71" i="508"/>
  <c r="Y71" i="508"/>
  <c r="X71" i="508"/>
  <c r="U71" i="508"/>
  <c r="T71" i="508"/>
  <c r="S71" i="508"/>
  <c r="R71" i="508"/>
  <c r="Q71" i="508"/>
  <c r="P71" i="508"/>
  <c r="O71" i="508"/>
  <c r="N71" i="508"/>
  <c r="I71" i="508"/>
  <c r="G71" i="508"/>
  <c r="AA70" i="508"/>
  <c r="Z70" i="508"/>
  <c r="Y70" i="508"/>
  <c r="X70" i="508"/>
  <c r="U70" i="508"/>
  <c r="T70" i="508"/>
  <c r="S70" i="508"/>
  <c r="R70" i="508"/>
  <c r="Q70" i="508"/>
  <c r="P70" i="508"/>
  <c r="O70" i="508"/>
  <c r="I70" i="508"/>
  <c r="G70" i="508"/>
  <c r="AA69" i="508"/>
  <c r="Z69" i="508"/>
  <c r="Y69" i="508"/>
  <c r="X69" i="508"/>
  <c r="U69" i="508"/>
  <c r="T69" i="508"/>
  <c r="S69" i="508"/>
  <c r="R69" i="508"/>
  <c r="Q69" i="508"/>
  <c r="P69" i="508"/>
  <c r="O69" i="508"/>
  <c r="I69" i="508"/>
  <c r="G69" i="508"/>
  <c r="AA68" i="508"/>
  <c r="Z68" i="508"/>
  <c r="Y68" i="508"/>
  <c r="X68" i="508"/>
  <c r="U68" i="508"/>
  <c r="T68" i="508"/>
  <c r="S68" i="508"/>
  <c r="R68" i="508"/>
  <c r="Q68" i="508"/>
  <c r="P68" i="508"/>
  <c r="O68" i="508"/>
  <c r="N68" i="508"/>
  <c r="I68" i="508"/>
  <c r="G68" i="508"/>
  <c r="I67" i="508"/>
  <c r="G67" i="508"/>
  <c r="AA66" i="508"/>
  <c r="Z66" i="508"/>
  <c r="Y66" i="508"/>
  <c r="X66" i="508"/>
  <c r="U66" i="508"/>
  <c r="T66" i="508"/>
  <c r="S66" i="508"/>
  <c r="R66" i="508"/>
  <c r="Q66" i="508"/>
  <c r="P66" i="508"/>
  <c r="O66" i="508"/>
  <c r="I66" i="508"/>
  <c r="G66" i="508"/>
  <c r="AA65" i="508"/>
  <c r="Z65" i="508"/>
  <c r="Y65" i="508"/>
  <c r="X65" i="508"/>
  <c r="U65" i="508"/>
  <c r="T65" i="508"/>
  <c r="S65" i="508"/>
  <c r="R65" i="508"/>
  <c r="Q65" i="508"/>
  <c r="P65" i="508"/>
  <c r="O65" i="508"/>
  <c r="I65" i="508"/>
  <c r="G65" i="508"/>
  <c r="AA64" i="508"/>
  <c r="Z64" i="508"/>
  <c r="Y64" i="508"/>
  <c r="X64" i="508"/>
  <c r="U64" i="508"/>
  <c r="T64" i="508"/>
  <c r="S64" i="508"/>
  <c r="R64" i="508"/>
  <c r="Q64" i="508"/>
  <c r="P64" i="508"/>
  <c r="O64" i="508"/>
  <c r="I64" i="508"/>
  <c r="G64" i="508"/>
  <c r="AA63" i="508"/>
  <c r="Z63" i="508"/>
  <c r="Y63" i="508"/>
  <c r="X63" i="508"/>
  <c r="U63" i="508"/>
  <c r="T63" i="508"/>
  <c r="S63" i="508"/>
  <c r="R63" i="508"/>
  <c r="Q63" i="508"/>
  <c r="P63" i="508"/>
  <c r="O63" i="508"/>
  <c r="I63" i="508"/>
  <c r="G63" i="508"/>
  <c r="AA62" i="508"/>
  <c r="Z62" i="508"/>
  <c r="Y62" i="508"/>
  <c r="X62" i="508"/>
  <c r="U62" i="508"/>
  <c r="T62" i="508"/>
  <c r="S62" i="508"/>
  <c r="R62" i="508"/>
  <c r="Q62" i="508"/>
  <c r="P62" i="508"/>
  <c r="O62" i="508"/>
  <c r="I62" i="508"/>
  <c r="G62" i="508"/>
  <c r="AA61" i="508"/>
  <c r="Z61" i="508"/>
  <c r="Y61" i="508"/>
  <c r="X61" i="508"/>
  <c r="U61" i="508"/>
  <c r="T61" i="508"/>
  <c r="S61" i="508"/>
  <c r="R61" i="508"/>
  <c r="Q61" i="508"/>
  <c r="P61" i="508"/>
  <c r="O61" i="508"/>
  <c r="I61" i="508"/>
  <c r="G61" i="508"/>
  <c r="AA60" i="508"/>
  <c r="Z60" i="508"/>
  <c r="Y60" i="508"/>
  <c r="X60" i="508"/>
  <c r="U60" i="508"/>
  <c r="T60" i="508"/>
  <c r="S60" i="508"/>
  <c r="R60" i="508"/>
  <c r="Q60" i="508"/>
  <c r="P60" i="508"/>
  <c r="O60" i="508"/>
  <c r="I60" i="508"/>
  <c r="G60" i="508"/>
  <c r="AA59" i="508"/>
  <c r="Z59" i="508"/>
  <c r="Y59" i="508"/>
  <c r="X59" i="508"/>
  <c r="U59" i="508"/>
  <c r="T59" i="508"/>
  <c r="S59" i="508"/>
  <c r="R59" i="508"/>
  <c r="Q59" i="508"/>
  <c r="P59" i="508"/>
  <c r="O59" i="508"/>
  <c r="I59" i="508"/>
  <c r="G59" i="508"/>
  <c r="AA58" i="508"/>
  <c r="Z58" i="508"/>
  <c r="Y58" i="508"/>
  <c r="X58" i="508"/>
  <c r="U58" i="508"/>
  <c r="T58" i="508"/>
  <c r="S58" i="508"/>
  <c r="R58" i="508"/>
  <c r="Q58" i="508"/>
  <c r="P58" i="508"/>
  <c r="O58" i="508"/>
  <c r="I58" i="508"/>
  <c r="G58" i="508"/>
  <c r="AA57" i="508"/>
  <c r="Z57" i="508"/>
  <c r="Y57" i="508"/>
  <c r="X57" i="508"/>
  <c r="U57" i="508"/>
  <c r="T57" i="508"/>
  <c r="S57" i="508"/>
  <c r="R57" i="508"/>
  <c r="Q57" i="508"/>
  <c r="P57" i="508"/>
  <c r="O57" i="508"/>
  <c r="I57" i="508"/>
  <c r="G57" i="508"/>
  <c r="AA56" i="508"/>
  <c r="Z56" i="508"/>
  <c r="Y56" i="508"/>
  <c r="X56" i="508"/>
  <c r="U56" i="508"/>
  <c r="T56" i="508"/>
  <c r="S56" i="508"/>
  <c r="R56" i="508"/>
  <c r="Q56" i="508"/>
  <c r="P56" i="508"/>
  <c r="O56" i="508"/>
  <c r="N56" i="508"/>
  <c r="I56" i="508"/>
  <c r="G56" i="508"/>
  <c r="AA55" i="508"/>
  <c r="Z55" i="508"/>
  <c r="Y55" i="508"/>
  <c r="X55" i="508"/>
  <c r="U55" i="508"/>
  <c r="T55" i="508"/>
  <c r="S55" i="508"/>
  <c r="R55" i="508"/>
  <c r="Q55" i="508"/>
  <c r="P55" i="508"/>
  <c r="O55" i="508"/>
  <c r="N55" i="508"/>
  <c r="I55" i="508"/>
  <c r="G55" i="508"/>
  <c r="AA54" i="508"/>
  <c r="Z54" i="508"/>
  <c r="Y54" i="508"/>
  <c r="X54" i="508"/>
  <c r="U54" i="508"/>
  <c r="T54" i="508"/>
  <c r="S54" i="508"/>
  <c r="R54" i="508"/>
  <c r="Q54" i="508"/>
  <c r="P54" i="508"/>
  <c r="O54" i="508"/>
  <c r="N54" i="508"/>
  <c r="I54" i="508"/>
  <c r="G54" i="508"/>
  <c r="AA53" i="508"/>
  <c r="Z53" i="508"/>
  <c r="Y53" i="508"/>
  <c r="X53" i="508"/>
  <c r="U53" i="508"/>
  <c r="T53" i="508"/>
  <c r="S53" i="508"/>
  <c r="R53" i="508"/>
  <c r="Q53" i="508"/>
  <c r="P53" i="508"/>
  <c r="O53" i="508"/>
  <c r="N53" i="508"/>
  <c r="I53" i="508"/>
  <c r="G53" i="508"/>
  <c r="AA52" i="508"/>
  <c r="Z52" i="508"/>
  <c r="Y52" i="508"/>
  <c r="X52" i="508"/>
  <c r="U52" i="508"/>
  <c r="T52" i="508"/>
  <c r="S52" i="508"/>
  <c r="R52" i="508"/>
  <c r="Q52" i="508"/>
  <c r="P52" i="508"/>
  <c r="O52" i="508"/>
  <c r="I52" i="508"/>
  <c r="G52" i="508"/>
  <c r="AA51" i="508"/>
  <c r="Z51" i="508"/>
  <c r="Y51" i="508"/>
  <c r="X51" i="508"/>
  <c r="U51" i="508"/>
  <c r="T51" i="508"/>
  <c r="S51" i="508"/>
  <c r="R51" i="508"/>
  <c r="Q51" i="508"/>
  <c r="P51" i="508"/>
  <c r="O51" i="508"/>
  <c r="I51" i="508"/>
  <c r="G51" i="508"/>
  <c r="AA50" i="508"/>
  <c r="Z50" i="508"/>
  <c r="Y50" i="508"/>
  <c r="X50" i="508"/>
  <c r="U50" i="508"/>
  <c r="T50" i="508"/>
  <c r="S50" i="508"/>
  <c r="R50" i="508"/>
  <c r="Q50" i="508"/>
  <c r="P50" i="508"/>
  <c r="O50" i="508"/>
  <c r="I50" i="508"/>
  <c r="G50" i="508"/>
  <c r="AA49" i="508"/>
  <c r="Z49" i="508"/>
  <c r="Y49" i="508"/>
  <c r="X49" i="508"/>
  <c r="U49" i="508"/>
  <c r="T49" i="508"/>
  <c r="S49" i="508"/>
  <c r="R49" i="508"/>
  <c r="Q49" i="508"/>
  <c r="P49" i="508"/>
  <c r="O49" i="508"/>
  <c r="I49" i="508"/>
  <c r="G49" i="508"/>
  <c r="AA48" i="508"/>
  <c r="Z48" i="508"/>
  <c r="Y48" i="508"/>
  <c r="X48" i="508"/>
  <c r="U48" i="508"/>
  <c r="T48" i="508"/>
  <c r="S48" i="508"/>
  <c r="R48" i="508"/>
  <c r="Q48" i="508"/>
  <c r="P48" i="508"/>
  <c r="O48" i="508"/>
  <c r="I48" i="508"/>
  <c r="G48" i="508"/>
  <c r="AA47" i="508"/>
  <c r="Z47" i="508"/>
  <c r="Y47" i="508"/>
  <c r="X47" i="508"/>
  <c r="U47" i="508"/>
  <c r="T47" i="508"/>
  <c r="S47" i="508"/>
  <c r="R47" i="508"/>
  <c r="Q47" i="508"/>
  <c r="P47" i="508"/>
  <c r="O47" i="508"/>
  <c r="I47" i="508"/>
  <c r="G47" i="508"/>
  <c r="AA46" i="508"/>
  <c r="Z46" i="508"/>
  <c r="Y46" i="508"/>
  <c r="X46" i="508"/>
  <c r="U46" i="508"/>
  <c r="T46" i="508"/>
  <c r="S46" i="508"/>
  <c r="R46" i="508"/>
  <c r="Q46" i="508"/>
  <c r="P46" i="508"/>
  <c r="O46" i="508"/>
  <c r="I46" i="508"/>
  <c r="G46" i="508"/>
  <c r="AA45" i="508"/>
  <c r="Z45" i="508"/>
  <c r="Y45" i="508"/>
  <c r="X45" i="508"/>
  <c r="U45" i="508"/>
  <c r="T45" i="508"/>
  <c r="S45" i="508"/>
  <c r="R45" i="508"/>
  <c r="Q45" i="508"/>
  <c r="P45" i="508"/>
  <c r="O45" i="508"/>
  <c r="I45" i="508"/>
  <c r="G45" i="508"/>
  <c r="AA44" i="508"/>
  <c r="Z44" i="508"/>
  <c r="Y44" i="508"/>
  <c r="X44" i="508"/>
  <c r="U44" i="508"/>
  <c r="T44" i="508"/>
  <c r="S44" i="508"/>
  <c r="R44" i="508"/>
  <c r="Q44" i="508"/>
  <c r="P44" i="508"/>
  <c r="O44" i="508"/>
  <c r="I44" i="508"/>
  <c r="G44" i="508"/>
  <c r="AA43" i="508"/>
  <c r="Z43" i="508"/>
  <c r="Y43" i="508"/>
  <c r="X43" i="508"/>
  <c r="U43" i="508"/>
  <c r="T43" i="508"/>
  <c r="S43" i="508"/>
  <c r="R43" i="508"/>
  <c r="Q43" i="508"/>
  <c r="P43" i="508"/>
  <c r="O43" i="508"/>
  <c r="I43" i="508"/>
  <c r="G43" i="508"/>
  <c r="AA42" i="508"/>
  <c r="Z42" i="508"/>
  <c r="Y42" i="508"/>
  <c r="X42" i="508"/>
  <c r="U42" i="508"/>
  <c r="T42" i="508"/>
  <c r="S42" i="508"/>
  <c r="R42" i="508"/>
  <c r="Q42" i="508"/>
  <c r="P42" i="508"/>
  <c r="O42" i="508"/>
  <c r="I42" i="508"/>
  <c r="G42" i="508"/>
  <c r="AA41" i="508"/>
  <c r="Z41" i="508"/>
  <c r="Y41" i="508"/>
  <c r="X41" i="508"/>
  <c r="U41" i="508"/>
  <c r="T41" i="508"/>
  <c r="S41" i="508"/>
  <c r="R41" i="508"/>
  <c r="Q41" i="508"/>
  <c r="P41" i="508"/>
  <c r="O41" i="508"/>
  <c r="I41" i="508"/>
  <c r="G41" i="508"/>
  <c r="AA40" i="508"/>
  <c r="Z40" i="508"/>
  <c r="Y40" i="508"/>
  <c r="X40" i="508"/>
  <c r="U40" i="508"/>
  <c r="T40" i="508"/>
  <c r="S40" i="508"/>
  <c r="R40" i="508"/>
  <c r="Q40" i="508"/>
  <c r="P40" i="508"/>
  <c r="O40" i="508"/>
  <c r="I40" i="508"/>
  <c r="G40" i="508"/>
  <c r="AA39" i="508"/>
  <c r="Z39" i="508"/>
  <c r="Y39" i="508"/>
  <c r="X39" i="508"/>
  <c r="U39" i="508"/>
  <c r="T39" i="508"/>
  <c r="S39" i="508"/>
  <c r="R39" i="508"/>
  <c r="Q39" i="508"/>
  <c r="P39" i="508"/>
  <c r="O39" i="508"/>
  <c r="I39" i="508"/>
  <c r="G39" i="508"/>
  <c r="AA38" i="508"/>
  <c r="Z38" i="508"/>
  <c r="Y38" i="508"/>
  <c r="X38" i="508"/>
  <c r="U38" i="508"/>
  <c r="T38" i="508"/>
  <c r="S38" i="508"/>
  <c r="R38" i="508"/>
  <c r="Q38" i="508"/>
  <c r="P38" i="508"/>
  <c r="O38" i="508"/>
  <c r="I38" i="508"/>
  <c r="G38" i="508"/>
  <c r="AA37" i="508"/>
  <c r="Z37" i="508"/>
  <c r="Y37" i="508"/>
  <c r="X37" i="508"/>
  <c r="U37" i="508"/>
  <c r="T37" i="508"/>
  <c r="S37" i="508"/>
  <c r="R37" i="508"/>
  <c r="Q37" i="508"/>
  <c r="P37" i="508"/>
  <c r="O37" i="508"/>
  <c r="I37" i="508"/>
  <c r="G37" i="508"/>
  <c r="I36" i="508"/>
  <c r="G36" i="508"/>
  <c r="I35" i="508"/>
  <c r="G35" i="508"/>
  <c r="I34" i="508"/>
  <c r="G34" i="508"/>
  <c r="AA33" i="508"/>
  <c r="Z33" i="508"/>
  <c r="Y33" i="508"/>
  <c r="X33" i="508"/>
  <c r="U33" i="508"/>
  <c r="T33" i="508"/>
  <c r="S33" i="508"/>
  <c r="R33" i="508"/>
  <c r="Q33" i="508"/>
  <c r="P33" i="508"/>
  <c r="O33" i="508"/>
  <c r="I33" i="508"/>
  <c r="G33" i="508"/>
  <c r="AA32" i="508"/>
  <c r="Z32" i="508"/>
  <c r="Y32" i="508"/>
  <c r="X32" i="508"/>
  <c r="U32" i="508"/>
  <c r="T32" i="508"/>
  <c r="S32" i="508"/>
  <c r="R32" i="508"/>
  <c r="Q32" i="508"/>
  <c r="P32" i="508"/>
  <c r="O32" i="508"/>
  <c r="I32" i="508"/>
  <c r="G32" i="508"/>
  <c r="AA31" i="508"/>
  <c r="Z31" i="508"/>
  <c r="Y31" i="508"/>
  <c r="X31" i="508"/>
  <c r="U31" i="508"/>
  <c r="T31" i="508"/>
  <c r="S31" i="508"/>
  <c r="R31" i="508"/>
  <c r="Q31" i="508"/>
  <c r="P31" i="508"/>
  <c r="O31" i="508"/>
  <c r="I31" i="508"/>
  <c r="G31" i="508"/>
  <c r="I30" i="508"/>
  <c r="G30" i="508"/>
  <c r="AA29" i="508"/>
  <c r="Z29" i="508"/>
  <c r="Y29" i="508"/>
  <c r="X29" i="508"/>
  <c r="U29" i="508"/>
  <c r="T29" i="508"/>
  <c r="S29" i="508"/>
  <c r="R29" i="508"/>
  <c r="Q29" i="508"/>
  <c r="P29" i="508"/>
  <c r="O29" i="508"/>
  <c r="I29" i="508"/>
  <c r="G29" i="508"/>
  <c r="AA27" i="508"/>
  <c r="Z27" i="508"/>
  <c r="Y27" i="508"/>
  <c r="X27" i="508"/>
  <c r="U27" i="508"/>
  <c r="T27" i="508"/>
  <c r="S27" i="508"/>
  <c r="R27" i="508"/>
  <c r="Q27" i="508"/>
  <c r="P27" i="508"/>
  <c r="O27" i="508"/>
  <c r="I27" i="508"/>
  <c r="G27" i="508"/>
  <c r="AA26" i="508"/>
  <c r="Z26" i="508"/>
  <c r="Y26" i="508"/>
  <c r="X26" i="508"/>
  <c r="U26" i="508"/>
  <c r="T26" i="508"/>
  <c r="S26" i="508"/>
  <c r="R26" i="508"/>
  <c r="Q26" i="508"/>
  <c r="P26" i="508"/>
  <c r="O26" i="508"/>
  <c r="I26" i="508"/>
  <c r="G26" i="508"/>
  <c r="AA25" i="508"/>
  <c r="Z25" i="508"/>
  <c r="Y25" i="508"/>
  <c r="X25" i="508"/>
  <c r="U25" i="508"/>
  <c r="T25" i="508"/>
  <c r="S25" i="508"/>
  <c r="R25" i="508"/>
  <c r="Q25" i="508"/>
  <c r="P25" i="508"/>
  <c r="O25" i="508"/>
  <c r="N25" i="508"/>
  <c r="I25" i="508"/>
  <c r="G25" i="508"/>
  <c r="AA24" i="508"/>
  <c r="Z24" i="508"/>
  <c r="Y24" i="508"/>
  <c r="X24" i="508"/>
  <c r="U24" i="508"/>
  <c r="T24" i="508"/>
  <c r="S24" i="508"/>
  <c r="R24" i="508"/>
  <c r="Q24" i="508"/>
  <c r="P24" i="508"/>
  <c r="O24" i="508"/>
  <c r="N24" i="508"/>
  <c r="I24" i="508"/>
  <c r="G24" i="508"/>
  <c r="AA23" i="508"/>
  <c r="Z23" i="508"/>
  <c r="Y23" i="508"/>
  <c r="X23" i="508"/>
  <c r="U23" i="508"/>
  <c r="T23" i="508"/>
  <c r="S23" i="508"/>
  <c r="R23" i="508"/>
  <c r="Q23" i="508"/>
  <c r="P23" i="508"/>
  <c r="O23" i="508"/>
  <c r="N23" i="508"/>
  <c r="I23" i="508"/>
  <c r="G23" i="508"/>
  <c r="AA22" i="508"/>
  <c r="Z22" i="508"/>
  <c r="Y22" i="508"/>
  <c r="X22" i="508"/>
  <c r="U22" i="508"/>
  <c r="T22" i="508"/>
  <c r="S22" i="508"/>
  <c r="R22" i="508"/>
  <c r="Q22" i="508"/>
  <c r="P22" i="508"/>
  <c r="O22" i="508"/>
  <c r="N22" i="508"/>
  <c r="I22" i="508"/>
  <c r="G22" i="508"/>
  <c r="AA21" i="508"/>
  <c r="Z21" i="508"/>
  <c r="Y21" i="508"/>
  <c r="X21" i="508"/>
  <c r="U21" i="508"/>
  <c r="T21" i="508"/>
  <c r="S21" i="508"/>
  <c r="R21" i="508"/>
  <c r="Q21" i="508"/>
  <c r="P21" i="508"/>
  <c r="O21" i="508"/>
  <c r="I21" i="508"/>
  <c r="G21" i="508"/>
  <c r="AA20" i="508"/>
  <c r="Z20" i="508"/>
  <c r="Y20" i="508"/>
  <c r="X20" i="508"/>
  <c r="U20" i="508"/>
  <c r="T20" i="508"/>
  <c r="S20" i="508"/>
  <c r="R20" i="508"/>
  <c r="Q20" i="508"/>
  <c r="P20" i="508"/>
  <c r="O20" i="508"/>
  <c r="I20" i="508"/>
  <c r="G20" i="508"/>
  <c r="AA19" i="508"/>
  <c r="Z19" i="508"/>
  <c r="Y19" i="508"/>
  <c r="X19" i="508"/>
  <c r="U19" i="508"/>
  <c r="T19" i="508"/>
  <c r="S19" i="508"/>
  <c r="R19" i="508"/>
  <c r="Q19" i="508"/>
  <c r="P19" i="508"/>
  <c r="O19" i="508"/>
  <c r="I19" i="508"/>
  <c r="G19" i="508"/>
  <c r="AA18" i="508"/>
  <c r="Z18" i="508"/>
  <c r="Y18" i="508"/>
  <c r="X18" i="508"/>
  <c r="U18" i="508"/>
  <c r="T18" i="508"/>
  <c r="S18" i="508"/>
  <c r="R18" i="508"/>
  <c r="Q18" i="508"/>
  <c r="P18" i="508"/>
  <c r="O18" i="508"/>
  <c r="I18" i="508"/>
  <c r="G18" i="508"/>
  <c r="AA17" i="508"/>
  <c r="Z17" i="508"/>
  <c r="Y17" i="508"/>
  <c r="X17" i="508"/>
  <c r="U17" i="508"/>
  <c r="T17" i="508"/>
  <c r="S17" i="508"/>
  <c r="R17" i="508"/>
  <c r="Q17" i="508"/>
  <c r="P17" i="508"/>
  <c r="O17" i="508"/>
  <c r="I17" i="508"/>
  <c r="G17" i="508"/>
  <c r="AA16" i="508"/>
  <c r="Z16" i="508"/>
  <c r="Y16" i="508"/>
  <c r="X16" i="508"/>
  <c r="U16" i="508"/>
  <c r="T16" i="508"/>
  <c r="S16" i="508"/>
  <c r="R16" i="508"/>
  <c r="Q16" i="508"/>
  <c r="P16" i="508"/>
  <c r="O16" i="508"/>
  <c r="I16" i="508"/>
  <c r="G16" i="508"/>
  <c r="AA15" i="508"/>
  <c r="Z15" i="508"/>
  <c r="Y15" i="508"/>
  <c r="X15" i="508"/>
  <c r="U15" i="508"/>
  <c r="T15" i="508"/>
  <c r="S15" i="508"/>
  <c r="R15" i="508"/>
  <c r="Q15" i="508"/>
  <c r="P15" i="508"/>
  <c r="O15" i="508"/>
  <c r="I15" i="508"/>
  <c r="G15" i="508"/>
  <c r="AA14" i="508"/>
  <c r="Z14" i="508"/>
  <c r="Y14" i="508"/>
  <c r="X14" i="508"/>
  <c r="U14" i="508"/>
  <c r="T14" i="508"/>
  <c r="S14" i="508"/>
  <c r="R14" i="508"/>
  <c r="Q14" i="508"/>
  <c r="P14" i="508"/>
  <c r="O14" i="508"/>
  <c r="I14" i="508"/>
  <c r="G14" i="508"/>
  <c r="AA13" i="508"/>
  <c r="Z13" i="508"/>
  <c r="Y13" i="508"/>
  <c r="X13" i="508"/>
  <c r="U13" i="508"/>
  <c r="T13" i="508"/>
  <c r="S13" i="508"/>
  <c r="R13" i="508"/>
  <c r="Q13" i="508"/>
  <c r="P13" i="508"/>
  <c r="O13" i="508"/>
  <c r="I13" i="508"/>
  <c r="G13" i="508"/>
  <c r="AA12" i="508"/>
  <c r="Z12" i="508"/>
  <c r="Y12" i="508"/>
  <c r="X12" i="508"/>
  <c r="U12" i="508"/>
  <c r="T12" i="508"/>
  <c r="S12" i="508"/>
  <c r="R12" i="508"/>
  <c r="Q12" i="508"/>
  <c r="P12" i="508"/>
  <c r="O12" i="508"/>
  <c r="I12" i="508"/>
  <c r="G12" i="508"/>
  <c r="AA11" i="508"/>
  <c r="Z11" i="508"/>
  <c r="Y11" i="508"/>
  <c r="X11" i="508"/>
  <c r="U11" i="508"/>
  <c r="T11" i="508"/>
  <c r="S11" i="508"/>
  <c r="R11" i="508"/>
  <c r="Q11" i="508"/>
  <c r="P11" i="508"/>
  <c r="O11" i="508"/>
  <c r="I11" i="508"/>
  <c r="G11" i="508"/>
  <c r="AA10" i="508"/>
  <c r="Z10" i="508"/>
  <c r="Y10" i="508"/>
  <c r="X10" i="508"/>
  <c r="U10" i="508"/>
  <c r="T10" i="508"/>
  <c r="S10" i="508"/>
  <c r="R10" i="508"/>
  <c r="Q10" i="508"/>
  <c r="P10" i="508"/>
  <c r="O10" i="508"/>
  <c r="I10" i="508"/>
  <c r="G10" i="508"/>
  <c r="AA9" i="508"/>
  <c r="Z9" i="508"/>
  <c r="Y9" i="508"/>
  <c r="X9" i="508"/>
  <c r="U9" i="508"/>
  <c r="T9" i="508"/>
  <c r="S9" i="508"/>
  <c r="R9" i="508"/>
  <c r="Q9" i="508"/>
  <c r="P9" i="508"/>
  <c r="O9" i="508"/>
  <c r="I9" i="508"/>
  <c r="G9" i="508"/>
  <c r="AA8" i="508"/>
  <c r="Z8" i="508"/>
  <c r="Y8" i="508"/>
  <c r="X8" i="508"/>
  <c r="U8" i="508"/>
  <c r="T8" i="508"/>
  <c r="S8" i="508"/>
  <c r="R8" i="508"/>
  <c r="Q8" i="508"/>
  <c r="P8" i="508"/>
  <c r="O8" i="508"/>
  <c r="I8" i="508"/>
  <c r="G8" i="508"/>
  <c r="AA7" i="508"/>
  <c r="Z7" i="508"/>
  <c r="Y7" i="508"/>
  <c r="X7" i="508"/>
  <c r="U7" i="508"/>
  <c r="T7" i="508"/>
  <c r="S7" i="508"/>
  <c r="R7" i="508"/>
  <c r="Q7" i="508"/>
  <c r="P7" i="508"/>
  <c r="O7" i="508"/>
  <c r="I7" i="508"/>
  <c r="G7" i="508"/>
  <c r="P533" i="517"/>
  <c r="O533" i="517"/>
  <c r="N533" i="517"/>
  <c r="M533" i="517"/>
  <c r="L533" i="517"/>
  <c r="K533" i="517"/>
  <c r="I533" i="517"/>
  <c r="H533" i="517"/>
  <c r="G533" i="517"/>
  <c r="F533" i="517"/>
  <c r="E533" i="517"/>
  <c r="D533" i="517"/>
  <c r="C532" i="517"/>
  <c r="J532" i="517" s="1"/>
  <c r="Q532" i="517" s="1"/>
  <c r="C531" i="517"/>
  <c r="J531" i="517" s="1"/>
  <c r="Q531" i="517" s="1"/>
  <c r="C530" i="517"/>
  <c r="J530" i="517" s="1"/>
  <c r="G514" i="517"/>
  <c r="N514" i="517" s="1"/>
  <c r="X512" i="517"/>
  <c r="X511" i="517"/>
  <c r="X510" i="517"/>
  <c r="G510" i="517"/>
  <c r="C510" i="517"/>
  <c r="X509" i="517"/>
  <c r="I509" i="517"/>
  <c r="E509" i="517"/>
  <c r="K509" i="517" s="1"/>
  <c r="M509" i="517" s="1"/>
  <c r="X508" i="517"/>
  <c r="I508" i="517"/>
  <c r="E508" i="517"/>
  <c r="K508" i="517" s="1"/>
  <c r="M508" i="517" s="1"/>
  <c r="I507" i="517"/>
  <c r="E507" i="517"/>
  <c r="K507" i="517" s="1"/>
  <c r="M507" i="517" s="1"/>
  <c r="I506" i="517"/>
  <c r="I510" i="517" s="1"/>
  <c r="E506" i="517"/>
  <c r="K506" i="517" s="1"/>
  <c r="AA503" i="517"/>
  <c r="Z503" i="517"/>
  <c r="Y503" i="517"/>
  <c r="X503" i="517"/>
  <c r="U503" i="517"/>
  <c r="T503" i="517"/>
  <c r="S503" i="517"/>
  <c r="R503" i="517"/>
  <c r="Q503" i="517"/>
  <c r="P503" i="517"/>
  <c r="O503" i="517"/>
  <c r="R511" i="517" s="1"/>
  <c r="I503" i="517"/>
  <c r="G503" i="517"/>
  <c r="J503" i="517" s="1" a="1"/>
  <c r="J503" i="517" s="1"/>
  <c r="H502" i="517"/>
  <c r="H501" i="517"/>
  <c r="H500" i="517"/>
  <c r="D499" i="517"/>
  <c r="H499" i="517" s="1"/>
  <c r="V498" i="517"/>
  <c r="W498" i="517" s="1"/>
  <c r="N498" i="517"/>
  <c r="K498" i="517" a="1"/>
  <c r="K498" i="517" s="1"/>
  <c r="M498" i="517" s="1"/>
  <c r="J498" i="517" a="1"/>
  <c r="J498" i="517" s="1"/>
  <c r="H498" i="517"/>
  <c r="H497" i="517"/>
  <c r="H496" i="517"/>
  <c r="V495" i="517"/>
  <c r="W495" i="517" s="1"/>
  <c r="N495" i="517"/>
  <c r="K495" i="517"/>
  <c r="M495" i="517" s="1"/>
  <c r="K495" i="517" a="1"/>
  <c r="J495" i="517"/>
  <c r="J495" i="517" a="1"/>
  <c r="H495" i="517"/>
  <c r="V494" i="517"/>
  <c r="W494" i="517" s="1"/>
  <c r="N494" i="517"/>
  <c r="K494" i="517" a="1"/>
  <c r="K494" i="517" s="1"/>
  <c r="M494" i="517" s="1"/>
  <c r="J494" i="517" a="1"/>
  <c r="J494" i="517" s="1"/>
  <c r="H494" i="517"/>
  <c r="H493" i="517"/>
  <c r="H492" i="517"/>
  <c r="V491" i="517"/>
  <c r="W491" i="517" s="1"/>
  <c r="N491" i="517"/>
  <c r="K491" i="517" a="1"/>
  <c r="K491" i="517" s="1"/>
  <c r="M491" i="517" s="1"/>
  <c r="J491" i="517" a="1"/>
  <c r="J491" i="517" s="1"/>
  <c r="H491" i="517"/>
  <c r="V490" i="517"/>
  <c r="W490" i="517" s="1"/>
  <c r="N490" i="517"/>
  <c r="K490" i="517" a="1"/>
  <c r="K490" i="517" s="1"/>
  <c r="M490" i="517" s="1"/>
  <c r="J490" i="517" a="1"/>
  <c r="J490" i="517" s="1"/>
  <c r="H490" i="517"/>
  <c r="V489" i="517"/>
  <c r="W489" i="517" s="1"/>
  <c r="N489" i="517"/>
  <c r="K489" i="517"/>
  <c r="M489" i="517" s="1"/>
  <c r="K489" i="517" a="1"/>
  <c r="J489" i="517"/>
  <c r="J489" i="517" a="1"/>
  <c r="H489" i="517"/>
  <c r="V488" i="517"/>
  <c r="V503" i="517" s="1"/>
  <c r="N488" i="517"/>
  <c r="N503" i="517" s="1"/>
  <c r="K488" i="517" a="1"/>
  <c r="K488" i="517" s="1"/>
  <c r="J488" i="517" a="1"/>
  <c r="J488" i="517" s="1"/>
  <c r="H488" i="517"/>
  <c r="H503" i="517" s="1"/>
  <c r="AA487" i="517"/>
  <c r="Z487" i="517"/>
  <c r="Y487" i="517"/>
  <c r="X487" i="517"/>
  <c r="U487" i="517"/>
  <c r="T487" i="517"/>
  <c r="S487" i="517"/>
  <c r="Q487" i="517"/>
  <c r="P487" i="517"/>
  <c r="O487" i="517"/>
  <c r="I487" i="517"/>
  <c r="G487" i="517"/>
  <c r="J487" i="517" s="1" a="1"/>
  <c r="J487" i="517" s="1"/>
  <c r="V486" i="517"/>
  <c r="W486" i="517" s="1"/>
  <c r="N486" i="517"/>
  <c r="K486" i="517" a="1"/>
  <c r="K486" i="517" s="1"/>
  <c r="M486" i="517" s="1"/>
  <c r="J486" i="517" a="1"/>
  <c r="J486" i="517" s="1"/>
  <c r="H486" i="517"/>
  <c r="H483" i="517"/>
  <c r="V482" i="517"/>
  <c r="W482" i="517" s="1"/>
  <c r="N482" i="517"/>
  <c r="K482" i="517"/>
  <c r="M482" i="517" s="1"/>
  <c r="K482" i="517" a="1"/>
  <c r="J482" i="517"/>
  <c r="J482" i="517" a="1"/>
  <c r="H482" i="517"/>
  <c r="V481" i="517"/>
  <c r="W481" i="517" s="1"/>
  <c r="N481" i="517"/>
  <c r="K481" i="517" a="1"/>
  <c r="K481" i="517" s="1"/>
  <c r="M481" i="517" s="1"/>
  <c r="J481" i="517" a="1"/>
  <c r="J481" i="517" s="1"/>
  <c r="H481" i="517"/>
  <c r="V480" i="517"/>
  <c r="W480" i="517" s="1"/>
  <c r="N480" i="517"/>
  <c r="K480" i="517" a="1"/>
  <c r="K480" i="517" s="1"/>
  <c r="M480" i="517" s="1"/>
  <c r="J480" i="517" a="1"/>
  <c r="J480" i="517" s="1"/>
  <c r="H480" i="517"/>
  <c r="V479" i="517"/>
  <c r="W479" i="517" s="1"/>
  <c r="N479" i="517"/>
  <c r="K479" i="517" a="1"/>
  <c r="K479" i="517" s="1"/>
  <c r="M479" i="517" s="1"/>
  <c r="J479" i="517" a="1"/>
  <c r="J479" i="517" s="1"/>
  <c r="H479" i="517"/>
  <c r="V478" i="517"/>
  <c r="V487" i="517" s="1"/>
  <c r="W487" i="517" s="1"/>
  <c r="N478" i="517"/>
  <c r="K478" i="517"/>
  <c r="M478" i="517" s="1"/>
  <c r="K478" i="517" a="1"/>
  <c r="J478" i="517"/>
  <c r="J478" i="517" a="1"/>
  <c r="H478" i="517"/>
  <c r="H487" i="517" s="1"/>
  <c r="AA477" i="517"/>
  <c r="Z477" i="517"/>
  <c r="Y477" i="517"/>
  <c r="X477" i="517"/>
  <c r="U477" i="517"/>
  <c r="T477" i="517"/>
  <c r="S477" i="517"/>
  <c r="Q477" i="517"/>
  <c r="P477" i="517"/>
  <c r="O477" i="517"/>
  <c r="R509" i="517" s="1"/>
  <c r="I477" i="517"/>
  <c r="G477" i="517"/>
  <c r="J477" i="517" s="1" a="1"/>
  <c r="J477" i="517" s="1"/>
  <c r="V476" i="517"/>
  <c r="W476" i="517" s="1"/>
  <c r="N476" i="517"/>
  <c r="K476" i="517" a="1"/>
  <c r="K476" i="517" s="1"/>
  <c r="M476" i="517" s="1"/>
  <c r="J476" i="517" a="1"/>
  <c r="J476" i="517" s="1"/>
  <c r="H476" i="517"/>
  <c r="V475" i="517"/>
  <c r="W475" i="517" s="1"/>
  <c r="N475" i="517"/>
  <c r="K475" i="517" a="1"/>
  <c r="K475" i="517" s="1"/>
  <c r="M475" i="517" s="1"/>
  <c r="J475" i="517" a="1"/>
  <c r="J475" i="517" s="1"/>
  <c r="H475" i="517"/>
  <c r="V474" i="517"/>
  <c r="W474" i="517" s="1"/>
  <c r="N474" i="517"/>
  <c r="K474" i="517" a="1"/>
  <c r="K474" i="517" s="1"/>
  <c r="M474" i="517" s="1"/>
  <c r="J474" i="517" a="1"/>
  <c r="J474" i="517" s="1"/>
  <c r="H474" i="517"/>
  <c r="V473" i="517"/>
  <c r="W473" i="517" s="1"/>
  <c r="N473" i="517"/>
  <c r="K473" i="517"/>
  <c r="M473" i="517" s="1"/>
  <c r="K473" i="517" a="1"/>
  <c r="J473" i="517"/>
  <c r="J473" i="517" a="1"/>
  <c r="H473" i="517"/>
  <c r="V472" i="517"/>
  <c r="W472" i="517" s="1"/>
  <c r="N472" i="517"/>
  <c r="K472" i="517" a="1"/>
  <c r="K472" i="517" s="1"/>
  <c r="M472" i="517" s="1"/>
  <c r="J472" i="517" a="1"/>
  <c r="J472" i="517" s="1"/>
  <c r="H472" i="517"/>
  <c r="V471" i="517"/>
  <c r="W471" i="517" s="1"/>
  <c r="N471" i="517"/>
  <c r="K471" i="517" a="1"/>
  <c r="K471" i="517" s="1"/>
  <c r="M471" i="517" s="1"/>
  <c r="J471" i="517" a="1"/>
  <c r="J471" i="517" s="1"/>
  <c r="H471" i="517"/>
  <c r="V470" i="517"/>
  <c r="W470" i="517" s="1"/>
  <c r="N470" i="517"/>
  <c r="K470" i="517" a="1"/>
  <c r="K470" i="517" s="1"/>
  <c r="M470" i="517" s="1"/>
  <c r="J470" i="517" a="1"/>
  <c r="J470" i="517" s="1"/>
  <c r="H470" i="517"/>
  <c r="V469" i="517"/>
  <c r="W469" i="517" s="1"/>
  <c r="N469" i="517"/>
  <c r="K469" i="517"/>
  <c r="M469" i="517" s="1"/>
  <c r="K469" i="517" a="1"/>
  <c r="J469" i="517"/>
  <c r="J469" i="517" a="1"/>
  <c r="H469" i="517"/>
  <c r="V468" i="517"/>
  <c r="W468" i="517" s="1"/>
  <c r="N468" i="517"/>
  <c r="K468" i="517" a="1"/>
  <c r="K468" i="517" s="1"/>
  <c r="M468" i="517" s="1"/>
  <c r="J468" i="517" a="1"/>
  <c r="J468" i="517" s="1"/>
  <c r="H468" i="517"/>
  <c r="V467" i="517"/>
  <c r="W467" i="517" s="1"/>
  <c r="N467" i="517"/>
  <c r="K467" i="517" a="1"/>
  <c r="K467" i="517" s="1"/>
  <c r="M467" i="517" s="1"/>
  <c r="J467" i="517" a="1"/>
  <c r="J467" i="517" s="1"/>
  <c r="H467" i="517"/>
  <c r="V466" i="517"/>
  <c r="W466" i="517" s="1"/>
  <c r="N466" i="517"/>
  <c r="K466" i="517" a="1"/>
  <c r="K466" i="517" s="1"/>
  <c r="M466" i="517" s="1"/>
  <c r="J466" i="517" a="1"/>
  <c r="J466" i="517" s="1"/>
  <c r="H466" i="517"/>
  <c r="V465" i="517"/>
  <c r="W465" i="517" s="1"/>
  <c r="N465" i="517"/>
  <c r="K465" i="517"/>
  <c r="M465" i="517" s="1"/>
  <c r="K465" i="517" a="1"/>
  <c r="J465" i="517"/>
  <c r="J465" i="517" a="1"/>
  <c r="H465" i="517"/>
  <c r="V464" i="517"/>
  <c r="W464" i="517" s="1"/>
  <c r="N464" i="517"/>
  <c r="K464" i="517" a="1"/>
  <c r="K464" i="517" s="1"/>
  <c r="M464" i="517" s="1"/>
  <c r="J464" i="517" a="1"/>
  <c r="J464" i="517" s="1"/>
  <c r="H464" i="517"/>
  <c r="V463" i="517"/>
  <c r="W463" i="517" s="1"/>
  <c r="N463" i="517"/>
  <c r="K463" i="517" a="1"/>
  <c r="K463" i="517" s="1"/>
  <c r="M463" i="517" s="1"/>
  <c r="J463" i="517" a="1"/>
  <c r="J463" i="517" s="1"/>
  <c r="H463" i="517"/>
  <c r="V462" i="517"/>
  <c r="N462" i="517"/>
  <c r="K462" i="517" a="1"/>
  <c r="K462" i="517" s="1"/>
  <c r="J462" i="517" a="1"/>
  <c r="J462" i="517" s="1"/>
  <c r="H462" i="517"/>
  <c r="AA461" i="517"/>
  <c r="Z461" i="517"/>
  <c r="Y461" i="517"/>
  <c r="X461" i="517"/>
  <c r="U461" i="517"/>
  <c r="T461" i="517"/>
  <c r="S461" i="517"/>
  <c r="R461" i="517"/>
  <c r="Q461" i="517"/>
  <c r="P461" i="517"/>
  <c r="O461" i="517"/>
  <c r="I461" i="517"/>
  <c r="G461" i="517"/>
  <c r="V460" i="517"/>
  <c r="W460" i="517" s="1"/>
  <c r="N460" i="517"/>
  <c r="K460" i="517" a="1"/>
  <c r="K460" i="517" s="1"/>
  <c r="M460" i="517" s="1"/>
  <c r="J460" i="517" a="1"/>
  <c r="J460" i="517" s="1"/>
  <c r="H460" i="517"/>
  <c r="V459" i="517"/>
  <c r="W459" i="517" s="1"/>
  <c r="N459" i="517"/>
  <c r="K459" i="517"/>
  <c r="M459" i="517" s="1"/>
  <c r="K459" i="517" a="1"/>
  <c r="J459" i="517"/>
  <c r="J459" i="517" a="1"/>
  <c r="H459" i="517"/>
  <c r="V458" i="517"/>
  <c r="W458" i="517" s="1"/>
  <c r="N458" i="517"/>
  <c r="K458" i="517" a="1"/>
  <c r="K458" i="517" s="1"/>
  <c r="M458" i="517" s="1"/>
  <c r="J458" i="517" a="1"/>
  <c r="J458" i="517" s="1"/>
  <c r="H458" i="517"/>
  <c r="K457" i="517" a="1"/>
  <c r="K457" i="517" s="1"/>
  <c r="M457" i="517" s="1"/>
  <c r="H457" i="517"/>
  <c r="K456" i="517" a="1"/>
  <c r="K456" i="517" s="1"/>
  <c r="M456" i="517" s="1"/>
  <c r="H456" i="517"/>
  <c r="K455" i="517" a="1"/>
  <c r="K455" i="517" s="1"/>
  <c r="M455" i="517" s="1"/>
  <c r="H455" i="517"/>
  <c r="W454" i="517"/>
  <c r="V454" i="517"/>
  <c r="N454" i="517"/>
  <c r="K454" i="517" a="1"/>
  <c r="K454" i="517" s="1"/>
  <c r="M454" i="517" s="1"/>
  <c r="J454" i="517" a="1"/>
  <c r="J454" i="517" s="1"/>
  <c r="H454" i="517"/>
  <c r="V453" i="517"/>
  <c r="W453" i="517" s="1"/>
  <c r="N453" i="517"/>
  <c r="K453" i="517" a="1"/>
  <c r="K453" i="517" s="1"/>
  <c r="M453" i="517" s="1"/>
  <c r="J453" i="517" a="1"/>
  <c r="J453" i="517" s="1"/>
  <c r="H453" i="517"/>
  <c r="N452" i="517"/>
  <c r="K452" i="517"/>
  <c r="M452" i="517" s="1"/>
  <c r="K452" i="517" a="1"/>
  <c r="H452" i="517"/>
  <c r="N451" i="517"/>
  <c r="K451" i="517" a="1"/>
  <c r="K451" i="517" s="1"/>
  <c r="M451" i="517" s="1"/>
  <c r="H451" i="517"/>
  <c r="N450" i="517"/>
  <c r="K450" i="517" a="1"/>
  <c r="K450" i="517" s="1"/>
  <c r="M450" i="517" s="1"/>
  <c r="H450" i="517"/>
  <c r="N449" i="517"/>
  <c r="K449" i="517" a="1"/>
  <c r="K449" i="517" s="1"/>
  <c r="M449" i="517" s="1"/>
  <c r="H449" i="517"/>
  <c r="N448" i="517"/>
  <c r="K448" i="517"/>
  <c r="M448" i="517" s="1"/>
  <c r="K448" i="517" a="1"/>
  <c r="H448" i="517"/>
  <c r="N447" i="517"/>
  <c r="K447" i="517" a="1"/>
  <c r="K447" i="517" s="1"/>
  <c r="M447" i="517" s="1"/>
  <c r="H447" i="517"/>
  <c r="V446" i="517"/>
  <c r="W446" i="517" s="1"/>
  <c r="N446" i="517"/>
  <c r="K446" i="517" a="1"/>
  <c r="K446" i="517" s="1"/>
  <c r="M446" i="517" s="1"/>
  <c r="J446" i="517" a="1"/>
  <c r="J446" i="517" s="1"/>
  <c r="H446" i="517"/>
  <c r="V445" i="517"/>
  <c r="W445" i="517" s="1"/>
  <c r="N445" i="517"/>
  <c r="K445" i="517" a="1"/>
  <c r="K445" i="517" s="1"/>
  <c r="M445" i="517" s="1"/>
  <c r="J445" i="517" a="1"/>
  <c r="J445" i="517" s="1"/>
  <c r="H445" i="517"/>
  <c r="V444" i="517"/>
  <c r="W444" i="517" s="1"/>
  <c r="N444" i="517"/>
  <c r="K444" i="517" a="1"/>
  <c r="K444" i="517" s="1"/>
  <c r="M444" i="517" s="1"/>
  <c r="J444" i="517" a="1"/>
  <c r="J444" i="517" s="1"/>
  <c r="H444" i="517"/>
  <c r="V443" i="517"/>
  <c r="W443" i="517" s="1"/>
  <c r="N443" i="517"/>
  <c r="K443" i="517" a="1"/>
  <c r="K443" i="517" s="1"/>
  <c r="M443" i="517" s="1"/>
  <c r="J443" i="517" a="1"/>
  <c r="J443" i="517" s="1"/>
  <c r="H443" i="517"/>
  <c r="V442" i="517"/>
  <c r="W442" i="517" s="1"/>
  <c r="N442" i="517"/>
  <c r="K442" i="517"/>
  <c r="M442" i="517" s="1"/>
  <c r="K442" i="517" a="1"/>
  <c r="J442" i="517"/>
  <c r="J442" i="517" a="1"/>
  <c r="H442" i="517"/>
  <c r="V441" i="517"/>
  <c r="W441" i="517" s="1"/>
  <c r="N441" i="517"/>
  <c r="K441" i="517" a="1"/>
  <c r="K441" i="517" s="1"/>
  <c r="M441" i="517" s="1"/>
  <c r="J441" i="517" a="1"/>
  <c r="J441" i="517" s="1"/>
  <c r="H441" i="517"/>
  <c r="V440" i="517"/>
  <c r="W440" i="517" s="1"/>
  <c r="N440" i="517"/>
  <c r="K440" i="517" a="1"/>
  <c r="K440" i="517" s="1"/>
  <c r="M440" i="517" s="1"/>
  <c r="J440" i="517" a="1"/>
  <c r="J440" i="517" s="1"/>
  <c r="H440" i="517"/>
  <c r="V439" i="517"/>
  <c r="W439" i="517" s="1"/>
  <c r="N439" i="517"/>
  <c r="K439" i="517" a="1"/>
  <c r="K439" i="517" s="1"/>
  <c r="M439" i="517" s="1"/>
  <c r="J439" i="517" a="1"/>
  <c r="J439" i="517" s="1"/>
  <c r="H439" i="517"/>
  <c r="V438" i="517"/>
  <c r="W438" i="517" s="1"/>
  <c r="N438" i="517"/>
  <c r="K438" i="517"/>
  <c r="M438" i="517" s="1"/>
  <c r="K438" i="517" a="1"/>
  <c r="J438" i="517"/>
  <c r="J438" i="517" a="1"/>
  <c r="H438" i="517"/>
  <c r="V437" i="517"/>
  <c r="W437" i="517" s="1"/>
  <c r="N437" i="517"/>
  <c r="K437" i="517" a="1"/>
  <c r="K437" i="517" s="1"/>
  <c r="M437" i="517" s="1"/>
  <c r="J437" i="517" a="1"/>
  <c r="J437" i="517" s="1"/>
  <c r="H437" i="517"/>
  <c r="W436" i="517"/>
  <c r="V436" i="517"/>
  <c r="N436" i="517"/>
  <c r="K436" i="517" a="1"/>
  <c r="K436" i="517" s="1"/>
  <c r="M436" i="517" s="1"/>
  <c r="J436" i="517" a="1"/>
  <c r="J436" i="517" s="1"/>
  <c r="H436" i="517"/>
  <c r="V435" i="517"/>
  <c r="W435" i="517" s="1"/>
  <c r="N435" i="517"/>
  <c r="K435" i="517" a="1"/>
  <c r="K435" i="517" s="1"/>
  <c r="M435" i="517" s="1"/>
  <c r="J435" i="517" a="1"/>
  <c r="J435" i="517" s="1"/>
  <c r="H435" i="517"/>
  <c r="N434" i="517"/>
  <c r="K434" i="517"/>
  <c r="M434" i="517" s="1"/>
  <c r="K434" i="517" a="1"/>
  <c r="H434" i="517"/>
  <c r="V433" i="517"/>
  <c r="W433" i="517" s="1"/>
  <c r="N433" i="517"/>
  <c r="K433" i="517" a="1"/>
  <c r="K433" i="517" s="1"/>
  <c r="M433" i="517" s="1"/>
  <c r="J433" i="517" a="1"/>
  <c r="J433" i="517" s="1"/>
  <c r="H433" i="517"/>
  <c r="V432" i="517"/>
  <c r="W432" i="517" s="1"/>
  <c r="N432" i="517"/>
  <c r="K432" i="517" a="1"/>
  <c r="K432" i="517" s="1"/>
  <c r="M432" i="517" s="1"/>
  <c r="J432" i="517" a="1"/>
  <c r="J432" i="517" s="1"/>
  <c r="H432" i="517"/>
  <c r="V431" i="517"/>
  <c r="W431" i="517" s="1"/>
  <c r="N431" i="517"/>
  <c r="K431" i="517" a="1"/>
  <c r="K431" i="517" s="1"/>
  <c r="M431" i="517" s="1"/>
  <c r="J431" i="517" a="1"/>
  <c r="J431" i="517" s="1"/>
  <c r="H431" i="517"/>
  <c r="V430" i="517"/>
  <c r="W430" i="517" s="1"/>
  <c r="N430" i="517"/>
  <c r="K430" i="517"/>
  <c r="M430" i="517" s="1"/>
  <c r="K430" i="517" a="1"/>
  <c r="J430" i="517"/>
  <c r="J430" i="517" a="1"/>
  <c r="H430" i="517"/>
  <c r="V429" i="517"/>
  <c r="W429" i="517" s="1"/>
  <c r="N429" i="517"/>
  <c r="K429" i="517" a="1"/>
  <c r="K429" i="517" s="1"/>
  <c r="M429" i="517" s="1"/>
  <c r="J429" i="517" a="1"/>
  <c r="J429" i="517" s="1"/>
  <c r="H429" i="517"/>
  <c r="V428" i="517"/>
  <c r="W428" i="517" s="1"/>
  <c r="N428" i="517"/>
  <c r="K428" i="517" a="1"/>
  <c r="K428" i="517" s="1"/>
  <c r="M428" i="517" s="1"/>
  <c r="J428" i="517" a="1"/>
  <c r="J428" i="517" s="1"/>
  <c r="H428" i="517"/>
  <c r="V427" i="517"/>
  <c r="V461" i="517" s="1"/>
  <c r="W461" i="517" s="1"/>
  <c r="N427" i="517"/>
  <c r="K427" i="517" a="1"/>
  <c r="K427" i="517" s="1"/>
  <c r="J427" i="517" a="1"/>
  <c r="J427" i="517" s="1"/>
  <c r="H427" i="517"/>
  <c r="H461" i="517" s="1"/>
  <c r="AA426" i="517"/>
  <c r="Z426" i="517"/>
  <c r="Y426" i="517"/>
  <c r="X426" i="517"/>
  <c r="U426" i="517"/>
  <c r="T426" i="517"/>
  <c r="S426" i="517"/>
  <c r="R426" i="517"/>
  <c r="Q426" i="517"/>
  <c r="P426" i="517"/>
  <c r="O426" i="517"/>
  <c r="I426" i="517"/>
  <c r="G426" i="517"/>
  <c r="K425" i="517"/>
  <c r="M425" i="517" s="1"/>
  <c r="K425" i="517" a="1"/>
  <c r="H425" i="517"/>
  <c r="K424" i="517" a="1"/>
  <c r="K424" i="517" s="1"/>
  <c r="M424" i="517" s="1"/>
  <c r="H424" i="517"/>
  <c r="K423" i="517" a="1"/>
  <c r="K423" i="517" s="1"/>
  <c r="M423" i="517" s="1"/>
  <c r="H423" i="517"/>
  <c r="K422" i="517" a="1"/>
  <c r="K422" i="517" s="1"/>
  <c r="M422" i="517" s="1"/>
  <c r="H422" i="517"/>
  <c r="K421" i="517" a="1"/>
  <c r="K421" i="517" s="1"/>
  <c r="M421" i="517" s="1"/>
  <c r="H421" i="517"/>
  <c r="K420" i="517" a="1"/>
  <c r="K420" i="517" s="1"/>
  <c r="M420" i="517" s="1"/>
  <c r="H420" i="517"/>
  <c r="K419" i="517" a="1"/>
  <c r="K419" i="517" s="1"/>
  <c r="M419" i="517" s="1"/>
  <c r="H419" i="517"/>
  <c r="K418" i="517" a="1"/>
  <c r="K418" i="517" s="1"/>
  <c r="M418" i="517" s="1"/>
  <c r="H418" i="517"/>
  <c r="K417" i="517" a="1"/>
  <c r="K417" i="517" s="1"/>
  <c r="M417" i="517" s="1"/>
  <c r="H417" i="517"/>
  <c r="K416" i="517" a="1"/>
  <c r="K416" i="517" s="1"/>
  <c r="M416" i="517" s="1"/>
  <c r="H416" i="517"/>
  <c r="V415" i="517"/>
  <c r="W415" i="517" s="1"/>
  <c r="N415" i="517"/>
  <c r="K415" i="517"/>
  <c r="M415" i="517" s="1"/>
  <c r="K415" i="517" a="1"/>
  <c r="J415" i="517"/>
  <c r="J415" i="517" a="1"/>
  <c r="H415" i="517"/>
  <c r="V414" i="517"/>
  <c r="W414" i="517" s="1"/>
  <c r="N414" i="517"/>
  <c r="K414" i="517" a="1"/>
  <c r="K414" i="517" s="1"/>
  <c r="M414" i="517" s="1"/>
  <c r="J414" i="517" a="1"/>
  <c r="J414" i="517" s="1"/>
  <c r="H414" i="517"/>
  <c r="V413" i="517"/>
  <c r="W413" i="517" s="1"/>
  <c r="N413" i="517"/>
  <c r="K413" i="517" a="1"/>
  <c r="K413" i="517" s="1"/>
  <c r="M413" i="517" s="1"/>
  <c r="J413" i="517" a="1"/>
  <c r="J413" i="517" s="1"/>
  <c r="H413" i="517"/>
  <c r="V412" i="517"/>
  <c r="W412" i="517" s="1"/>
  <c r="N412" i="517"/>
  <c r="K412" i="517" a="1"/>
  <c r="K412" i="517" s="1"/>
  <c r="M412" i="517" s="1"/>
  <c r="J412" i="517" a="1"/>
  <c r="J412" i="517" s="1"/>
  <c r="H412" i="517"/>
  <c r="H411" i="517"/>
  <c r="V410" i="517"/>
  <c r="W410" i="517" s="1"/>
  <c r="N410" i="517"/>
  <c r="K410" i="517" a="1"/>
  <c r="K410" i="517" s="1"/>
  <c r="M410" i="517" s="1"/>
  <c r="J410" i="517" a="1"/>
  <c r="J410" i="517" s="1"/>
  <c r="H410" i="517"/>
  <c r="V409" i="517"/>
  <c r="W409" i="517" s="1"/>
  <c r="N409" i="517"/>
  <c r="K409" i="517"/>
  <c r="M409" i="517" s="1"/>
  <c r="K409" i="517" a="1"/>
  <c r="J409" i="517"/>
  <c r="J409" i="517" a="1"/>
  <c r="H409" i="517"/>
  <c r="H408" i="517"/>
  <c r="K407" i="517"/>
  <c r="K407" i="517" a="1"/>
  <c r="H407" i="517"/>
  <c r="V406" i="517"/>
  <c r="W406" i="517" s="1"/>
  <c r="N406" i="517"/>
  <c r="K406" i="517" a="1"/>
  <c r="K406" i="517" s="1"/>
  <c r="M406" i="517" s="1"/>
  <c r="J406" i="517" a="1"/>
  <c r="J406" i="517" s="1"/>
  <c r="H406" i="517"/>
  <c r="V405" i="517"/>
  <c r="W405" i="517" s="1"/>
  <c r="N405" i="517"/>
  <c r="K405" i="517" a="1"/>
  <c r="K405" i="517" s="1"/>
  <c r="M405" i="517" s="1"/>
  <c r="J405" i="517" a="1"/>
  <c r="J405" i="517" s="1"/>
  <c r="H405" i="517"/>
  <c r="V404" i="517"/>
  <c r="W404" i="517" s="1"/>
  <c r="N404" i="517"/>
  <c r="K404" i="517" a="1"/>
  <c r="K404" i="517" s="1"/>
  <c r="M404" i="517" s="1"/>
  <c r="J404" i="517" a="1"/>
  <c r="J404" i="517" s="1"/>
  <c r="H404" i="517"/>
  <c r="V403" i="517"/>
  <c r="W403" i="517" s="1"/>
  <c r="N403" i="517"/>
  <c r="K403" i="517"/>
  <c r="M403" i="517" s="1"/>
  <c r="K403" i="517" a="1"/>
  <c r="J403" i="517"/>
  <c r="J403" i="517" a="1"/>
  <c r="H403" i="517"/>
  <c r="V402" i="517"/>
  <c r="W402" i="517" s="1"/>
  <c r="N402" i="517"/>
  <c r="K402" i="517" a="1"/>
  <c r="K402" i="517" s="1"/>
  <c r="M402" i="517" s="1"/>
  <c r="J402" i="517" a="1"/>
  <c r="J402" i="517" s="1"/>
  <c r="H402" i="517"/>
  <c r="V401" i="517"/>
  <c r="W401" i="517" s="1"/>
  <c r="N401" i="517"/>
  <c r="K401" i="517" a="1"/>
  <c r="K401" i="517" s="1"/>
  <c r="M401" i="517" s="1"/>
  <c r="J401" i="517" a="1"/>
  <c r="J401" i="517" s="1"/>
  <c r="H401" i="517"/>
  <c r="V400" i="517"/>
  <c r="W400" i="517" s="1"/>
  <c r="N400" i="517"/>
  <c r="K400" i="517" a="1"/>
  <c r="K400" i="517" s="1"/>
  <c r="M400" i="517" s="1"/>
  <c r="J400" i="517" a="1"/>
  <c r="J400" i="517" s="1"/>
  <c r="H400" i="517"/>
  <c r="V399" i="517"/>
  <c r="W399" i="517" s="1"/>
  <c r="N399" i="517"/>
  <c r="K399" i="517"/>
  <c r="M399" i="517" s="1"/>
  <c r="K399" i="517" a="1"/>
  <c r="J399" i="517"/>
  <c r="J399" i="517" a="1"/>
  <c r="H399" i="517"/>
  <c r="V398" i="517"/>
  <c r="W398" i="517" s="1"/>
  <c r="N398" i="517"/>
  <c r="K398" i="517" a="1"/>
  <c r="K398" i="517" s="1"/>
  <c r="M398" i="517" s="1"/>
  <c r="J398" i="517" a="1"/>
  <c r="J398" i="517" s="1"/>
  <c r="H398" i="517"/>
  <c r="V397" i="517"/>
  <c r="W397" i="517" s="1"/>
  <c r="N397" i="517"/>
  <c r="K397" i="517" a="1"/>
  <c r="K397" i="517" s="1"/>
  <c r="M397" i="517" s="1"/>
  <c r="J397" i="517" a="1"/>
  <c r="J397" i="517" s="1"/>
  <c r="H397" i="517"/>
  <c r="K396" i="517"/>
  <c r="M396" i="517" s="1"/>
  <c r="K396" i="517" a="1"/>
  <c r="H396" i="517"/>
  <c r="K395" i="517" a="1"/>
  <c r="K395" i="517" s="1"/>
  <c r="M395" i="517" s="1"/>
  <c r="H395" i="517"/>
  <c r="K394" i="517"/>
  <c r="M394" i="517" s="1"/>
  <c r="K394" i="517" a="1"/>
  <c r="H394" i="517"/>
  <c r="K393" i="517" a="1"/>
  <c r="K393" i="517" s="1"/>
  <c r="M393" i="517" s="1"/>
  <c r="H393" i="517"/>
  <c r="N392" i="517"/>
  <c r="K392" i="517" a="1"/>
  <c r="K392" i="517" s="1"/>
  <c r="M392" i="517" s="1"/>
  <c r="H392" i="517"/>
  <c r="N391" i="517"/>
  <c r="K391" i="517"/>
  <c r="M391" i="517" s="1"/>
  <c r="K391" i="517" a="1"/>
  <c r="H391" i="517"/>
  <c r="N390" i="517"/>
  <c r="K390" i="517" a="1"/>
  <c r="K390" i="517" s="1"/>
  <c r="M390" i="517" s="1"/>
  <c r="H390" i="517"/>
  <c r="N389" i="517"/>
  <c r="K389" i="517" a="1"/>
  <c r="K389" i="517" s="1"/>
  <c r="M389" i="517" s="1"/>
  <c r="H389" i="517"/>
  <c r="V388" i="517"/>
  <c r="W388" i="517" s="1"/>
  <c r="N388" i="517"/>
  <c r="K388" i="517" a="1"/>
  <c r="K388" i="517" s="1"/>
  <c r="M388" i="517" s="1"/>
  <c r="J388" i="517" a="1"/>
  <c r="J388" i="517" s="1"/>
  <c r="H388" i="517"/>
  <c r="V387" i="517"/>
  <c r="W387" i="517" s="1"/>
  <c r="N387" i="517"/>
  <c r="K387" i="517"/>
  <c r="M387" i="517" s="1"/>
  <c r="K387" i="517" a="1"/>
  <c r="J387" i="517"/>
  <c r="J387" i="517" a="1"/>
  <c r="H387" i="517"/>
  <c r="V386" i="517"/>
  <c r="W386" i="517" s="1"/>
  <c r="N386" i="517"/>
  <c r="K386" i="517" a="1"/>
  <c r="K386" i="517" s="1"/>
  <c r="M386" i="517" s="1"/>
  <c r="J386" i="517" a="1"/>
  <c r="J386" i="517" s="1"/>
  <c r="H386" i="517"/>
  <c r="V385" i="517"/>
  <c r="W385" i="517" s="1"/>
  <c r="N385" i="517"/>
  <c r="K385" i="517" a="1"/>
  <c r="K385" i="517" s="1"/>
  <c r="M385" i="517" s="1"/>
  <c r="J385" i="517" a="1"/>
  <c r="J385" i="517" s="1"/>
  <c r="H385" i="517"/>
  <c r="V384" i="517"/>
  <c r="W384" i="517" s="1"/>
  <c r="N384" i="517"/>
  <c r="K384" i="517" a="1"/>
  <c r="K384" i="517" s="1"/>
  <c r="M384" i="517" s="1"/>
  <c r="J384" i="517" a="1"/>
  <c r="J384" i="517" s="1"/>
  <c r="H384" i="517"/>
  <c r="V383" i="517"/>
  <c r="W383" i="517" s="1"/>
  <c r="N383" i="517"/>
  <c r="K383" i="517"/>
  <c r="M383" i="517" s="1"/>
  <c r="K383" i="517" a="1"/>
  <c r="J383" i="517"/>
  <c r="J383" i="517" a="1"/>
  <c r="H383" i="517"/>
  <c r="V382" i="517"/>
  <c r="W382" i="517" s="1"/>
  <c r="N382" i="517"/>
  <c r="K382" i="517" a="1"/>
  <c r="K382" i="517" s="1"/>
  <c r="M382" i="517" s="1"/>
  <c r="J382" i="517" a="1"/>
  <c r="J382" i="517" s="1"/>
  <c r="H382" i="517"/>
  <c r="V381" i="517"/>
  <c r="W381" i="517" s="1"/>
  <c r="N381" i="517"/>
  <c r="K381" i="517" a="1"/>
  <c r="K381" i="517" s="1"/>
  <c r="M381" i="517" s="1"/>
  <c r="J381" i="517" a="1"/>
  <c r="J381" i="517" s="1"/>
  <c r="H381" i="517"/>
  <c r="V380" i="517"/>
  <c r="W380" i="517" s="1"/>
  <c r="N380" i="517"/>
  <c r="K380" i="517" a="1"/>
  <c r="K380" i="517" s="1"/>
  <c r="M380" i="517" s="1"/>
  <c r="J380" i="517" a="1"/>
  <c r="J380" i="517" s="1"/>
  <c r="H380" i="517"/>
  <c r="V379" i="517"/>
  <c r="W379" i="517" s="1"/>
  <c r="N379" i="517"/>
  <c r="K379" i="517"/>
  <c r="M379" i="517" s="1"/>
  <c r="K379" i="517" a="1"/>
  <c r="J379" i="517"/>
  <c r="J379" i="517" a="1"/>
  <c r="H379" i="517"/>
  <c r="V378" i="517"/>
  <c r="W378" i="517" s="1"/>
  <c r="N378" i="517"/>
  <c r="K378" i="517" a="1"/>
  <c r="K378" i="517" s="1"/>
  <c r="M378" i="517" s="1"/>
  <c r="J378" i="517" a="1"/>
  <c r="J378" i="517" s="1"/>
  <c r="H378" i="517"/>
  <c r="V377" i="517"/>
  <c r="W377" i="517" s="1"/>
  <c r="N377" i="517"/>
  <c r="K377" i="517" a="1"/>
  <c r="K377" i="517" s="1"/>
  <c r="M377" i="517" s="1"/>
  <c r="J377" i="517" a="1"/>
  <c r="J377" i="517" s="1"/>
  <c r="H377" i="517"/>
  <c r="K376" i="517"/>
  <c r="M376" i="517" s="1"/>
  <c r="K376" i="517" a="1"/>
  <c r="H376" i="517"/>
  <c r="K375" i="517" a="1"/>
  <c r="K375" i="517" s="1"/>
  <c r="M375" i="517" s="1"/>
  <c r="H375" i="517"/>
  <c r="K374" i="517"/>
  <c r="M374" i="517" s="1"/>
  <c r="K374" i="517" a="1"/>
  <c r="H374" i="517"/>
  <c r="V373" i="517"/>
  <c r="W373" i="517" s="1"/>
  <c r="N373" i="517"/>
  <c r="K373" i="517" a="1"/>
  <c r="K373" i="517" s="1"/>
  <c r="M373" i="517" s="1"/>
  <c r="J373" i="517" a="1"/>
  <c r="J373" i="517" s="1"/>
  <c r="H373" i="517"/>
  <c r="V372" i="517"/>
  <c r="W372" i="517" s="1"/>
  <c r="N372" i="517"/>
  <c r="K372" i="517" a="1"/>
  <c r="K372" i="517" s="1"/>
  <c r="M372" i="517" s="1"/>
  <c r="J372" i="517" a="1"/>
  <c r="J372" i="517" s="1"/>
  <c r="H372" i="517"/>
  <c r="V371" i="517"/>
  <c r="W371" i="517" s="1"/>
  <c r="N371" i="517"/>
  <c r="K371" i="517" a="1"/>
  <c r="K371" i="517" s="1"/>
  <c r="M371" i="517" s="1"/>
  <c r="J371" i="517" a="1"/>
  <c r="J371" i="517" s="1"/>
  <c r="H371" i="517"/>
  <c r="K370" i="517" a="1"/>
  <c r="K370" i="517" s="1"/>
  <c r="H370" i="517"/>
  <c r="V369" i="517"/>
  <c r="W369" i="517" s="1"/>
  <c r="N369" i="517"/>
  <c r="K369" i="517" a="1"/>
  <c r="K369" i="517" s="1"/>
  <c r="J369" i="517" a="1"/>
  <c r="J369" i="517" s="1"/>
  <c r="H369" i="517"/>
  <c r="AA368" i="517"/>
  <c r="AA504" i="517" s="1"/>
  <c r="Z368" i="517"/>
  <c r="Z504" i="517" s="1"/>
  <c r="Y368" i="517"/>
  <c r="Y504" i="517" s="1"/>
  <c r="X368" i="517"/>
  <c r="X504" i="517" s="1"/>
  <c r="U368" i="517"/>
  <c r="U504" i="517" s="1"/>
  <c r="T368" i="517"/>
  <c r="T504" i="517" s="1"/>
  <c r="S368" i="517"/>
  <c r="S504" i="517" s="1"/>
  <c r="R368" i="517"/>
  <c r="R504" i="517" s="1"/>
  <c r="Q368" i="517"/>
  <c r="Q504" i="517" s="1"/>
  <c r="P368" i="517"/>
  <c r="P504" i="517" s="1"/>
  <c r="O368" i="517"/>
  <c r="I368" i="517"/>
  <c r="I504" i="517" s="1"/>
  <c r="B512" i="517" s="1"/>
  <c r="G368" i="517"/>
  <c r="G504" i="517" s="1"/>
  <c r="V367" i="517"/>
  <c r="W367" i="517" s="1"/>
  <c r="N367" i="517"/>
  <c r="K367" i="517" a="1"/>
  <c r="K367" i="517" s="1"/>
  <c r="M367" i="517" s="1"/>
  <c r="J367" i="517" a="1"/>
  <c r="J367" i="517" s="1"/>
  <c r="H367" i="517"/>
  <c r="V366" i="517"/>
  <c r="W366" i="517" s="1"/>
  <c r="N366" i="517"/>
  <c r="K366" i="517"/>
  <c r="M366" i="517" s="1"/>
  <c r="K366" i="517" a="1"/>
  <c r="J366" i="517"/>
  <c r="J366" i="517" a="1"/>
  <c r="H366" i="517"/>
  <c r="K365" i="517" a="1"/>
  <c r="K365" i="517" s="1"/>
  <c r="M365" i="517" s="1"/>
  <c r="H365" i="517"/>
  <c r="K364" i="517"/>
  <c r="M364" i="517" s="1"/>
  <c r="K364" i="517" a="1"/>
  <c r="H364" i="517"/>
  <c r="K363" i="517" a="1"/>
  <c r="K363" i="517" s="1"/>
  <c r="M363" i="517" s="1"/>
  <c r="H363" i="517"/>
  <c r="K362" i="517"/>
  <c r="M362" i="517" s="1"/>
  <c r="K362" i="517" a="1"/>
  <c r="H362" i="517"/>
  <c r="V361" i="517"/>
  <c r="W361" i="517" s="1"/>
  <c r="N361" i="517"/>
  <c r="K361" i="517" a="1"/>
  <c r="K361" i="517" s="1"/>
  <c r="M361" i="517" s="1"/>
  <c r="J361" i="517" a="1"/>
  <c r="J361" i="517" s="1"/>
  <c r="H361" i="517"/>
  <c r="V360" i="517"/>
  <c r="W360" i="517" s="1"/>
  <c r="N360" i="517"/>
  <c r="K360" i="517" a="1"/>
  <c r="K360" i="517" s="1"/>
  <c r="M360" i="517" s="1"/>
  <c r="J360" i="517" a="1"/>
  <c r="J360" i="517" s="1"/>
  <c r="H360" i="517"/>
  <c r="V359" i="517"/>
  <c r="W359" i="517" s="1"/>
  <c r="N359" i="517"/>
  <c r="K359" i="517" a="1"/>
  <c r="K359" i="517" s="1"/>
  <c r="M359" i="517" s="1"/>
  <c r="J359" i="517" a="1"/>
  <c r="J359" i="517" s="1"/>
  <c r="H359" i="517"/>
  <c r="H358" i="517"/>
  <c r="H357" i="517"/>
  <c r="V356" i="517"/>
  <c r="W356" i="517" s="1"/>
  <c r="N356" i="517"/>
  <c r="K356" i="517"/>
  <c r="M356" i="517" s="1"/>
  <c r="K356" i="517" a="1"/>
  <c r="J356" i="517"/>
  <c r="J356" i="517" a="1"/>
  <c r="H356" i="517"/>
  <c r="V355" i="517"/>
  <c r="W355" i="517" s="1"/>
  <c r="N355" i="517"/>
  <c r="K355" i="517" a="1"/>
  <c r="K355" i="517" s="1"/>
  <c r="M355" i="517" s="1"/>
  <c r="J355" i="517" a="1"/>
  <c r="J355" i="517" s="1"/>
  <c r="H355" i="517"/>
  <c r="K354" i="517" a="1"/>
  <c r="K354" i="517" s="1"/>
  <c r="M354" i="517" s="1"/>
  <c r="H354" i="517"/>
  <c r="K353" i="517" a="1"/>
  <c r="K353" i="517" s="1"/>
  <c r="M353" i="517" s="1"/>
  <c r="H353" i="517"/>
  <c r="V352" i="517"/>
  <c r="W352" i="517" s="1"/>
  <c r="N352" i="517"/>
  <c r="K352" i="517" a="1"/>
  <c r="K352" i="517" s="1"/>
  <c r="M352" i="517" s="1"/>
  <c r="J352" i="517" a="1"/>
  <c r="J352" i="517" s="1"/>
  <c r="H352" i="517"/>
  <c r="V351" i="517"/>
  <c r="W351" i="517" s="1"/>
  <c r="N351" i="517"/>
  <c r="K351" i="517" a="1"/>
  <c r="K351" i="517" s="1"/>
  <c r="M351" i="517" s="1"/>
  <c r="J351" i="517" a="1"/>
  <c r="J351" i="517" s="1"/>
  <c r="H351" i="517"/>
  <c r="V350" i="517"/>
  <c r="W350" i="517" s="1"/>
  <c r="N350" i="517"/>
  <c r="K350" i="517"/>
  <c r="M350" i="517" s="1"/>
  <c r="K350" i="517" a="1"/>
  <c r="J350" i="517"/>
  <c r="J350" i="517" a="1"/>
  <c r="H350" i="517"/>
  <c r="V349" i="517"/>
  <c r="W349" i="517" s="1"/>
  <c r="N349" i="517"/>
  <c r="K349" i="517" a="1"/>
  <c r="K349" i="517" s="1"/>
  <c r="M349" i="517" s="1"/>
  <c r="J349" i="517" a="1"/>
  <c r="J349" i="517" s="1"/>
  <c r="H349" i="517"/>
  <c r="V348" i="517"/>
  <c r="W348" i="517" s="1"/>
  <c r="N348" i="517"/>
  <c r="K348" i="517" a="1"/>
  <c r="K348" i="517" s="1"/>
  <c r="M348" i="517" s="1"/>
  <c r="J348" i="517" a="1"/>
  <c r="J348" i="517" s="1"/>
  <c r="H348" i="517"/>
  <c r="V347" i="517"/>
  <c r="N347" i="517"/>
  <c r="K347" i="517" a="1"/>
  <c r="K347" i="517" s="1"/>
  <c r="J347" i="517" a="1"/>
  <c r="J347" i="517" s="1"/>
  <c r="H347" i="517"/>
  <c r="X341" i="517"/>
  <c r="X340" i="517"/>
  <c r="X339" i="517"/>
  <c r="G339" i="517"/>
  <c r="C339" i="517"/>
  <c r="X338" i="517"/>
  <c r="I338" i="517"/>
  <c r="E338" i="517"/>
  <c r="K338" i="517" s="1"/>
  <c r="M338" i="517" s="1"/>
  <c r="I337" i="517"/>
  <c r="E337" i="517"/>
  <c r="K337" i="517" s="1"/>
  <c r="M337" i="517" s="1"/>
  <c r="I336" i="517"/>
  <c r="E336" i="517"/>
  <c r="K336" i="517" s="1"/>
  <c r="M336" i="517" s="1"/>
  <c r="X335" i="517"/>
  <c r="I335" i="517"/>
  <c r="I339" i="517" s="1"/>
  <c r="E335" i="517"/>
  <c r="E339" i="517" s="1"/>
  <c r="AA332" i="517"/>
  <c r="Z332" i="517"/>
  <c r="Y332" i="517"/>
  <c r="X332" i="517"/>
  <c r="U332" i="517"/>
  <c r="T332" i="517"/>
  <c r="S332" i="517"/>
  <c r="R332" i="517"/>
  <c r="Q332" i="517"/>
  <c r="P332" i="517"/>
  <c r="O332" i="517"/>
  <c r="I332" i="517"/>
  <c r="G332" i="517"/>
  <c r="K331" i="517" a="1"/>
  <c r="K331" i="517" s="1"/>
  <c r="H331" i="517"/>
  <c r="K330" i="517"/>
  <c r="K330" i="517" a="1"/>
  <c r="H330" i="517"/>
  <c r="K329" i="517" a="1"/>
  <c r="K329" i="517" s="1"/>
  <c r="H329" i="517"/>
  <c r="V328" i="517"/>
  <c r="W328" i="517" s="1"/>
  <c r="N328" i="517"/>
  <c r="K328" i="517" a="1"/>
  <c r="K328" i="517" s="1"/>
  <c r="D328" i="517"/>
  <c r="H328" i="517" s="1"/>
  <c r="H327" i="517"/>
  <c r="K326" i="517" a="1"/>
  <c r="K326" i="517" s="1"/>
  <c r="H326" i="517"/>
  <c r="H325" i="517"/>
  <c r="V324" i="517"/>
  <c r="W324" i="517" s="1"/>
  <c r="N324" i="517"/>
  <c r="K324" i="517"/>
  <c r="M324" i="517" s="1"/>
  <c r="K324" i="517" a="1"/>
  <c r="J324" i="517"/>
  <c r="J324" i="517" a="1"/>
  <c r="H324" i="517"/>
  <c r="V323" i="517"/>
  <c r="W323" i="517" s="1"/>
  <c r="N323" i="517"/>
  <c r="K323" i="517" a="1"/>
  <c r="K323" i="517" s="1"/>
  <c r="M323" i="517" s="1"/>
  <c r="J323" i="517" a="1"/>
  <c r="J323" i="517" s="1"/>
  <c r="H323" i="517"/>
  <c r="H322" i="517"/>
  <c r="V321" i="517"/>
  <c r="W321" i="517" s="1"/>
  <c r="N321" i="517"/>
  <c r="K321" i="517" a="1"/>
  <c r="K321" i="517" s="1"/>
  <c r="M321" i="517" s="1"/>
  <c r="J321" i="517" a="1"/>
  <c r="J321" i="517" s="1"/>
  <c r="H321" i="517"/>
  <c r="V320" i="517"/>
  <c r="W320" i="517" s="1"/>
  <c r="N320" i="517"/>
  <c r="K320" i="517" a="1"/>
  <c r="K320" i="517" s="1"/>
  <c r="M320" i="517" s="1"/>
  <c r="J320" i="517" a="1"/>
  <c r="J320" i="517" s="1"/>
  <c r="H320" i="517"/>
  <c r="V319" i="517"/>
  <c r="W319" i="517" s="1"/>
  <c r="N319" i="517"/>
  <c r="K319" i="517" a="1"/>
  <c r="K319" i="517" s="1"/>
  <c r="M319" i="517" s="1"/>
  <c r="J319" i="517" a="1"/>
  <c r="J319" i="517" s="1"/>
  <c r="H319" i="517"/>
  <c r="V318" i="517"/>
  <c r="V332" i="517" s="1"/>
  <c r="N318" i="517"/>
  <c r="N332" i="517" s="1"/>
  <c r="K318" i="517"/>
  <c r="K318" i="517" a="1"/>
  <c r="J318" i="517" a="1"/>
  <c r="J318" i="517" s="1"/>
  <c r="H318" i="517"/>
  <c r="H332" i="517" s="1"/>
  <c r="AA317" i="517"/>
  <c r="Z317" i="517"/>
  <c r="Y317" i="517"/>
  <c r="X317" i="517"/>
  <c r="U317" i="517"/>
  <c r="T317" i="517"/>
  <c r="S317" i="517"/>
  <c r="Q317" i="517"/>
  <c r="P317" i="517"/>
  <c r="O317" i="517"/>
  <c r="R339" i="517" s="1"/>
  <c r="I317" i="517"/>
  <c r="G317" i="517"/>
  <c r="V316" i="517"/>
  <c r="W316" i="517" s="1"/>
  <c r="N316" i="517"/>
  <c r="K316" i="517" a="1"/>
  <c r="K316" i="517" s="1"/>
  <c r="M316" i="517" s="1"/>
  <c r="J316" i="517" a="1"/>
  <c r="J316" i="517" s="1"/>
  <c r="H316" i="517"/>
  <c r="V312" i="517"/>
  <c r="W312" i="517" s="1"/>
  <c r="N312" i="517"/>
  <c r="K312" i="517" a="1"/>
  <c r="K312" i="517" s="1"/>
  <c r="M312" i="517" s="1"/>
  <c r="J312" i="517" a="1"/>
  <c r="J312" i="517" s="1"/>
  <c r="H312" i="517"/>
  <c r="V311" i="517"/>
  <c r="W311" i="517" s="1"/>
  <c r="N311" i="517"/>
  <c r="K311" i="517" a="1"/>
  <c r="K311" i="517" s="1"/>
  <c r="M311" i="517" s="1"/>
  <c r="J311" i="517" a="1"/>
  <c r="J311" i="517" s="1"/>
  <c r="H311" i="517"/>
  <c r="V310" i="517"/>
  <c r="W310" i="517" s="1"/>
  <c r="N310" i="517"/>
  <c r="K310" i="517"/>
  <c r="M310" i="517" s="1"/>
  <c r="K310" i="517" a="1"/>
  <c r="J310" i="517" a="1"/>
  <c r="J310" i="517" s="1"/>
  <c r="H310" i="517"/>
  <c r="V309" i="517"/>
  <c r="W309" i="517" s="1"/>
  <c r="N309" i="517"/>
  <c r="K309" i="517" a="1"/>
  <c r="K309" i="517" s="1"/>
  <c r="M309" i="517" s="1"/>
  <c r="J309" i="517" a="1"/>
  <c r="J309" i="517" s="1"/>
  <c r="H309" i="517"/>
  <c r="V308" i="517"/>
  <c r="W308" i="517" s="1"/>
  <c r="N308" i="517"/>
  <c r="N317" i="517" s="1"/>
  <c r="K308" i="517" a="1"/>
  <c r="K308" i="517" s="1"/>
  <c r="J308" i="517" a="1"/>
  <c r="J308" i="517" s="1"/>
  <c r="H308" i="517"/>
  <c r="AA307" i="517"/>
  <c r="Z307" i="517"/>
  <c r="Y307" i="517"/>
  <c r="X307" i="517"/>
  <c r="U307" i="517"/>
  <c r="T307" i="517"/>
  <c r="S307" i="517"/>
  <c r="Q307" i="517"/>
  <c r="P307" i="517"/>
  <c r="O307" i="517"/>
  <c r="I307" i="517"/>
  <c r="G307" i="517"/>
  <c r="V306" i="517"/>
  <c r="W306" i="517" s="1"/>
  <c r="N306" i="517"/>
  <c r="K306" i="517" a="1"/>
  <c r="K306" i="517" s="1"/>
  <c r="M306" i="517" s="1"/>
  <c r="J306" i="517" a="1"/>
  <c r="J306" i="517" s="1"/>
  <c r="H306" i="517"/>
  <c r="V305" i="517"/>
  <c r="W305" i="517" s="1"/>
  <c r="N305" i="517"/>
  <c r="K305" i="517" a="1"/>
  <c r="K305" i="517" s="1"/>
  <c r="M305" i="517" s="1"/>
  <c r="J305" i="517" a="1"/>
  <c r="J305" i="517" s="1"/>
  <c r="H305" i="517"/>
  <c r="V304" i="517"/>
  <c r="W304" i="517" s="1"/>
  <c r="N304" i="517"/>
  <c r="K304" i="517" a="1"/>
  <c r="K304" i="517" s="1"/>
  <c r="M304" i="517" s="1"/>
  <c r="J304" i="517" a="1"/>
  <c r="J304" i="517" s="1"/>
  <c r="H304" i="517"/>
  <c r="V303" i="517"/>
  <c r="W303" i="517" s="1"/>
  <c r="N303" i="517"/>
  <c r="K303" i="517"/>
  <c r="M303" i="517" s="1"/>
  <c r="K303" i="517" a="1"/>
  <c r="J303" i="517"/>
  <c r="J303" i="517" a="1"/>
  <c r="H303" i="517"/>
  <c r="V302" i="517"/>
  <c r="W302" i="517" s="1"/>
  <c r="N302" i="517"/>
  <c r="K302" i="517" a="1"/>
  <c r="K302" i="517" s="1"/>
  <c r="M302" i="517" s="1"/>
  <c r="J302" i="517" a="1"/>
  <c r="J302" i="517" s="1"/>
  <c r="H302" i="517"/>
  <c r="V301" i="517"/>
  <c r="W301" i="517" s="1"/>
  <c r="N301" i="517"/>
  <c r="K301" i="517" a="1"/>
  <c r="K301" i="517" s="1"/>
  <c r="M301" i="517" s="1"/>
  <c r="J301" i="517" a="1"/>
  <c r="J301" i="517" s="1"/>
  <c r="H301" i="517"/>
  <c r="V300" i="517"/>
  <c r="W300" i="517" s="1"/>
  <c r="N300" i="517"/>
  <c r="K300" i="517" a="1"/>
  <c r="K300" i="517" s="1"/>
  <c r="M300" i="517" s="1"/>
  <c r="J300" i="517" a="1"/>
  <c r="J300" i="517" s="1"/>
  <c r="H300" i="517"/>
  <c r="V299" i="517"/>
  <c r="W299" i="517" s="1"/>
  <c r="N299" i="517"/>
  <c r="K299" i="517"/>
  <c r="M299" i="517" s="1"/>
  <c r="K299" i="517" a="1"/>
  <c r="J299" i="517"/>
  <c r="J299" i="517" a="1"/>
  <c r="H299" i="517"/>
  <c r="V298" i="517"/>
  <c r="W298" i="517" s="1"/>
  <c r="N298" i="517"/>
  <c r="K298" i="517" a="1"/>
  <c r="K298" i="517" s="1"/>
  <c r="M298" i="517" s="1"/>
  <c r="J298" i="517" a="1"/>
  <c r="J298" i="517" s="1"/>
  <c r="H298" i="517"/>
  <c r="V297" i="517"/>
  <c r="W297" i="517" s="1"/>
  <c r="N297" i="517"/>
  <c r="K297" i="517" a="1"/>
  <c r="K297" i="517" s="1"/>
  <c r="M297" i="517" s="1"/>
  <c r="J297" i="517" a="1"/>
  <c r="J297" i="517" s="1"/>
  <c r="H297" i="517"/>
  <c r="V296" i="517"/>
  <c r="W296" i="517" s="1"/>
  <c r="N296" i="517"/>
  <c r="K296" i="517" a="1"/>
  <c r="K296" i="517" s="1"/>
  <c r="M296" i="517" s="1"/>
  <c r="J296" i="517" a="1"/>
  <c r="J296" i="517" s="1"/>
  <c r="H296" i="517"/>
  <c r="V295" i="517"/>
  <c r="W295" i="517" s="1"/>
  <c r="N295" i="517"/>
  <c r="K295" i="517"/>
  <c r="M295" i="517" s="1"/>
  <c r="K295" i="517" a="1"/>
  <c r="J295" i="517"/>
  <c r="J295" i="517" a="1"/>
  <c r="H295" i="517"/>
  <c r="V294" i="517"/>
  <c r="W294" i="517" s="1"/>
  <c r="N294" i="517"/>
  <c r="K294" i="517" a="1"/>
  <c r="K294" i="517" s="1"/>
  <c r="M294" i="517" s="1"/>
  <c r="J294" i="517" a="1"/>
  <c r="J294" i="517" s="1"/>
  <c r="H294" i="517"/>
  <c r="V293" i="517"/>
  <c r="W293" i="517" s="1"/>
  <c r="N293" i="517"/>
  <c r="K293" i="517" a="1"/>
  <c r="K293" i="517" s="1"/>
  <c r="M293" i="517" s="1"/>
  <c r="J293" i="517" a="1"/>
  <c r="J293" i="517" s="1"/>
  <c r="H293" i="517"/>
  <c r="V292" i="517"/>
  <c r="W292" i="517" s="1"/>
  <c r="N292" i="517"/>
  <c r="K292" i="517" a="1"/>
  <c r="K292" i="517" s="1"/>
  <c r="J292" i="517" a="1"/>
  <c r="J292" i="517" s="1"/>
  <c r="H292" i="517"/>
  <c r="AA291" i="517"/>
  <c r="Z291" i="517"/>
  <c r="Y291" i="517"/>
  <c r="X291" i="517"/>
  <c r="U291" i="517"/>
  <c r="T291" i="517"/>
  <c r="S291" i="517"/>
  <c r="R291" i="517"/>
  <c r="Q291" i="517"/>
  <c r="P291" i="517"/>
  <c r="O291" i="517"/>
  <c r="R337" i="517" s="1"/>
  <c r="I291" i="517"/>
  <c r="G291" i="517"/>
  <c r="V290" i="517"/>
  <c r="W290" i="517" s="1"/>
  <c r="N290" i="517"/>
  <c r="K290" i="517" a="1"/>
  <c r="K290" i="517" s="1"/>
  <c r="M290" i="517" s="1"/>
  <c r="J290" i="517" a="1"/>
  <c r="J290" i="517" s="1"/>
  <c r="H290" i="517"/>
  <c r="V289" i="517"/>
  <c r="W289" i="517" s="1"/>
  <c r="N289" i="517"/>
  <c r="K289" i="517"/>
  <c r="M289" i="517" s="1"/>
  <c r="K289" i="517" a="1"/>
  <c r="J289" i="517"/>
  <c r="J289" i="517" a="1"/>
  <c r="H289" i="517"/>
  <c r="V288" i="517"/>
  <c r="W288" i="517" s="1"/>
  <c r="N288" i="517"/>
  <c r="K288" i="517" a="1"/>
  <c r="K288" i="517" s="1"/>
  <c r="M288" i="517" s="1"/>
  <c r="J288" i="517" a="1"/>
  <c r="J288" i="517" s="1"/>
  <c r="H288" i="517"/>
  <c r="H287" i="517"/>
  <c r="H286" i="517"/>
  <c r="H285" i="517"/>
  <c r="V284" i="517"/>
  <c r="W284" i="517" s="1"/>
  <c r="N284" i="517"/>
  <c r="K284" i="517" a="1"/>
  <c r="K284" i="517" s="1"/>
  <c r="M284" i="517" s="1"/>
  <c r="J284" i="517" a="1"/>
  <c r="J284" i="517" s="1"/>
  <c r="H284" i="517"/>
  <c r="V283" i="517"/>
  <c r="W283" i="517" s="1"/>
  <c r="N283" i="517"/>
  <c r="K283" i="517"/>
  <c r="M283" i="517" s="1"/>
  <c r="K283" i="517" a="1"/>
  <c r="J283" i="517" a="1"/>
  <c r="J283" i="517" s="1"/>
  <c r="H283" i="517"/>
  <c r="N282" i="517"/>
  <c r="K282" i="517" a="1"/>
  <c r="K282" i="517" s="1"/>
  <c r="M282" i="517" s="1"/>
  <c r="H282" i="517"/>
  <c r="N281" i="517"/>
  <c r="K281" i="517" a="1"/>
  <c r="K281" i="517" s="1"/>
  <c r="M281" i="517" s="1"/>
  <c r="H281" i="517"/>
  <c r="N280" i="517"/>
  <c r="K280" i="517" a="1"/>
  <c r="K280" i="517" s="1"/>
  <c r="M280" i="517" s="1"/>
  <c r="H280" i="517"/>
  <c r="N279" i="517"/>
  <c r="K279" i="517"/>
  <c r="M279" i="517" s="1"/>
  <c r="K279" i="517" a="1"/>
  <c r="H279" i="517"/>
  <c r="N278" i="517"/>
  <c r="K278" i="517" a="1"/>
  <c r="K278" i="517" s="1"/>
  <c r="M278" i="517" s="1"/>
  <c r="H278" i="517"/>
  <c r="N277" i="517"/>
  <c r="K277" i="517" a="1"/>
  <c r="K277" i="517" s="1"/>
  <c r="M277" i="517" s="1"/>
  <c r="H277" i="517"/>
  <c r="V276" i="517"/>
  <c r="W276" i="517" s="1"/>
  <c r="N276" i="517"/>
  <c r="K276" i="517" a="1"/>
  <c r="K276" i="517" s="1"/>
  <c r="M276" i="517" s="1"/>
  <c r="J276" i="517" a="1"/>
  <c r="J276" i="517" s="1"/>
  <c r="H276" i="517"/>
  <c r="V275" i="517"/>
  <c r="W275" i="517" s="1"/>
  <c r="N275" i="517"/>
  <c r="K275" i="517"/>
  <c r="M275" i="517" s="1"/>
  <c r="K275" i="517" a="1"/>
  <c r="J275" i="517"/>
  <c r="J275" i="517" a="1"/>
  <c r="H275" i="517"/>
  <c r="V274" i="517"/>
  <c r="W274" i="517" s="1"/>
  <c r="N274" i="517"/>
  <c r="K274" i="517" a="1"/>
  <c r="K274" i="517" s="1"/>
  <c r="M274" i="517" s="1"/>
  <c r="J274" i="517" a="1"/>
  <c r="J274" i="517" s="1"/>
  <c r="H274" i="517"/>
  <c r="V273" i="517"/>
  <c r="W273" i="517" s="1"/>
  <c r="N273" i="517"/>
  <c r="K273" i="517" a="1"/>
  <c r="K273" i="517" s="1"/>
  <c r="M273" i="517" s="1"/>
  <c r="J273" i="517" a="1"/>
  <c r="J273" i="517" s="1"/>
  <c r="H273" i="517"/>
  <c r="V272" i="517"/>
  <c r="W272" i="517" s="1"/>
  <c r="N272" i="517"/>
  <c r="K272" i="517" a="1"/>
  <c r="K272" i="517" s="1"/>
  <c r="M272" i="517" s="1"/>
  <c r="J272" i="517" a="1"/>
  <c r="J272" i="517" s="1"/>
  <c r="H272" i="517"/>
  <c r="V271" i="517"/>
  <c r="W271" i="517" s="1"/>
  <c r="N271" i="517"/>
  <c r="K271" i="517"/>
  <c r="M271" i="517" s="1"/>
  <c r="K271" i="517" a="1"/>
  <c r="J271" i="517"/>
  <c r="J271" i="517" a="1"/>
  <c r="H271" i="517"/>
  <c r="V270" i="517"/>
  <c r="W270" i="517" s="1"/>
  <c r="N270" i="517"/>
  <c r="K270" i="517" a="1"/>
  <c r="K270" i="517" s="1"/>
  <c r="M270" i="517" s="1"/>
  <c r="J270" i="517" a="1"/>
  <c r="J270" i="517" s="1"/>
  <c r="H270" i="517"/>
  <c r="V269" i="517"/>
  <c r="W269" i="517" s="1"/>
  <c r="N269" i="517"/>
  <c r="K269" i="517" a="1"/>
  <c r="K269" i="517" s="1"/>
  <c r="M269" i="517" s="1"/>
  <c r="J269" i="517" a="1"/>
  <c r="J269" i="517" s="1"/>
  <c r="H269" i="517"/>
  <c r="V268" i="517"/>
  <c r="W268" i="517" s="1"/>
  <c r="N268" i="517"/>
  <c r="K268" i="517" a="1"/>
  <c r="K268" i="517" s="1"/>
  <c r="M268" i="517" s="1"/>
  <c r="J268" i="517" a="1"/>
  <c r="J268" i="517" s="1"/>
  <c r="H268" i="517"/>
  <c r="V267" i="517"/>
  <c r="W267" i="517" s="1"/>
  <c r="N267" i="517"/>
  <c r="K267" i="517"/>
  <c r="M267" i="517" s="1"/>
  <c r="K267" i="517" a="1"/>
  <c r="J267" i="517"/>
  <c r="J267" i="517" a="1"/>
  <c r="H267" i="517"/>
  <c r="V266" i="517"/>
  <c r="W266" i="517" s="1"/>
  <c r="N266" i="517"/>
  <c r="K266" i="517" a="1"/>
  <c r="K266" i="517" s="1"/>
  <c r="M266" i="517" s="1"/>
  <c r="J266" i="517" a="1"/>
  <c r="J266" i="517" s="1"/>
  <c r="H266" i="517"/>
  <c r="W265" i="517"/>
  <c r="V265" i="517"/>
  <c r="N265" i="517"/>
  <c r="K265" i="517" a="1"/>
  <c r="K265" i="517" s="1"/>
  <c r="M265" i="517" s="1"/>
  <c r="J265" i="517" a="1"/>
  <c r="J265" i="517" s="1"/>
  <c r="H265" i="517"/>
  <c r="N264" i="517"/>
  <c r="K264" i="517" a="1"/>
  <c r="K264" i="517" s="1"/>
  <c r="M264" i="517" s="1"/>
  <c r="H264" i="517"/>
  <c r="V263" i="517"/>
  <c r="W263" i="517" s="1"/>
  <c r="N263" i="517"/>
  <c r="K263" i="517"/>
  <c r="M263" i="517" s="1"/>
  <c r="K263" i="517" a="1"/>
  <c r="J263" i="517"/>
  <c r="J263" i="517" a="1"/>
  <c r="H263" i="517"/>
  <c r="V262" i="517"/>
  <c r="W262" i="517" s="1"/>
  <c r="N262" i="517"/>
  <c r="K262" i="517" a="1"/>
  <c r="K262" i="517" s="1"/>
  <c r="M262" i="517" s="1"/>
  <c r="J262" i="517" a="1"/>
  <c r="J262" i="517" s="1"/>
  <c r="H262" i="517"/>
  <c r="V261" i="517"/>
  <c r="W261" i="517" s="1"/>
  <c r="N261" i="517"/>
  <c r="K261" i="517" a="1"/>
  <c r="K261" i="517" s="1"/>
  <c r="M261" i="517" s="1"/>
  <c r="J261" i="517" a="1"/>
  <c r="J261" i="517" s="1"/>
  <c r="H261" i="517"/>
  <c r="V260" i="517"/>
  <c r="W260" i="517" s="1"/>
  <c r="N260" i="517"/>
  <c r="K260" i="517" a="1"/>
  <c r="K260" i="517" s="1"/>
  <c r="M260" i="517" s="1"/>
  <c r="J260" i="517" a="1"/>
  <c r="J260" i="517" s="1"/>
  <c r="H260" i="517"/>
  <c r="V259" i="517"/>
  <c r="W259" i="517" s="1"/>
  <c r="N259" i="517"/>
  <c r="K259" i="517"/>
  <c r="M259" i="517" s="1"/>
  <c r="K259" i="517" a="1"/>
  <c r="J259" i="517"/>
  <c r="J259" i="517" a="1"/>
  <c r="H259" i="517"/>
  <c r="V258" i="517"/>
  <c r="W258" i="517" s="1"/>
  <c r="N258" i="517"/>
  <c r="K258" i="517" a="1"/>
  <c r="K258" i="517" s="1"/>
  <c r="M258" i="517" s="1"/>
  <c r="J258" i="517" a="1"/>
  <c r="J258" i="517" s="1"/>
  <c r="H258" i="517"/>
  <c r="W257" i="517"/>
  <c r="V257" i="517"/>
  <c r="N257" i="517"/>
  <c r="K257" i="517" a="1"/>
  <c r="K257" i="517" s="1"/>
  <c r="J257" i="517" a="1"/>
  <c r="J257" i="517" s="1"/>
  <c r="H257" i="517"/>
  <c r="AA256" i="517"/>
  <c r="Z256" i="517"/>
  <c r="Y256" i="517"/>
  <c r="X256" i="517"/>
  <c r="U256" i="517"/>
  <c r="T256" i="517"/>
  <c r="S256" i="517"/>
  <c r="R256" i="517"/>
  <c r="Q256" i="517"/>
  <c r="P256" i="517"/>
  <c r="O256" i="517"/>
  <c r="R336" i="517" s="1"/>
  <c r="I256" i="517"/>
  <c r="G256" i="517"/>
  <c r="J256" i="517" s="1" a="1"/>
  <c r="J256" i="517" s="1"/>
  <c r="H255" i="517"/>
  <c r="H254" i="517"/>
  <c r="H253" i="517"/>
  <c r="H252" i="517"/>
  <c r="H251" i="517"/>
  <c r="H250" i="517"/>
  <c r="K249" i="517" a="1"/>
  <c r="K249" i="517" s="1"/>
  <c r="M249" i="517" s="1"/>
  <c r="H249" i="517"/>
  <c r="K248" i="517" a="1"/>
  <c r="K248" i="517" s="1"/>
  <c r="M248" i="517" s="1"/>
  <c r="H248" i="517"/>
  <c r="K247" i="517" a="1"/>
  <c r="K247" i="517" s="1"/>
  <c r="M247" i="517" s="1"/>
  <c r="H247" i="517"/>
  <c r="K246" i="517" a="1"/>
  <c r="K246" i="517" s="1"/>
  <c r="M246" i="517" s="1"/>
  <c r="H246" i="517"/>
  <c r="V245" i="517"/>
  <c r="W245" i="517" s="1"/>
  <c r="N245" i="517"/>
  <c r="K245" i="517" a="1"/>
  <c r="K245" i="517" s="1"/>
  <c r="M245" i="517" s="1"/>
  <c r="J245" i="517" a="1"/>
  <c r="J245" i="517" s="1"/>
  <c r="H245" i="517"/>
  <c r="V244" i="517"/>
  <c r="W244" i="517" s="1"/>
  <c r="N244" i="517"/>
  <c r="K244" i="517" a="1"/>
  <c r="K244" i="517" s="1"/>
  <c r="M244" i="517" s="1"/>
  <c r="J244" i="517" a="1"/>
  <c r="J244" i="517" s="1"/>
  <c r="H244" i="517"/>
  <c r="V243" i="517"/>
  <c r="W243" i="517" s="1"/>
  <c r="N243" i="517"/>
  <c r="K243" i="517"/>
  <c r="M243" i="517" s="1"/>
  <c r="K243" i="517" a="1"/>
  <c r="J243" i="517"/>
  <c r="J243" i="517" a="1"/>
  <c r="H243" i="517"/>
  <c r="V242" i="517"/>
  <c r="W242" i="517" s="1"/>
  <c r="N242" i="517"/>
  <c r="K242" i="517" a="1"/>
  <c r="K242" i="517" s="1"/>
  <c r="M242" i="517" s="1"/>
  <c r="J242" i="517" a="1"/>
  <c r="J242" i="517" s="1"/>
  <c r="H242" i="517"/>
  <c r="M241" i="517"/>
  <c r="H241" i="517"/>
  <c r="V240" i="517"/>
  <c r="W240" i="517" s="1"/>
  <c r="N240" i="517"/>
  <c r="K240" i="517" a="1"/>
  <c r="K240" i="517" s="1"/>
  <c r="M240" i="517" s="1"/>
  <c r="J240" i="517" a="1"/>
  <c r="J240" i="517" s="1"/>
  <c r="H240" i="517"/>
  <c r="V239" i="517"/>
  <c r="W239" i="517" s="1"/>
  <c r="N239" i="517"/>
  <c r="K239" i="517" a="1"/>
  <c r="K239" i="517" s="1"/>
  <c r="M239" i="517" s="1"/>
  <c r="J239" i="517" a="1"/>
  <c r="J239" i="517" s="1"/>
  <c r="H239" i="517"/>
  <c r="K238" i="517" a="1"/>
  <c r="K238" i="517" s="1"/>
  <c r="M238" i="517" s="1"/>
  <c r="H238" i="517"/>
  <c r="H237" i="517"/>
  <c r="V236" i="517"/>
  <c r="W236" i="517" s="1"/>
  <c r="N236" i="517"/>
  <c r="K236" i="517" a="1"/>
  <c r="K236" i="517" s="1"/>
  <c r="M236" i="517" s="1"/>
  <c r="J236" i="517" a="1"/>
  <c r="J236" i="517" s="1"/>
  <c r="H236" i="517"/>
  <c r="V235" i="517"/>
  <c r="W235" i="517" s="1"/>
  <c r="N235" i="517"/>
  <c r="K235" i="517"/>
  <c r="M235" i="517" s="1"/>
  <c r="K235" i="517" a="1"/>
  <c r="J235" i="517"/>
  <c r="J235" i="517" a="1"/>
  <c r="H235" i="517"/>
  <c r="V234" i="517"/>
  <c r="W234" i="517" s="1"/>
  <c r="N234" i="517"/>
  <c r="K234" i="517" a="1"/>
  <c r="K234" i="517" s="1"/>
  <c r="M234" i="517" s="1"/>
  <c r="J234" i="517" a="1"/>
  <c r="J234" i="517" s="1"/>
  <c r="H234" i="517"/>
  <c r="V233" i="517"/>
  <c r="W233" i="517" s="1"/>
  <c r="N233" i="517"/>
  <c r="K233" i="517" a="1"/>
  <c r="K233" i="517" s="1"/>
  <c r="M233" i="517" s="1"/>
  <c r="J233" i="517" a="1"/>
  <c r="J233" i="517" s="1"/>
  <c r="H233" i="517"/>
  <c r="V232" i="517"/>
  <c r="W232" i="517" s="1"/>
  <c r="N232" i="517"/>
  <c r="K232" i="517" a="1"/>
  <c r="K232" i="517" s="1"/>
  <c r="M232" i="517" s="1"/>
  <c r="J232" i="517" a="1"/>
  <c r="J232" i="517" s="1"/>
  <c r="H232" i="517"/>
  <c r="V231" i="517"/>
  <c r="W231" i="517" s="1"/>
  <c r="N231" i="517"/>
  <c r="K231" i="517"/>
  <c r="M231" i="517" s="1"/>
  <c r="K231" i="517" a="1"/>
  <c r="J231" i="517"/>
  <c r="J231" i="517" a="1"/>
  <c r="H231" i="517"/>
  <c r="V230" i="517"/>
  <c r="W230" i="517" s="1"/>
  <c r="N230" i="517"/>
  <c r="K230" i="517" a="1"/>
  <c r="K230" i="517" s="1"/>
  <c r="M230" i="517" s="1"/>
  <c r="J230" i="517" a="1"/>
  <c r="J230" i="517" s="1"/>
  <c r="H230" i="517"/>
  <c r="V229" i="517"/>
  <c r="W229" i="517" s="1"/>
  <c r="N229" i="517"/>
  <c r="K229" i="517" a="1"/>
  <c r="K229" i="517" s="1"/>
  <c r="M229" i="517" s="1"/>
  <c r="J229" i="517" a="1"/>
  <c r="J229" i="517" s="1"/>
  <c r="H229" i="517"/>
  <c r="V228" i="517"/>
  <c r="W228" i="517" s="1"/>
  <c r="N228" i="517"/>
  <c r="K228" i="517" a="1"/>
  <c r="K228" i="517" s="1"/>
  <c r="M228" i="517" s="1"/>
  <c r="J228" i="517" a="1"/>
  <c r="J228" i="517" s="1"/>
  <c r="H228" i="517"/>
  <c r="V227" i="517"/>
  <c r="W227" i="517" s="1"/>
  <c r="N227" i="517"/>
  <c r="K227" i="517"/>
  <c r="M227" i="517" s="1"/>
  <c r="K227" i="517" a="1"/>
  <c r="J227" i="517"/>
  <c r="J227" i="517" a="1"/>
  <c r="H227" i="517"/>
  <c r="N226" i="517"/>
  <c r="K226" i="517" a="1"/>
  <c r="K226" i="517" s="1"/>
  <c r="M226" i="517" s="1"/>
  <c r="H226" i="517"/>
  <c r="N225" i="517"/>
  <c r="K225" i="517" a="1"/>
  <c r="K225" i="517" s="1"/>
  <c r="M225" i="517" s="1"/>
  <c r="H225" i="517"/>
  <c r="N224" i="517"/>
  <c r="K224" i="517" a="1"/>
  <c r="K224" i="517" s="1"/>
  <c r="M224" i="517" s="1"/>
  <c r="H224" i="517"/>
  <c r="N223" i="517"/>
  <c r="K223" i="517"/>
  <c r="M223" i="517" s="1"/>
  <c r="K223" i="517" a="1"/>
  <c r="H223" i="517"/>
  <c r="N222" i="517"/>
  <c r="K222" i="517" a="1"/>
  <c r="K222" i="517" s="1"/>
  <c r="M222" i="517" s="1"/>
  <c r="H222" i="517"/>
  <c r="N221" i="517"/>
  <c r="K221" i="517" a="1"/>
  <c r="K221" i="517" s="1"/>
  <c r="M221" i="517" s="1"/>
  <c r="H221" i="517"/>
  <c r="N220" i="517"/>
  <c r="K220" i="517" a="1"/>
  <c r="K220" i="517" s="1"/>
  <c r="M220" i="517" s="1"/>
  <c r="H220" i="517"/>
  <c r="N219" i="517"/>
  <c r="K219" i="517"/>
  <c r="M219" i="517" s="1"/>
  <c r="K219" i="517" a="1"/>
  <c r="H219" i="517"/>
  <c r="V218" i="517"/>
  <c r="W218" i="517" s="1"/>
  <c r="N218" i="517"/>
  <c r="K218" i="517" a="1"/>
  <c r="K218" i="517" s="1"/>
  <c r="M218" i="517" s="1"/>
  <c r="J218" i="517" a="1"/>
  <c r="J218" i="517" s="1"/>
  <c r="H218" i="517"/>
  <c r="V217" i="517"/>
  <c r="W217" i="517" s="1"/>
  <c r="N217" i="517"/>
  <c r="K217" i="517" a="1"/>
  <c r="K217" i="517" s="1"/>
  <c r="M217" i="517" s="1"/>
  <c r="J217" i="517" a="1"/>
  <c r="J217" i="517" s="1"/>
  <c r="H217" i="517"/>
  <c r="V216" i="517"/>
  <c r="W216" i="517" s="1"/>
  <c r="N216" i="517"/>
  <c r="K216" i="517" a="1"/>
  <c r="K216" i="517" s="1"/>
  <c r="M216" i="517" s="1"/>
  <c r="J216" i="517" a="1"/>
  <c r="J216" i="517" s="1"/>
  <c r="H216" i="517"/>
  <c r="V215" i="517"/>
  <c r="W215" i="517" s="1"/>
  <c r="N215" i="517"/>
  <c r="K215" i="517"/>
  <c r="M215" i="517" s="1"/>
  <c r="K215" i="517" a="1"/>
  <c r="J215" i="517"/>
  <c r="J215" i="517" a="1"/>
  <c r="H215" i="517"/>
  <c r="V214" i="517"/>
  <c r="W214" i="517" s="1"/>
  <c r="N214" i="517"/>
  <c r="K214" i="517" a="1"/>
  <c r="K214" i="517" s="1"/>
  <c r="M214" i="517" s="1"/>
  <c r="J214" i="517" a="1"/>
  <c r="J214" i="517" s="1"/>
  <c r="H214" i="517"/>
  <c r="V213" i="517"/>
  <c r="W213" i="517" s="1"/>
  <c r="N213" i="517"/>
  <c r="K213" i="517" a="1"/>
  <c r="K213" i="517" s="1"/>
  <c r="M213" i="517" s="1"/>
  <c r="J213" i="517" a="1"/>
  <c r="J213" i="517" s="1"/>
  <c r="H213" i="517"/>
  <c r="V212" i="517"/>
  <c r="W212" i="517" s="1"/>
  <c r="N212" i="517"/>
  <c r="K212" i="517" a="1"/>
  <c r="K212" i="517" s="1"/>
  <c r="M212" i="517" s="1"/>
  <c r="J212" i="517" a="1"/>
  <c r="J212" i="517" s="1"/>
  <c r="H212" i="517"/>
  <c r="V211" i="517"/>
  <c r="W211" i="517" s="1"/>
  <c r="N211" i="517"/>
  <c r="K211" i="517"/>
  <c r="M211" i="517" s="1"/>
  <c r="K211" i="517" a="1"/>
  <c r="J211" i="517"/>
  <c r="J211" i="517" a="1"/>
  <c r="H211" i="517"/>
  <c r="V210" i="517"/>
  <c r="W210" i="517" s="1"/>
  <c r="N210" i="517"/>
  <c r="K210" i="517" a="1"/>
  <c r="K210" i="517" s="1"/>
  <c r="M210" i="517" s="1"/>
  <c r="J210" i="517" a="1"/>
  <c r="J210" i="517" s="1"/>
  <c r="H210" i="517"/>
  <c r="V209" i="517"/>
  <c r="W209" i="517" s="1"/>
  <c r="N209" i="517"/>
  <c r="K209" i="517" a="1"/>
  <c r="K209" i="517" s="1"/>
  <c r="M209" i="517" s="1"/>
  <c r="J209" i="517" a="1"/>
  <c r="J209" i="517" s="1"/>
  <c r="H209" i="517"/>
  <c r="V208" i="517"/>
  <c r="W208" i="517" s="1"/>
  <c r="N208" i="517"/>
  <c r="K208" i="517" a="1"/>
  <c r="K208" i="517" s="1"/>
  <c r="M208" i="517" s="1"/>
  <c r="J208" i="517" a="1"/>
  <c r="J208" i="517" s="1"/>
  <c r="H208" i="517"/>
  <c r="V207" i="517"/>
  <c r="W207" i="517" s="1"/>
  <c r="N207" i="517"/>
  <c r="K207" i="517"/>
  <c r="M207" i="517" s="1"/>
  <c r="K207" i="517" a="1"/>
  <c r="J207" i="517"/>
  <c r="J207" i="517" a="1"/>
  <c r="H207" i="517"/>
  <c r="H206" i="517"/>
  <c r="H205" i="517"/>
  <c r="H204" i="517"/>
  <c r="V203" i="517"/>
  <c r="W203" i="517" s="1"/>
  <c r="N203" i="517"/>
  <c r="K203" i="517" a="1"/>
  <c r="K203" i="517" s="1"/>
  <c r="M203" i="517" s="1"/>
  <c r="J203" i="517" a="1"/>
  <c r="J203" i="517" s="1"/>
  <c r="H203" i="517"/>
  <c r="V202" i="517"/>
  <c r="W202" i="517" s="1"/>
  <c r="N202" i="517"/>
  <c r="K202" i="517" a="1"/>
  <c r="K202" i="517" s="1"/>
  <c r="M202" i="517" s="1"/>
  <c r="J202" i="517" a="1"/>
  <c r="J202" i="517" s="1"/>
  <c r="H202" i="517"/>
  <c r="V201" i="517"/>
  <c r="W201" i="517" s="1"/>
  <c r="N201" i="517"/>
  <c r="K201" i="517"/>
  <c r="M201" i="517" s="1"/>
  <c r="K201" i="517" a="1"/>
  <c r="J201" i="517"/>
  <c r="J201" i="517" a="1"/>
  <c r="H201" i="517"/>
  <c r="H200" i="517"/>
  <c r="W199" i="517"/>
  <c r="V199" i="517"/>
  <c r="N199" i="517"/>
  <c r="N256" i="517" s="1"/>
  <c r="K199" i="517" a="1"/>
  <c r="K199" i="517" s="1"/>
  <c r="M199" i="517" s="1"/>
  <c r="J199" i="517" a="1"/>
  <c r="J199" i="517" s="1"/>
  <c r="H199" i="517"/>
  <c r="AA198" i="517"/>
  <c r="AA333" i="517" s="1"/>
  <c r="Z198" i="517"/>
  <c r="Z333" i="517" s="1"/>
  <c r="Y198" i="517"/>
  <c r="Y333" i="517" s="1"/>
  <c r="X198" i="517"/>
  <c r="X333" i="517" s="1"/>
  <c r="U198" i="517"/>
  <c r="U333" i="517" s="1"/>
  <c r="T198" i="517"/>
  <c r="T333" i="517" s="1"/>
  <c r="S198" i="517"/>
  <c r="S333" i="517" s="1"/>
  <c r="R198" i="517"/>
  <c r="R333" i="517" s="1"/>
  <c r="Q198" i="517"/>
  <c r="Q333" i="517" s="1"/>
  <c r="P198" i="517"/>
  <c r="X336" i="517" s="1"/>
  <c r="O198" i="517"/>
  <c r="R335" i="517" s="1"/>
  <c r="I198" i="517"/>
  <c r="I333" i="517" s="1"/>
  <c r="B341" i="517" s="1"/>
  <c r="G198" i="517"/>
  <c r="G333" i="517" s="1"/>
  <c r="V197" i="517"/>
  <c r="W197" i="517" s="1"/>
  <c r="N197" i="517"/>
  <c r="K197" i="517" a="1"/>
  <c r="K197" i="517" s="1"/>
  <c r="M197" i="517" s="1"/>
  <c r="J197" i="517" a="1"/>
  <c r="J197" i="517" s="1"/>
  <c r="H197" i="517"/>
  <c r="V196" i="517"/>
  <c r="W196" i="517" s="1"/>
  <c r="N196" i="517"/>
  <c r="K196" i="517" a="1"/>
  <c r="K196" i="517" s="1"/>
  <c r="M196" i="517" s="1"/>
  <c r="J196" i="517" a="1"/>
  <c r="J196" i="517" s="1"/>
  <c r="H196" i="517"/>
  <c r="K195" i="517" a="1"/>
  <c r="K195" i="517" s="1"/>
  <c r="M195" i="517" s="1"/>
  <c r="H195" i="517"/>
  <c r="K194" i="517" a="1"/>
  <c r="K194" i="517" s="1"/>
  <c r="M194" i="517" s="1"/>
  <c r="H194" i="517"/>
  <c r="K193" i="517" a="1"/>
  <c r="K193" i="517" s="1"/>
  <c r="M193" i="517" s="1"/>
  <c r="H193" i="517"/>
  <c r="K192" i="517" a="1"/>
  <c r="K192" i="517" s="1"/>
  <c r="M192" i="517" s="1"/>
  <c r="H192" i="517"/>
  <c r="V191" i="517"/>
  <c r="W191" i="517" s="1"/>
  <c r="N191" i="517"/>
  <c r="K191" i="517"/>
  <c r="M191" i="517" s="1"/>
  <c r="K191" i="517" a="1"/>
  <c r="J191" i="517"/>
  <c r="J191" i="517" a="1"/>
  <c r="H191" i="517"/>
  <c r="V190" i="517"/>
  <c r="W190" i="517" s="1"/>
  <c r="N190" i="517"/>
  <c r="K190" i="517" a="1"/>
  <c r="K190" i="517" s="1"/>
  <c r="M190" i="517" s="1"/>
  <c r="J190" i="517" a="1"/>
  <c r="J190" i="517" s="1"/>
  <c r="H190" i="517"/>
  <c r="V189" i="517"/>
  <c r="W189" i="517" s="1"/>
  <c r="N189" i="517"/>
  <c r="K189" i="517" a="1"/>
  <c r="K189" i="517" s="1"/>
  <c r="M189" i="517" s="1"/>
  <c r="J189" i="517" a="1"/>
  <c r="J189" i="517" s="1"/>
  <c r="H189" i="517"/>
  <c r="N188" i="517"/>
  <c r="K188" i="517" a="1"/>
  <c r="K188" i="517" s="1"/>
  <c r="M188" i="517" s="1"/>
  <c r="J188" i="517" a="1"/>
  <c r="J188" i="517" s="1"/>
  <c r="H188" i="517"/>
  <c r="N187" i="517"/>
  <c r="K187" i="517" a="1"/>
  <c r="K187" i="517" s="1"/>
  <c r="M187" i="517" s="1"/>
  <c r="J187" i="517" a="1"/>
  <c r="J187" i="517" s="1"/>
  <c r="H187" i="517"/>
  <c r="V186" i="517"/>
  <c r="W186" i="517" s="1"/>
  <c r="N186" i="517"/>
  <c r="K186" i="517" a="1"/>
  <c r="K186" i="517" s="1"/>
  <c r="M186" i="517" s="1"/>
  <c r="J186" i="517" a="1"/>
  <c r="J186" i="517" s="1"/>
  <c r="H186" i="517"/>
  <c r="V185" i="517"/>
  <c r="W185" i="517" s="1"/>
  <c r="N185" i="517"/>
  <c r="K185" i="517"/>
  <c r="M185" i="517" s="1"/>
  <c r="K185" i="517" a="1"/>
  <c r="J185" i="517"/>
  <c r="J185" i="517" a="1"/>
  <c r="H185" i="517"/>
  <c r="N184" i="517"/>
  <c r="K184" i="517" a="1"/>
  <c r="K184" i="517" s="1"/>
  <c r="M184" i="517" s="1"/>
  <c r="H184" i="517"/>
  <c r="N183" i="517"/>
  <c r="K183" i="517" a="1"/>
  <c r="K183" i="517" s="1"/>
  <c r="M183" i="517" s="1"/>
  <c r="H183" i="517"/>
  <c r="V182" i="517"/>
  <c r="W182" i="517" s="1"/>
  <c r="N182" i="517"/>
  <c r="K182" i="517" a="1"/>
  <c r="K182" i="517" s="1"/>
  <c r="M182" i="517" s="1"/>
  <c r="J182" i="517" a="1"/>
  <c r="J182" i="517" s="1"/>
  <c r="H182" i="517"/>
  <c r="V181" i="517"/>
  <c r="W181" i="517" s="1"/>
  <c r="N181" i="517"/>
  <c r="K181" i="517"/>
  <c r="M181" i="517" s="1"/>
  <c r="K181" i="517" a="1"/>
  <c r="J181" i="517"/>
  <c r="J181" i="517" a="1"/>
  <c r="H181" i="517"/>
  <c r="V180" i="517"/>
  <c r="W180" i="517" s="1"/>
  <c r="N180" i="517"/>
  <c r="K180" i="517" a="1"/>
  <c r="K180" i="517" s="1"/>
  <c r="M180" i="517" s="1"/>
  <c r="J180" i="517" a="1"/>
  <c r="J180" i="517" s="1"/>
  <c r="H180" i="517"/>
  <c r="V179" i="517"/>
  <c r="W179" i="517" s="1"/>
  <c r="N179" i="517"/>
  <c r="K179" i="517" a="1"/>
  <c r="K179" i="517" s="1"/>
  <c r="M179" i="517" s="1"/>
  <c r="J179" i="517" a="1"/>
  <c r="J179" i="517" s="1"/>
  <c r="H179" i="517"/>
  <c r="V178" i="517"/>
  <c r="W178" i="517" s="1"/>
  <c r="N178" i="517"/>
  <c r="K178" i="517" a="1"/>
  <c r="K178" i="517" s="1"/>
  <c r="M178" i="517" s="1"/>
  <c r="J178" i="517" a="1"/>
  <c r="J178" i="517" s="1"/>
  <c r="H178" i="517"/>
  <c r="V177" i="517"/>
  <c r="V198" i="517" s="1"/>
  <c r="N177" i="517"/>
  <c r="K177" i="517"/>
  <c r="M177" i="517" s="1"/>
  <c r="K177" i="517" a="1"/>
  <c r="J177" i="517"/>
  <c r="J177" i="517" a="1"/>
  <c r="H177" i="517"/>
  <c r="H198" i="517" s="1"/>
  <c r="X170" i="517"/>
  <c r="Q526" i="517" s="1"/>
  <c r="X169" i="517"/>
  <c r="Q525" i="517" s="1"/>
  <c r="G169" i="517"/>
  <c r="C169" i="517"/>
  <c r="X168" i="517"/>
  <c r="Q524" i="517" s="1"/>
  <c r="I168" i="517"/>
  <c r="E168" i="517"/>
  <c r="K168" i="517" s="1"/>
  <c r="M168" i="517" s="1"/>
  <c r="I167" i="517"/>
  <c r="E167" i="517"/>
  <c r="K167" i="517" s="1"/>
  <c r="M167" i="517" s="1"/>
  <c r="I166" i="517"/>
  <c r="E166" i="517"/>
  <c r="K166" i="517" s="1"/>
  <c r="M166" i="517" s="1"/>
  <c r="X165" i="517"/>
  <c r="Q521" i="517" s="1"/>
  <c r="I165" i="517"/>
  <c r="I169" i="517" s="1"/>
  <c r="E165" i="517"/>
  <c r="K165" i="517" s="1"/>
  <c r="AA162" i="517"/>
  <c r="Z162" i="517"/>
  <c r="Y162" i="517"/>
  <c r="X162" i="517"/>
  <c r="U162" i="517"/>
  <c r="T162" i="517"/>
  <c r="S162" i="517"/>
  <c r="R162" i="517"/>
  <c r="Q162" i="517"/>
  <c r="P162" i="517"/>
  <c r="O162" i="517"/>
  <c r="I162" i="517"/>
  <c r="G162" i="517"/>
  <c r="C526" i="517" s="1"/>
  <c r="H161" i="517"/>
  <c r="H160" i="517"/>
  <c r="H159" i="517"/>
  <c r="V158" i="517"/>
  <c r="W158" i="517" s="1"/>
  <c r="N158" i="517"/>
  <c r="K158" i="517"/>
  <c r="K158" i="517" a="1"/>
  <c r="J158" i="517" a="1"/>
  <c r="J158" i="517" s="1"/>
  <c r="H158" i="517"/>
  <c r="D158" i="517"/>
  <c r="V157" i="517"/>
  <c r="W157" i="517" s="1"/>
  <c r="N157" i="517"/>
  <c r="K157" i="517" a="1"/>
  <c r="K157" i="517" s="1"/>
  <c r="M157" i="517" s="1"/>
  <c r="J157" i="517" a="1"/>
  <c r="J157" i="517" s="1"/>
  <c r="H157" i="517"/>
  <c r="H156" i="517"/>
  <c r="H155" i="517"/>
  <c r="V154" i="517"/>
  <c r="W154" i="517" s="1"/>
  <c r="N154" i="517"/>
  <c r="K154" i="517" a="1"/>
  <c r="K154" i="517" s="1"/>
  <c r="M154" i="517" s="1"/>
  <c r="J154" i="517" a="1"/>
  <c r="J154" i="517" s="1"/>
  <c r="H154" i="517"/>
  <c r="V153" i="517"/>
  <c r="W153" i="517" s="1"/>
  <c r="N153" i="517"/>
  <c r="K153" i="517" a="1"/>
  <c r="K153" i="517" s="1"/>
  <c r="M153" i="517" s="1"/>
  <c r="J153" i="517" a="1"/>
  <c r="J153" i="517" s="1"/>
  <c r="H153" i="517"/>
  <c r="H152" i="517"/>
  <c r="V151" i="517"/>
  <c r="W151" i="517" s="1"/>
  <c r="N151" i="517"/>
  <c r="K151" i="517" a="1"/>
  <c r="K151" i="517" s="1"/>
  <c r="M151" i="517" s="1"/>
  <c r="J151" i="517" a="1"/>
  <c r="J151" i="517" s="1"/>
  <c r="H151" i="517"/>
  <c r="V150" i="517"/>
  <c r="W150" i="517" s="1"/>
  <c r="N150" i="517"/>
  <c r="K150" i="517" a="1"/>
  <c r="K150" i="517" s="1"/>
  <c r="M150" i="517" s="1"/>
  <c r="J150" i="517" a="1"/>
  <c r="J150" i="517" s="1"/>
  <c r="H150" i="517"/>
  <c r="V149" i="517"/>
  <c r="W149" i="517" s="1"/>
  <c r="N149" i="517"/>
  <c r="K149" i="517" a="1"/>
  <c r="K149" i="517" s="1"/>
  <c r="M149" i="517" s="1"/>
  <c r="J149" i="517" a="1"/>
  <c r="J149" i="517" s="1"/>
  <c r="H149" i="517"/>
  <c r="V148" i="517"/>
  <c r="V162" i="517" s="1"/>
  <c r="W162" i="517" s="1"/>
  <c r="N148" i="517"/>
  <c r="K148" i="517"/>
  <c r="K148" i="517" a="1"/>
  <c r="J148" i="517"/>
  <c r="J148" i="517" a="1"/>
  <c r="H148" i="517"/>
  <c r="H162" i="517" s="1"/>
  <c r="AA147" i="517"/>
  <c r="Z147" i="517"/>
  <c r="Y147" i="517"/>
  <c r="X147" i="517"/>
  <c r="U147" i="517"/>
  <c r="T147" i="517"/>
  <c r="S147" i="517"/>
  <c r="Q147" i="517"/>
  <c r="P147" i="517"/>
  <c r="O147" i="517"/>
  <c r="R169" i="517" s="1"/>
  <c r="I147" i="517"/>
  <c r="G147" i="517"/>
  <c r="C525" i="517" s="1"/>
  <c r="V146" i="517"/>
  <c r="W146" i="517" s="1"/>
  <c r="N146" i="517"/>
  <c r="K146" i="517" a="1"/>
  <c r="K146" i="517" s="1"/>
  <c r="M146" i="517" s="1"/>
  <c r="J146" i="517" a="1"/>
  <c r="J146" i="517" s="1"/>
  <c r="H146" i="517"/>
  <c r="H143" i="517"/>
  <c r="V142" i="517"/>
  <c r="W142" i="517" s="1"/>
  <c r="N142" i="517"/>
  <c r="K142" i="517" a="1"/>
  <c r="K142" i="517" s="1"/>
  <c r="M142" i="517" s="1"/>
  <c r="J142" i="517" a="1"/>
  <c r="J142" i="517" s="1"/>
  <c r="H142" i="517"/>
  <c r="V141" i="517"/>
  <c r="W141" i="517" s="1"/>
  <c r="N141" i="517"/>
  <c r="K141" i="517" a="1"/>
  <c r="K141" i="517" s="1"/>
  <c r="M141" i="517" s="1"/>
  <c r="J141" i="517" a="1"/>
  <c r="J141" i="517" s="1"/>
  <c r="H141" i="517"/>
  <c r="V140" i="517"/>
  <c r="W140" i="517" s="1"/>
  <c r="N140" i="517"/>
  <c r="K140" i="517" a="1"/>
  <c r="K140" i="517" s="1"/>
  <c r="M140" i="517" s="1"/>
  <c r="J140" i="517" a="1"/>
  <c r="J140" i="517" s="1"/>
  <c r="H140" i="517"/>
  <c r="V139" i="517"/>
  <c r="W139" i="517" s="1"/>
  <c r="N139" i="517"/>
  <c r="K139" i="517" a="1"/>
  <c r="K139" i="517" s="1"/>
  <c r="M139" i="517" s="1"/>
  <c r="J139" i="517" a="1"/>
  <c r="J139" i="517" s="1"/>
  <c r="H139" i="517"/>
  <c r="V138" i="517"/>
  <c r="W138" i="517" s="1"/>
  <c r="N138" i="517"/>
  <c r="K138" i="517" a="1"/>
  <c r="K138" i="517" s="1"/>
  <c r="J138" i="517" a="1"/>
  <c r="J138" i="517" s="1"/>
  <c r="H138" i="517"/>
  <c r="H147" i="517" s="1"/>
  <c r="AA137" i="517"/>
  <c r="Z137" i="517"/>
  <c r="Y137" i="517"/>
  <c r="X137" i="517"/>
  <c r="U137" i="517"/>
  <c r="T137" i="517"/>
  <c r="S137" i="517"/>
  <c r="Q137" i="517"/>
  <c r="P137" i="517"/>
  <c r="O137" i="517"/>
  <c r="I137" i="517"/>
  <c r="G137" i="517"/>
  <c r="C524" i="517" s="1"/>
  <c r="V136" i="517"/>
  <c r="W136" i="517" s="1"/>
  <c r="N136" i="517"/>
  <c r="K136" i="517" a="1"/>
  <c r="K136" i="517" s="1"/>
  <c r="M136" i="517" s="1"/>
  <c r="J136" i="517" a="1"/>
  <c r="J136" i="517" s="1"/>
  <c r="H136" i="517"/>
  <c r="V135" i="517"/>
  <c r="W135" i="517" s="1"/>
  <c r="N135" i="517"/>
  <c r="K135" i="517" a="1"/>
  <c r="K135" i="517" s="1"/>
  <c r="M135" i="517" s="1"/>
  <c r="J135" i="517" a="1"/>
  <c r="J135" i="517" s="1"/>
  <c r="H135" i="517"/>
  <c r="V134" i="517"/>
  <c r="W134" i="517" s="1"/>
  <c r="N134" i="517"/>
  <c r="K134" i="517" a="1"/>
  <c r="K134" i="517" s="1"/>
  <c r="M134" i="517" s="1"/>
  <c r="J134" i="517" a="1"/>
  <c r="J134" i="517" s="1"/>
  <c r="H134" i="517"/>
  <c r="V133" i="517"/>
  <c r="W133" i="517" s="1"/>
  <c r="N133" i="517"/>
  <c r="K133" i="517" a="1"/>
  <c r="K133" i="517" s="1"/>
  <c r="M133" i="517" s="1"/>
  <c r="J133" i="517" a="1"/>
  <c r="J133" i="517" s="1"/>
  <c r="H133" i="517"/>
  <c r="V132" i="517"/>
  <c r="W132" i="517" s="1"/>
  <c r="N132" i="517"/>
  <c r="K132" i="517" a="1"/>
  <c r="K132" i="517" s="1"/>
  <c r="M132" i="517" s="1"/>
  <c r="J132" i="517" a="1"/>
  <c r="J132" i="517" s="1"/>
  <c r="H132" i="517"/>
  <c r="V131" i="517"/>
  <c r="W131" i="517" s="1"/>
  <c r="N131" i="517"/>
  <c r="K131" i="517" a="1"/>
  <c r="K131" i="517" s="1"/>
  <c r="M131" i="517" s="1"/>
  <c r="J131" i="517" a="1"/>
  <c r="J131" i="517" s="1"/>
  <c r="H131" i="517"/>
  <c r="V130" i="517"/>
  <c r="W130" i="517" s="1"/>
  <c r="N130" i="517"/>
  <c r="K130" i="517"/>
  <c r="M130" i="517" s="1"/>
  <c r="K130" i="517" a="1"/>
  <c r="J130" i="517"/>
  <c r="J130" i="517" a="1"/>
  <c r="H130" i="517"/>
  <c r="V129" i="517"/>
  <c r="W129" i="517" s="1"/>
  <c r="N129" i="517"/>
  <c r="K129" i="517" a="1"/>
  <c r="K129" i="517" s="1"/>
  <c r="M129" i="517" s="1"/>
  <c r="J129" i="517" a="1"/>
  <c r="J129" i="517" s="1"/>
  <c r="H129" i="517"/>
  <c r="W128" i="517"/>
  <c r="V128" i="517"/>
  <c r="N128" i="517"/>
  <c r="K128" i="517" a="1"/>
  <c r="K128" i="517" s="1"/>
  <c r="M128" i="517" s="1"/>
  <c r="J128" i="517" a="1"/>
  <c r="J128" i="517" s="1"/>
  <c r="H128" i="517"/>
  <c r="V127" i="517"/>
  <c r="W127" i="517" s="1"/>
  <c r="N127" i="517"/>
  <c r="K127" i="517" a="1"/>
  <c r="K127" i="517" s="1"/>
  <c r="M127" i="517" s="1"/>
  <c r="J127" i="517" a="1"/>
  <c r="J127" i="517" s="1"/>
  <c r="H127" i="517"/>
  <c r="V126" i="517"/>
  <c r="W126" i="517" s="1"/>
  <c r="N126" i="517"/>
  <c r="K126" i="517" a="1"/>
  <c r="K126" i="517" s="1"/>
  <c r="M126" i="517" s="1"/>
  <c r="J126" i="517" a="1"/>
  <c r="J126" i="517" s="1"/>
  <c r="H126" i="517"/>
  <c r="V125" i="517"/>
  <c r="W125" i="517" s="1"/>
  <c r="N125" i="517"/>
  <c r="K125" i="517" a="1"/>
  <c r="K125" i="517" s="1"/>
  <c r="M125" i="517" s="1"/>
  <c r="J125" i="517" a="1"/>
  <c r="J125" i="517" s="1"/>
  <c r="H125" i="517"/>
  <c r="V124" i="517"/>
  <c r="W124" i="517" s="1"/>
  <c r="N124" i="517"/>
  <c r="K124" i="517" a="1"/>
  <c r="K124" i="517" s="1"/>
  <c r="M124" i="517" s="1"/>
  <c r="J124" i="517" a="1"/>
  <c r="J124" i="517" s="1"/>
  <c r="H124" i="517"/>
  <c r="V123" i="517"/>
  <c r="W123" i="517" s="1"/>
  <c r="N123" i="517"/>
  <c r="K123" i="517" a="1"/>
  <c r="K123" i="517" s="1"/>
  <c r="M123" i="517" s="1"/>
  <c r="J123" i="517" a="1"/>
  <c r="J123" i="517" s="1"/>
  <c r="H123" i="517"/>
  <c r="V122" i="517"/>
  <c r="W122" i="517" s="1"/>
  <c r="N122" i="517"/>
  <c r="K122" i="517" a="1"/>
  <c r="K122" i="517" s="1"/>
  <c r="J122" i="517" a="1"/>
  <c r="J122" i="517" s="1"/>
  <c r="H122" i="517"/>
  <c r="AA121" i="517"/>
  <c r="Z121" i="517"/>
  <c r="Y121" i="517"/>
  <c r="X121" i="517"/>
  <c r="U121" i="517"/>
  <c r="T121" i="517"/>
  <c r="S121" i="517"/>
  <c r="R121" i="517"/>
  <c r="Q121" i="517"/>
  <c r="P121" i="517"/>
  <c r="O121" i="517"/>
  <c r="R167" i="517" s="1"/>
  <c r="I121" i="517"/>
  <c r="G121" i="517"/>
  <c r="C523" i="517" s="1"/>
  <c r="V120" i="517"/>
  <c r="W120" i="517" s="1"/>
  <c r="N120" i="517"/>
  <c r="K120" i="517" a="1"/>
  <c r="K120" i="517" s="1"/>
  <c r="M120" i="517" s="1"/>
  <c r="J120" i="517" a="1"/>
  <c r="J120" i="517" s="1"/>
  <c r="H120" i="517"/>
  <c r="V119" i="517"/>
  <c r="W119" i="517" s="1"/>
  <c r="N119" i="517"/>
  <c r="K119" i="517"/>
  <c r="M119" i="517" s="1"/>
  <c r="K119" i="517" a="1"/>
  <c r="J119" i="517"/>
  <c r="J119" i="517" a="1"/>
  <c r="H119" i="517"/>
  <c r="V118" i="517"/>
  <c r="W118" i="517" s="1"/>
  <c r="N118" i="517"/>
  <c r="K118" i="517" a="1"/>
  <c r="K118" i="517" s="1"/>
  <c r="M118" i="517" s="1"/>
  <c r="J118" i="517" a="1"/>
  <c r="J118" i="517" s="1"/>
  <c r="H118" i="517"/>
  <c r="K117" i="517"/>
  <c r="K117" i="517" a="1"/>
  <c r="H117" i="517"/>
  <c r="K116" i="517" a="1"/>
  <c r="K116" i="517" s="1"/>
  <c r="H116" i="517"/>
  <c r="K115" i="517" a="1"/>
  <c r="K115" i="517" s="1"/>
  <c r="H115" i="517"/>
  <c r="V114" i="517"/>
  <c r="W114" i="517" s="1"/>
  <c r="N114" i="517"/>
  <c r="K114" i="517" a="1"/>
  <c r="K114" i="517" s="1"/>
  <c r="M114" i="517" s="1"/>
  <c r="J114" i="517" a="1"/>
  <c r="J114" i="517" s="1"/>
  <c r="H114" i="517"/>
  <c r="V113" i="517"/>
  <c r="W113" i="517" s="1"/>
  <c r="N113" i="517"/>
  <c r="K113" i="517" a="1"/>
  <c r="K113" i="517" s="1"/>
  <c r="M113" i="517" s="1"/>
  <c r="J113" i="517" a="1"/>
  <c r="J113" i="517" s="1"/>
  <c r="H113" i="517"/>
  <c r="N112" i="517"/>
  <c r="K112" i="517" a="1"/>
  <c r="K112" i="517" s="1"/>
  <c r="M112" i="517" s="1"/>
  <c r="H112" i="517"/>
  <c r="N111" i="517"/>
  <c r="K111" i="517" a="1"/>
  <c r="K111" i="517" s="1"/>
  <c r="M111" i="517" s="1"/>
  <c r="H111" i="517"/>
  <c r="N110" i="517"/>
  <c r="K110" i="517" a="1"/>
  <c r="K110" i="517" s="1"/>
  <c r="M110" i="517" s="1"/>
  <c r="H110" i="517"/>
  <c r="N109" i="517"/>
  <c r="K109" i="517" a="1"/>
  <c r="K109" i="517" s="1"/>
  <c r="M109" i="517" s="1"/>
  <c r="H109" i="517"/>
  <c r="N108" i="517"/>
  <c r="K108" i="517" a="1"/>
  <c r="K108" i="517" s="1"/>
  <c r="M108" i="517" s="1"/>
  <c r="H108" i="517"/>
  <c r="N107" i="517"/>
  <c r="K107" i="517" a="1"/>
  <c r="K107" i="517" s="1"/>
  <c r="M107" i="517" s="1"/>
  <c r="H107" i="517"/>
  <c r="V106" i="517"/>
  <c r="W106" i="517" s="1"/>
  <c r="N106" i="517"/>
  <c r="K106" i="517" a="1"/>
  <c r="K106" i="517" s="1"/>
  <c r="M106" i="517" s="1"/>
  <c r="J106" i="517" a="1"/>
  <c r="J106" i="517" s="1"/>
  <c r="H106" i="517"/>
  <c r="V105" i="517"/>
  <c r="W105" i="517" s="1"/>
  <c r="N105" i="517"/>
  <c r="K105" i="517" a="1"/>
  <c r="K105" i="517" s="1"/>
  <c r="M105" i="517" s="1"/>
  <c r="J105" i="517" a="1"/>
  <c r="J105" i="517" s="1"/>
  <c r="H105" i="517"/>
  <c r="V104" i="517"/>
  <c r="W104" i="517" s="1"/>
  <c r="N104" i="517"/>
  <c r="K104" i="517" a="1"/>
  <c r="K104" i="517" s="1"/>
  <c r="M104" i="517" s="1"/>
  <c r="J104" i="517" a="1"/>
  <c r="J104" i="517" s="1"/>
  <c r="H104" i="517"/>
  <c r="V103" i="517"/>
  <c r="W103" i="517" s="1"/>
  <c r="N103" i="517"/>
  <c r="K103" i="517" a="1"/>
  <c r="K103" i="517" s="1"/>
  <c r="M103" i="517" s="1"/>
  <c r="J103" i="517" a="1"/>
  <c r="J103" i="517" s="1"/>
  <c r="H103" i="517"/>
  <c r="V102" i="517"/>
  <c r="W102" i="517" s="1"/>
  <c r="N102" i="517"/>
  <c r="K102" i="517" a="1"/>
  <c r="K102" i="517" s="1"/>
  <c r="M102" i="517" s="1"/>
  <c r="J102" i="517" a="1"/>
  <c r="J102" i="517" s="1"/>
  <c r="H102" i="517"/>
  <c r="V101" i="517"/>
  <c r="W101" i="517" s="1"/>
  <c r="N101" i="517"/>
  <c r="K101" i="517" a="1"/>
  <c r="K101" i="517" s="1"/>
  <c r="M101" i="517" s="1"/>
  <c r="J101" i="517" a="1"/>
  <c r="J101" i="517" s="1"/>
  <c r="H101" i="517"/>
  <c r="V100" i="517"/>
  <c r="W100" i="517" s="1"/>
  <c r="N100" i="517"/>
  <c r="K100" i="517" a="1"/>
  <c r="K100" i="517" s="1"/>
  <c r="M100" i="517" s="1"/>
  <c r="J100" i="517" a="1"/>
  <c r="J100" i="517" s="1"/>
  <c r="H100" i="517"/>
  <c r="V99" i="517"/>
  <c r="W99" i="517" s="1"/>
  <c r="N99" i="517"/>
  <c r="K99" i="517" a="1"/>
  <c r="K99" i="517" s="1"/>
  <c r="M99" i="517" s="1"/>
  <c r="J99" i="517" a="1"/>
  <c r="J99" i="517" s="1"/>
  <c r="H99" i="517"/>
  <c r="V98" i="517"/>
  <c r="W98" i="517" s="1"/>
  <c r="N98" i="517"/>
  <c r="K98" i="517" a="1"/>
  <c r="K98" i="517" s="1"/>
  <c r="M98" i="517" s="1"/>
  <c r="J98" i="517" a="1"/>
  <c r="J98" i="517" s="1"/>
  <c r="H98" i="517"/>
  <c r="V97" i="517"/>
  <c r="W97" i="517" s="1"/>
  <c r="N97" i="517"/>
  <c r="K97" i="517" a="1"/>
  <c r="K97" i="517" s="1"/>
  <c r="M97" i="517" s="1"/>
  <c r="J97" i="517" a="1"/>
  <c r="J97" i="517" s="1"/>
  <c r="H97" i="517"/>
  <c r="V96" i="517"/>
  <c r="W96" i="517" s="1"/>
  <c r="N96" i="517"/>
  <c r="K96" i="517" a="1"/>
  <c r="K96" i="517" s="1"/>
  <c r="M96" i="517" s="1"/>
  <c r="J96" i="517" a="1"/>
  <c r="J96" i="517" s="1"/>
  <c r="H96" i="517"/>
  <c r="V95" i="517"/>
  <c r="W95" i="517" s="1"/>
  <c r="N95" i="517"/>
  <c r="K95" i="517" a="1"/>
  <c r="K95" i="517" s="1"/>
  <c r="M95" i="517" s="1"/>
  <c r="J95" i="517" a="1"/>
  <c r="J95" i="517" s="1"/>
  <c r="H95" i="517"/>
  <c r="K94" i="517" a="1"/>
  <c r="K94" i="517" s="1"/>
  <c r="M94" i="517" s="1"/>
  <c r="H94" i="517"/>
  <c r="V93" i="517"/>
  <c r="W93" i="517" s="1"/>
  <c r="N93" i="517"/>
  <c r="K93" i="517" a="1"/>
  <c r="K93" i="517" s="1"/>
  <c r="M93" i="517" s="1"/>
  <c r="J93" i="517" a="1"/>
  <c r="J93" i="517" s="1"/>
  <c r="H93" i="517"/>
  <c r="V92" i="517"/>
  <c r="W92" i="517" s="1"/>
  <c r="N92" i="517"/>
  <c r="K92" i="517" a="1"/>
  <c r="K92" i="517" s="1"/>
  <c r="M92" i="517" s="1"/>
  <c r="J92" i="517" a="1"/>
  <c r="J92" i="517" s="1"/>
  <c r="H92" i="517"/>
  <c r="V91" i="517"/>
  <c r="W91" i="517" s="1"/>
  <c r="N91" i="517"/>
  <c r="K91" i="517" a="1"/>
  <c r="K91" i="517" s="1"/>
  <c r="M91" i="517" s="1"/>
  <c r="J91" i="517" a="1"/>
  <c r="J91" i="517" s="1"/>
  <c r="H91" i="517"/>
  <c r="V90" i="517"/>
  <c r="W90" i="517" s="1"/>
  <c r="N90" i="517"/>
  <c r="K90" i="517" a="1"/>
  <c r="K90" i="517" s="1"/>
  <c r="M90" i="517" s="1"/>
  <c r="J90" i="517" a="1"/>
  <c r="J90" i="517" s="1"/>
  <c r="H90" i="517"/>
  <c r="V89" i="517"/>
  <c r="W89" i="517" s="1"/>
  <c r="N89" i="517"/>
  <c r="K89" i="517" a="1"/>
  <c r="K89" i="517" s="1"/>
  <c r="M89" i="517" s="1"/>
  <c r="J89" i="517" a="1"/>
  <c r="J89" i="517" s="1"/>
  <c r="H89" i="517"/>
  <c r="V88" i="517"/>
  <c r="W88" i="517" s="1"/>
  <c r="N88" i="517"/>
  <c r="K88" i="517" a="1"/>
  <c r="K88" i="517" s="1"/>
  <c r="M88" i="517" s="1"/>
  <c r="J88" i="517" a="1"/>
  <c r="J88" i="517" s="1"/>
  <c r="H88" i="517"/>
  <c r="V87" i="517"/>
  <c r="N87" i="517"/>
  <c r="K87" i="517" a="1"/>
  <c r="K87" i="517" s="1"/>
  <c r="J87" i="517" a="1"/>
  <c r="J87" i="517" s="1"/>
  <c r="H87" i="517"/>
  <c r="AA86" i="517"/>
  <c r="Z86" i="517"/>
  <c r="Y86" i="517"/>
  <c r="X86" i="517"/>
  <c r="U86" i="517"/>
  <c r="T86" i="517"/>
  <c r="S86" i="517"/>
  <c r="R86" i="517"/>
  <c r="Q86" i="517"/>
  <c r="P86" i="517"/>
  <c r="O86" i="517"/>
  <c r="I86" i="517"/>
  <c r="G86" i="517"/>
  <c r="C522" i="517" s="1"/>
  <c r="K85" i="517" a="1"/>
  <c r="K85" i="517" s="1"/>
  <c r="H85" i="517"/>
  <c r="K84" i="517" a="1"/>
  <c r="K84" i="517" s="1"/>
  <c r="H84" i="517"/>
  <c r="K83" i="517" a="1"/>
  <c r="K83" i="517" s="1"/>
  <c r="H83" i="517"/>
  <c r="K82" i="517" a="1"/>
  <c r="K82" i="517" s="1"/>
  <c r="H82" i="517"/>
  <c r="K81" i="517" a="1"/>
  <c r="K81" i="517" s="1"/>
  <c r="H81" i="517"/>
  <c r="K80" i="517" a="1"/>
  <c r="K80" i="517" s="1"/>
  <c r="H80" i="517"/>
  <c r="K79" i="517" a="1"/>
  <c r="K79" i="517" s="1"/>
  <c r="M79" i="517" s="1"/>
  <c r="H79" i="517"/>
  <c r="K78" i="517" a="1"/>
  <c r="K78" i="517" s="1"/>
  <c r="M78" i="517" s="1"/>
  <c r="H78" i="517"/>
  <c r="K77" i="517" a="1"/>
  <c r="K77" i="517" s="1"/>
  <c r="M77" i="517" s="1"/>
  <c r="H77" i="517"/>
  <c r="K76" i="517" a="1"/>
  <c r="K76" i="517" s="1"/>
  <c r="M76" i="517" s="1"/>
  <c r="H76" i="517"/>
  <c r="V75" i="517"/>
  <c r="W75" i="517" s="1"/>
  <c r="N75" i="517"/>
  <c r="K75" i="517"/>
  <c r="M75" i="517" s="1"/>
  <c r="K75" i="517" a="1"/>
  <c r="J75" i="517" a="1"/>
  <c r="J75" i="517" s="1"/>
  <c r="H75" i="517"/>
  <c r="W74" i="517"/>
  <c r="V74" i="517"/>
  <c r="N74" i="517"/>
  <c r="K74" i="517" a="1"/>
  <c r="K74" i="517" s="1"/>
  <c r="M74" i="517" s="1"/>
  <c r="J74" i="517" a="1"/>
  <c r="J74" i="517" s="1"/>
  <c r="H74" i="517"/>
  <c r="V73" i="517"/>
  <c r="W73" i="517" s="1"/>
  <c r="N73" i="517"/>
  <c r="K73" i="517"/>
  <c r="M73" i="517" s="1"/>
  <c r="K73" i="517" a="1"/>
  <c r="J73" i="517" a="1"/>
  <c r="J73" i="517" s="1"/>
  <c r="H73" i="517"/>
  <c r="W72" i="517"/>
  <c r="V72" i="517"/>
  <c r="N72" i="517"/>
  <c r="K72" i="517" a="1"/>
  <c r="K72" i="517" s="1"/>
  <c r="M72" i="517" s="1"/>
  <c r="J72" i="517" a="1"/>
  <c r="J72" i="517" s="1"/>
  <c r="H72" i="517"/>
  <c r="H71" i="517"/>
  <c r="V70" i="517"/>
  <c r="W70" i="517" s="1"/>
  <c r="N70" i="517"/>
  <c r="K70" i="517" a="1"/>
  <c r="K70" i="517" s="1"/>
  <c r="M70" i="517" s="1"/>
  <c r="J70" i="517" a="1"/>
  <c r="J70" i="517" s="1"/>
  <c r="H70" i="517"/>
  <c r="V69" i="517"/>
  <c r="W69" i="517" s="1"/>
  <c r="N69" i="517"/>
  <c r="K69" i="517"/>
  <c r="M69" i="517" s="1"/>
  <c r="K69" i="517" a="1"/>
  <c r="J69" i="517"/>
  <c r="J69" i="517" a="1"/>
  <c r="H69" i="517"/>
  <c r="K68" i="517" a="1"/>
  <c r="K68" i="517" s="1"/>
  <c r="H68" i="517"/>
  <c r="K67" i="517" a="1"/>
  <c r="K67" i="517" s="1"/>
  <c r="H67" i="517"/>
  <c r="V66" i="517"/>
  <c r="W66" i="517" s="1"/>
  <c r="N66" i="517"/>
  <c r="K66" i="517" a="1"/>
  <c r="K66" i="517" s="1"/>
  <c r="M66" i="517" s="1"/>
  <c r="J66" i="517" a="1"/>
  <c r="J66" i="517" s="1"/>
  <c r="H66" i="517"/>
  <c r="V65" i="517"/>
  <c r="W65" i="517" s="1"/>
  <c r="N65" i="517"/>
  <c r="K65" i="517" a="1"/>
  <c r="K65" i="517" s="1"/>
  <c r="M65" i="517" s="1"/>
  <c r="J65" i="517" a="1"/>
  <c r="J65" i="517" s="1"/>
  <c r="H65" i="517"/>
  <c r="V64" i="517"/>
  <c r="W64" i="517" s="1"/>
  <c r="N64" i="517"/>
  <c r="K64" i="517" a="1"/>
  <c r="K64" i="517" s="1"/>
  <c r="M64" i="517" s="1"/>
  <c r="J64" i="517" a="1"/>
  <c r="J64" i="517" s="1"/>
  <c r="H64" i="517"/>
  <c r="V63" i="517"/>
  <c r="W63" i="517" s="1"/>
  <c r="N63" i="517"/>
  <c r="K63" i="517" a="1"/>
  <c r="K63" i="517" s="1"/>
  <c r="M63" i="517" s="1"/>
  <c r="J63" i="517" a="1"/>
  <c r="J63" i="517" s="1"/>
  <c r="H63" i="517"/>
  <c r="V62" i="517"/>
  <c r="W62" i="517" s="1"/>
  <c r="N62" i="517"/>
  <c r="K62" i="517" a="1"/>
  <c r="K62" i="517" s="1"/>
  <c r="M62" i="517" s="1"/>
  <c r="J62" i="517" a="1"/>
  <c r="J62" i="517" s="1"/>
  <c r="H62" i="517"/>
  <c r="V61" i="517"/>
  <c r="W61" i="517" s="1"/>
  <c r="N61" i="517"/>
  <c r="K61" i="517" a="1"/>
  <c r="K61" i="517" s="1"/>
  <c r="M61" i="517" s="1"/>
  <c r="J61" i="517" a="1"/>
  <c r="J61" i="517" s="1"/>
  <c r="H61" i="517"/>
  <c r="V60" i="517"/>
  <c r="W60" i="517" s="1"/>
  <c r="N60" i="517"/>
  <c r="K60" i="517" a="1"/>
  <c r="K60" i="517" s="1"/>
  <c r="M60" i="517" s="1"/>
  <c r="J60" i="517" a="1"/>
  <c r="J60" i="517" s="1"/>
  <c r="H60" i="517"/>
  <c r="V59" i="517"/>
  <c r="W59" i="517" s="1"/>
  <c r="N59" i="517"/>
  <c r="K59" i="517" a="1"/>
  <c r="K59" i="517" s="1"/>
  <c r="M59" i="517" s="1"/>
  <c r="J59" i="517" a="1"/>
  <c r="J59" i="517" s="1"/>
  <c r="H59" i="517"/>
  <c r="V58" i="517"/>
  <c r="W58" i="517" s="1"/>
  <c r="N58" i="517"/>
  <c r="K58" i="517" a="1"/>
  <c r="K58" i="517" s="1"/>
  <c r="M58" i="517" s="1"/>
  <c r="J58" i="517" a="1"/>
  <c r="J58" i="517" s="1"/>
  <c r="H58" i="517"/>
  <c r="V57" i="517"/>
  <c r="W57" i="517" s="1"/>
  <c r="N57" i="517"/>
  <c r="K57" i="517" a="1"/>
  <c r="K57" i="517" s="1"/>
  <c r="M57" i="517" s="1"/>
  <c r="J57" i="517" a="1"/>
  <c r="J57" i="517" s="1"/>
  <c r="H57" i="517"/>
  <c r="K56" i="517" a="1"/>
  <c r="K56" i="517" s="1"/>
  <c r="M56" i="517" s="1"/>
  <c r="H56" i="517"/>
  <c r="K55" i="517" a="1"/>
  <c r="K55" i="517" s="1"/>
  <c r="M55" i="517" s="1"/>
  <c r="H55" i="517"/>
  <c r="K54" i="517" a="1"/>
  <c r="K54" i="517" s="1"/>
  <c r="M54" i="517" s="1"/>
  <c r="H54" i="517"/>
  <c r="K53" i="517" a="1"/>
  <c r="K53" i="517" s="1"/>
  <c r="M53" i="517" s="1"/>
  <c r="H53" i="517"/>
  <c r="N52" i="517"/>
  <c r="K52" i="517" a="1"/>
  <c r="K52" i="517" s="1"/>
  <c r="M52" i="517" s="1"/>
  <c r="H52" i="517"/>
  <c r="N51" i="517"/>
  <c r="K51" i="517" a="1"/>
  <c r="K51" i="517" s="1"/>
  <c r="M51" i="517" s="1"/>
  <c r="H51" i="517"/>
  <c r="N50" i="517"/>
  <c r="K50" i="517" a="1"/>
  <c r="K50" i="517" s="1"/>
  <c r="M50" i="517" s="1"/>
  <c r="H50" i="517"/>
  <c r="N49" i="517"/>
  <c r="K49" i="517" a="1"/>
  <c r="K49" i="517" s="1"/>
  <c r="M49" i="517" s="1"/>
  <c r="H49" i="517"/>
  <c r="V48" i="517"/>
  <c r="W48" i="517" s="1"/>
  <c r="N48" i="517"/>
  <c r="K48" i="517" a="1"/>
  <c r="K48" i="517" s="1"/>
  <c r="M48" i="517" s="1"/>
  <c r="J48" i="517" a="1"/>
  <c r="J48" i="517" s="1"/>
  <c r="H48" i="517"/>
  <c r="V47" i="517"/>
  <c r="W47" i="517" s="1"/>
  <c r="N47" i="517"/>
  <c r="K47" i="517" a="1"/>
  <c r="K47" i="517" s="1"/>
  <c r="M47" i="517" s="1"/>
  <c r="J47" i="517" a="1"/>
  <c r="J47" i="517" s="1"/>
  <c r="H47" i="517"/>
  <c r="V46" i="517"/>
  <c r="W46" i="517" s="1"/>
  <c r="N46" i="517"/>
  <c r="K46" i="517" a="1"/>
  <c r="K46" i="517" s="1"/>
  <c r="M46" i="517" s="1"/>
  <c r="J46" i="517" a="1"/>
  <c r="J46" i="517" s="1"/>
  <c r="H46" i="517"/>
  <c r="V45" i="517"/>
  <c r="W45" i="517" s="1"/>
  <c r="N45" i="517"/>
  <c r="K45" i="517" a="1"/>
  <c r="K45" i="517" s="1"/>
  <c r="M45" i="517" s="1"/>
  <c r="J45" i="517" a="1"/>
  <c r="J45" i="517" s="1"/>
  <c r="H45" i="517"/>
  <c r="V44" i="517"/>
  <c r="W44" i="517" s="1"/>
  <c r="N44" i="517"/>
  <c r="K44" i="517" a="1"/>
  <c r="K44" i="517" s="1"/>
  <c r="M44" i="517" s="1"/>
  <c r="J44" i="517" a="1"/>
  <c r="J44" i="517" s="1"/>
  <c r="H44" i="517"/>
  <c r="V43" i="517"/>
  <c r="W43" i="517" s="1"/>
  <c r="N43" i="517"/>
  <c r="K43" i="517" a="1"/>
  <c r="K43" i="517" s="1"/>
  <c r="M43" i="517" s="1"/>
  <c r="J43" i="517" a="1"/>
  <c r="J43" i="517" s="1"/>
  <c r="H43" i="517"/>
  <c r="V42" i="517"/>
  <c r="W42" i="517" s="1"/>
  <c r="N42" i="517"/>
  <c r="K42" i="517" a="1"/>
  <c r="K42" i="517" s="1"/>
  <c r="M42" i="517" s="1"/>
  <c r="J42" i="517" a="1"/>
  <c r="J42" i="517" s="1"/>
  <c r="H42" i="517"/>
  <c r="V41" i="517"/>
  <c r="W41" i="517" s="1"/>
  <c r="N41" i="517"/>
  <c r="K41" i="517" a="1"/>
  <c r="K41" i="517" s="1"/>
  <c r="M41" i="517" s="1"/>
  <c r="J41" i="517" a="1"/>
  <c r="J41" i="517" s="1"/>
  <c r="H41" i="517"/>
  <c r="V40" i="517"/>
  <c r="W40" i="517" s="1"/>
  <c r="N40" i="517"/>
  <c r="K40" i="517"/>
  <c r="M40" i="517" s="1"/>
  <c r="K40" i="517" a="1"/>
  <c r="J40" i="517"/>
  <c r="J40" i="517" a="1"/>
  <c r="H40" i="517"/>
  <c r="V39" i="517"/>
  <c r="W39" i="517" s="1"/>
  <c r="N39" i="517"/>
  <c r="K39" i="517" a="1"/>
  <c r="K39" i="517" s="1"/>
  <c r="M39" i="517" s="1"/>
  <c r="J39" i="517" a="1"/>
  <c r="J39" i="517" s="1"/>
  <c r="H39" i="517"/>
  <c r="V38" i="517"/>
  <c r="W38" i="517" s="1"/>
  <c r="N38" i="517"/>
  <c r="K38" i="517" a="1"/>
  <c r="K38" i="517" s="1"/>
  <c r="M38" i="517" s="1"/>
  <c r="J38" i="517" a="1"/>
  <c r="J38" i="517" s="1"/>
  <c r="H38" i="517"/>
  <c r="V37" i="517"/>
  <c r="W37" i="517" s="1"/>
  <c r="N37" i="517"/>
  <c r="K37" i="517" a="1"/>
  <c r="K37" i="517" s="1"/>
  <c r="M37" i="517" s="1"/>
  <c r="J37" i="517" a="1"/>
  <c r="J37" i="517" s="1"/>
  <c r="H37" i="517"/>
  <c r="H36" i="517"/>
  <c r="H35" i="517"/>
  <c r="H34" i="517"/>
  <c r="V33" i="517"/>
  <c r="W33" i="517" s="1"/>
  <c r="N33" i="517"/>
  <c r="K33" i="517" a="1"/>
  <c r="K33" i="517" s="1"/>
  <c r="M33" i="517" s="1"/>
  <c r="J33" i="517" a="1"/>
  <c r="J33" i="517" s="1"/>
  <c r="H33" i="517"/>
  <c r="V32" i="517"/>
  <c r="W32" i="517" s="1"/>
  <c r="N32" i="517"/>
  <c r="K32" i="517" a="1"/>
  <c r="K32" i="517" s="1"/>
  <c r="M32" i="517" s="1"/>
  <c r="J32" i="517" a="1"/>
  <c r="J32" i="517" s="1"/>
  <c r="H32" i="517"/>
  <c r="V31" i="517"/>
  <c r="W31" i="517" s="1"/>
  <c r="N31" i="517"/>
  <c r="K31" i="517" a="1"/>
  <c r="K31" i="517" s="1"/>
  <c r="M31" i="517" s="1"/>
  <c r="J31" i="517" a="1"/>
  <c r="J31" i="517" s="1"/>
  <c r="H31" i="517"/>
  <c r="K30" i="517" a="1"/>
  <c r="K30" i="517" s="1"/>
  <c r="H30" i="517"/>
  <c r="V29" i="517"/>
  <c r="N29" i="517"/>
  <c r="K29" i="517" a="1"/>
  <c r="K29" i="517" s="1"/>
  <c r="J29" i="517" a="1"/>
  <c r="J29" i="517" s="1"/>
  <c r="H29" i="517"/>
  <c r="AA28" i="517"/>
  <c r="AA163" i="517" s="1"/>
  <c r="Z28" i="517"/>
  <c r="Z163" i="517" s="1"/>
  <c r="Y28" i="517"/>
  <c r="Y163" i="517" s="1"/>
  <c r="X28" i="517"/>
  <c r="X163" i="517" s="1"/>
  <c r="U28" i="517"/>
  <c r="U163" i="517" s="1"/>
  <c r="T28" i="517"/>
  <c r="T163" i="517" s="1"/>
  <c r="S28" i="517"/>
  <c r="S163" i="517" s="1"/>
  <c r="R28" i="517"/>
  <c r="R163" i="517" s="1"/>
  <c r="Q28" i="517"/>
  <c r="Q163" i="517" s="1"/>
  <c r="P28" i="517"/>
  <c r="O28" i="517"/>
  <c r="I28" i="517"/>
  <c r="G28" i="517"/>
  <c r="V27" i="517"/>
  <c r="W27" i="517" s="1"/>
  <c r="N27" i="517"/>
  <c r="K27" i="517" a="1"/>
  <c r="K27" i="517" s="1"/>
  <c r="M27" i="517" s="1"/>
  <c r="J27" i="517" a="1"/>
  <c r="J27" i="517" s="1"/>
  <c r="H27" i="517"/>
  <c r="V26" i="517"/>
  <c r="W26" i="517" s="1"/>
  <c r="N26" i="517"/>
  <c r="K26" i="517" a="1"/>
  <c r="K26" i="517" s="1"/>
  <c r="M26" i="517" s="1"/>
  <c r="J26" i="517" a="1"/>
  <c r="J26" i="517" s="1"/>
  <c r="H26" i="517"/>
  <c r="K25" i="517" a="1"/>
  <c r="K25" i="517" s="1"/>
  <c r="M25" i="517" s="1"/>
  <c r="J25" i="517" a="1"/>
  <c r="J25" i="517" s="1"/>
  <c r="H25" i="517"/>
  <c r="K24" i="517" a="1"/>
  <c r="K24" i="517" s="1"/>
  <c r="M24" i="517" s="1"/>
  <c r="J24" i="517" a="1"/>
  <c r="J24" i="517" s="1"/>
  <c r="H24" i="517"/>
  <c r="K23" i="517" a="1"/>
  <c r="K23" i="517" s="1"/>
  <c r="M23" i="517" s="1"/>
  <c r="J23" i="517" a="1"/>
  <c r="J23" i="517" s="1"/>
  <c r="H23" i="517"/>
  <c r="K22" i="517" a="1"/>
  <c r="K22" i="517" s="1"/>
  <c r="M22" i="517" s="1"/>
  <c r="J22" i="517" a="1"/>
  <c r="J22" i="517" s="1"/>
  <c r="H22" i="517"/>
  <c r="V21" i="517"/>
  <c r="W21" i="517" s="1"/>
  <c r="N21" i="517"/>
  <c r="K21" i="517" a="1"/>
  <c r="K21" i="517" s="1"/>
  <c r="M21" i="517" s="1"/>
  <c r="J21" i="517" a="1"/>
  <c r="J21" i="517" s="1"/>
  <c r="H21" i="517"/>
  <c r="V20" i="517"/>
  <c r="W20" i="517" s="1"/>
  <c r="N20" i="517"/>
  <c r="K20" i="517"/>
  <c r="M20" i="517" s="1"/>
  <c r="K20" i="517" a="1"/>
  <c r="J20" i="517"/>
  <c r="J20" i="517" a="1"/>
  <c r="H20" i="517"/>
  <c r="V19" i="517"/>
  <c r="W19" i="517" s="1"/>
  <c r="N19" i="517"/>
  <c r="K19" i="517" a="1"/>
  <c r="K19" i="517" s="1"/>
  <c r="M19" i="517" s="1"/>
  <c r="J19" i="517" a="1"/>
  <c r="J19" i="517" s="1"/>
  <c r="H19" i="517"/>
  <c r="N18" i="517"/>
  <c r="K18" i="517" a="1"/>
  <c r="K18" i="517" s="1"/>
  <c r="M18" i="517" s="1"/>
  <c r="J18" i="517" a="1"/>
  <c r="J18" i="517" s="1"/>
  <c r="H18" i="517"/>
  <c r="N17" i="517"/>
  <c r="K17" i="517" a="1"/>
  <c r="K17" i="517" s="1"/>
  <c r="M17" i="517" s="1"/>
  <c r="J17" i="517" a="1"/>
  <c r="J17" i="517" s="1"/>
  <c r="H17" i="517"/>
  <c r="W16" i="517"/>
  <c r="V16" i="517"/>
  <c r="N16" i="517"/>
  <c r="K16" i="517" a="1"/>
  <c r="K16" i="517" s="1"/>
  <c r="M16" i="517" s="1"/>
  <c r="J16" i="517" a="1"/>
  <c r="J16" i="517" s="1"/>
  <c r="H16" i="517"/>
  <c r="V15" i="517"/>
  <c r="W15" i="517" s="1"/>
  <c r="N15" i="517"/>
  <c r="K15" i="517" a="1"/>
  <c r="K15" i="517" s="1"/>
  <c r="M15" i="517" s="1"/>
  <c r="J15" i="517" a="1"/>
  <c r="J15" i="517" s="1"/>
  <c r="H15" i="517"/>
  <c r="N14" i="517"/>
  <c r="K14" i="517"/>
  <c r="M14" i="517" s="1"/>
  <c r="K14" i="517" a="1"/>
  <c r="H14" i="517"/>
  <c r="N13" i="517"/>
  <c r="K13" i="517" a="1"/>
  <c r="K13" i="517" s="1"/>
  <c r="M13" i="517" s="1"/>
  <c r="H13" i="517"/>
  <c r="V12" i="517"/>
  <c r="W12" i="517" s="1"/>
  <c r="N12" i="517"/>
  <c r="K12" i="517" a="1"/>
  <c r="K12" i="517" s="1"/>
  <c r="M12" i="517" s="1"/>
  <c r="J12" i="517" a="1"/>
  <c r="J12" i="517" s="1"/>
  <c r="H12" i="517"/>
  <c r="V11" i="517"/>
  <c r="W11" i="517" s="1"/>
  <c r="N11" i="517"/>
  <c r="K11" i="517" a="1"/>
  <c r="K11" i="517" s="1"/>
  <c r="M11" i="517" s="1"/>
  <c r="J11" i="517" a="1"/>
  <c r="J11" i="517" s="1"/>
  <c r="H11" i="517"/>
  <c r="V10" i="517"/>
  <c r="W10" i="517" s="1"/>
  <c r="N10" i="517"/>
  <c r="K10" i="517" a="1"/>
  <c r="K10" i="517" s="1"/>
  <c r="M10" i="517" s="1"/>
  <c r="J10" i="517" a="1"/>
  <c r="J10" i="517" s="1"/>
  <c r="H10" i="517"/>
  <c r="V9" i="517"/>
  <c r="W9" i="517" s="1"/>
  <c r="N9" i="517"/>
  <c r="K9" i="517" a="1"/>
  <c r="K9" i="517" s="1"/>
  <c r="M9" i="517" s="1"/>
  <c r="J9" i="517" a="1"/>
  <c r="J9" i="517" s="1"/>
  <c r="H9" i="517"/>
  <c r="V8" i="517"/>
  <c r="W8" i="517" s="1"/>
  <c r="N8" i="517"/>
  <c r="K8" i="517" a="1"/>
  <c r="K8" i="517" s="1"/>
  <c r="M8" i="517" s="1"/>
  <c r="J8" i="517" a="1"/>
  <c r="J8" i="517" s="1"/>
  <c r="H8" i="517"/>
  <c r="V7" i="517"/>
  <c r="N7" i="517"/>
  <c r="K7" i="517" a="1"/>
  <c r="K7" i="517" s="1"/>
  <c r="J7" i="517" a="1"/>
  <c r="J7" i="517" s="1"/>
  <c r="H7" i="517"/>
  <c r="P533" i="516"/>
  <c r="O533" i="516"/>
  <c r="N533" i="516"/>
  <c r="M533" i="516"/>
  <c r="L533" i="516"/>
  <c r="K533" i="516"/>
  <c r="I533" i="516"/>
  <c r="H533" i="516"/>
  <c r="G533" i="516"/>
  <c r="F533" i="516"/>
  <c r="E533" i="516"/>
  <c r="D533" i="516"/>
  <c r="C532" i="516"/>
  <c r="J532" i="516" s="1"/>
  <c r="Q532" i="516" s="1"/>
  <c r="C531" i="516"/>
  <c r="J531" i="516" s="1"/>
  <c r="Q531" i="516" s="1"/>
  <c r="C530" i="516"/>
  <c r="J530" i="516" s="1"/>
  <c r="G514" i="516"/>
  <c r="N514" i="516" s="1"/>
  <c r="X512" i="516"/>
  <c r="X511" i="516"/>
  <c r="X510" i="516"/>
  <c r="G510" i="516"/>
  <c r="C510" i="516"/>
  <c r="X509" i="516"/>
  <c r="I509" i="516"/>
  <c r="E509" i="516"/>
  <c r="K509" i="516" s="1"/>
  <c r="M509" i="516" s="1"/>
  <c r="X508" i="516"/>
  <c r="I508" i="516"/>
  <c r="E508" i="516"/>
  <c r="K508" i="516" s="1"/>
  <c r="M508" i="516" s="1"/>
  <c r="I507" i="516"/>
  <c r="E507" i="516"/>
  <c r="K507" i="516" s="1"/>
  <c r="M507" i="516" s="1"/>
  <c r="I506" i="516"/>
  <c r="I510" i="516" s="1"/>
  <c r="E506" i="516"/>
  <c r="K506" i="516" s="1"/>
  <c r="AA503" i="516"/>
  <c r="Z503" i="516"/>
  <c r="Y503" i="516"/>
  <c r="X503" i="516"/>
  <c r="U503" i="516"/>
  <c r="T503" i="516"/>
  <c r="S503" i="516"/>
  <c r="R503" i="516"/>
  <c r="Q503" i="516"/>
  <c r="P503" i="516"/>
  <c r="O503" i="516"/>
  <c r="R511" i="516" s="1"/>
  <c r="I503" i="516"/>
  <c r="G503" i="516"/>
  <c r="J503" i="516" s="1" a="1"/>
  <c r="J503" i="516" s="1"/>
  <c r="H502" i="516"/>
  <c r="H501" i="516"/>
  <c r="H500" i="516"/>
  <c r="D499" i="516"/>
  <c r="H499" i="516" s="1"/>
  <c r="V498" i="516"/>
  <c r="W498" i="516" s="1"/>
  <c r="N498" i="516"/>
  <c r="K498" i="516" a="1"/>
  <c r="K498" i="516" s="1"/>
  <c r="M498" i="516" s="1"/>
  <c r="J498" i="516" a="1"/>
  <c r="J498" i="516" s="1"/>
  <c r="H498" i="516"/>
  <c r="H497" i="516"/>
  <c r="H496" i="516"/>
  <c r="V495" i="516"/>
  <c r="W495" i="516" s="1"/>
  <c r="N495" i="516"/>
  <c r="K495" i="516"/>
  <c r="M495" i="516" s="1"/>
  <c r="K495" i="516" a="1"/>
  <c r="J495" i="516"/>
  <c r="J495" i="516" a="1"/>
  <c r="H495" i="516"/>
  <c r="V494" i="516"/>
  <c r="W494" i="516" s="1"/>
  <c r="N494" i="516"/>
  <c r="K494" i="516" a="1"/>
  <c r="K494" i="516" s="1"/>
  <c r="M494" i="516" s="1"/>
  <c r="J494" i="516" a="1"/>
  <c r="J494" i="516" s="1"/>
  <c r="H494" i="516"/>
  <c r="H493" i="516"/>
  <c r="H492" i="516"/>
  <c r="V491" i="516"/>
  <c r="W491" i="516" s="1"/>
  <c r="N491" i="516"/>
  <c r="K491" i="516" a="1"/>
  <c r="K491" i="516" s="1"/>
  <c r="M491" i="516" s="1"/>
  <c r="J491" i="516" a="1"/>
  <c r="J491" i="516" s="1"/>
  <c r="H491" i="516"/>
  <c r="V490" i="516"/>
  <c r="W490" i="516" s="1"/>
  <c r="N490" i="516"/>
  <c r="K490" i="516" a="1"/>
  <c r="K490" i="516" s="1"/>
  <c r="M490" i="516" s="1"/>
  <c r="J490" i="516" a="1"/>
  <c r="J490" i="516" s="1"/>
  <c r="H490" i="516"/>
  <c r="V489" i="516"/>
  <c r="W489" i="516" s="1"/>
  <c r="N489" i="516"/>
  <c r="K489" i="516"/>
  <c r="M489" i="516" s="1"/>
  <c r="K489" i="516" a="1"/>
  <c r="J489" i="516"/>
  <c r="J489" i="516" a="1"/>
  <c r="H489" i="516"/>
  <c r="V488" i="516"/>
  <c r="V503" i="516" s="1"/>
  <c r="N488" i="516"/>
  <c r="N503" i="516" s="1"/>
  <c r="K488" i="516" a="1"/>
  <c r="K488" i="516" s="1"/>
  <c r="J488" i="516" a="1"/>
  <c r="J488" i="516" s="1"/>
  <c r="H488" i="516"/>
  <c r="H503" i="516" s="1"/>
  <c r="AA487" i="516"/>
  <c r="Z487" i="516"/>
  <c r="Y487" i="516"/>
  <c r="X487" i="516"/>
  <c r="U487" i="516"/>
  <c r="T487" i="516"/>
  <c r="S487" i="516"/>
  <c r="Q487" i="516"/>
  <c r="P487" i="516"/>
  <c r="O487" i="516"/>
  <c r="I487" i="516"/>
  <c r="G487" i="516"/>
  <c r="J487" i="516" s="1" a="1"/>
  <c r="J487" i="516" s="1"/>
  <c r="V486" i="516"/>
  <c r="W486" i="516" s="1"/>
  <c r="N486" i="516"/>
  <c r="K486" i="516" a="1"/>
  <c r="K486" i="516" s="1"/>
  <c r="M486" i="516" s="1"/>
  <c r="J486" i="516" a="1"/>
  <c r="J486" i="516" s="1"/>
  <c r="H486" i="516"/>
  <c r="H483" i="516"/>
  <c r="V482" i="516"/>
  <c r="W482" i="516" s="1"/>
  <c r="N482" i="516"/>
  <c r="K482" i="516"/>
  <c r="M482" i="516" s="1"/>
  <c r="K482" i="516" a="1"/>
  <c r="J482" i="516"/>
  <c r="J482" i="516" a="1"/>
  <c r="H482" i="516"/>
  <c r="V481" i="516"/>
  <c r="W481" i="516" s="1"/>
  <c r="N481" i="516"/>
  <c r="K481" i="516" a="1"/>
  <c r="K481" i="516" s="1"/>
  <c r="M481" i="516" s="1"/>
  <c r="J481" i="516" a="1"/>
  <c r="J481" i="516" s="1"/>
  <c r="H481" i="516"/>
  <c r="V480" i="516"/>
  <c r="W480" i="516" s="1"/>
  <c r="N480" i="516"/>
  <c r="K480" i="516"/>
  <c r="M480" i="516" s="1"/>
  <c r="K480" i="516" a="1"/>
  <c r="J480" i="516"/>
  <c r="J480" i="516" a="1"/>
  <c r="H480" i="516"/>
  <c r="V479" i="516"/>
  <c r="W479" i="516" s="1"/>
  <c r="N479" i="516"/>
  <c r="K479" i="516" a="1"/>
  <c r="K479" i="516" s="1"/>
  <c r="M479" i="516" s="1"/>
  <c r="J479" i="516" a="1"/>
  <c r="J479" i="516" s="1"/>
  <c r="H479" i="516"/>
  <c r="V478" i="516"/>
  <c r="V487" i="516" s="1"/>
  <c r="W487" i="516" s="1"/>
  <c r="N478" i="516"/>
  <c r="N487" i="516" s="1"/>
  <c r="K478" i="516"/>
  <c r="M478" i="516" s="1"/>
  <c r="K478" i="516" a="1"/>
  <c r="J478" i="516"/>
  <c r="J478" i="516" a="1"/>
  <c r="H478" i="516"/>
  <c r="H487" i="516" s="1"/>
  <c r="AA477" i="516"/>
  <c r="Z477" i="516"/>
  <c r="Y477" i="516"/>
  <c r="X477" i="516"/>
  <c r="U477" i="516"/>
  <c r="T477" i="516"/>
  <c r="S477" i="516"/>
  <c r="Q477" i="516"/>
  <c r="P477" i="516"/>
  <c r="O477" i="516"/>
  <c r="R509" i="516" s="1"/>
  <c r="I477" i="516"/>
  <c r="G477" i="516"/>
  <c r="J477" i="516" s="1" a="1"/>
  <c r="J477" i="516" s="1"/>
  <c r="V476" i="516"/>
  <c r="W476" i="516" s="1"/>
  <c r="N476" i="516"/>
  <c r="K476" i="516" a="1"/>
  <c r="K476" i="516" s="1"/>
  <c r="M476" i="516" s="1"/>
  <c r="J476" i="516" a="1"/>
  <c r="J476" i="516" s="1"/>
  <c r="H476" i="516"/>
  <c r="W475" i="516"/>
  <c r="V475" i="516"/>
  <c r="N475" i="516"/>
  <c r="K475" i="516" a="1"/>
  <c r="K475" i="516" s="1"/>
  <c r="M475" i="516" s="1"/>
  <c r="J475" i="516" a="1"/>
  <c r="J475" i="516" s="1"/>
  <c r="H475" i="516"/>
  <c r="V474" i="516"/>
  <c r="W474" i="516" s="1"/>
  <c r="N474" i="516"/>
  <c r="K474" i="516" a="1"/>
  <c r="K474" i="516" s="1"/>
  <c r="M474" i="516" s="1"/>
  <c r="J474" i="516" a="1"/>
  <c r="J474" i="516" s="1"/>
  <c r="H474" i="516"/>
  <c r="V473" i="516"/>
  <c r="W473" i="516" s="1"/>
  <c r="N473" i="516"/>
  <c r="K473" i="516"/>
  <c r="M473" i="516" s="1"/>
  <c r="K473" i="516" a="1"/>
  <c r="J473" i="516"/>
  <c r="J473" i="516" a="1"/>
  <c r="H473" i="516"/>
  <c r="V472" i="516"/>
  <c r="W472" i="516" s="1"/>
  <c r="N472" i="516"/>
  <c r="K472" i="516" a="1"/>
  <c r="K472" i="516" s="1"/>
  <c r="M472" i="516" s="1"/>
  <c r="J472" i="516" a="1"/>
  <c r="J472" i="516" s="1"/>
  <c r="H472" i="516"/>
  <c r="V471" i="516"/>
  <c r="W471" i="516" s="1"/>
  <c r="N471" i="516"/>
  <c r="K471" i="516" a="1"/>
  <c r="K471" i="516" s="1"/>
  <c r="M471" i="516" s="1"/>
  <c r="J471" i="516" a="1"/>
  <c r="J471" i="516" s="1"/>
  <c r="H471" i="516"/>
  <c r="V470" i="516"/>
  <c r="W470" i="516" s="1"/>
  <c r="N470" i="516"/>
  <c r="K470" i="516" a="1"/>
  <c r="K470" i="516" s="1"/>
  <c r="M470" i="516" s="1"/>
  <c r="J470" i="516" a="1"/>
  <c r="J470" i="516" s="1"/>
  <c r="H470" i="516"/>
  <c r="V469" i="516"/>
  <c r="W469" i="516" s="1"/>
  <c r="N469" i="516"/>
  <c r="K469" i="516"/>
  <c r="M469" i="516" s="1"/>
  <c r="K469" i="516" a="1"/>
  <c r="J469" i="516"/>
  <c r="J469" i="516" a="1"/>
  <c r="H469" i="516"/>
  <c r="V468" i="516"/>
  <c r="W468" i="516" s="1"/>
  <c r="N468" i="516"/>
  <c r="K468" i="516" a="1"/>
  <c r="K468" i="516" s="1"/>
  <c r="M468" i="516" s="1"/>
  <c r="J468" i="516" a="1"/>
  <c r="J468" i="516" s="1"/>
  <c r="H468" i="516"/>
  <c r="V467" i="516"/>
  <c r="W467" i="516" s="1"/>
  <c r="N467" i="516"/>
  <c r="K467" i="516" a="1"/>
  <c r="K467" i="516" s="1"/>
  <c r="M467" i="516" s="1"/>
  <c r="J467" i="516" a="1"/>
  <c r="J467" i="516" s="1"/>
  <c r="H467" i="516"/>
  <c r="V466" i="516"/>
  <c r="W466" i="516" s="1"/>
  <c r="N466" i="516"/>
  <c r="K466" i="516" a="1"/>
  <c r="K466" i="516" s="1"/>
  <c r="M466" i="516" s="1"/>
  <c r="J466" i="516" a="1"/>
  <c r="J466" i="516" s="1"/>
  <c r="H466" i="516"/>
  <c r="V465" i="516"/>
  <c r="W465" i="516" s="1"/>
  <c r="N465" i="516"/>
  <c r="K465" i="516"/>
  <c r="M465" i="516" s="1"/>
  <c r="K465" i="516" a="1"/>
  <c r="J465" i="516"/>
  <c r="J465" i="516" a="1"/>
  <c r="H465" i="516"/>
  <c r="V464" i="516"/>
  <c r="W464" i="516" s="1"/>
  <c r="N464" i="516"/>
  <c r="K464" i="516" a="1"/>
  <c r="K464" i="516" s="1"/>
  <c r="M464" i="516" s="1"/>
  <c r="J464" i="516" a="1"/>
  <c r="J464" i="516" s="1"/>
  <c r="H464" i="516"/>
  <c r="V463" i="516"/>
  <c r="W463" i="516" s="1"/>
  <c r="N463" i="516"/>
  <c r="K463" i="516" a="1"/>
  <c r="K463" i="516" s="1"/>
  <c r="M463" i="516" s="1"/>
  <c r="J463" i="516" a="1"/>
  <c r="J463" i="516" s="1"/>
  <c r="H463" i="516"/>
  <c r="V462" i="516"/>
  <c r="N462" i="516"/>
  <c r="K462" i="516" a="1"/>
  <c r="K462" i="516" s="1"/>
  <c r="J462" i="516" a="1"/>
  <c r="J462" i="516" s="1"/>
  <c r="H462" i="516"/>
  <c r="AA461" i="516"/>
  <c r="Z461" i="516"/>
  <c r="Y461" i="516"/>
  <c r="X461" i="516"/>
  <c r="U461" i="516"/>
  <c r="T461" i="516"/>
  <c r="S461" i="516"/>
  <c r="R461" i="516"/>
  <c r="Q461" i="516"/>
  <c r="P461" i="516"/>
  <c r="O461" i="516"/>
  <c r="I461" i="516"/>
  <c r="G461" i="516"/>
  <c r="V460" i="516"/>
  <c r="W460" i="516" s="1"/>
  <c r="N460" i="516"/>
  <c r="K460" i="516" a="1"/>
  <c r="K460" i="516" s="1"/>
  <c r="M460" i="516" s="1"/>
  <c r="J460" i="516" a="1"/>
  <c r="J460" i="516" s="1"/>
  <c r="H460" i="516"/>
  <c r="V459" i="516"/>
  <c r="W459" i="516" s="1"/>
  <c r="N459" i="516"/>
  <c r="K459" i="516"/>
  <c r="M459" i="516" s="1"/>
  <c r="K459" i="516" a="1"/>
  <c r="J459" i="516"/>
  <c r="J459" i="516" a="1"/>
  <c r="H459" i="516"/>
  <c r="V458" i="516"/>
  <c r="W458" i="516" s="1"/>
  <c r="N458" i="516"/>
  <c r="K458" i="516" a="1"/>
  <c r="K458" i="516" s="1"/>
  <c r="M458" i="516" s="1"/>
  <c r="J458" i="516" a="1"/>
  <c r="J458" i="516" s="1"/>
  <c r="H458" i="516"/>
  <c r="K457" i="516" a="1"/>
  <c r="K457" i="516" s="1"/>
  <c r="M457" i="516" s="1"/>
  <c r="H457" i="516"/>
  <c r="K456" i="516" a="1"/>
  <c r="K456" i="516" s="1"/>
  <c r="M456" i="516" s="1"/>
  <c r="H456" i="516"/>
  <c r="K455" i="516" a="1"/>
  <c r="K455" i="516" s="1"/>
  <c r="M455" i="516" s="1"/>
  <c r="H455" i="516"/>
  <c r="V454" i="516"/>
  <c r="W454" i="516" s="1"/>
  <c r="N454" i="516"/>
  <c r="K454" i="516" a="1"/>
  <c r="K454" i="516" s="1"/>
  <c r="M454" i="516" s="1"/>
  <c r="J454" i="516" a="1"/>
  <c r="J454" i="516" s="1"/>
  <c r="H454" i="516"/>
  <c r="V453" i="516"/>
  <c r="W453" i="516" s="1"/>
  <c r="N453" i="516"/>
  <c r="K453" i="516" a="1"/>
  <c r="K453" i="516" s="1"/>
  <c r="M453" i="516" s="1"/>
  <c r="J453" i="516" a="1"/>
  <c r="J453" i="516" s="1"/>
  <c r="H453" i="516"/>
  <c r="N452" i="516"/>
  <c r="K452" i="516"/>
  <c r="M452" i="516" s="1"/>
  <c r="K452" i="516" a="1"/>
  <c r="H452" i="516"/>
  <c r="N451" i="516"/>
  <c r="K451" i="516" a="1"/>
  <c r="K451" i="516" s="1"/>
  <c r="M451" i="516" s="1"/>
  <c r="H451" i="516"/>
  <c r="N450" i="516"/>
  <c r="K450" i="516" a="1"/>
  <c r="K450" i="516" s="1"/>
  <c r="M450" i="516" s="1"/>
  <c r="H450" i="516"/>
  <c r="N449" i="516"/>
  <c r="K449" i="516" a="1"/>
  <c r="K449" i="516" s="1"/>
  <c r="M449" i="516" s="1"/>
  <c r="H449" i="516"/>
  <c r="N448" i="516"/>
  <c r="K448" i="516"/>
  <c r="M448" i="516" s="1"/>
  <c r="K448" i="516" a="1"/>
  <c r="H448" i="516"/>
  <c r="N447" i="516"/>
  <c r="K447" i="516" a="1"/>
  <c r="K447" i="516" s="1"/>
  <c r="M447" i="516" s="1"/>
  <c r="H447" i="516"/>
  <c r="V446" i="516"/>
  <c r="W446" i="516" s="1"/>
  <c r="N446" i="516"/>
  <c r="K446" i="516" a="1"/>
  <c r="K446" i="516" s="1"/>
  <c r="M446" i="516" s="1"/>
  <c r="J446" i="516" a="1"/>
  <c r="J446" i="516" s="1"/>
  <c r="H446" i="516"/>
  <c r="V445" i="516"/>
  <c r="W445" i="516" s="1"/>
  <c r="N445" i="516"/>
  <c r="K445" i="516" a="1"/>
  <c r="K445" i="516" s="1"/>
  <c r="M445" i="516" s="1"/>
  <c r="J445" i="516" a="1"/>
  <c r="J445" i="516" s="1"/>
  <c r="H445" i="516"/>
  <c r="V444" i="516"/>
  <c r="W444" i="516" s="1"/>
  <c r="N444" i="516"/>
  <c r="K444" i="516"/>
  <c r="M444" i="516" s="1"/>
  <c r="K444" i="516" a="1"/>
  <c r="J444" i="516"/>
  <c r="J444" i="516" a="1"/>
  <c r="H444" i="516"/>
  <c r="V443" i="516"/>
  <c r="W443" i="516" s="1"/>
  <c r="N443" i="516"/>
  <c r="K443" i="516" a="1"/>
  <c r="K443" i="516" s="1"/>
  <c r="M443" i="516" s="1"/>
  <c r="J443" i="516" a="1"/>
  <c r="J443" i="516" s="1"/>
  <c r="H443" i="516"/>
  <c r="V442" i="516"/>
  <c r="W442" i="516" s="1"/>
  <c r="N442" i="516"/>
  <c r="K442" i="516" a="1"/>
  <c r="K442" i="516" s="1"/>
  <c r="M442" i="516" s="1"/>
  <c r="J442" i="516" a="1"/>
  <c r="J442" i="516" s="1"/>
  <c r="H442" i="516"/>
  <c r="V441" i="516"/>
  <c r="W441" i="516" s="1"/>
  <c r="N441" i="516"/>
  <c r="K441" i="516" a="1"/>
  <c r="K441" i="516" s="1"/>
  <c r="M441" i="516" s="1"/>
  <c r="J441" i="516" a="1"/>
  <c r="J441" i="516" s="1"/>
  <c r="H441" i="516"/>
  <c r="V440" i="516"/>
  <c r="W440" i="516" s="1"/>
  <c r="N440" i="516"/>
  <c r="K440" i="516"/>
  <c r="M440" i="516" s="1"/>
  <c r="K440" i="516" a="1"/>
  <c r="J440" i="516"/>
  <c r="J440" i="516" a="1"/>
  <c r="H440" i="516"/>
  <c r="V439" i="516"/>
  <c r="W439" i="516" s="1"/>
  <c r="N439" i="516"/>
  <c r="K439" i="516" a="1"/>
  <c r="K439" i="516" s="1"/>
  <c r="M439" i="516" s="1"/>
  <c r="J439" i="516" a="1"/>
  <c r="J439" i="516" s="1"/>
  <c r="H439" i="516"/>
  <c r="W438" i="516"/>
  <c r="V438" i="516"/>
  <c r="N438" i="516"/>
  <c r="K438" i="516" a="1"/>
  <c r="K438" i="516" s="1"/>
  <c r="M438" i="516" s="1"/>
  <c r="J438" i="516" a="1"/>
  <c r="J438" i="516" s="1"/>
  <c r="H438" i="516"/>
  <c r="V437" i="516"/>
  <c r="W437" i="516" s="1"/>
  <c r="N437" i="516"/>
  <c r="K437" i="516" a="1"/>
  <c r="K437" i="516" s="1"/>
  <c r="M437" i="516" s="1"/>
  <c r="J437" i="516" a="1"/>
  <c r="J437" i="516" s="1"/>
  <c r="H437" i="516"/>
  <c r="V436" i="516"/>
  <c r="W436" i="516" s="1"/>
  <c r="N436" i="516"/>
  <c r="K436" i="516"/>
  <c r="M436" i="516" s="1"/>
  <c r="K436" i="516" a="1"/>
  <c r="J436" i="516"/>
  <c r="J436" i="516" a="1"/>
  <c r="H436" i="516"/>
  <c r="V435" i="516"/>
  <c r="W435" i="516" s="1"/>
  <c r="N435" i="516"/>
  <c r="K435" i="516" a="1"/>
  <c r="K435" i="516" s="1"/>
  <c r="M435" i="516" s="1"/>
  <c r="J435" i="516" a="1"/>
  <c r="J435" i="516" s="1"/>
  <c r="H435" i="516"/>
  <c r="N434" i="516"/>
  <c r="K434" i="516" a="1"/>
  <c r="K434" i="516" s="1"/>
  <c r="M434" i="516" s="1"/>
  <c r="H434" i="516"/>
  <c r="V433" i="516"/>
  <c r="W433" i="516" s="1"/>
  <c r="N433" i="516"/>
  <c r="K433" i="516" a="1"/>
  <c r="K433" i="516" s="1"/>
  <c r="M433" i="516" s="1"/>
  <c r="J433" i="516" a="1"/>
  <c r="J433" i="516" s="1"/>
  <c r="H433" i="516"/>
  <c r="V432" i="516"/>
  <c r="W432" i="516" s="1"/>
  <c r="N432" i="516"/>
  <c r="K432" i="516"/>
  <c r="M432" i="516" s="1"/>
  <c r="K432" i="516" a="1"/>
  <c r="J432" i="516"/>
  <c r="J432" i="516" a="1"/>
  <c r="H432" i="516"/>
  <c r="V431" i="516"/>
  <c r="W431" i="516" s="1"/>
  <c r="N431" i="516"/>
  <c r="K431" i="516" a="1"/>
  <c r="K431" i="516" s="1"/>
  <c r="M431" i="516" s="1"/>
  <c r="J431" i="516" a="1"/>
  <c r="J431" i="516" s="1"/>
  <c r="H431" i="516"/>
  <c r="V430" i="516"/>
  <c r="W430" i="516" s="1"/>
  <c r="N430" i="516"/>
  <c r="K430" i="516" a="1"/>
  <c r="K430" i="516" s="1"/>
  <c r="M430" i="516" s="1"/>
  <c r="J430" i="516" a="1"/>
  <c r="J430" i="516" s="1"/>
  <c r="H430" i="516"/>
  <c r="V429" i="516"/>
  <c r="W429" i="516" s="1"/>
  <c r="N429" i="516"/>
  <c r="K429" i="516" a="1"/>
  <c r="K429" i="516" s="1"/>
  <c r="M429" i="516" s="1"/>
  <c r="J429" i="516" a="1"/>
  <c r="J429" i="516" s="1"/>
  <c r="H429" i="516"/>
  <c r="V428" i="516"/>
  <c r="W428" i="516" s="1"/>
  <c r="N428" i="516"/>
  <c r="K428" i="516"/>
  <c r="M428" i="516" s="1"/>
  <c r="K428" i="516" a="1"/>
  <c r="J428" i="516"/>
  <c r="J428" i="516" a="1"/>
  <c r="H428" i="516"/>
  <c r="V427" i="516"/>
  <c r="N427" i="516"/>
  <c r="K427" i="516" a="1"/>
  <c r="K427" i="516" s="1"/>
  <c r="J427" i="516" a="1"/>
  <c r="J427" i="516" s="1"/>
  <c r="H427" i="516"/>
  <c r="AA426" i="516"/>
  <c r="Z426" i="516"/>
  <c r="Y426" i="516"/>
  <c r="X426" i="516"/>
  <c r="U426" i="516"/>
  <c r="T426" i="516"/>
  <c r="S426" i="516"/>
  <c r="R426" i="516"/>
  <c r="Q426" i="516"/>
  <c r="P426" i="516"/>
  <c r="O426" i="516"/>
  <c r="R507" i="516" s="1"/>
  <c r="I426" i="516"/>
  <c r="G426" i="516"/>
  <c r="J426" i="516" s="1" a="1"/>
  <c r="J426" i="516" s="1"/>
  <c r="K425" i="516" a="1"/>
  <c r="K425" i="516" s="1"/>
  <c r="M425" i="516" s="1"/>
  <c r="H425" i="516"/>
  <c r="K424" i="516"/>
  <c r="M424" i="516" s="1"/>
  <c r="K424" i="516" a="1"/>
  <c r="H424" i="516"/>
  <c r="K423" i="516" a="1"/>
  <c r="K423" i="516" s="1"/>
  <c r="M423" i="516" s="1"/>
  <c r="H423" i="516"/>
  <c r="K422" i="516" a="1"/>
  <c r="K422" i="516" s="1"/>
  <c r="M422" i="516" s="1"/>
  <c r="H422" i="516"/>
  <c r="K421" i="516" a="1"/>
  <c r="K421" i="516" s="1"/>
  <c r="M421" i="516" s="1"/>
  <c r="H421" i="516"/>
  <c r="K420" i="516" a="1"/>
  <c r="K420" i="516" s="1"/>
  <c r="M420" i="516" s="1"/>
  <c r="H420" i="516"/>
  <c r="K419" i="516" a="1"/>
  <c r="K419" i="516" s="1"/>
  <c r="M419" i="516" s="1"/>
  <c r="H419" i="516"/>
  <c r="K418" i="516" a="1"/>
  <c r="K418" i="516" s="1"/>
  <c r="M418" i="516" s="1"/>
  <c r="H418" i="516"/>
  <c r="K417" i="516" a="1"/>
  <c r="K417" i="516" s="1"/>
  <c r="M417" i="516" s="1"/>
  <c r="H417" i="516"/>
  <c r="K416" i="516" a="1"/>
  <c r="K416" i="516" s="1"/>
  <c r="M416" i="516" s="1"/>
  <c r="H416" i="516"/>
  <c r="V415" i="516"/>
  <c r="W415" i="516" s="1"/>
  <c r="N415" i="516"/>
  <c r="K415" i="516"/>
  <c r="M415" i="516" s="1"/>
  <c r="K415" i="516" a="1"/>
  <c r="J415" i="516"/>
  <c r="J415" i="516" a="1"/>
  <c r="H415" i="516"/>
  <c r="V414" i="516"/>
  <c r="W414" i="516" s="1"/>
  <c r="N414" i="516"/>
  <c r="K414" i="516" a="1"/>
  <c r="K414" i="516" s="1"/>
  <c r="M414" i="516" s="1"/>
  <c r="J414" i="516" a="1"/>
  <c r="J414" i="516" s="1"/>
  <c r="H414" i="516"/>
  <c r="V413" i="516"/>
  <c r="W413" i="516" s="1"/>
  <c r="N413" i="516"/>
  <c r="K413" i="516" a="1"/>
  <c r="K413" i="516" s="1"/>
  <c r="M413" i="516" s="1"/>
  <c r="J413" i="516" a="1"/>
  <c r="J413" i="516" s="1"/>
  <c r="H413" i="516"/>
  <c r="V412" i="516"/>
  <c r="W412" i="516" s="1"/>
  <c r="N412" i="516"/>
  <c r="K412" i="516" a="1"/>
  <c r="K412" i="516" s="1"/>
  <c r="M412" i="516" s="1"/>
  <c r="J412" i="516" a="1"/>
  <c r="J412" i="516" s="1"/>
  <c r="H412" i="516"/>
  <c r="H411" i="516"/>
  <c r="V410" i="516"/>
  <c r="W410" i="516" s="1"/>
  <c r="N410" i="516"/>
  <c r="K410" i="516" a="1"/>
  <c r="K410" i="516" s="1"/>
  <c r="M410" i="516" s="1"/>
  <c r="J410" i="516" a="1"/>
  <c r="J410" i="516" s="1"/>
  <c r="H410" i="516"/>
  <c r="V409" i="516"/>
  <c r="W409" i="516" s="1"/>
  <c r="N409" i="516"/>
  <c r="K409" i="516"/>
  <c r="M409" i="516" s="1"/>
  <c r="K409" i="516" a="1"/>
  <c r="J409" i="516"/>
  <c r="J409" i="516" a="1"/>
  <c r="H409" i="516"/>
  <c r="H408" i="516"/>
  <c r="K407" i="516"/>
  <c r="K407" i="516" a="1"/>
  <c r="H407" i="516"/>
  <c r="V406" i="516"/>
  <c r="W406" i="516" s="1"/>
  <c r="N406" i="516"/>
  <c r="K406" i="516" a="1"/>
  <c r="K406" i="516" s="1"/>
  <c r="M406" i="516" s="1"/>
  <c r="J406" i="516" a="1"/>
  <c r="J406" i="516" s="1"/>
  <c r="H406" i="516"/>
  <c r="V405" i="516"/>
  <c r="W405" i="516" s="1"/>
  <c r="N405" i="516"/>
  <c r="K405" i="516" a="1"/>
  <c r="K405" i="516" s="1"/>
  <c r="M405" i="516" s="1"/>
  <c r="J405" i="516" a="1"/>
  <c r="J405" i="516" s="1"/>
  <c r="H405" i="516"/>
  <c r="V404" i="516"/>
  <c r="W404" i="516" s="1"/>
  <c r="N404" i="516"/>
  <c r="K404" i="516" a="1"/>
  <c r="K404" i="516" s="1"/>
  <c r="M404" i="516" s="1"/>
  <c r="J404" i="516" a="1"/>
  <c r="J404" i="516" s="1"/>
  <c r="H404" i="516"/>
  <c r="V403" i="516"/>
  <c r="W403" i="516" s="1"/>
  <c r="N403" i="516"/>
  <c r="K403" i="516"/>
  <c r="M403" i="516" s="1"/>
  <c r="K403" i="516" a="1"/>
  <c r="J403" i="516"/>
  <c r="J403" i="516" a="1"/>
  <c r="H403" i="516"/>
  <c r="V402" i="516"/>
  <c r="W402" i="516" s="1"/>
  <c r="N402" i="516"/>
  <c r="K402" i="516" a="1"/>
  <c r="K402" i="516" s="1"/>
  <c r="M402" i="516" s="1"/>
  <c r="J402" i="516" a="1"/>
  <c r="J402" i="516" s="1"/>
  <c r="H402" i="516"/>
  <c r="V401" i="516"/>
  <c r="W401" i="516" s="1"/>
  <c r="N401" i="516"/>
  <c r="K401" i="516" a="1"/>
  <c r="K401" i="516" s="1"/>
  <c r="M401" i="516" s="1"/>
  <c r="J401" i="516" a="1"/>
  <c r="J401" i="516" s="1"/>
  <c r="H401" i="516"/>
  <c r="V400" i="516"/>
  <c r="W400" i="516" s="1"/>
  <c r="N400" i="516"/>
  <c r="K400" i="516" a="1"/>
  <c r="K400" i="516" s="1"/>
  <c r="M400" i="516" s="1"/>
  <c r="J400" i="516" a="1"/>
  <c r="J400" i="516" s="1"/>
  <c r="H400" i="516"/>
  <c r="V399" i="516"/>
  <c r="W399" i="516" s="1"/>
  <c r="N399" i="516"/>
  <c r="K399" i="516"/>
  <c r="M399" i="516" s="1"/>
  <c r="K399" i="516" a="1"/>
  <c r="J399" i="516"/>
  <c r="J399" i="516" a="1"/>
  <c r="H399" i="516"/>
  <c r="V398" i="516"/>
  <c r="W398" i="516" s="1"/>
  <c r="N398" i="516"/>
  <c r="K398" i="516" a="1"/>
  <c r="K398" i="516" s="1"/>
  <c r="M398" i="516" s="1"/>
  <c r="J398" i="516" a="1"/>
  <c r="J398" i="516" s="1"/>
  <c r="H398" i="516"/>
  <c r="V397" i="516"/>
  <c r="W397" i="516" s="1"/>
  <c r="N397" i="516"/>
  <c r="K397" i="516" a="1"/>
  <c r="K397" i="516" s="1"/>
  <c r="M397" i="516" s="1"/>
  <c r="J397" i="516" a="1"/>
  <c r="J397" i="516" s="1"/>
  <c r="H397" i="516"/>
  <c r="K396" i="516"/>
  <c r="M396" i="516" s="1"/>
  <c r="K396" i="516" a="1"/>
  <c r="H396" i="516"/>
  <c r="K395" i="516" a="1"/>
  <c r="K395" i="516" s="1"/>
  <c r="M395" i="516" s="1"/>
  <c r="H395" i="516"/>
  <c r="K394" i="516"/>
  <c r="M394" i="516" s="1"/>
  <c r="K394" i="516" a="1"/>
  <c r="H394" i="516"/>
  <c r="K393" i="516" a="1"/>
  <c r="K393" i="516" s="1"/>
  <c r="M393" i="516" s="1"/>
  <c r="H393" i="516"/>
  <c r="N392" i="516"/>
  <c r="K392" i="516" a="1"/>
  <c r="K392" i="516" s="1"/>
  <c r="M392" i="516" s="1"/>
  <c r="H392" i="516"/>
  <c r="N391" i="516"/>
  <c r="K391" i="516"/>
  <c r="M391" i="516" s="1"/>
  <c r="K391" i="516" a="1"/>
  <c r="H391" i="516"/>
  <c r="N390" i="516"/>
  <c r="K390" i="516" a="1"/>
  <c r="K390" i="516" s="1"/>
  <c r="M390" i="516" s="1"/>
  <c r="H390" i="516"/>
  <c r="N389" i="516"/>
  <c r="K389" i="516" a="1"/>
  <c r="K389" i="516" s="1"/>
  <c r="M389" i="516" s="1"/>
  <c r="H389" i="516"/>
  <c r="V388" i="516"/>
  <c r="W388" i="516" s="1"/>
  <c r="N388" i="516"/>
  <c r="K388" i="516" a="1"/>
  <c r="K388" i="516" s="1"/>
  <c r="M388" i="516" s="1"/>
  <c r="J388" i="516" a="1"/>
  <c r="J388" i="516" s="1"/>
  <c r="H388" i="516"/>
  <c r="V387" i="516"/>
  <c r="W387" i="516" s="1"/>
  <c r="N387" i="516"/>
  <c r="K387" i="516"/>
  <c r="M387" i="516" s="1"/>
  <c r="K387" i="516" a="1"/>
  <c r="J387" i="516"/>
  <c r="J387" i="516" a="1"/>
  <c r="H387" i="516"/>
  <c r="V386" i="516"/>
  <c r="W386" i="516" s="1"/>
  <c r="N386" i="516"/>
  <c r="K386" i="516" a="1"/>
  <c r="K386" i="516" s="1"/>
  <c r="M386" i="516" s="1"/>
  <c r="J386" i="516" a="1"/>
  <c r="J386" i="516" s="1"/>
  <c r="H386" i="516"/>
  <c r="V385" i="516"/>
  <c r="W385" i="516" s="1"/>
  <c r="N385" i="516"/>
  <c r="K385" i="516" a="1"/>
  <c r="K385" i="516" s="1"/>
  <c r="M385" i="516" s="1"/>
  <c r="J385" i="516" a="1"/>
  <c r="J385" i="516" s="1"/>
  <c r="H385" i="516"/>
  <c r="V384" i="516"/>
  <c r="W384" i="516" s="1"/>
  <c r="N384" i="516"/>
  <c r="K384" i="516" a="1"/>
  <c r="K384" i="516" s="1"/>
  <c r="M384" i="516" s="1"/>
  <c r="J384" i="516" a="1"/>
  <c r="J384" i="516" s="1"/>
  <c r="H384" i="516"/>
  <c r="V383" i="516"/>
  <c r="W383" i="516" s="1"/>
  <c r="N383" i="516"/>
  <c r="K383" i="516"/>
  <c r="M383" i="516" s="1"/>
  <c r="K383" i="516" a="1"/>
  <c r="J383" i="516"/>
  <c r="J383" i="516" a="1"/>
  <c r="H383" i="516"/>
  <c r="V382" i="516"/>
  <c r="W382" i="516" s="1"/>
  <c r="N382" i="516"/>
  <c r="K382" i="516" a="1"/>
  <c r="K382" i="516" s="1"/>
  <c r="M382" i="516" s="1"/>
  <c r="J382" i="516" a="1"/>
  <c r="J382" i="516" s="1"/>
  <c r="H382" i="516"/>
  <c r="V381" i="516"/>
  <c r="W381" i="516" s="1"/>
  <c r="N381" i="516"/>
  <c r="K381" i="516" a="1"/>
  <c r="K381" i="516" s="1"/>
  <c r="M381" i="516" s="1"/>
  <c r="J381" i="516" a="1"/>
  <c r="J381" i="516" s="1"/>
  <c r="H381" i="516"/>
  <c r="V380" i="516"/>
  <c r="W380" i="516" s="1"/>
  <c r="N380" i="516"/>
  <c r="K380" i="516" a="1"/>
  <c r="K380" i="516" s="1"/>
  <c r="M380" i="516" s="1"/>
  <c r="J380" i="516" a="1"/>
  <c r="J380" i="516" s="1"/>
  <c r="H380" i="516"/>
  <c r="V379" i="516"/>
  <c r="W379" i="516" s="1"/>
  <c r="N379" i="516"/>
  <c r="K379" i="516"/>
  <c r="M379" i="516" s="1"/>
  <c r="K379" i="516" a="1"/>
  <c r="J379" i="516"/>
  <c r="J379" i="516" a="1"/>
  <c r="H379" i="516"/>
  <c r="V378" i="516"/>
  <c r="W378" i="516" s="1"/>
  <c r="N378" i="516"/>
  <c r="K378" i="516" a="1"/>
  <c r="K378" i="516" s="1"/>
  <c r="M378" i="516" s="1"/>
  <c r="J378" i="516" a="1"/>
  <c r="J378" i="516" s="1"/>
  <c r="H378" i="516"/>
  <c r="V377" i="516"/>
  <c r="W377" i="516" s="1"/>
  <c r="N377" i="516"/>
  <c r="K377" i="516" a="1"/>
  <c r="K377" i="516" s="1"/>
  <c r="M377" i="516" s="1"/>
  <c r="J377" i="516" a="1"/>
  <c r="J377" i="516" s="1"/>
  <c r="H377" i="516"/>
  <c r="K376" i="516"/>
  <c r="M376" i="516" s="1"/>
  <c r="K376" i="516" a="1"/>
  <c r="H376" i="516"/>
  <c r="K375" i="516" a="1"/>
  <c r="K375" i="516" s="1"/>
  <c r="M375" i="516" s="1"/>
  <c r="H375" i="516"/>
  <c r="K374" i="516"/>
  <c r="M374" i="516" s="1"/>
  <c r="K374" i="516" a="1"/>
  <c r="H374" i="516"/>
  <c r="V373" i="516"/>
  <c r="W373" i="516" s="1"/>
  <c r="N373" i="516"/>
  <c r="K373" i="516" a="1"/>
  <c r="K373" i="516" s="1"/>
  <c r="M373" i="516" s="1"/>
  <c r="J373" i="516" a="1"/>
  <c r="J373" i="516" s="1"/>
  <c r="H373" i="516"/>
  <c r="V372" i="516"/>
  <c r="W372" i="516" s="1"/>
  <c r="N372" i="516"/>
  <c r="K372" i="516" a="1"/>
  <c r="K372" i="516" s="1"/>
  <c r="M372" i="516" s="1"/>
  <c r="J372" i="516" a="1"/>
  <c r="J372" i="516" s="1"/>
  <c r="H372" i="516"/>
  <c r="V371" i="516"/>
  <c r="W371" i="516" s="1"/>
  <c r="N371" i="516"/>
  <c r="K371" i="516" a="1"/>
  <c r="K371" i="516" s="1"/>
  <c r="M371" i="516" s="1"/>
  <c r="J371" i="516" a="1"/>
  <c r="J371" i="516" s="1"/>
  <c r="H371" i="516"/>
  <c r="K370" i="516" a="1"/>
  <c r="K370" i="516" s="1"/>
  <c r="H370" i="516"/>
  <c r="V369" i="516"/>
  <c r="W369" i="516" s="1"/>
  <c r="N369" i="516"/>
  <c r="K369" i="516" a="1"/>
  <c r="K369" i="516" s="1"/>
  <c r="J369" i="516" a="1"/>
  <c r="J369" i="516" s="1"/>
  <c r="H369" i="516"/>
  <c r="AA368" i="516"/>
  <c r="AA504" i="516" s="1"/>
  <c r="Z368" i="516"/>
  <c r="Z504" i="516" s="1"/>
  <c r="Y368" i="516"/>
  <c r="Y504" i="516" s="1"/>
  <c r="X368" i="516"/>
  <c r="X504" i="516" s="1"/>
  <c r="U368" i="516"/>
  <c r="U504" i="516" s="1"/>
  <c r="T368" i="516"/>
  <c r="T504" i="516" s="1"/>
  <c r="S368" i="516"/>
  <c r="S504" i="516" s="1"/>
  <c r="R368" i="516"/>
  <c r="R504" i="516" s="1"/>
  <c r="Q368" i="516"/>
  <c r="Q504" i="516" s="1"/>
  <c r="P368" i="516"/>
  <c r="P504" i="516" s="1"/>
  <c r="O368" i="516"/>
  <c r="I368" i="516"/>
  <c r="I504" i="516" s="1"/>
  <c r="B512" i="516" s="1"/>
  <c r="G368" i="516"/>
  <c r="G504" i="516" s="1"/>
  <c r="V367" i="516"/>
  <c r="W367" i="516" s="1"/>
  <c r="N367" i="516"/>
  <c r="K367" i="516" a="1"/>
  <c r="K367" i="516" s="1"/>
  <c r="M367" i="516" s="1"/>
  <c r="J367" i="516" a="1"/>
  <c r="J367" i="516" s="1"/>
  <c r="H367" i="516"/>
  <c r="V366" i="516"/>
  <c r="W366" i="516" s="1"/>
  <c r="N366" i="516"/>
  <c r="K366" i="516"/>
  <c r="M366" i="516" s="1"/>
  <c r="K366" i="516" a="1"/>
  <c r="J366" i="516"/>
  <c r="J366" i="516" a="1"/>
  <c r="H366" i="516"/>
  <c r="K365" i="516" a="1"/>
  <c r="K365" i="516" s="1"/>
  <c r="M365" i="516" s="1"/>
  <c r="H365" i="516"/>
  <c r="K364" i="516"/>
  <c r="M364" i="516" s="1"/>
  <c r="K364" i="516" a="1"/>
  <c r="H364" i="516"/>
  <c r="K363" i="516" a="1"/>
  <c r="K363" i="516" s="1"/>
  <c r="M363" i="516" s="1"/>
  <c r="H363" i="516"/>
  <c r="K362" i="516"/>
  <c r="M362" i="516" s="1"/>
  <c r="K362" i="516" a="1"/>
  <c r="H362" i="516"/>
  <c r="V361" i="516"/>
  <c r="W361" i="516" s="1"/>
  <c r="N361" i="516"/>
  <c r="K361" i="516" a="1"/>
  <c r="K361" i="516" s="1"/>
  <c r="M361" i="516" s="1"/>
  <c r="J361" i="516" a="1"/>
  <c r="J361" i="516" s="1"/>
  <c r="H361" i="516"/>
  <c r="V360" i="516"/>
  <c r="W360" i="516" s="1"/>
  <c r="N360" i="516"/>
  <c r="K360" i="516" a="1"/>
  <c r="K360" i="516" s="1"/>
  <c r="M360" i="516" s="1"/>
  <c r="J360" i="516" a="1"/>
  <c r="J360" i="516" s="1"/>
  <c r="H360" i="516"/>
  <c r="V359" i="516"/>
  <c r="W359" i="516" s="1"/>
  <c r="N359" i="516"/>
  <c r="K359" i="516" a="1"/>
  <c r="K359" i="516" s="1"/>
  <c r="M359" i="516" s="1"/>
  <c r="J359" i="516" a="1"/>
  <c r="J359" i="516" s="1"/>
  <c r="H359" i="516"/>
  <c r="H358" i="516"/>
  <c r="H357" i="516"/>
  <c r="V356" i="516"/>
  <c r="W356" i="516" s="1"/>
  <c r="N356" i="516"/>
  <c r="K356" i="516"/>
  <c r="M356" i="516" s="1"/>
  <c r="K356" i="516" a="1"/>
  <c r="J356" i="516"/>
  <c r="J356" i="516" a="1"/>
  <c r="H356" i="516"/>
  <c r="V355" i="516"/>
  <c r="W355" i="516" s="1"/>
  <c r="N355" i="516"/>
  <c r="K355" i="516" a="1"/>
  <c r="K355" i="516" s="1"/>
  <c r="M355" i="516" s="1"/>
  <c r="J355" i="516" a="1"/>
  <c r="J355" i="516" s="1"/>
  <c r="H355" i="516"/>
  <c r="K354" i="516" a="1"/>
  <c r="K354" i="516" s="1"/>
  <c r="M354" i="516" s="1"/>
  <c r="H354" i="516"/>
  <c r="K353" i="516" a="1"/>
  <c r="K353" i="516" s="1"/>
  <c r="M353" i="516" s="1"/>
  <c r="H353" i="516"/>
  <c r="V352" i="516"/>
  <c r="W352" i="516" s="1"/>
  <c r="N352" i="516"/>
  <c r="K352" i="516" a="1"/>
  <c r="K352" i="516" s="1"/>
  <c r="M352" i="516" s="1"/>
  <c r="J352" i="516" a="1"/>
  <c r="J352" i="516" s="1"/>
  <c r="H352" i="516"/>
  <c r="V351" i="516"/>
  <c r="W351" i="516" s="1"/>
  <c r="N351" i="516"/>
  <c r="K351" i="516" a="1"/>
  <c r="K351" i="516" s="1"/>
  <c r="M351" i="516" s="1"/>
  <c r="J351" i="516" a="1"/>
  <c r="J351" i="516" s="1"/>
  <c r="H351" i="516"/>
  <c r="V350" i="516"/>
  <c r="W350" i="516" s="1"/>
  <c r="N350" i="516"/>
  <c r="K350" i="516"/>
  <c r="M350" i="516" s="1"/>
  <c r="K350" i="516" a="1"/>
  <c r="J350" i="516"/>
  <c r="J350" i="516" a="1"/>
  <c r="H350" i="516"/>
  <c r="V349" i="516"/>
  <c r="W349" i="516" s="1"/>
  <c r="N349" i="516"/>
  <c r="K349" i="516" a="1"/>
  <c r="K349" i="516" s="1"/>
  <c r="M349" i="516" s="1"/>
  <c r="J349" i="516" a="1"/>
  <c r="J349" i="516" s="1"/>
  <c r="H349" i="516"/>
  <c r="V348" i="516"/>
  <c r="W348" i="516" s="1"/>
  <c r="N348" i="516"/>
  <c r="K348" i="516" a="1"/>
  <c r="K348" i="516" s="1"/>
  <c r="M348" i="516" s="1"/>
  <c r="J348" i="516" a="1"/>
  <c r="J348" i="516" s="1"/>
  <c r="H348" i="516"/>
  <c r="V347" i="516"/>
  <c r="N347" i="516"/>
  <c r="K347" i="516" a="1"/>
  <c r="K347" i="516" s="1"/>
  <c r="J347" i="516" a="1"/>
  <c r="J347" i="516" s="1"/>
  <c r="H347" i="516"/>
  <c r="X341" i="516"/>
  <c r="X340" i="516"/>
  <c r="X339" i="516"/>
  <c r="G339" i="516"/>
  <c r="C339" i="516"/>
  <c r="X338" i="516"/>
  <c r="I338" i="516"/>
  <c r="E338" i="516"/>
  <c r="K338" i="516" s="1"/>
  <c r="M338" i="516" s="1"/>
  <c r="I337" i="516"/>
  <c r="E337" i="516"/>
  <c r="K337" i="516" s="1"/>
  <c r="M337" i="516" s="1"/>
  <c r="I336" i="516"/>
  <c r="E336" i="516"/>
  <c r="K336" i="516" s="1"/>
  <c r="M336" i="516" s="1"/>
  <c r="X335" i="516"/>
  <c r="I335" i="516"/>
  <c r="I339" i="516" s="1"/>
  <c r="E335" i="516"/>
  <c r="AA332" i="516"/>
  <c r="Z332" i="516"/>
  <c r="Y332" i="516"/>
  <c r="X332" i="516"/>
  <c r="U332" i="516"/>
  <c r="T332" i="516"/>
  <c r="S332" i="516"/>
  <c r="R332" i="516"/>
  <c r="Q332" i="516"/>
  <c r="P332" i="516"/>
  <c r="O332" i="516"/>
  <c r="I332" i="516"/>
  <c r="G332" i="516"/>
  <c r="K331" i="516" a="1"/>
  <c r="K331" i="516" s="1"/>
  <c r="H331" i="516"/>
  <c r="K330" i="516" a="1"/>
  <c r="K330" i="516" s="1"/>
  <c r="H330" i="516"/>
  <c r="K329" i="516"/>
  <c r="K329" i="516" a="1"/>
  <c r="H329" i="516"/>
  <c r="V328" i="516"/>
  <c r="W328" i="516" s="1"/>
  <c r="N328" i="516"/>
  <c r="K328" i="516" a="1"/>
  <c r="K328" i="516" s="1"/>
  <c r="H328" i="516"/>
  <c r="D328" i="516"/>
  <c r="H327" i="516"/>
  <c r="K326" i="516" a="1"/>
  <c r="K326" i="516" s="1"/>
  <c r="H326" i="516"/>
  <c r="H325" i="516"/>
  <c r="V324" i="516"/>
  <c r="W324" i="516" s="1"/>
  <c r="N324" i="516"/>
  <c r="K324" i="516" a="1"/>
  <c r="K324" i="516" s="1"/>
  <c r="M324" i="516" s="1"/>
  <c r="J324" i="516" a="1"/>
  <c r="J324" i="516" s="1"/>
  <c r="H324" i="516"/>
  <c r="V323" i="516"/>
  <c r="W323" i="516" s="1"/>
  <c r="N323" i="516"/>
  <c r="K323" i="516" a="1"/>
  <c r="K323" i="516" s="1"/>
  <c r="M323" i="516" s="1"/>
  <c r="J323" i="516" a="1"/>
  <c r="J323" i="516" s="1"/>
  <c r="H323" i="516"/>
  <c r="H322" i="516"/>
  <c r="V321" i="516"/>
  <c r="W321" i="516" s="1"/>
  <c r="N321" i="516"/>
  <c r="K321" i="516" a="1"/>
  <c r="K321" i="516" s="1"/>
  <c r="M321" i="516" s="1"/>
  <c r="J321" i="516" a="1"/>
  <c r="J321" i="516" s="1"/>
  <c r="H321" i="516"/>
  <c r="V320" i="516"/>
  <c r="W320" i="516" s="1"/>
  <c r="N320" i="516"/>
  <c r="K320" i="516" a="1"/>
  <c r="K320" i="516" s="1"/>
  <c r="M320" i="516" s="1"/>
  <c r="J320" i="516" a="1"/>
  <c r="J320" i="516" s="1"/>
  <c r="H320" i="516"/>
  <c r="V319" i="516"/>
  <c r="W319" i="516" s="1"/>
  <c r="N319" i="516"/>
  <c r="K319" i="516" a="1"/>
  <c r="K319" i="516" s="1"/>
  <c r="M319" i="516" s="1"/>
  <c r="J319" i="516" a="1"/>
  <c r="J319" i="516" s="1"/>
  <c r="H319" i="516"/>
  <c r="V318" i="516"/>
  <c r="V332" i="516" s="1"/>
  <c r="N318" i="516"/>
  <c r="N332" i="516" s="1"/>
  <c r="K318" i="516" a="1"/>
  <c r="K318" i="516" s="1"/>
  <c r="J318" i="516" a="1"/>
  <c r="J318" i="516" s="1"/>
  <c r="H318" i="516"/>
  <c r="AA317" i="516"/>
  <c r="Z317" i="516"/>
  <c r="Y317" i="516"/>
  <c r="X317" i="516"/>
  <c r="U317" i="516"/>
  <c r="T317" i="516"/>
  <c r="S317" i="516"/>
  <c r="Q317" i="516"/>
  <c r="P317" i="516"/>
  <c r="O317" i="516"/>
  <c r="I317" i="516"/>
  <c r="G317" i="516"/>
  <c r="V316" i="516"/>
  <c r="W316" i="516" s="1"/>
  <c r="N316" i="516"/>
  <c r="K316" i="516"/>
  <c r="M316" i="516" s="1"/>
  <c r="K316" i="516" a="1"/>
  <c r="J316" i="516"/>
  <c r="J316" i="516" a="1"/>
  <c r="H316" i="516"/>
  <c r="V312" i="516"/>
  <c r="W312" i="516" s="1"/>
  <c r="N312" i="516"/>
  <c r="K312" i="516" a="1"/>
  <c r="K312" i="516" s="1"/>
  <c r="M312" i="516" s="1"/>
  <c r="J312" i="516" a="1"/>
  <c r="J312" i="516" s="1"/>
  <c r="H312" i="516"/>
  <c r="V311" i="516"/>
  <c r="W311" i="516" s="1"/>
  <c r="N311" i="516"/>
  <c r="K311" i="516" a="1"/>
  <c r="K311" i="516" s="1"/>
  <c r="M311" i="516" s="1"/>
  <c r="J311" i="516" a="1"/>
  <c r="J311" i="516" s="1"/>
  <c r="H311" i="516"/>
  <c r="V310" i="516"/>
  <c r="W310" i="516" s="1"/>
  <c r="N310" i="516"/>
  <c r="K310" i="516" a="1"/>
  <c r="K310" i="516" s="1"/>
  <c r="M310" i="516" s="1"/>
  <c r="J310" i="516" a="1"/>
  <c r="J310" i="516" s="1"/>
  <c r="H310" i="516"/>
  <c r="V309" i="516"/>
  <c r="W309" i="516" s="1"/>
  <c r="N309" i="516"/>
  <c r="K309" i="516"/>
  <c r="M309" i="516" s="1"/>
  <c r="K309" i="516" a="1"/>
  <c r="J309" i="516"/>
  <c r="J309" i="516" a="1"/>
  <c r="H309" i="516"/>
  <c r="V308" i="516"/>
  <c r="N308" i="516"/>
  <c r="N317" i="516" s="1"/>
  <c r="K308" i="516" a="1"/>
  <c r="K308" i="516" s="1"/>
  <c r="J308" i="516" a="1"/>
  <c r="J308" i="516" s="1"/>
  <c r="H308" i="516"/>
  <c r="AA307" i="516"/>
  <c r="Z307" i="516"/>
  <c r="Y307" i="516"/>
  <c r="X307" i="516"/>
  <c r="U307" i="516"/>
  <c r="T307" i="516"/>
  <c r="S307" i="516"/>
  <c r="Q307" i="516"/>
  <c r="P307" i="516"/>
  <c r="O307" i="516"/>
  <c r="I307" i="516"/>
  <c r="G307" i="516"/>
  <c r="J307" i="516" s="1" a="1"/>
  <c r="J307" i="516" s="1"/>
  <c r="V306" i="516"/>
  <c r="W306" i="516" s="1"/>
  <c r="N306" i="516"/>
  <c r="K306" i="516" a="1"/>
  <c r="K306" i="516" s="1"/>
  <c r="M306" i="516" s="1"/>
  <c r="J306" i="516" a="1"/>
  <c r="J306" i="516" s="1"/>
  <c r="H306" i="516"/>
  <c r="V305" i="516"/>
  <c r="W305" i="516" s="1"/>
  <c r="N305" i="516"/>
  <c r="K305" i="516" a="1"/>
  <c r="K305" i="516" s="1"/>
  <c r="M305" i="516" s="1"/>
  <c r="J305" i="516" a="1"/>
  <c r="J305" i="516" s="1"/>
  <c r="H305" i="516"/>
  <c r="V304" i="516"/>
  <c r="W304" i="516" s="1"/>
  <c r="N304" i="516"/>
  <c r="K304" i="516"/>
  <c r="M304" i="516" s="1"/>
  <c r="K304" i="516" a="1"/>
  <c r="J304" i="516"/>
  <c r="J304" i="516" a="1"/>
  <c r="H304" i="516"/>
  <c r="V303" i="516"/>
  <c r="W303" i="516" s="1"/>
  <c r="N303" i="516"/>
  <c r="K303" i="516" a="1"/>
  <c r="K303" i="516" s="1"/>
  <c r="M303" i="516" s="1"/>
  <c r="J303" i="516" a="1"/>
  <c r="J303" i="516" s="1"/>
  <c r="H303" i="516"/>
  <c r="V302" i="516"/>
  <c r="W302" i="516" s="1"/>
  <c r="N302" i="516"/>
  <c r="K302" i="516" a="1"/>
  <c r="K302" i="516" s="1"/>
  <c r="M302" i="516" s="1"/>
  <c r="J302" i="516" a="1"/>
  <c r="J302" i="516" s="1"/>
  <c r="H302" i="516"/>
  <c r="V301" i="516"/>
  <c r="W301" i="516" s="1"/>
  <c r="N301" i="516"/>
  <c r="K301" i="516" a="1"/>
  <c r="K301" i="516" s="1"/>
  <c r="M301" i="516" s="1"/>
  <c r="J301" i="516" a="1"/>
  <c r="J301" i="516" s="1"/>
  <c r="H301" i="516"/>
  <c r="V300" i="516"/>
  <c r="W300" i="516" s="1"/>
  <c r="N300" i="516"/>
  <c r="K300" i="516"/>
  <c r="M300" i="516" s="1"/>
  <c r="K300" i="516" a="1"/>
  <c r="J300" i="516"/>
  <c r="J300" i="516" a="1"/>
  <c r="H300" i="516"/>
  <c r="V299" i="516"/>
  <c r="W299" i="516" s="1"/>
  <c r="N299" i="516"/>
  <c r="K299" i="516" a="1"/>
  <c r="K299" i="516" s="1"/>
  <c r="M299" i="516" s="1"/>
  <c r="J299" i="516" a="1"/>
  <c r="J299" i="516" s="1"/>
  <c r="H299" i="516"/>
  <c r="V298" i="516"/>
  <c r="W298" i="516" s="1"/>
  <c r="N298" i="516"/>
  <c r="K298" i="516" a="1"/>
  <c r="K298" i="516" s="1"/>
  <c r="M298" i="516" s="1"/>
  <c r="J298" i="516" a="1"/>
  <c r="J298" i="516" s="1"/>
  <c r="H298" i="516"/>
  <c r="V297" i="516"/>
  <c r="W297" i="516" s="1"/>
  <c r="N297" i="516"/>
  <c r="K297" i="516" a="1"/>
  <c r="K297" i="516" s="1"/>
  <c r="M297" i="516" s="1"/>
  <c r="J297" i="516" a="1"/>
  <c r="J297" i="516" s="1"/>
  <c r="H297" i="516"/>
  <c r="V296" i="516"/>
  <c r="W296" i="516" s="1"/>
  <c r="N296" i="516"/>
  <c r="K296" i="516"/>
  <c r="M296" i="516" s="1"/>
  <c r="K296" i="516" a="1"/>
  <c r="J296" i="516"/>
  <c r="J296" i="516" a="1"/>
  <c r="H296" i="516"/>
  <c r="V295" i="516"/>
  <c r="W295" i="516" s="1"/>
  <c r="N295" i="516"/>
  <c r="K295" i="516" a="1"/>
  <c r="K295" i="516" s="1"/>
  <c r="M295" i="516" s="1"/>
  <c r="J295" i="516" a="1"/>
  <c r="J295" i="516" s="1"/>
  <c r="H295" i="516"/>
  <c r="V294" i="516"/>
  <c r="W294" i="516" s="1"/>
  <c r="N294" i="516"/>
  <c r="K294" i="516" a="1"/>
  <c r="K294" i="516" s="1"/>
  <c r="M294" i="516" s="1"/>
  <c r="J294" i="516" a="1"/>
  <c r="J294" i="516" s="1"/>
  <c r="H294" i="516"/>
  <c r="V293" i="516"/>
  <c r="W293" i="516" s="1"/>
  <c r="N293" i="516"/>
  <c r="K293" i="516" a="1"/>
  <c r="K293" i="516" s="1"/>
  <c r="M293" i="516" s="1"/>
  <c r="J293" i="516" a="1"/>
  <c r="J293" i="516" s="1"/>
  <c r="H293" i="516"/>
  <c r="V292" i="516"/>
  <c r="V307" i="516" s="1"/>
  <c r="W307" i="516" s="1"/>
  <c r="N292" i="516"/>
  <c r="K292" i="516"/>
  <c r="K292" i="516" a="1"/>
  <c r="J292" i="516"/>
  <c r="J292" i="516" a="1"/>
  <c r="H292" i="516"/>
  <c r="H307" i="516" s="1"/>
  <c r="AA291" i="516"/>
  <c r="Z291" i="516"/>
  <c r="Y291" i="516"/>
  <c r="X291" i="516"/>
  <c r="U291" i="516"/>
  <c r="T291" i="516"/>
  <c r="S291" i="516"/>
  <c r="R291" i="516"/>
  <c r="Q291" i="516"/>
  <c r="P291" i="516"/>
  <c r="O291" i="516"/>
  <c r="R337" i="516" s="1"/>
  <c r="I291" i="516"/>
  <c r="G291" i="516"/>
  <c r="V290" i="516"/>
  <c r="W290" i="516" s="1"/>
  <c r="N290" i="516"/>
  <c r="K290" i="516" a="1"/>
  <c r="K290" i="516" s="1"/>
  <c r="M290" i="516" s="1"/>
  <c r="J290" i="516" a="1"/>
  <c r="J290" i="516" s="1"/>
  <c r="H290" i="516"/>
  <c r="V289" i="516"/>
  <c r="W289" i="516" s="1"/>
  <c r="N289" i="516"/>
  <c r="K289" i="516"/>
  <c r="M289" i="516" s="1"/>
  <c r="K289" i="516" a="1"/>
  <c r="J289" i="516"/>
  <c r="J289" i="516" a="1"/>
  <c r="H289" i="516"/>
  <c r="V288" i="516"/>
  <c r="W288" i="516" s="1"/>
  <c r="N288" i="516"/>
  <c r="K288" i="516" a="1"/>
  <c r="K288" i="516" s="1"/>
  <c r="M288" i="516" s="1"/>
  <c r="J288" i="516" a="1"/>
  <c r="J288" i="516" s="1"/>
  <c r="H288" i="516"/>
  <c r="H287" i="516"/>
  <c r="H286" i="516"/>
  <c r="H285" i="516"/>
  <c r="V284" i="516"/>
  <c r="W284" i="516" s="1"/>
  <c r="N284" i="516"/>
  <c r="K284" i="516" a="1"/>
  <c r="K284" i="516" s="1"/>
  <c r="M284" i="516" s="1"/>
  <c r="J284" i="516" a="1"/>
  <c r="J284" i="516" s="1"/>
  <c r="H284" i="516"/>
  <c r="V283" i="516"/>
  <c r="W283" i="516" s="1"/>
  <c r="N283" i="516"/>
  <c r="K283" i="516"/>
  <c r="M283" i="516" s="1"/>
  <c r="K283" i="516" a="1"/>
  <c r="J283" i="516"/>
  <c r="J283" i="516" a="1"/>
  <c r="H283" i="516"/>
  <c r="N282" i="516"/>
  <c r="K282" i="516" a="1"/>
  <c r="K282" i="516" s="1"/>
  <c r="M282" i="516" s="1"/>
  <c r="H282" i="516"/>
  <c r="N281" i="516"/>
  <c r="K281" i="516" a="1"/>
  <c r="K281" i="516" s="1"/>
  <c r="M281" i="516" s="1"/>
  <c r="H281" i="516"/>
  <c r="N280" i="516"/>
  <c r="K280" i="516" a="1"/>
  <c r="K280" i="516" s="1"/>
  <c r="M280" i="516" s="1"/>
  <c r="H280" i="516"/>
  <c r="N279" i="516"/>
  <c r="K279" i="516"/>
  <c r="M279" i="516" s="1"/>
  <c r="K279" i="516" a="1"/>
  <c r="H279" i="516"/>
  <c r="N278" i="516"/>
  <c r="K278" i="516" a="1"/>
  <c r="K278" i="516" s="1"/>
  <c r="M278" i="516" s="1"/>
  <c r="H278" i="516"/>
  <c r="N277" i="516"/>
  <c r="K277" i="516" a="1"/>
  <c r="K277" i="516" s="1"/>
  <c r="M277" i="516" s="1"/>
  <c r="H277" i="516"/>
  <c r="V276" i="516"/>
  <c r="W276" i="516" s="1"/>
  <c r="N276" i="516"/>
  <c r="K276" i="516" a="1"/>
  <c r="K276" i="516" s="1"/>
  <c r="M276" i="516" s="1"/>
  <c r="J276" i="516" a="1"/>
  <c r="J276" i="516" s="1"/>
  <c r="H276" i="516"/>
  <c r="V275" i="516"/>
  <c r="W275" i="516" s="1"/>
  <c r="N275" i="516"/>
  <c r="K275" i="516"/>
  <c r="M275" i="516" s="1"/>
  <c r="K275" i="516" a="1"/>
  <c r="J275" i="516"/>
  <c r="J275" i="516" a="1"/>
  <c r="H275" i="516"/>
  <c r="V274" i="516"/>
  <c r="W274" i="516" s="1"/>
  <c r="N274" i="516"/>
  <c r="K274" i="516" a="1"/>
  <c r="K274" i="516" s="1"/>
  <c r="M274" i="516" s="1"/>
  <c r="J274" i="516" a="1"/>
  <c r="J274" i="516" s="1"/>
  <c r="H274" i="516"/>
  <c r="V273" i="516"/>
  <c r="W273" i="516" s="1"/>
  <c r="N273" i="516"/>
  <c r="K273" i="516" a="1"/>
  <c r="K273" i="516" s="1"/>
  <c r="M273" i="516" s="1"/>
  <c r="J273" i="516" a="1"/>
  <c r="J273" i="516" s="1"/>
  <c r="H273" i="516"/>
  <c r="V272" i="516"/>
  <c r="W272" i="516" s="1"/>
  <c r="N272" i="516"/>
  <c r="K272" i="516" a="1"/>
  <c r="K272" i="516" s="1"/>
  <c r="M272" i="516" s="1"/>
  <c r="J272" i="516" a="1"/>
  <c r="J272" i="516" s="1"/>
  <c r="H272" i="516"/>
  <c r="V271" i="516"/>
  <c r="W271" i="516" s="1"/>
  <c r="N271" i="516"/>
  <c r="K271" i="516"/>
  <c r="M271" i="516" s="1"/>
  <c r="K271" i="516" a="1"/>
  <c r="J271" i="516"/>
  <c r="J271" i="516" a="1"/>
  <c r="H271" i="516"/>
  <c r="V270" i="516"/>
  <c r="W270" i="516" s="1"/>
  <c r="N270" i="516"/>
  <c r="K270" i="516" a="1"/>
  <c r="K270" i="516" s="1"/>
  <c r="M270" i="516" s="1"/>
  <c r="J270" i="516" a="1"/>
  <c r="J270" i="516" s="1"/>
  <c r="H270" i="516"/>
  <c r="V269" i="516"/>
  <c r="W269" i="516" s="1"/>
  <c r="N269" i="516"/>
  <c r="K269" i="516" a="1"/>
  <c r="K269" i="516" s="1"/>
  <c r="M269" i="516" s="1"/>
  <c r="J269" i="516" a="1"/>
  <c r="J269" i="516" s="1"/>
  <c r="H269" i="516"/>
  <c r="V268" i="516"/>
  <c r="W268" i="516" s="1"/>
  <c r="N268" i="516"/>
  <c r="K268" i="516" a="1"/>
  <c r="K268" i="516" s="1"/>
  <c r="M268" i="516" s="1"/>
  <c r="J268" i="516" a="1"/>
  <c r="J268" i="516" s="1"/>
  <c r="H268" i="516"/>
  <c r="V267" i="516"/>
  <c r="W267" i="516" s="1"/>
  <c r="N267" i="516"/>
  <c r="K267" i="516"/>
  <c r="M267" i="516" s="1"/>
  <c r="K267" i="516" a="1"/>
  <c r="J267" i="516"/>
  <c r="J267" i="516" a="1"/>
  <c r="H267" i="516"/>
  <c r="V266" i="516"/>
  <c r="W266" i="516" s="1"/>
  <c r="N266" i="516"/>
  <c r="K266" i="516" a="1"/>
  <c r="K266" i="516" s="1"/>
  <c r="M266" i="516" s="1"/>
  <c r="J266" i="516" a="1"/>
  <c r="J266" i="516" s="1"/>
  <c r="H266" i="516"/>
  <c r="W265" i="516"/>
  <c r="V265" i="516"/>
  <c r="N265" i="516"/>
  <c r="K265" i="516" a="1"/>
  <c r="K265" i="516" s="1"/>
  <c r="M265" i="516" s="1"/>
  <c r="J265" i="516" a="1"/>
  <c r="J265" i="516" s="1"/>
  <c r="H265" i="516"/>
  <c r="N264" i="516"/>
  <c r="K264" i="516" a="1"/>
  <c r="K264" i="516" s="1"/>
  <c r="M264" i="516" s="1"/>
  <c r="H264" i="516"/>
  <c r="V263" i="516"/>
  <c r="W263" i="516" s="1"/>
  <c r="N263" i="516"/>
  <c r="K263" i="516"/>
  <c r="M263" i="516" s="1"/>
  <c r="K263" i="516" a="1"/>
  <c r="J263" i="516"/>
  <c r="J263" i="516" a="1"/>
  <c r="H263" i="516"/>
  <c r="V262" i="516"/>
  <c r="W262" i="516" s="1"/>
  <c r="N262" i="516"/>
  <c r="K262" i="516" a="1"/>
  <c r="K262" i="516" s="1"/>
  <c r="M262" i="516" s="1"/>
  <c r="J262" i="516" a="1"/>
  <c r="J262" i="516" s="1"/>
  <c r="H262" i="516"/>
  <c r="V261" i="516"/>
  <c r="W261" i="516" s="1"/>
  <c r="N261" i="516"/>
  <c r="K261" i="516" a="1"/>
  <c r="K261" i="516" s="1"/>
  <c r="M261" i="516" s="1"/>
  <c r="J261" i="516" a="1"/>
  <c r="J261" i="516" s="1"/>
  <c r="H261" i="516"/>
  <c r="V260" i="516"/>
  <c r="W260" i="516" s="1"/>
  <c r="N260" i="516"/>
  <c r="K260" i="516" a="1"/>
  <c r="K260" i="516" s="1"/>
  <c r="M260" i="516" s="1"/>
  <c r="J260" i="516" a="1"/>
  <c r="J260" i="516" s="1"/>
  <c r="H260" i="516"/>
  <c r="V259" i="516"/>
  <c r="W259" i="516" s="1"/>
  <c r="N259" i="516"/>
  <c r="K259" i="516"/>
  <c r="M259" i="516" s="1"/>
  <c r="K259" i="516" a="1"/>
  <c r="J259" i="516"/>
  <c r="J259" i="516" a="1"/>
  <c r="H259" i="516"/>
  <c r="V258" i="516"/>
  <c r="W258" i="516" s="1"/>
  <c r="N258" i="516"/>
  <c r="K258" i="516" a="1"/>
  <c r="K258" i="516" s="1"/>
  <c r="M258" i="516" s="1"/>
  <c r="J258" i="516" a="1"/>
  <c r="J258" i="516" s="1"/>
  <c r="H258" i="516"/>
  <c r="V257" i="516"/>
  <c r="W257" i="516" s="1"/>
  <c r="N257" i="516"/>
  <c r="K257" i="516" a="1"/>
  <c r="K257" i="516" s="1"/>
  <c r="K291" i="516" s="1"/>
  <c r="J257" i="516" a="1"/>
  <c r="J257" i="516" s="1"/>
  <c r="H257" i="516"/>
  <c r="AA256" i="516"/>
  <c r="Z256" i="516"/>
  <c r="Y256" i="516"/>
  <c r="X256" i="516"/>
  <c r="U256" i="516"/>
  <c r="T256" i="516"/>
  <c r="S256" i="516"/>
  <c r="R256" i="516"/>
  <c r="Q256" i="516"/>
  <c r="P256" i="516"/>
  <c r="O256" i="516"/>
  <c r="R336" i="516" s="1"/>
  <c r="I256" i="516"/>
  <c r="G256" i="516"/>
  <c r="J256" i="516" s="1" a="1"/>
  <c r="J256" i="516" s="1"/>
  <c r="H255" i="516"/>
  <c r="H254" i="516"/>
  <c r="H253" i="516"/>
  <c r="H252" i="516"/>
  <c r="H251" i="516"/>
  <c r="H250" i="516"/>
  <c r="K249" i="516" a="1"/>
  <c r="K249" i="516" s="1"/>
  <c r="M249" i="516" s="1"/>
  <c r="H249" i="516"/>
  <c r="K248" i="516"/>
  <c r="M248" i="516" s="1"/>
  <c r="K248" i="516" a="1"/>
  <c r="H248" i="516"/>
  <c r="K247" i="516" a="1"/>
  <c r="K247" i="516" s="1"/>
  <c r="M247" i="516" s="1"/>
  <c r="H247" i="516"/>
  <c r="K246" i="516" a="1"/>
  <c r="K246" i="516" s="1"/>
  <c r="M246" i="516" s="1"/>
  <c r="H246" i="516"/>
  <c r="V245" i="516"/>
  <c r="W245" i="516" s="1"/>
  <c r="N245" i="516"/>
  <c r="K245" i="516"/>
  <c r="M245" i="516" s="1"/>
  <c r="K245" i="516" a="1"/>
  <c r="J245" i="516" a="1"/>
  <c r="J245" i="516" s="1"/>
  <c r="H245" i="516"/>
  <c r="V244" i="516"/>
  <c r="W244" i="516" s="1"/>
  <c r="N244" i="516"/>
  <c r="K244" i="516" a="1"/>
  <c r="K244" i="516" s="1"/>
  <c r="M244" i="516" s="1"/>
  <c r="J244" i="516" a="1"/>
  <c r="J244" i="516" s="1"/>
  <c r="H244" i="516"/>
  <c r="V243" i="516"/>
  <c r="W243" i="516" s="1"/>
  <c r="N243" i="516"/>
  <c r="K243" i="516"/>
  <c r="M243" i="516" s="1"/>
  <c r="K243" i="516" a="1"/>
  <c r="J243" i="516"/>
  <c r="J243" i="516" a="1"/>
  <c r="H243" i="516"/>
  <c r="V242" i="516"/>
  <c r="W242" i="516" s="1"/>
  <c r="N242" i="516"/>
  <c r="K242" i="516" a="1"/>
  <c r="K242" i="516" s="1"/>
  <c r="M242" i="516" s="1"/>
  <c r="J242" i="516" a="1"/>
  <c r="J242" i="516" s="1"/>
  <c r="H242" i="516"/>
  <c r="M241" i="516"/>
  <c r="H241" i="516"/>
  <c r="V240" i="516"/>
  <c r="W240" i="516" s="1"/>
  <c r="N240" i="516"/>
  <c r="K240" i="516" a="1"/>
  <c r="K240" i="516" s="1"/>
  <c r="M240" i="516" s="1"/>
  <c r="J240" i="516" a="1"/>
  <c r="J240" i="516" s="1"/>
  <c r="H240" i="516"/>
  <c r="V239" i="516"/>
  <c r="W239" i="516" s="1"/>
  <c r="N239" i="516"/>
  <c r="K239" i="516" a="1"/>
  <c r="K239" i="516" s="1"/>
  <c r="M239" i="516" s="1"/>
  <c r="J239" i="516" a="1"/>
  <c r="J239" i="516" s="1"/>
  <c r="H239" i="516"/>
  <c r="K238" i="516" a="1"/>
  <c r="K238" i="516" s="1"/>
  <c r="M238" i="516" s="1"/>
  <c r="H238" i="516"/>
  <c r="H237" i="516"/>
  <c r="V236" i="516"/>
  <c r="W236" i="516" s="1"/>
  <c r="N236" i="516"/>
  <c r="K236" i="516" a="1"/>
  <c r="K236" i="516" s="1"/>
  <c r="M236" i="516" s="1"/>
  <c r="J236" i="516" a="1"/>
  <c r="J236" i="516" s="1"/>
  <c r="H236" i="516"/>
  <c r="V235" i="516"/>
  <c r="W235" i="516" s="1"/>
  <c r="N235" i="516"/>
  <c r="K235" i="516"/>
  <c r="M235" i="516" s="1"/>
  <c r="K235" i="516" a="1"/>
  <c r="J235" i="516"/>
  <c r="J235" i="516" a="1"/>
  <c r="H235" i="516"/>
  <c r="V234" i="516"/>
  <c r="W234" i="516" s="1"/>
  <c r="N234" i="516"/>
  <c r="K234" i="516" a="1"/>
  <c r="K234" i="516" s="1"/>
  <c r="M234" i="516" s="1"/>
  <c r="J234" i="516" a="1"/>
  <c r="J234" i="516" s="1"/>
  <c r="H234" i="516"/>
  <c r="V233" i="516"/>
  <c r="W233" i="516" s="1"/>
  <c r="N233" i="516"/>
  <c r="K233" i="516" a="1"/>
  <c r="K233" i="516" s="1"/>
  <c r="M233" i="516" s="1"/>
  <c r="J233" i="516" a="1"/>
  <c r="J233" i="516" s="1"/>
  <c r="H233" i="516"/>
  <c r="V232" i="516"/>
  <c r="W232" i="516" s="1"/>
  <c r="N232" i="516"/>
  <c r="K232" i="516" a="1"/>
  <c r="K232" i="516" s="1"/>
  <c r="M232" i="516" s="1"/>
  <c r="J232" i="516" a="1"/>
  <c r="J232" i="516" s="1"/>
  <c r="H232" i="516"/>
  <c r="V231" i="516"/>
  <c r="W231" i="516" s="1"/>
  <c r="N231" i="516"/>
  <c r="K231" i="516"/>
  <c r="M231" i="516" s="1"/>
  <c r="K231" i="516" a="1"/>
  <c r="J231" i="516"/>
  <c r="J231" i="516" a="1"/>
  <c r="H231" i="516"/>
  <c r="V230" i="516"/>
  <c r="W230" i="516" s="1"/>
  <c r="N230" i="516"/>
  <c r="K230" i="516" a="1"/>
  <c r="K230" i="516" s="1"/>
  <c r="M230" i="516" s="1"/>
  <c r="J230" i="516" a="1"/>
  <c r="J230" i="516" s="1"/>
  <c r="H230" i="516"/>
  <c r="V229" i="516"/>
  <c r="W229" i="516" s="1"/>
  <c r="N229" i="516"/>
  <c r="K229" i="516" a="1"/>
  <c r="K229" i="516" s="1"/>
  <c r="M229" i="516" s="1"/>
  <c r="J229" i="516" a="1"/>
  <c r="J229" i="516" s="1"/>
  <c r="H229" i="516"/>
  <c r="V228" i="516"/>
  <c r="W228" i="516" s="1"/>
  <c r="N228" i="516"/>
  <c r="K228" i="516" a="1"/>
  <c r="K228" i="516" s="1"/>
  <c r="M228" i="516" s="1"/>
  <c r="J228" i="516" a="1"/>
  <c r="J228" i="516" s="1"/>
  <c r="H228" i="516"/>
  <c r="V227" i="516"/>
  <c r="W227" i="516" s="1"/>
  <c r="N227" i="516"/>
  <c r="K227" i="516"/>
  <c r="M227" i="516" s="1"/>
  <c r="K227" i="516" a="1"/>
  <c r="J227" i="516"/>
  <c r="J227" i="516" a="1"/>
  <c r="H227" i="516"/>
  <c r="N226" i="516"/>
  <c r="K226" i="516" a="1"/>
  <c r="K226" i="516" s="1"/>
  <c r="M226" i="516" s="1"/>
  <c r="H226" i="516"/>
  <c r="N225" i="516"/>
  <c r="K225" i="516" a="1"/>
  <c r="K225" i="516" s="1"/>
  <c r="M225" i="516" s="1"/>
  <c r="H225" i="516"/>
  <c r="N224" i="516"/>
  <c r="K224" i="516" a="1"/>
  <c r="K224" i="516" s="1"/>
  <c r="M224" i="516" s="1"/>
  <c r="H224" i="516"/>
  <c r="N223" i="516"/>
  <c r="K223" i="516"/>
  <c r="M223" i="516" s="1"/>
  <c r="K223" i="516" a="1"/>
  <c r="H223" i="516"/>
  <c r="N222" i="516"/>
  <c r="K222" i="516" a="1"/>
  <c r="K222" i="516" s="1"/>
  <c r="M222" i="516" s="1"/>
  <c r="H222" i="516"/>
  <c r="N221" i="516"/>
  <c r="K221" i="516" a="1"/>
  <c r="K221" i="516" s="1"/>
  <c r="M221" i="516" s="1"/>
  <c r="H221" i="516"/>
  <c r="N220" i="516"/>
  <c r="K220" i="516" a="1"/>
  <c r="K220" i="516" s="1"/>
  <c r="M220" i="516" s="1"/>
  <c r="H220" i="516"/>
  <c r="N219" i="516"/>
  <c r="K219" i="516"/>
  <c r="M219" i="516" s="1"/>
  <c r="K219" i="516" a="1"/>
  <c r="H219" i="516"/>
  <c r="V218" i="516"/>
  <c r="W218" i="516" s="1"/>
  <c r="N218" i="516"/>
  <c r="K218" i="516" a="1"/>
  <c r="K218" i="516" s="1"/>
  <c r="M218" i="516" s="1"/>
  <c r="J218" i="516" a="1"/>
  <c r="J218" i="516" s="1"/>
  <c r="H218" i="516"/>
  <c r="V217" i="516"/>
  <c r="W217" i="516" s="1"/>
  <c r="N217" i="516"/>
  <c r="K217" i="516" a="1"/>
  <c r="K217" i="516" s="1"/>
  <c r="M217" i="516" s="1"/>
  <c r="J217" i="516" a="1"/>
  <c r="J217" i="516" s="1"/>
  <c r="H217" i="516"/>
  <c r="V216" i="516"/>
  <c r="W216" i="516" s="1"/>
  <c r="N216" i="516"/>
  <c r="K216" i="516" a="1"/>
  <c r="K216" i="516" s="1"/>
  <c r="M216" i="516" s="1"/>
  <c r="J216" i="516" a="1"/>
  <c r="J216" i="516" s="1"/>
  <c r="H216" i="516"/>
  <c r="V215" i="516"/>
  <c r="W215" i="516" s="1"/>
  <c r="N215" i="516"/>
  <c r="K215" i="516"/>
  <c r="M215" i="516" s="1"/>
  <c r="K215" i="516" a="1"/>
  <c r="J215" i="516"/>
  <c r="J215" i="516" a="1"/>
  <c r="H215" i="516"/>
  <c r="V214" i="516"/>
  <c r="W214" i="516" s="1"/>
  <c r="N214" i="516"/>
  <c r="K214" i="516" a="1"/>
  <c r="K214" i="516" s="1"/>
  <c r="M214" i="516" s="1"/>
  <c r="J214" i="516" a="1"/>
  <c r="J214" i="516" s="1"/>
  <c r="H214" i="516"/>
  <c r="W213" i="516"/>
  <c r="V213" i="516"/>
  <c r="N213" i="516"/>
  <c r="K213" i="516" a="1"/>
  <c r="K213" i="516" s="1"/>
  <c r="M213" i="516" s="1"/>
  <c r="J213" i="516" a="1"/>
  <c r="J213" i="516" s="1"/>
  <c r="H213" i="516"/>
  <c r="V212" i="516"/>
  <c r="W212" i="516" s="1"/>
  <c r="N212" i="516"/>
  <c r="K212" i="516" a="1"/>
  <c r="K212" i="516" s="1"/>
  <c r="M212" i="516" s="1"/>
  <c r="J212" i="516" a="1"/>
  <c r="J212" i="516" s="1"/>
  <c r="H212" i="516"/>
  <c r="V211" i="516"/>
  <c r="W211" i="516" s="1"/>
  <c r="N211" i="516"/>
  <c r="K211" i="516"/>
  <c r="M211" i="516" s="1"/>
  <c r="K211" i="516" a="1"/>
  <c r="J211" i="516"/>
  <c r="J211" i="516" a="1"/>
  <c r="H211" i="516"/>
  <c r="V210" i="516"/>
  <c r="W210" i="516" s="1"/>
  <c r="N210" i="516"/>
  <c r="K210" i="516" a="1"/>
  <c r="K210" i="516" s="1"/>
  <c r="M210" i="516" s="1"/>
  <c r="J210" i="516" a="1"/>
  <c r="J210" i="516" s="1"/>
  <c r="H210" i="516"/>
  <c r="V209" i="516"/>
  <c r="W209" i="516" s="1"/>
  <c r="N209" i="516"/>
  <c r="K209" i="516" a="1"/>
  <c r="K209" i="516" s="1"/>
  <c r="M209" i="516" s="1"/>
  <c r="J209" i="516" a="1"/>
  <c r="J209" i="516" s="1"/>
  <c r="H209" i="516"/>
  <c r="V208" i="516"/>
  <c r="W208" i="516" s="1"/>
  <c r="N208" i="516"/>
  <c r="K208" i="516" a="1"/>
  <c r="K208" i="516" s="1"/>
  <c r="M208" i="516" s="1"/>
  <c r="J208" i="516" a="1"/>
  <c r="J208" i="516" s="1"/>
  <c r="H208" i="516"/>
  <c r="V207" i="516"/>
  <c r="W207" i="516" s="1"/>
  <c r="N207" i="516"/>
  <c r="K207" i="516"/>
  <c r="M207" i="516" s="1"/>
  <c r="K207" i="516" a="1"/>
  <c r="J207" i="516"/>
  <c r="J207" i="516" a="1"/>
  <c r="H207" i="516"/>
  <c r="H206" i="516"/>
  <c r="H205" i="516"/>
  <c r="H204" i="516"/>
  <c r="V203" i="516"/>
  <c r="W203" i="516" s="1"/>
  <c r="N203" i="516"/>
  <c r="K203" i="516" a="1"/>
  <c r="K203" i="516" s="1"/>
  <c r="M203" i="516" s="1"/>
  <c r="J203" i="516" a="1"/>
  <c r="J203" i="516" s="1"/>
  <c r="H203" i="516"/>
  <c r="V202" i="516"/>
  <c r="W202" i="516" s="1"/>
  <c r="N202" i="516"/>
  <c r="K202" i="516" a="1"/>
  <c r="K202" i="516" s="1"/>
  <c r="M202" i="516" s="1"/>
  <c r="J202" i="516" a="1"/>
  <c r="J202" i="516" s="1"/>
  <c r="H202" i="516"/>
  <c r="V201" i="516"/>
  <c r="W201" i="516" s="1"/>
  <c r="N201" i="516"/>
  <c r="K201" i="516"/>
  <c r="M201" i="516" s="1"/>
  <c r="K201" i="516" a="1"/>
  <c r="J201" i="516"/>
  <c r="J201" i="516" a="1"/>
  <c r="H201" i="516"/>
  <c r="H200" i="516"/>
  <c r="W199" i="516"/>
  <c r="V199" i="516"/>
  <c r="N199" i="516"/>
  <c r="K199" i="516" a="1"/>
  <c r="K199" i="516" s="1"/>
  <c r="M199" i="516" s="1"/>
  <c r="J199" i="516" a="1"/>
  <c r="J199" i="516" s="1"/>
  <c r="H199" i="516"/>
  <c r="AA198" i="516"/>
  <c r="AA333" i="516" s="1"/>
  <c r="Z198" i="516"/>
  <c r="Z333" i="516" s="1"/>
  <c r="Y198" i="516"/>
  <c r="Y333" i="516" s="1"/>
  <c r="X198" i="516"/>
  <c r="X333" i="516" s="1"/>
  <c r="U198" i="516"/>
  <c r="U333" i="516" s="1"/>
  <c r="T198" i="516"/>
  <c r="T333" i="516" s="1"/>
  <c r="S198" i="516"/>
  <c r="S333" i="516" s="1"/>
  <c r="R198" i="516"/>
  <c r="R333" i="516" s="1"/>
  <c r="Q198" i="516"/>
  <c r="Q333" i="516" s="1"/>
  <c r="P198" i="516"/>
  <c r="X336" i="516" s="1"/>
  <c r="O198" i="516"/>
  <c r="R335" i="516" s="1"/>
  <c r="I198" i="516"/>
  <c r="I333" i="516" s="1"/>
  <c r="B341" i="516" s="1"/>
  <c r="G198" i="516"/>
  <c r="G333" i="516" s="1"/>
  <c r="V197" i="516"/>
  <c r="W197" i="516" s="1"/>
  <c r="N197" i="516"/>
  <c r="K197" i="516" a="1"/>
  <c r="K197" i="516" s="1"/>
  <c r="M197" i="516" s="1"/>
  <c r="J197" i="516" a="1"/>
  <c r="J197" i="516" s="1"/>
  <c r="H197" i="516"/>
  <c r="V196" i="516"/>
  <c r="W196" i="516" s="1"/>
  <c r="N196" i="516"/>
  <c r="K196" i="516" a="1"/>
  <c r="K196" i="516" s="1"/>
  <c r="M196" i="516" s="1"/>
  <c r="J196" i="516"/>
  <c r="J196" i="516" a="1"/>
  <c r="H196" i="516"/>
  <c r="K195" i="516" a="1"/>
  <c r="K195" i="516" s="1"/>
  <c r="M195" i="516" s="1"/>
  <c r="H195" i="516"/>
  <c r="K194" i="516" a="1"/>
  <c r="K194" i="516" s="1"/>
  <c r="M194" i="516" s="1"/>
  <c r="H194" i="516"/>
  <c r="K193" i="516" a="1"/>
  <c r="K193" i="516" s="1"/>
  <c r="M193" i="516" s="1"/>
  <c r="H193" i="516"/>
  <c r="K192" i="516" a="1"/>
  <c r="K192" i="516" s="1"/>
  <c r="M192" i="516" s="1"/>
  <c r="H192" i="516"/>
  <c r="V191" i="516"/>
  <c r="W191" i="516" s="1"/>
  <c r="N191" i="516"/>
  <c r="K191" i="516"/>
  <c r="M191" i="516" s="1"/>
  <c r="K191" i="516" a="1"/>
  <c r="J191" i="516"/>
  <c r="J191" i="516" a="1"/>
  <c r="H191" i="516"/>
  <c r="V190" i="516"/>
  <c r="W190" i="516" s="1"/>
  <c r="N190" i="516"/>
  <c r="K190" i="516" a="1"/>
  <c r="K190" i="516" s="1"/>
  <c r="M190" i="516" s="1"/>
  <c r="J190" i="516" a="1"/>
  <c r="J190" i="516" s="1"/>
  <c r="H190" i="516"/>
  <c r="V189" i="516"/>
  <c r="W189" i="516" s="1"/>
  <c r="N189" i="516"/>
  <c r="K189" i="516" a="1"/>
  <c r="K189" i="516" s="1"/>
  <c r="M189" i="516" s="1"/>
  <c r="J189" i="516" a="1"/>
  <c r="J189" i="516" s="1"/>
  <c r="H189" i="516"/>
  <c r="N188" i="516"/>
  <c r="K188" i="516" a="1"/>
  <c r="K188" i="516" s="1"/>
  <c r="M188" i="516" s="1"/>
  <c r="J188" i="516" a="1"/>
  <c r="J188" i="516" s="1"/>
  <c r="H188" i="516"/>
  <c r="N187" i="516"/>
  <c r="K187" i="516" a="1"/>
  <c r="K187" i="516" s="1"/>
  <c r="M187" i="516" s="1"/>
  <c r="J187" i="516" a="1"/>
  <c r="J187" i="516" s="1"/>
  <c r="H187" i="516"/>
  <c r="V186" i="516"/>
  <c r="W186" i="516" s="1"/>
  <c r="N186" i="516"/>
  <c r="K186" i="516" a="1"/>
  <c r="K186" i="516" s="1"/>
  <c r="M186" i="516" s="1"/>
  <c r="J186" i="516" a="1"/>
  <c r="J186" i="516" s="1"/>
  <c r="H186" i="516"/>
  <c r="V185" i="516"/>
  <c r="W185" i="516" s="1"/>
  <c r="N185" i="516"/>
  <c r="K185" i="516"/>
  <c r="M185" i="516" s="1"/>
  <c r="K185" i="516" a="1"/>
  <c r="J185" i="516"/>
  <c r="J185" i="516" a="1"/>
  <c r="H185" i="516"/>
  <c r="N184" i="516"/>
  <c r="K184" i="516" a="1"/>
  <c r="K184" i="516" s="1"/>
  <c r="M184" i="516" s="1"/>
  <c r="H184" i="516"/>
  <c r="N183" i="516"/>
  <c r="K183" i="516" a="1"/>
  <c r="K183" i="516" s="1"/>
  <c r="M183" i="516" s="1"/>
  <c r="H183" i="516"/>
  <c r="V182" i="516"/>
  <c r="W182" i="516" s="1"/>
  <c r="N182" i="516"/>
  <c r="K182" i="516" a="1"/>
  <c r="K182" i="516" s="1"/>
  <c r="M182" i="516" s="1"/>
  <c r="J182" i="516" a="1"/>
  <c r="J182" i="516" s="1"/>
  <c r="H182" i="516"/>
  <c r="V181" i="516"/>
  <c r="W181" i="516" s="1"/>
  <c r="N181" i="516"/>
  <c r="K181" i="516"/>
  <c r="M181" i="516" s="1"/>
  <c r="K181" i="516" a="1"/>
  <c r="J181" i="516"/>
  <c r="J181" i="516" a="1"/>
  <c r="H181" i="516"/>
  <c r="V180" i="516"/>
  <c r="W180" i="516" s="1"/>
  <c r="N180" i="516"/>
  <c r="K180" i="516" a="1"/>
  <c r="K180" i="516" s="1"/>
  <c r="M180" i="516" s="1"/>
  <c r="J180" i="516" a="1"/>
  <c r="J180" i="516" s="1"/>
  <c r="H180" i="516"/>
  <c r="V179" i="516"/>
  <c r="W179" i="516" s="1"/>
  <c r="N179" i="516"/>
  <c r="K179" i="516" a="1"/>
  <c r="K179" i="516" s="1"/>
  <c r="M179" i="516" s="1"/>
  <c r="J179" i="516" a="1"/>
  <c r="J179" i="516" s="1"/>
  <c r="H179" i="516"/>
  <c r="V178" i="516"/>
  <c r="W178" i="516" s="1"/>
  <c r="N178" i="516"/>
  <c r="K178" i="516" a="1"/>
  <c r="K178" i="516" s="1"/>
  <c r="M178" i="516" s="1"/>
  <c r="J178" i="516" a="1"/>
  <c r="J178" i="516" s="1"/>
  <c r="H178" i="516"/>
  <c r="V177" i="516"/>
  <c r="N177" i="516"/>
  <c r="K177" i="516"/>
  <c r="M177" i="516" s="1"/>
  <c r="K177" i="516" a="1"/>
  <c r="J177" i="516"/>
  <c r="J177" i="516" a="1"/>
  <c r="H177" i="516"/>
  <c r="X170" i="516"/>
  <c r="Q526" i="516" s="1"/>
  <c r="X169" i="516"/>
  <c r="Q525" i="516" s="1"/>
  <c r="G169" i="516"/>
  <c r="C169" i="516"/>
  <c r="X168" i="516"/>
  <c r="I168" i="516"/>
  <c r="E168" i="516"/>
  <c r="K168" i="516" s="1"/>
  <c r="M168" i="516" s="1"/>
  <c r="I167" i="516"/>
  <c r="E167" i="516"/>
  <c r="K167" i="516" s="1"/>
  <c r="M167" i="516" s="1"/>
  <c r="I166" i="516"/>
  <c r="E166" i="516"/>
  <c r="K166" i="516" s="1"/>
  <c r="M166" i="516" s="1"/>
  <c r="X165" i="516"/>
  <c r="I165" i="516"/>
  <c r="I169" i="516" s="1"/>
  <c r="E165" i="516"/>
  <c r="E169" i="516" s="1"/>
  <c r="AA162" i="516"/>
  <c r="Z162" i="516"/>
  <c r="Y162" i="516"/>
  <c r="X162" i="516"/>
  <c r="U162" i="516"/>
  <c r="T162" i="516"/>
  <c r="S162" i="516"/>
  <c r="R162" i="516"/>
  <c r="Q162" i="516"/>
  <c r="P162" i="516"/>
  <c r="O162" i="516"/>
  <c r="R170" i="516" s="1"/>
  <c r="I162" i="516"/>
  <c r="G162" i="516"/>
  <c r="C526" i="516" s="1"/>
  <c r="H161" i="516"/>
  <c r="H160" i="516"/>
  <c r="H159" i="516"/>
  <c r="V158" i="516"/>
  <c r="W158" i="516" s="1"/>
  <c r="N158" i="516"/>
  <c r="K158" i="516" a="1"/>
  <c r="K158" i="516" s="1"/>
  <c r="J158" i="516" a="1"/>
  <c r="J158" i="516" s="1"/>
  <c r="D158" i="516"/>
  <c r="H158" i="516" s="1"/>
  <c r="V157" i="516"/>
  <c r="W157" i="516" s="1"/>
  <c r="N157" i="516"/>
  <c r="K157" i="516" a="1"/>
  <c r="K157" i="516" s="1"/>
  <c r="M157" i="516" s="1"/>
  <c r="J157" i="516" a="1"/>
  <c r="J157" i="516" s="1"/>
  <c r="H157" i="516"/>
  <c r="H156" i="516"/>
  <c r="H155" i="516"/>
  <c r="V154" i="516"/>
  <c r="W154" i="516" s="1"/>
  <c r="N154" i="516"/>
  <c r="K154" i="516"/>
  <c r="M154" i="516" s="1"/>
  <c r="K154" i="516" a="1"/>
  <c r="J154" i="516"/>
  <c r="J154" i="516" a="1"/>
  <c r="H154" i="516"/>
  <c r="V153" i="516"/>
  <c r="W153" i="516" s="1"/>
  <c r="N153" i="516"/>
  <c r="K153" i="516" a="1"/>
  <c r="K153" i="516" s="1"/>
  <c r="M153" i="516" s="1"/>
  <c r="J153" i="516" a="1"/>
  <c r="J153" i="516" s="1"/>
  <c r="H153" i="516"/>
  <c r="H152" i="516"/>
  <c r="V151" i="516"/>
  <c r="W151" i="516" s="1"/>
  <c r="N151" i="516"/>
  <c r="K151" i="516" a="1"/>
  <c r="K151" i="516" s="1"/>
  <c r="M151" i="516" s="1"/>
  <c r="J151" i="516" a="1"/>
  <c r="J151" i="516" s="1"/>
  <c r="H151" i="516"/>
  <c r="V150" i="516"/>
  <c r="W150" i="516" s="1"/>
  <c r="N150" i="516"/>
  <c r="K150" i="516" a="1"/>
  <c r="K150" i="516" s="1"/>
  <c r="M150" i="516" s="1"/>
  <c r="J150" i="516" a="1"/>
  <c r="J150" i="516" s="1"/>
  <c r="H150" i="516"/>
  <c r="V149" i="516"/>
  <c r="W149" i="516" s="1"/>
  <c r="N149" i="516"/>
  <c r="K149" i="516" a="1"/>
  <c r="K149" i="516" s="1"/>
  <c r="M149" i="516" s="1"/>
  <c r="J149" i="516" a="1"/>
  <c r="J149" i="516" s="1"/>
  <c r="H149" i="516"/>
  <c r="V148" i="516"/>
  <c r="V162" i="516" s="1"/>
  <c r="W162" i="516" s="1"/>
  <c r="N148" i="516"/>
  <c r="K148" i="516"/>
  <c r="K148" i="516" a="1"/>
  <c r="J148" i="516"/>
  <c r="J148" i="516" a="1"/>
  <c r="H148" i="516"/>
  <c r="AA147" i="516"/>
  <c r="Z147" i="516"/>
  <c r="Y147" i="516"/>
  <c r="X147" i="516"/>
  <c r="U147" i="516"/>
  <c r="T147" i="516"/>
  <c r="S147" i="516"/>
  <c r="Q147" i="516"/>
  <c r="P147" i="516"/>
  <c r="O147" i="516"/>
  <c r="R169" i="516" s="1"/>
  <c r="I147" i="516"/>
  <c r="G147" i="516"/>
  <c r="C525" i="516" s="1"/>
  <c r="V146" i="516"/>
  <c r="W146" i="516" s="1"/>
  <c r="N146" i="516"/>
  <c r="N146" i="489" s="1"/>
  <c r="K146" i="516" a="1"/>
  <c r="K146" i="516" s="1"/>
  <c r="M146" i="516" s="1"/>
  <c r="J146" i="516" a="1"/>
  <c r="J146" i="516" s="1"/>
  <c r="H146" i="516"/>
  <c r="H143" i="516"/>
  <c r="V142" i="516"/>
  <c r="W142" i="516" s="1"/>
  <c r="N142" i="516"/>
  <c r="K142" i="516" a="1"/>
  <c r="K142" i="516" s="1"/>
  <c r="M142" i="516" s="1"/>
  <c r="J142" i="516" a="1"/>
  <c r="J142" i="516" s="1"/>
  <c r="H142" i="516"/>
  <c r="V141" i="516"/>
  <c r="W141" i="516" s="1"/>
  <c r="N141" i="516"/>
  <c r="K141" i="516"/>
  <c r="M141" i="516" s="1"/>
  <c r="K141" i="516" a="1"/>
  <c r="J141" i="516"/>
  <c r="J141" i="516" a="1"/>
  <c r="H141" i="516"/>
  <c r="V140" i="516"/>
  <c r="W140" i="516" s="1"/>
  <c r="N140" i="516"/>
  <c r="K140" i="516" a="1"/>
  <c r="K140" i="516" s="1"/>
  <c r="M140" i="516" s="1"/>
  <c r="J140" i="516" a="1"/>
  <c r="J140" i="516" s="1"/>
  <c r="H140" i="516"/>
  <c r="V139" i="516"/>
  <c r="W139" i="516" s="1"/>
  <c r="N139" i="516"/>
  <c r="K139" i="516"/>
  <c r="M139" i="516" s="1"/>
  <c r="K139" i="516" a="1"/>
  <c r="J139" i="516"/>
  <c r="J139" i="516" a="1"/>
  <c r="H139" i="516"/>
  <c r="V138" i="516"/>
  <c r="V147" i="516" s="1"/>
  <c r="N138" i="516"/>
  <c r="K138" i="516" a="1"/>
  <c r="K138" i="516" s="1"/>
  <c r="J138" i="516" a="1"/>
  <c r="J138" i="516" s="1"/>
  <c r="H138" i="516"/>
  <c r="AA137" i="516"/>
  <c r="Z137" i="516"/>
  <c r="Y137" i="516"/>
  <c r="X137" i="516"/>
  <c r="U137" i="516"/>
  <c r="T137" i="516"/>
  <c r="S137" i="516"/>
  <c r="Q137" i="516"/>
  <c r="P137" i="516"/>
  <c r="P137" i="508" s="1"/>
  <c r="O137" i="516"/>
  <c r="I137" i="516"/>
  <c r="G137" i="516"/>
  <c r="C524" i="516" s="1"/>
  <c r="V136" i="516"/>
  <c r="W136" i="516" s="1"/>
  <c r="N136" i="516"/>
  <c r="K136" i="516" a="1"/>
  <c r="K136" i="516" s="1"/>
  <c r="M136" i="516" s="1"/>
  <c r="J136" i="516" a="1"/>
  <c r="J136" i="516" s="1"/>
  <c r="H136" i="516"/>
  <c r="V135" i="516"/>
  <c r="W135" i="516" s="1"/>
  <c r="N135" i="516"/>
  <c r="K135" i="516" a="1"/>
  <c r="K135" i="516" s="1"/>
  <c r="M135" i="516" s="1"/>
  <c r="J135" i="516" a="1"/>
  <c r="J135" i="516" s="1"/>
  <c r="H135" i="516"/>
  <c r="V134" i="516"/>
  <c r="W134" i="516" s="1"/>
  <c r="N134" i="516"/>
  <c r="K134" i="516"/>
  <c r="M134" i="516" s="1"/>
  <c r="K134" i="516" a="1"/>
  <c r="J134" i="516"/>
  <c r="J134" i="516" a="1"/>
  <c r="H134" i="516"/>
  <c r="V133" i="516"/>
  <c r="W133" i="516" s="1"/>
  <c r="N133" i="516"/>
  <c r="K133" i="516" a="1"/>
  <c r="K133" i="516" s="1"/>
  <c r="M133" i="516" s="1"/>
  <c r="J133" i="516" a="1"/>
  <c r="J133" i="516" s="1"/>
  <c r="H133" i="516"/>
  <c r="V132" i="516"/>
  <c r="W132" i="516" s="1"/>
  <c r="N132" i="516"/>
  <c r="K132" i="516" a="1"/>
  <c r="K132" i="516" s="1"/>
  <c r="M132" i="516" s="1"/>
  <c r="J132" i="516" a="1"/>
  <c r="J132" i="516" s="1"/>
  <c r="H132" i="516"/>
  <c r="V131" i="516"/>
  <c r="W131" i="516" s="1"/>
  <c r="N131" i="516"/>
  <c r="K131" i="516" a="1"/>
  <c r="K131" i="516" s="1"/>
  <c r="M131" i="516" s="1"/>
  <c r="J131" i="516" a="1"/>
  <c r="J131" i="516" s="1"/>
  <c r="H131" i="516"/>
  <c r="V130" i="516"/>
  <c r="W130" i="516" s="1"/>
  <c r="N130" i="516"/>
  <c r="K130" i="516"/>
  <c r="M130" i="516" s="1"/>
  <c r="K130" i="516" a="1"/>
  <c r="J130" i="516"/>
  <c r="J130" i="516" a="1"/>
  <c r="H130" i="516"/>
  <c r="V129" i="516"/>
  <c r="W129" i="516" s="1"/>
  <c r="N129" i="516"/>
  <c r="K129" i="516" a="1"/>
  <c r="K129" i="516" s="1"/>
  <c r="M129" i="516" s="1"/>
  <c r="J129" i="516" a="1"/>
  <c r="J129" i="516" s="1"/>
  <c r="H129" i="516"/>
  <c r="V128" i="516"/>
  <c r="W128" i="516" s="1"/>
  <c r="N128" i="516"/>
  <c r="K128" i="516" a="1"/>
  <c r="K128" i="516" s="1"/>
  <c r="M128" i="516" s="1"/>
  <c r="J128" i="516" a="1"/>
  <c r="J128" i="516" s="1"/>
  <c r="H128" i="516"/>
  <c r="V127" i="516"/>
  <c r="W127" i="516" s="1"/>
  <c r="N127" i="516"/>
  <c r="K127" i="516" a="1"/>
  <c r="K127" i="516" s="1"/>
  <c r="M127" i="516" s="1"/>
  <c r="J127" i="516" a="1"/>
  <c r="J127" i="516" s="1"/>
  <c r="H127" i="516"/>
  <c r="V126" i="516"/>
  <c r="W126" i="516" s="1"/>
  <c r="N126" i="516"/>
  <c r="K126" i="516"/>
  <c r="M126" i="516" s="1"/>
  <c r="K126" i="516" a="1"/>
  <c r="J126" i="516"/>
  <c r="J126" i="516" a="1"/>
  <c r="H126" i="516"/>
  <c r="V125" i="516"/>
  <c r="W125" i="516" s="1"/>
  <c r="N125" i="516"/>
  <c r="K125" i="516" a="1"/>
  <c r="K125" i="516" s="1"/>
  <c r="M125" i="516" s="1"/>
  <c r="J125" i="516" a="1"/>
  <c r="J125" i="516" s="1"/>
  <c r="H125" i="516"/>
  <c r="V124" i="516"/>
  <c r="W124" i="516" s="1"/>
  <c r="N124" i="516"/>
  <c r="K124" i="516" a="1"/>
  <c r="K124" i="516" s="1"/>
  <c r="M124" i="516" s="1"/>
  <c r="J124" i="516" a="1"/>
  <c r="J124" i="516" s="1"/>
  <c r="H124" i="516"/>
  <c r="V123" i="516"/>
  <c r="W123" i="516" s="1"/>
  <c r="N123" i="516"/>
  <c r="K123" i="516" a="1"/>
  <c r="K123" i="516" s="1"/>
  <c r="M123" i="516" s="1"/>
  <c r="J123" i="516" a="1"/>
  <c r="J123" i="516" s="1"/>
  <c r="H123" i="516"/>
  <c r="V122" i="516"/>
  <c r="N122" i="516"/>
  <c r="K122" i="516"/>
  <c r="K122" i="516" a="1"/>
  <c r="J122" i="516"/>
  <c r="J122" i="516" a="1"/>
  <c r="H122" i="516"/>
  <c r="AA121" i="516"/>
  <c r="Z121" i="516"/>
  <c r="Y121" i="516"/>
  <c r="X121" i="516"/>
  <c r="U121" i="516"/>
  <c r="T121" i="516"/>
  <c r="S121" i="516"/>
  <c r="R121" i="516"/>
  <c r="Q121" i="516"/>
  <c r="P121" i="516"/>
  <c r="O121" i="516"/>
  <c r="I121" i="516"/>
  <c r="G121" i="516"/>
  <c r="C523" i="516" s="1"/>
  <c r="V120" i="516"/>
  <c r="W120" i="516" s="1"/>
  <c r="N120" i="516"/>
  <c r="K120" i="516"/>
  <c r="M120" i="516" s="1"/>
  <c r="K120" i="516" a="1"/>
  <c r="J120" i="516" a="1"/>
  <c r="J120" i="516" s="1"/>
  <c r="H120" i="516"/>
  <c r="V119" i="516"/>
  <c r="W119" i="516" s="1"/>
  <c r="N119" i="516"/>
  <c r="K119" i="516" a="1"/>
  <c r="K119" i="516" s="1"/>
  <c r="M119" i="516" s="1"/>
  <c r="J119" i="516" a="1"/>
  <c r="J119" i="516" s="1"/>
  <c r="H119" i="516"/>
  <c r="V118" i="516"/>
  <c r="W118" i="516" s="1"/>
  <c r="N118" i="516"/>
  <c r="K118" i="516"/>
  <c r="M118" i="516" s="1"/>
  <c r="K118" i="516" a="1"/>
  <c r="J118" i="516" a="1"/>
  <c r="J118" i="516" s="1"/>
  <c r="H118" i="516"/>
  <c r="K117" i="516" a="1"/>
  <c r="K117" i="516" s="1"/>
  <c r="H117" i="516"/>
  <c r="K116" i="516" a="1"/>
  <c r="K116" i="516" s="1"/>
  <c r="H116" i="516"/>
  <c r="K115" i="516" a="1"/>
  <c r="K115" i="516" s="1"/>
  <c r="H115" i="516"/>
  <c r="V114" i="516"/>
  <c r="W114" i="516" s="1"/>
  <c r="N114" i="516"/>
  <c r="K114" i="516" a="1"/>
  <c r="K114" i="516" s="1"/>
  <c r="M114" i="516" s="1"/>
  <c r="J114" i="516" a="1"/>
  <c r="J114" i="516" s="1"/>
  <c r="H114" i="516"/>
  <c r="V113" i="516"/>
  <c r="W113" i="516" s="1"/>
  <c r="N113" i="516"/>
  <c r="K113" i="516"/>
  <c r="M113" i="516" s="1"/>
  <c r="K113" i="516" a="1"/>
  <c r="J113" i="516"/>
  <c r="J113" i="516" a="1"/>
  <c r="H113" i="516"/>
  <c r="N112" i="516"/>
  <c r="K112" i="516" a="1"/>
  <c r="K112" i="516" s="1"/>
  <c r="M112" i="516" s="1"/>
  <c r="H112" i="516"/>
  <c r="N111" i="516"/>
  <c r="K111" i="516" a="1"/>
  <c r="K111" i="516" s="1"/>
  <c r="M111" i="516" s="1"/>
  <c r="H111" i="516"/>
  <c r="N110" i="516"/>
  <c r="K110" i="516" a="1"/>
  <c r="K110" i="516" s="1"/>
  <c r="M110" i="516" s="1"/>
  <c r="H110" i="516"/>
  <c r="N109" i="516"/>
  <c r="K109" i="516"/>
  <c r="M109" i="516" s="1"/>
  <c r="K109" i="516" a="1"/>
  <c r="H109" i="516"/>
  <c r="N108" i="516"/>
  <c r="K108" i="516" a="1"/>
  <c r="K108" i="516" s="1"/>
  <c r="M108" i="516" s="1"/>
  <c r="H108" i="516"/>
  <c r="N107" i="516"/>
  <c r="K107" i="516" a="1"/>
  <c r="K107" i="516" s="1"/>
  <c r="M107" i="516" s="1"/>
  <c r="H107" i="516"/>
  <c r="V106" i="516"/>
  <c r="W106" i="516" s="1"/>
  <c r="N106" i="516"/>
  <c r="K106" i="516" a="1"/>
  <c r="K106" i="516" s="1"/>
  <c r="M106" i="516" s="1"/>
  <c r="J106" i="516" a="1"/>
  <c r="J106" i="516" s="1"/>
  <c r="H106" i="516"/>
  <c r="V105" i="516"/>
  <c r="W105" i="516" s="1"/>
  <c r="N105" i="516"/>
  <c r="K105" i="516"/>
  <c r="M105" i="516" s="1"/>
  <c r="K105" i="516" a="1"/>
  <c r="J105" i="516"/>
  <c r="J105" i="516" a="1"/>
  <c r="H105" i="516"/>
  <c r="V104" i="516"/>
  <c r="W104" i="516" s="1"/>
  <c r="N104" i="516"/>
  <c r="K104" i="516" a="1"/>
  <c r="K104" i="516" s="1"/>
  <c r="M104" i="516" s="1"/>
  <c r="J104" i="516" a="1"/>
  <c r="J104" i="516" s="1"/>
  <c r="H104" i="516"/>
  <c r="V103" i="516"/>
  <c r="W103" i="516" s="1"/>
  <c r="N103" i="516"/>
  <c r="K103" i="516" a="1"/>
  <c r="K103" i="516" s="1"/>
  <c r="M103" i="516" s="1"/>
  <c r="J103" i="516" a="1"/>
  <c r="J103" i="516" s="1"/>
  <c r="H103" i="516"/>
  <c r="V102" i="516"/>
  <c r="W102" i="516" s="1"/>
  <c r="N102" i="516"/>
  <c r="K102" i="516" a="1"/>
  <c r="K102" i="516" s="1"/>
  <c r="M102" i="516" s="1"/>
  <c r="J102" i="516" a="1"/>
  <c r="J102" i="516" s="1"/>
  <c r="H102" i="516"/>
  <c r="V101" i="516"/>
  <c r="W101" i="516" s="1"/>
  <c r="N101" i="516"/>
  <c r="K101" i="516"/>
  <c r="M101" i="516" s="1"/>
  <c r="K101" i="516" a="1"/>
  <c r="J101" i="516"/>
  <c r="J101" i="516" a="1"/>
  <c r="H101" i="516"/>
  <c r="V100" i="516"/>
  <c r="W100" i="516" s="1"/>
  <c r="N100" i="516"/>
  <c r="K100" i="516" a="1"/>
  <c r="K100" i="516" s="1"/>
  <c r="M100" i="516" s="1"/>
  <c r="J100" i="516" a="1"/>
  <c r="J100" i="516" s="1"/>
  <c r="H100" i="516"/>
  <c r="V99" i="516"/>
  <c r="W99" i="516" s="1"/>
  <c r="N99" i="516"/>
  <c r="K99" i="516" a="1"/>
  <c r="K99" i="516" s="1"/>
  <c r="M99" i="516" s="1"/>
  <c r="J99" i="516" a="1"/>
  <c r="J99" i="516" s="1"/>
  <c r="H99" i="516"/>
  <c r="V98" i="516"/>
  <c r="W98" i="516" s="1"/>
  <c r="N98" i="516"/>
  <c r="K98" i="516" a="1"/>
  <c r="K98" i="516" s="1"/>
  <c r="M98" i="516" s="1"/>
  <c r="J98" i="516" a="1"/>
  <c r="J98" i="516" s="1"/>
  <c r="H98" i="516"/>
  <c r="V97" i="516"/>
  <c r="W97" i="516" s="1"/>
  <c r="N97" i="516"/>
  <c r="K97" i="516"/>
  <c r="M97" i="516" s="1"/>
  <c r="K97" i="516" a="1"/>
  <c r="J97" i="516"/>
  <c r="J97" i="516" a="1"/>
  <c r="H97" i="516"/>
  <c r="V96" i="516"/>
  <c r="W96" i="516" s="1"/>
  <c r="N96" i="516"/>
  <c r="K96" i="516" a="1"/>
  <c r="K96" i="516" s="1"/>
  <c r="M96" i="516" s="1"/>
  <c r="J96" i="516" a="1"/>
  <c r="J96" i="516" s="1"/>
  <c r="H96" i="516"/>
  <c r="V95" i="516"/>
  <c r="W95" i="516" s="1"/>
  <c r="N95" i="516"/>
  <c r="K95" i="516" a="1"/>
  <c r="K95" i="516" s="1"/>
  <c r="M95" i="516" s="1"/>
  <c r="J95" i="516" a="1"/>
  <c r="J95" i="516" s="1"/>
  <c r="H95" i="516"/>
  <c r="K94" i="516"/>
  <c r="M94" i="516" s="1"/>
  <c r="K94" i="516" a="1"/>
  <c r="H94" i="516"/>
  <c r="V93" i="516"/>
  <c r="W93" i="516" s="1"/>
  <c r="N93" i="516"/>
  <c r="K93" i="516" a="1"/>
  <c r="K93" i="516" s="1"/>
  <c r="M93" i="516" s="1"/>
  <c r="J93" i="516" a="1"/>
  <c r="J93" i="516" s="1"/>
  <c r="H93" i="516"/>
  <c r="V92" i="516"/>
  <c r="W92" i="516" s="1"/>
  <c r="N92" i="516"/>
  <c r="K92" i="516" a="1"/>
  <c r="K92" i="516" s="1"/>
  <c r="M92" i="516" s="1"/>
  <c r="J92" i="516" a="1"/>
  <c r="J92" i="516" s="1"/>
  <c r="H92" i="516"/>
  <c r="V91" i="516"/>
  <c r="W91" i="516" s="1"/>
  <c r="N91" i="516"/>
  <c r="K91" i="516" a="1"/>
  <c r="K91" i="516" s="1"/>
  <c r="M91" i="516" s="1"/>
  <c r="J91" i="516" a="1"/>
  <c r="J91" i="516" s="1"/>
  <c r="H91" i="516"/>
  <c r="V90" i="516"/>
  <c r="W90" i="516" s="1"/>
  <c r="N90" i="516"/>
  <c r="K90" i="516"/>
  <c r="M90" i="516" s="1"/>
  <c r="K90" i="516" a="1"/>
  <c r="J90" i="516"/>
  <c r="J90" i="516" a="1"/>
  <c r="H90" i="516"/>
  <c r="V89" i="516"/>
  <c r="W89" i="516" s="1"/>
  <c r="N89" i="516"/>
  <c r="K89" i="516" a="1"/>
  <c r="K89" i="516" s="1"/>
  <c r="M89" i="516" s="1"/>
  <c r="J89" i="516" a="1"/>
  <c r="J89" i="516" s="1"/>
  <c r="H89" i="516"/>
  <c r="V88" i="516"/>
  <c r="W88" i="516" s="1"/>
  <c r="N88" i="516"/>
  <c r="K88" i="516" a="1"/>
  <c r="K88" i="516" s="1"/>
  <c r="M88" i="516" s="1"/>
  <c r="J88" i="516" a="1"/>
  <c r="J88" i="516" s="1"/>
  <c r="H88" i="516"/>
  <c r="V87" i="516"/>
  <c r="N87" i="516"/>
  <c r="K87" i="516" a="1"/>
  <c r="K87" i="516" s="1"/>
  <c r="J87" i="516" a="1"/>
  <c r="J87" i="516" s="1"/>
  <c r="H87" i="516"/>
  <c r="AA86" i="516"/>
  <c r="Z86" i="516"/>
  <c r="Y86" i="516"/>
  <c r="X86" i="516"/>
  <c r="U86" i="516"/>
  <c r="T86" i="516"/>
  <c r="S86" i="516"/>
  <c r="R86" i="516"/>
  <c r="Q86" i="516"/>
  <c r="P86" i="516"/>
  <c r="O86" i="516"/>
  <c r="I86" i="516"/>
  <c r="G86" i="516"/>
  <c r="C522" i="516" s="1"/>
  <c r="K85" i="516" a="1"/>
  <c r="K85" i="516" s="1"/>
  <c r="H85" i="516"/>
  <c r="K84" i="516"/>
  <c r="K84" i="516" a="1"/>
  <c r="H84" i="516"/>
  <c r="K83" i="516" a="1"/>
  <c r="K83" i="516" s="1"/>
  <c r="H83" i="516"/>
  <c r="K82" i="516" a="1"/>
  <c r="K82" i="516" s="1"/>
  <c r="H82" i="516"/>
  <c r="K81" i="516" a="1"/>
  <c r="K81" i="516" s="1"/>
  <c r="H81" i="516"/>
  <c r="K80" i="516"/>
  <c r="K80" i="516" a="1"/>
  <c r="H80" i="516"/>
  <c r="K79" i="516" a="1"/>
  <c r="K79" i="516" s="1"/>
  <c r="M79" i="516" s="1"/>
  <c r="H79" i="516"/>
  <c r="K78" i="516" a="1"/>
  <c r="K78" i="516" s="1"/>
  <c r="M78" i="516" s="1"/>
  <c r="H78" i="516"/>
  <c r="K77" i="516" a="1"/>
  <c r="K77" i="516" s="1"/>
  <c r="M77" i="516" s="1"/>
  <c r="H77" i="516"/>
  <c r="K76" i="516" a="1"/>
  <c r="K76" i="516" s="1"/>
  <c r="M76" i="516" s="1"/>
  <c r="H76" i="516"/>
  <c r="V75" i="516"/>
  <c r="W75" i="516" s="1"/>
  <c r="N75" i="516"/>
  <c r="K75" i="516" a="1"/>
  <c r="K75" i="516" s="1"/>
  <c r="M75" i="516" s="1"/>
  <c r="J75" i="516" a="1"/>
  <c r="J75" i="516" s="1"/>
  <c r="H75" i="516"/>
  <c r="V74" i="516"/>
  <c r="W74" i="516" s="1"/>
  <c r="N74" i="516"/>
  <c r="K74" i="516"/>
  <c r="M74" i="516" s="1"/>
  <c r="K74" i="516" a="1"/>
  <c r="J74" i="516" a="1"/>
  <c r="J74" i="516" s="1"/>
  <c r="H74" i="516"/>
  <c r="V73" i="516"/>
  <c r="W73" i="516" s="1"/>
  <c r="N73" i="516"/>
  <c r="K73" i="516" a="1"/>
  <c r="K73" i="516" s="1"/>
  <c r="M73" i="516" s="1"/>
  <c r="J73" i="516" a="1"/>
  <c r="J73" i="516" s="1"/>
  <c r="H73" i="516"/>
  <c r="V72" i="516"/>
  <c r="W72" i="516" s="1"/>
  <c r="N72" i="516"/>
  <c r="K72" i="516"/>
  <c r="M72" i="516" s="1"/>
  <c r="K72" i="516" a="1"/>
  <c r="J72" i="516" a="1"/>
  <c r="J72" i="516" s="1"/>
  <c r="H72" i="516"/>
  <c r="H71" i="516"/>
  <c r="V70" i="516"/>
  <c r="W70" i="516" s="1"/>
  <c r="N70" i="516"/>
  <c r="K70" i="516" a="1"/>
  <c r="K70" i="516" s="1"/>
  <c r="M70" i="516" s="1"/>
  <c r="J70" i="516" a="1"/>
  <c r="J70" i="516" s="1"/>
  <c r="H70" i="516"/>
  <c r="V69" i="516"/>
  <c r="W69" i="516" s="1"/>
  <c r="N69" i="516"/>
  <c r="K69" i="516" a="1"/>
  <c r="K69" i="516" s="1"/>
  <c r="M69" i="516" s="1"/>
  <c r="J69" i="516" a="1"/>
  <c r="J69" i="516" s="1"/>
  <c r="H69" i="516"/>
  <c r="K68" i="516" a="1"/>
  <c r="K68" i="516" s="1"/>
  <c r="H68" i="516"/>
  <c r="K67" i="516"/>
  <c r="K67" i="516" a="1"/>
  <c r="H67" i="516"/>
  <c r="V66" i="516"/>
  <c r="W66" i="516" s="1"/>
  <c r="N66" i="516"/>
  <c r="K66" i="516" a="1"/>
  <c r="K66" i="516" s="1"/>
  <c r="M66" i="516" s="1"/>
  <c r="J66" i="516" a="1"/>
  <c r="J66" i="516" s="1"/>
  <c r="H66" i="516"/>
  <c r="V65" i="516"/>
  <c r="W65" i="516" s="1"/>
  <c r="N65" i="516"/>
  <c r="K65" i="516" a="1"/>
  <c r="K65" i="516" s="1"/>
  <c r="M65" i="516" s="1"/>
  <c r="J65" i="516"/>
  <c r="J65" i="516" a="1"/>
  <c r="H65" i="516"/>
  <c r="V64" i="516"/>
  <c r="W64" i="516" s="1"/>
  <c r="N64" i="516"/>
  <c r="K64" i="516" a="1"/>
  <c r="K64" i="516" s="1"/>
  <c r="M64" i="516" s="1"/>
  <c r="J64" i="516" a="1"/>
  <c r="J64" i="516" s="1"/>
  <c r="H64" i="516"/>
  <c r="V63" i="516"/>
  <c r="W63" i="516" s="1"/>
  <c r="N63" i="516"/>
  <c r="K63" i="516" a="1"/>
  <c r="K63" i="516" s="1"/>
  <c r="M63" i="516" s="1"/>
  <c r="J63" i="516" a="1"/>
  <c r="J63" i="516" s="1"/>
  <c r="H63" i="516"/>
  <c r="V62" i="516"/>
  <c r="W62" i="516" s="1"/>
  <c r="N62" i="516"/>
  <c r="K62" i="516" a="1"/>
  <c r="K62" i="516" s="1"/>
  <c r="M62" i="516" s="1"/>
  <c r="J62" i="516" a="1"/>
  <c r="J62" i="516" s="1"/>
  <c r="H62" i="516"/>
  <c r="V61" i="516"/>
  <c r="W61" i="516" s="1"/>
  <c r="N61" i="516"/>
  <c r="K61" i="516"/>
  <c r="M61" i="516" s="1"/>
  <c r="K61" i="516" a="1"/>
  <c r="J61" i="516"/>
  <c r="J61" i="516" a="1"/>
  <c r="H61" i="516"/>
  <c r="V60" i="516"/>
  <c r="W60" i="516" s="1"/>
  <c r="N60" i="516"/>
  <c r="K60" i="516" a="1"/>
  <c r="K60" i="516" s="1"/>
  <c r="M60" i="516" s="1"/>
  <c r="J60" i="516" a="1"/>
  <c r="J60" i="516" s="1"/>
  <c r="H60" i="516"/>
  <c r="V59" i="516"/>
  <c r="W59" i="516" s="1"/>
  <c r="N59" i="516"/>
  <c r="K59" i="516" a="1"/>
  <c r="K59" i="516" s="1"/>
  <c r="M59" i="516" s="1"/>
  <c r="J59" i="516" a="1"/>
  <c r="J59" i="516" s="1"/>
  <c r="H59" i="516"/>
  <c r="V58" i="516"/>
  <c r="W58" i="516" s="1"/>
  <c r="N58" i="516"/>
  <c r="K58" i="516" a="1"/>
  <c r="K58" i="516" s="1"/>
  <c r="M58" i="516" s="1"/>
  <c r="J58" i="516" a="1"/>
  <c r="J58" i="516" s="1"/>
  <c r="H58" i="516"/>
  <c r="V57" i="516"/>
  <c r="W57" i="516" s="1"/>
  <c r="N57" i="516"/>
  <c r="K57" i="516"/>
  <c r="M57" i="516" s="1"/>
  <c r="K57" i="516" a="1"/>
  <c r="J57" i="516"/>
  <c r="J57" i="516" a="1"/>
  <c r="H57" i="516"/>
  <c r="K56" i="516" a="1"/>
  <c r="K56" i="516" s="1"/>
  <c r="M56" i="516" s="1"/>
  <c r="H56" i="516"/>
  <c r="K55" i="516" a="1"/>
  <c r="K55" i="516" s="1"/>
  <c r="M55" i="516" s="1"/>
  <c r="H55" i="516"/>
  <c r="K54" i="516" a="1"/>
  <c r="K54" i="516" s="1"/>
  <c r="M54" i="516" s="1"/>
  <c r="H54" i="516"/>
  <c r="K53" i="516" a="1"/>
  <c r="K53" i="516" s="1"/>
  <c r="M53" i="516" s="1"/>
  <c r="H53" i="516"/>
  <c r="N52" i="516"/>
  <c r="K52" i="516" a="1"/>
  <c r="K52" i="516" s="1"/>
  <c r="M52" i="516" s="1"/>
  <c r="H52" i="516"/>
  <c r="N51" i="516"/>
  <c r="K51" i="516" a="1"/>
  <c r="K51" i="516" s="1"/>
  <c r="M51" i="516" s="1"/>
  <c r="H51" i="516"/>
  <c r="N50" i="516"/>
  <c r="K50" i="516"/>
  <c r="M50" i="516" s="1"/>
  <c r="K50" i="516" a="1"/>
  <c r="H50" i="516"/>
  <c r="N49" i="516"/>
  <c r="K49" i="516" a="1"/>
  <c r="K49" i="516" s="1"/>
  <c r="M49" i="516" s="1"/>
  <c r="H49" i="516"/>
  <c r="V48" i="516"/>
  <c r="W48" i="516" s="1"/>
  <c r="N48" i="516"/>
  <c r="K48" i="516" a="1"/>
  <c r="K48" i="516" s="1"/>
  <c r="M48" i="516" s="1"/>
  <c r="J48" i="516" a="1"/>
  <c r="J48" i="516" s="1"/>
  <c r="H48" i="516"/>
  <c r="V47" i="516"/>
  <c r="W47" i="516" s="1"/>
  <c r="N47" i="516"/>
  <c r="K47" i="516" a="1"/>
  <c r="K47" i="516" s="1"/>
  <c r="M47" i="516" s="1"/>
  <c r="J47" i="516" a="1"/>
  <c r="J47" i="516" s="1"/>
  <c r="H47" i="516"/>
  <c r="V46" i="516"/>
  <c r="W46" i="516" s="1"/>
  <c r="N46" i="516"/>
  <c r="K46" i="516"/>
  <c r="M46" i="516" s="1"/>
  <c r="K46" i="516" a="1"/>
  <c r="J46" i="516"/>
  <c r="J46" i="516" a="1"/>
  <c r="H46" i="516"/>
  <c r="V45" i="516"/>
  <c r="W45" i="516" s="1"/>
  <c r="N45" i="516"/>
  <c r="K45" i="516" a="1"/>
  <c r="K45" i="516" s="1"/>
  <c r="M45" i="516" s="1"/>
  <c r="J45" i="516" a="1"/>
  <c r="J45" i="516" s="1"/>
  <c r="H45" i="516"/>
  <c r="V44" i="516"/>
  <c r="W44" i="516" s="1"/>
  <c r="N44" i="516"/>
  <c r="K44" i="516" a="1"/>
  <c r="K44" i="516" s="1"/>
  <c r="M44" i="516" s="1"/>
  <c r="J44" i="516" a="1"/>
  <c r="J44" i="516" s="1"/>
  <c r="H44" i="516"/>
  <c r="V43" i="516"/>
  <c r="W43" i="516" s="1"/>
  <c r="N43" i="516"/>
  <c r="K43" i="516" a="1"/>
  <c r="K43" i="516" s="1"/>
  <c r="M43" i="516" s="1"/>
  <c r="J43" i="516" a="1"/>
  <c r="J43" i="516" s="1"/>
  <c r="H43" i="516"/>
  <c r="V42" i="516"/>
  <c r="W42" i="516" s="1"/>
  <c r="N42" i="516"/>
  <c r="K42" i="516"/>
  <c r="M42" i="516" s="1"/>
  <c r="K42" i="516" a="1"/>
  <c r="J42" i="516"/>
  <c r="J42" i="516" a="1"/>
  <c r="H42" i="516"/>
  <c r="V41" i="516"/>
  <c r="W41" i="516" s="1"/>
  <c r="N41" i="516"/>
  <c r="K41" i="516" a="1"/>
  <c r="K41" i="516" s="1"/>
  <c r="M41" i="516" s="1"/>
  <c r="J41" i="516" a="1"/>
  <c r="J41" i="516" s="1"/>
  <c r="H41" i="516"/>
  <c r="V40" i="516"/>
  <c r="W40" i="516" s="1"/>
  <c r="N40" i="516"/>
  <c r="K40" i="516" a="1"/>
  <c r="K40" i="516" s="1"/>
  <c r="M40" i="516" s="1"/>
  <c r="J40" i="516" a="1"/>
  <c r="J40" i="516" s="1"/>
  <c r="H40" i="516"/>
  <c r="V39" i="516"/>
  <c r="W39" i="516" s="1"/>
  <c r="N39" i="516"/>
  <c r="K39" i="516" a="1"/>
  <c r="K39" i="516" s="1"/>
  <c r="M39" i="516" s="1"/>
  <c r="J39" i="516" a="1"/>
  <c r="J39" i="516" s="1"/>
  <c r="H39" i="516"/>
  <c r="V38" i="516"/>
  <c r="W38" i="516" s="1"/>
  <c r="N38" i="516"/>
  <c r="K38" i="516"/>
  <c r="M38" i="516" s="1"/>
  <c r="K38" i="516" a="1"/>
  <c r="J38" i="516"/>
  <c r="J38" i="516" a="1"/>
  <c r="H38" i="516"/>
  <c r="V37" i="516"/>
  <c r="W37" i="516" s="1"/>
  <c r="N37" i="516"/>
  <c r="K37" i="516" a="1"/>
  <c r="K37" i="516" s="1"/>
  <c r="M37" i="516" s="1"/>
  <c r="J37" i="516" a="1"/>
  <c r="J37" i="516" s="1"/>
  <c r="H37" i="516"/>
  <c r="H36" i="516"/>
  <c r="H35" i="516"/>
  <c r="H34" i="516"/>
  <c r="V33" i="516"/>
  <c r="W33" i="516" s="1"/>
  <c r="N33" i="516"/>
  <c r="K33" i="516" a="1"/>
  <c r="K33" i="516" s="1"/>
  <c r="M33" i="516" s="1"/>
  <c r="J33" i="516" a="1"/>
  <c r="J33" i="516" s="1"/>
  <c r="H33" i="516"/>
  <c r="V32" i="516"/>
  <c r="W32" i="516" s="1"/>
  <c r="N32" i="516"/>
  <c r="K32" i="516" a="1"/>
  <c r="K32" i="516" s="1"/>
  <c r="M32" i="516" s="1"/>
  <c r="J32" i="516" a="1"/>
  <c r="J32" i="516" s="1"/>
  <c r="H32" i="516"/>
  <c r="V31" i="516"/>
  <c r="W31" i="516" s="1"/>
  <c r="N31" i="516"/>
  <c r="K31" i="516" a="1"/>
  <c r="K31" i="516" s="1"/>
  <c r="M31" i="516" s="1"/>
  <c r="J31" i="516" a="1"/>
  <c r="J31" i="516" s="1"/>
  <c r="H31" i="516"/>
  <c r="K30" i="516" a="1"/>
  <c r="K30" i="516" s="1"/>
  <c r="H30" i="516"/>
  <c r="V29" i="516"/>
  <c r="N29" i="516"/>
  <c r="K29" i="516" a="1"/>
  <c r="K29" i="516" s="1"/>
  <c r="J29" i="516" a="1"/>
  <c r="J29" i="516" s="1"/>
  <c r="H29" i="516"/>
  <c r="AA28" i="516"/>
  <c r="AA163" i="516" s="1"/>
  <c r="Z28" i="516"/>
  <c r="Z163" i="516" s="1"/>
  <c r="Y28" i="516"/>
  <c r="Y163" i="516" s="1"/>
  <c r="X28" i="516"/>
  <c r="X163" i="516" s="1"/>
  <c r="U28" i="516"/>
  <c r="U163" i="516" s="1"/>
  <c r="T28" i="516"/>
  <c r="T163" i="516" s="1"/>
  <c r="S28" i="516"/>
  <c r="S163" i="516" s="1"/>
  <c r="R28" i="516"/>
  <c r="R163" i="516" s="1"/>
  <c r="Q28" i="516"/>
  <c r="Q163" i="516" s="1"/>
  <c r="P28" i="516"/>
  <c r="X166" i="516" s="1"/>
  <c r="O28" i="516"/>
  <c r="O163" i="516" s="1"/>
  <c r="I28" i="516"/>
  <c r="I163" i="516" s="1"/>
  <c r="B171" i="516" s="1"/>
  <c r="G28" i="516"/>
  <c r="C521" i="516" s="1"/>
  <c r="V27" i="516"/>
  <c r="W27" i="516" s="1"/>
  <c r="N27" i="516"/>
  <c r="K27" i="516" a="1"/>
  <c r="K27" i="516" s="1"/>
  <c r="M27" i="516" s="1"/>
  <c r="J27" i="516" a="1"/>
  <c r="J27" i="516" s="1"/>
  <c r="H27" i="516"/>
  <c r="V26" i="516"/>
  <c r="W26" i="516" s="1"/>
  <c r="N26" i="516"/>
  <c r="K26" i="516"/>
  <c r="M26" i="516" s="1"/>
  <c r="K26" i="516" a="1"/>
  <c r="J26" i="516"/>
  <c r="J26" i="516" a="1"/>
  <c r="H26" i="516"/>
  <c r="K25" i="516" a="1"/>
  <c r="K25" i="516" s="1"/>
  <c r="M25" i="516" s="1"/>
  <c r="J25" i="516" a="1"/>
  <c r="J25" i="516" s="1"/>
  <c r="H25" i="516"/>
  <c r="K24" i="516"/>
  <c r="M24" i="516" s="1"/>
  <c r="K24" i="516" a="1"/>
  <c r="J24" i="516"/>
  <c r="J24" i="516" a="1"/>
  <c r="H24" i="516"/>
  <c r="K23" i="516" a="1"/>
  <c r="K23" i="516" s="1"/>
  <c r="M23" i="516" s="1"/>
  <c r="J23" i="516" a="1"/>
  <c r="J23" i="516" s="1"/>
  <c r="H23" i="516"/>
  <c r="K22" i="516" a="1"/>
  <c r="K22" i="516" s="1"/>
  <c r="M22" i="516" s="1"/>
  <c r="J22" i="516" a="1"/>
  <c r="J22" i="516" s="1"/>
  <c r="H22" i="516"/>
  <c r="V21" i="516"/>
  <c r="W21" i="516" s="1"/>
  <c r="N21" i="516"/>
  <c r="K21" i="516" a="1"/>
  <c r="K21" i="516" s="1"/>
  <c r="M21" i="516" s="1"/>
  <c r="J21" i="516" a="1"/>
  <c r="J21" i="516" s="1"/>
  <c r="H21" i="516"/>
  <c r="V20" i="516"/>
  <c r="W20" i="516" s="1"/>
  <c r="N20" i="516"/>
  <c r="K20" i="516" a="1"/>
  <c r="K20" i="516" s="1"/>
  <c r="M20" i="516" s="1"/>
  <c r="J20" i="516" a="1"/>
  <c r="J20" i="516" s="1"/>
  <c r="H20" i="516"/>
  <c r="V19" i="516"/>
  <c r="W19" i="516" s="1"/>
  <c r="N19" i="516"/>
  <c r="K19" i="516"/>
  <c r="M19" i="516" s="1"/>
  <c r="K19" i="516" a="1"/>
  <c r="J19" i="516"/>
  <c r="J19" i="516" a="1"/>
  <c r="H19" i="516"/>
  <c r="N18" i="516"/>
  <c r="K18" i="516" a="1"/>
  <c r="K18" i="516" s="1"/>
  <c r="M18" i="516" s="1"/>
  <c r="J18" i="516" a="1"/>
  <c r="J18" i="516" s="1"/>
  <c r="H18" i="516"/>
  <c r="N17" i="516"/>
  <c r="K17" i="516"/>
  <c r="M17" i="516" s="1"/>
  <c r="K17" i="516" a="1"/>
  <c r="J17" i="516"/>
  <c r="J17" i="516" a="1"/>
  <c r="H17" i="516"/>
  <c r="V16" i="516"/>
  <c r="W16" i="516" s="1"/>
  <c r="N16" i="516"/>
  <c r="K16" i="516" a="1"/>
  <c r="K16" i="516" s="1"/>
  <c r="M16" i="516" s="1"/>
  <c r="J16" i="516" a="1"/>
  <c r="J16" i="516" s="1"/>
  <c r="H16" i="516"/>
  <c r="W15" i="516"/>
  <c r="V15" i="516"/>
  <c r="N15" i="516"/>
  <c r="K15" i="516" a="1"/>
  <c r="K15" i="516" s="1"/>
  <c r="M15" i="516" s="1"/>
  <c r="J15" i="516" a="1"/>
  <c r="J15" i="516" s="1"/>
  <c r="H15" i="516"/>
  <c r="N14" i="516"/>
  <c r="K14" i="516" a="1"/>
  <c r="K14" i="516" s="1"/>
  <c r="M14" i="516" s="1"/>
  <c r="H14" i="516"/>
  <c r="N13" i="516"/>
  <c r="K13" i="516"/>
  <c r="M13" i="516" s="1"/>
  <c r="K13" i="516" a="1"/>
  <c r="H13" i="516"/>
  <c r="V12" i="516"/>
  <c r="W12" i="516" s="1"/>
  <c r="N12" i="516"/>
  <c r="K12" i="516" a="1"/>
  <c r="K12" i="516" s="1"/>
  <c r="M12" i="516" s="1"/>
  <c r="J12" i="516" a="1"/>
  <c r="J12" i="516" s="1"/>
  <c r="H12" i="516"/>
  <c r="V11" i="516"/>
  <c r="W11" i="516" s="1"/>
  <c r="N11" i="516"/>
  <c r="K11" i="516" a="1"/>
  <c r="K11" i="516" s="1"/>
  <c r="M11" i="516" s="1"/>
  <c r="J11" i="516" a="1"/>
  <c r="J11" i="516" s="1"/>
  <c r="H11" i="516"/>
  <c r="V10" i="516"/>
  <c r="W10" i="516" s="1"/>
  <c r="N10" i="516"/>
  <c r="K10" i="516" a="1"/>
  <c r="K10" i="516" s="1"/>
  <c r="M10" i="516" s="1"/>
  <c r="J10" i="516" a="1"/>
  <c r="J10" i="516" s="1"/>
  <c r="H10" i="516"/>
  <c r="V9" i="516"/>
  <c r="W9" i="516" s="1"/>
  <c r="N9" i="516"/>
  <c r="K9" i="516"/>
  <c r="M9" i="516" s="1"/>
  <c r="K9" i="516" a="1"/>
  <c r="J9" i="516"/>
  <c r="J9" i="516" a="1"/>
  <c r="H9" i="516"/>
  <c r="V8" i="516"/>
  <c r="W8" i="516" s="1"/>
  <c r="N8" i="516"/>
  <c r="K8" i="516" a="1"/>
  <c r="K8" i="516" s="1"/>
  <c r="M8" i="516" s="1"/>
  <c r="J8" i="516" a="1"/>
  <c r="J8" i="516" s="1"/>
  <c r="H8" i="516"/>
  <c r="V7" i="516"/>
  <c r="W7" i="516" s="1"/>
  <c r="N7" i="516"/>
  <c r="K7" i="516" a="1"/>
  <c r="K7" i="516" s="1"/>
  <c r="K28" i="516" s="1"/>
  <c r="J7" i="516" a="1"/>
  <c r="J7" i="516" s="1"/>
  <c r="H7" i="516"/>
  <c r="H426" i="516" l="1"/>
  <c r="N291" i="516"/>
  <c r="V121" i="516"/>
  <c r="W121" i="516" s="1"/>
  <c r="V137" i="516"/>
  <c r="W137" i="516" s="1"/>
  <c r="H291" i="517"/>
  <c r="V291" i="517"/>
  <c r="W291" i="517" s="1"/>
  <c r="H86" i="516"/>
  <c r="V86" i="516"/>
  <c r="W86" i="516" s="1"/>
  <c r="H426" i="517"/>
  <c r="H477" i="517"/>
  <c r="N487" i="517"/>
  <c r="H198" i="516"/>
  <c r="V198" i="516"/>
  <c r="H368" i="516"/>
  <c r="V368" i="516"/>
  <c r="H477" i="516"/>
  <c r="H368" i="517"/>
  <c r="V368" i="517"/>
  <c r="H149" i="489"/>
  <c r="N150" i="508"/>
  <c r="N151" i="489"/>
  <c r="H152" i="508"/>
  <c r="N153" i="489"/>
  <c r="H154" i="508"/>
  <c r="H156" i="489"/>
  <c r="N157" i="489"/>
  <c r="N202" i="489"/>
  <c r="N207" i="489"/>
  <c r="N209" i="489"/>
  <c r="N210" i="489"/>
  <c r="N212" i="489"/>
  <c r="N215" i="508"/>
  <c r="N222" i="508"/>
  <c r="N223" i="508"/>
  <c r="N228" i="508"/>
  <c r="N231" i="508"/>
  <c r="N236" i="508"/>
  <c r="N239" i="508"/>
  <c r="N243" i="508"/>
  <c r="N245" i="508"/>
  <c r="H162" i="516"/>
  <c r="N149" i="489"/>
  <c r="H150" i="508"/>
  <c r="H151" i="489"/>
  <c r="H153" i="489"/>
  <c r="N154" i="508"/>
  <c r="H155" i="489"/>
  <c r="H157" i="489"/>
  <c r="H159" i="489"/>
  <c r="H161" i="489"/>
  <c r="N201" i="489"/>
  <c r="N203" i="489"/>
  <c r="N208" i="489"/>
  <c r="N211" i="489"/>
  <c r="N213" i="489"/>
  <c r="N214" i="489"/>
  <c r="N216" i="508"/>
  <c r="N219" i="508"/>
  <c r="N226" i="508"/>
  <c r="N227" i="508"/>
  <c r="N232" i="508"/>
  <c r="N235" i="508"/>
  <c r="H307" i="517"/>
  <c r="H88" i="508"/>
  <c r="N90" i="508"/>
  <c r="N98" i="508"/>
  <c r="H100" i="508"/>
  <c r="N106" i="508"/>
  <c r="H112" i="508"/>
  <c r="N112" i="508"/>
  <c r="N123" i="508"/>
  <c r="H125" i="508"/>
  <c r="N131" i="508"/>
  <c r="H133" i="508"/>
  <c r="H147" i="516"/>
  <c r="N139" i="489"/>
  <c r="H140" i="489"/>
  <c r="N141" i="489"/>
  <c r="H142" i="489"/>
  <c r="H146" i="489"/>
  <c r="H137" i="517"/>
  <c r="H92" i="508"/>
  <c r="H96" i="508"/>
  <c r="N102" i="508"/>
  <c r="H104" i="508"/>
  <c r="H108" i="508"/>
  <c r="N108" i="508"/>
  <c r="N114" i="508"/>
  <c r="H116" i="508"/>
  <c r="H118" i="508"/>
  <c r="N118" i="508"/>
  <c r="H120" i="508"/>
  <c r="N120" i="508"/>
  <c r="N127" i="508"/>
  <c r="H129" i="508"/>
  <c r="N135" i="508"/>
  <c r="N147" i="516"/>
  <c r="H139" i="489"/>
  <c r="N140" i="489"/>
  <c r="H141" i="489"/>
  <c r="N142" i="489"/>
  <c r="H143" i="489"/>
  <c r="K516" i="518"/>
  <c r="S525" i="518"/>
  <c r="S524" i="518"/>
  <c r="S526" i="518"/>
  <c r="S521" i="518" a="1"/>
  <c r="S521" i="518" s="1"/>
  <c r="S522" i="518"/>
  <c r="M525" i="518"/>
  <c r="M522" i="518"/>
  <c r="M523" i="518"/>
  <c r="M526" i="518"/>
  <c r="M524" i="518"/>
  <c r="S523" i="518"/>
  <c r="I163" i="517"/>
  <c r="B171" i="517" s="1"/>
  <c r="C532" i="508"/>
  <c r="C531" i="508"/>
  <c r="C530" i="508"/>
  <c r="H332" i="516"/>
  <c r="J291" i="516" a="1"/>
  <c r="J291" i="516" s="1"/>
  <c r="J317" i="517" a="1"/>
  <c r="J317" i="517" s="1"/>
  <c r="J291" i="517" a="1"/>
  <c r="J291" i="517" s="1"/>
  <c r="J317" i="516" a="1"/>
  <c r="J317" i="516" s="1"/>
  <c r="K477" i="517"/>
  <c r="M487" i="517"/>
  <c r="N368" i="517"/>
  <c r="N426" i="517"/>
  <c r="J426" i="517" a="1"/>
  <c r="J426" i="517" s="1"/>
  <c r="R507" i="517"/>
  <c r="J461" i="517" a="1"/>
  <c r="J461" i="517" s="1"/>
  <c r="R508" i="517"/>
  <c r="W478" i="517"/>
  <c r="R340" i="517"/>
  <c r="W318" i="517"/>
  <c r="K317" i="517"/>
  <c r="V317" i="517"/>
  <c r="W317" i="517" s="1"/>
  <c r="J307" i="517" a="1"/>
  <c r="J307" i="517" s="1"/>
  <c r="R338" i="517"/>
  <c r="N307" i="517"/>
  <c r="N291" i="517"/>
  <c r="M198" i="517"/>
  <c r="N198" i="517"/>
  <c r="W177" i="517"/>
  <c r="J198" i="517" a="1"/>
  <c r="J198" i="517" s="1"/>
  <c r="H256" i="517"/>
  <c r="V256" i="517"/>
  <c r="W256" i="517" s="1"/>
  <c r="H317" i="517"/>
  <c r="H333" i="517" s="1"/>
  <c r="E340" i="517" s="1"/>
  <c r="W332" i="517"/>
  <c r="K332" i="517"/>
  <c r="H28" i="517"/>
  <c r="V28" i="517"/>
  <c r="N86" i="517"/>
  <c r="H121" i="517"/>
  <c r="V121" i="517"/>
  <c r="W121" i="517" s="1"/>
  <c r="N147" i="517"/>
  <c r="N162" i="517"/>
  <c r="K291" i="517"/>
  <c r="R170" i="517"/>
  <c r="W148" i="517"/>
  <c r="K137" i="517"/>
  <c r="N138" i="508"/>
  <c r="N138" i="489"/>
  <c r="N137" i="517"/>
  <c r="J137" i="517" a="1"/>
  <c r="J137" i="517" s="1"/>
  <c r="N28" i="517"/>
  <c r="H86" i="517"/>
  <c r="H163" i="517" s="1"/>
  <c r="E170" i="517" s="1"/>
  <c r="V86" i="517"/>
  <c r="W86" i="517" s="1"/>
  <c r="R166" i="517"/>
  <c r="N121" i="517"/>
  <c r="J162" i="517" a="1"/>
  <c r="J162" i="517" s="1"/>
  <c r="K477" i="516"/>
  <c r="M487" i="516"/>
  <c r="N368" i="516"/>
  <c r="N426" i="516"/>
  <c r="V461" i="516"/>
  <c r="W461" i="516" s="1"/>
  <c r="J461" i="516" a="1"/>
  <c r="J461" i="516" s="1"/>
  <c r="R508" i="516"/>
  <c r="N477" i="516"/>
  <c r="W478" i="516"/>
  <c r="H317" i="516"/>
  <c r="V317" i="516"/>
  <c r="N307" i="516"/>
  <c r="W292" i="516"/>
  <c r="K307" i="516"/>
  <c r="N198" i="516"/>
  <c r="N177" i="489"/>
  <c r="N177" i="508"/>
  <c r="W177" i="516"/>
  <c r="N178" i="489"/>
  <c r="N178" i="508"/>
  <c r="N181" i="489"/>
  <c r="N181" i="508"/>
  <c r="N182" i="489"/>
  <c r="N182" i="508"/>
  <c r="N184" i="489"/>
  <c r="N184" i="508"/>
  <c r="N185" i="489"/>
  <c r="N185" i="508"/>
  <c r="N186" i="489"/>
  <c r="N186" i="508"/>
  <c r="N191" i="489"/>
  <c r="N191" i="508"/>
  <c r="M256" i="516"/>
  <c r="M198" i="516"/>
  <c r="N179" i="489"/>
  <c r="N179" i="508"/>
  <c r="N180" i="489"/>
  <c r="N180" i="508"/>
  <c r="N183" i="489"/>
  <c r="N183" i="508"/>
  <c r="N187" i="489"/>
  <c r="N187" i="508"/>
  <c r="N188" i="489"/>
  <c r="N188" i="508"/>
  <c r="N189" i="489"/>
  <c r="N189" i="508"/>
  <c r="N190" i="489"/>
  <c r="N190" i="508"/>
  <c r="N196" i="489"/>
  <c r="N196" i="508"/>
  <c r="N197" i="489"/>
  <c r="N197" i="508"/>
  <c r="N256" i="516"/>
  <c r="N199" i="489"/>
  <c r="N217" i="489"/>
  <c r="N218" i="489"/>
  <c r="N220" i="489"/>
  <c r="N221" i="489"/>
  <c r="N224" i="489"/>
  <c r="N225" i="489"/>
  <c r="N229" i="489"/>
  <c r="N230" i="489"/>
  <c r="N233" i="489"/>
  <c r="N234" i="489"/>
  <c r="N240" i="489"/>
  <c r="N242" i="489"/>
  <c r="N244" i="489"/>
  <c r="N199" i="508"/>
  <c r="N201" i="508"/>
  <c r="N202" i="508"/>
  <c r="N203" i="508"/>
  <c r="N207" i="508"/>
  <c r="N208" i="508"/>
  <c r="N209" i="508"/>
  <c r="N210" i="508"/>
  <c r="N211" i="508"/>
  <c r="N212" i="508"/>
  <c r="N213" i="508"/>
  <c r="N214" i="508"/>
  <c r="N217" i="508"/>
  <c r="N218" i="508"/>
  <c r="N220" i="508"/>
  <c r="N221" i="508"/>
  <c r="N224" i="508"/>
  <c r="N225" i="508"/>
  <c r="N229" i="508"/>
  <c r="N230" i="508"/>
  <c r="N233" i="508"/>
  <c r="N234" i="508"/>
  <c r="N240" i="508"/>
  <c r="N242" i="508"/>
  <c r="N244" i="508"/>
  <c r="H256" i="516"/>
  <c r="V256" i="516"/>
  <c r="W256" i="516" s="1"/>
  <c r="N215" i="489"/>
  <c r="N216" i="489"/>
  <c r="N219" i="489"/>
  <c r="N222" i="489"/>
  <c r="N223" i="489"/>
  <c r="N226" i="489"/>
  <c r="N227" i="489"/>
  <c r="N228" i="489"/>
  <c r="N231" i="489"/>
  <c r="N232" i="489"/>
  <c r="N235" i="489"/>
  <c r="N236" i="489"/>
  <c r="N239" i="489"/>
  <c r="N243" i="489"/>
  <c r="N245" i="489"/>
  <c r="V291" i="516"/>
  <c r="W291" i="516" s="1"/>
  <c r="N162" i="516"/>
  <c r="W148" i="516"/>
  <c r="H149" i="508"/>
  <c r="N149" i="508"/>
  <c r="H151" i="508"/>
  <c r="N151" i="508"/>
  <c r="H153" i="508"/>
  <c r="N153" i="508"/>
  <c r="H155" i="508"/>
  <c r="H158" i="508"/>
  <c r="N158" i="508"/>
  <c r="H160" i="508"/>
  <c r="H148" i="489"/>
  <c r="N148" i="489"/>
  <c r="H150" i="489"/>
  <c r="N150" i="489"/>
  <c r="H152" i="489"/>
  <c r="H154" i="489"/>
  <c r="N154" i="489"/>
  <c r="H158" i="489"/>
  <c r="N158" i="489"/>
  <c r="H160" i="489"/>
  <c r="K162" i="516"/>
  <c r="H148" i="508"/>
  <c r="N148" i="508"/>
  <c r="H156" i="508"/>
  <c r="H157" i="508"/>
  <c r="N157" i="508"/>
  <c r="H159" i="508"/>
  <c r="H161" i="508"/>
  <c r="H140" i="508"/>
  <c r="N140" i="508"/>
  <c r="H142" i="508"/>
  <c r="N142" i="508"/>
  <c r="H146" i="508"/>
  <c r="N146" i="508"/>
  <c r="H139" i="508"/>
  <c r="N139" i="508"/>
  <c r="H141" i="508"/>
  <c r="N141" i="508"/>
  <c r="H143" i="508"/>
  <c r="N11" i="489"/>
  <c r="N11" i="508"/>
  <c r="N12" i="489"/>
  <c r="N12" i="508"/>
  <c r="N14" i="489"/>
  <c r="N14" i="508"/>
  <c r="N15" i="489"/>
  <c r="N15" i="508"/>
  <c r="N16" i="489"/>
  <c r="N16" i="508"/>
  <c r="N21" i="489"/>
  <c r="N21" i="508"/>
  <c r="N32" i="489"/>
  <c r="N32" i="508"/>
  <c r="N33" i="489"/>
  <c r="N33" i="508"/>
  <c r="N37" i="489"/>
  <c r="N37" i="508"/>
  <c r="N40" i="489"/>
  <c r="N40" i="508"/>
  <c r="N41" i="489"/>
  <c r="N41" i="508"/>
  <c r="N44" i="489"/>
  <c r="N44" i="508"/>
  <c r="N45" i="489"/>
  <c r="N45" i="508"/>
  <c r="N48" i="489"/>
  <c r="N48" i="508"/>
  <c r="N51" i="489"/>
  <c r="N51" i="508"/>
  <c r="N52" i="489"/>
  <c r="N52" i="508"/>
  <c r="N59" i="489"/>
  <c r="N59" i="508"/>
  <c r="N60" i="489"/>
  <c r="N60" i="508"/>
  <c r="N63" i="489"/>
  <c r="N63" i="508"/>
  <c r="N64" i="489"/>
  <c r="N64" i="508"/>
  <c r="N65" i="489"/>
  <c r="N65" i="508"/>
  <c r="N66" i="489"/>
  <c r="N66" i="508"/>
  <c r="N69" i="489"/>
  <c r="N69" i="508"/>
  <c r="N70" i="489"/>
  <c r="N70" i="508"/>
  <c r="N73" i="489"/>
  <c r="N73" i="508"/>
  <c r="N28" i="516"/>
  <c r="N7" i="489"/>
  <c r="N7" i="508"/>
  <c r="N8" i="489"/>
  <c r="N8" i="508"/>
  <c r="H28" i="516"/>
  <c r="V28" i="516"/>
  <c r="V163" i="516" s="1"/>
  <c r="I172" i="516" s="1"/>
  <c r="N9" i="489"/>
  <c r="N9" i="508"/>
  <c r="N10" i="489"/>
  <c r="N10" i="508"/>
  <c r="N13" i="489"/>
  <c r="N13" i="508"/>
  <c r="N17" i="489"/>
  <c r="N17" i="508"/>
  <c r="N18" i="489"/>
  <c r="N18" i="508"/>
  <c r="N19" i="489"/>
  <c r="N19" i="508"/>
  <c r="N20" i="489"/>
  <c r="N20" i="508"/>
  <c r="N26" i="489"/>
  <c r="N26" i="508"/>
  <c r="N27" i="489"/>
  <c r="N27" i="508"/>
  <c r="N86" i="516"/>
  <c r="N29" i="489"/>
  <c r="N29" i="508"/>
  <c r="N31" i="489"/>
  <c r="N31" i="508"/>
  <c r="N38" i="489"/>
  <c r="N38" i="508"/>
  <c r="N39" i="489"/>
  <c r="N39" i="508"/>
  <c r="N42" i="489"/>
  <c r="N42" i="508"/>
  <c r="N43" i="489"/>
  <c r="N43" i="508"/>
  <c r="N46" i="489"/>
  <c r="N46" i="508"/>
  <c r="N47" i="489"/>
  <c r="N47" i="508"/>
  <c r="N49" i="489"/>
  <c r="N49" i="508"/>
  <c r="N50" i="489"/>
  <c r="N50" i="508"/>
  <c r="N57" i="489"/>
  <c r="N57" i="508"/>
  <c r="N58" i="489"/>
  <c r="N58" i="508"/>
  <c r="N61" i="489"/>
  <c r="N61" i="508"/>
  <c r="N62" i="489"/>
  <c r="N62" i="508"/>
  <c r="N75" i="489"/>
  <c r="H121" i="516"/>
  <c r="H87" i="489"/>
  <c r="N88" i="489"/>
  <c r="N89" i="489"/>
  <c r="H90" i="489"/>
  <c r="H91" i="489"/>
  <c r="N92" i="489"/>
  <c r="N93" i="489"/>
  <c r="H94" i="489"/>
  <c r="N95" i="489"/>
  <c r="N96" i="489"/>
  <c r="H97" i="489"/>
  <c r="H98" i="489"/>
  <c r="N99" i="489"/>
  <c r="N100" i="489"/>
  <c r="H101" i="489"/>
  <c r="H102" i="489"/>
  <c r="N103" i="489"/>
  <c r="N104" i="489"/>
  <c r="H105" i="489"/>
  <c r="H106" i="489"/>
  <c r="N107" i="489"/>
  <c r="H109" i="489"/>
  <c r="H110" i="489"/>
  <c r="N110" i="489"/>
  <c r="N111" i="489"/>
  <c r="H113" i="489"/>
  <c r="H114" i="489"/>
  <c r="H119" i="489"/>
  <c r="N119" i="489"/>
  <c r="J121" i="516" a="1"/>
  <c r="J121" i="516" s="1"/>
  <c r="H137" i="516"/>
  <c r="H122" i="489"/>
  <c r="H123" i="489"/>
  <c r="N124" i="489"/>
  <c r="N125" i="489"/>
  <c r="H126" i="489"/>
  <c r="H127" i="489"/>
  <c r="N128" i="489"/>
  <c r="N129" i="489"/>
  <c r="H130" i="489"/>
  <c r="H131" i="489"/>
  <c r="N132" i="489"/>
  <c r="N133" i="489"/>
  <c r="H134" i="489"/>
  <c r="H135" i="489"/>
  <c r="N136" i="489"/>
  <c r="R168" i="516"/>
  <c r="O137" i="489"/>
  <c r="Q137" i="489"/>
  <c r="T137" i="489"/>
  <c r="X137" i="489"/>
  <c r="Z137" i="489"/>
  <c r="N88" i="508"/>
  <c r="H90" i="508"/>
  <c r="N92" i="508"/>
  <c r="H94" i="508"/>
  <c r="N96" i="508"/>
  <c r="H98" i="508"/>
  <c r="N100" i="508"/>
  <c r="H102" i="508"/>
  <c r="N104" i="508"/>
  <c r="H106" i="508"/>
  <c r="H110" i="508"/>
  <c r="N110" i="508"/>
  <c r="H114" i="508"/>
  <c r="H123" i="508"/>
  <c r="N125" i="508"/>
  <c r="H127" i="508"/>
  <c r="N129" i="508"/>
  <c r="H131" i="508"/>
  <c r="N133" i="508"/>
  <c r="H135" i="508"/>
  <c r="T137" i="508"/>
  <c r="X137" i="508"/>
  <c r="Z137" i="508"/>
  <c r="N72" i="489"/>
  <c r="N74" i="489"/>
  <c r="R166" i="516"/>
  <c r="N121" i="516"/>
  <c r="N87" i="489"/>
  <c r="H88" i="489"/>
  <c r="H89" i="489"/>
  <c r="N90" i="489"/>
  <c r="N91" i="489"/>
  <c r="H92" i="489"/>
  <c r="H93" i="489"/>
  <c r="H95" i="489"/>
  <c r="H96" i="489"/>
  <c r="N97" i="489"/>
  <c r="N98" i="489"/>
  <c r="H99" i="489"/>
  <c r="H100" i="489"/>
  <c r="N101" i="489"/>
  <c r="N102" i="489"/>
  <c r="H103" i="489"/>
  <c r="H104" i="489"/>
  <c r="N105" i="489"/>
  <c r="N106" i="489"/>
  <c r="H107" i="489"/>
  <c r="H108" i="489"/>
  <c r="N108" i="489"/>
  <c r="N109" i="489"/>
  <c r="H111" i="489"/>
  <c r="H112" i="489"/>
  <c r="N112" i="489"/>
  <c r="N113" i="489"/>
  <c r="N114" i="489"/>
  <c r="H115" i="489"/>
  <c r="H116" i="489"/>
  <c r="H117" i="489"/>
  <c r="H118" i="489"/>
  <c r="N118" i="489"/>
  <c r="H120" i="489"/>
  <c r="N120" i="489"/>
  <c r="R167" i="516"/>
  <c r="N137" i="516"/>
  <c r="N122" i="489"/>
  <c r="W122" i="516"/>
  <c r="N123" i="489"/>
  <c r="H124" i="489"/>
  <c r="H125" i="489"/>
  <c r="N126" i="489"/>
  <c r="N127" i="489"/>
  <c r="H128" i="489"/>
  <c r="H129" i="489"/>
  <c r="N130" i="489"/>
  <c r="N131" i="489"/>
  <c r="H132" i="489"/>
  <c r="H133" i="489"/>
  <c r="N134" i="489"/>
  <c r="N135" i="489"/>
  <c r="H136" i="489"/>
  <c r="J137" i="516" a="1"/>
  <c r="J137" i="516" s="1"/>
  <c r="P137" i="489"/>
  <c r="S137" i="489"/>
  <c r="U137" i="489"/>
  <c r="Y137" i="489"/>
  <c r="AA137" i="489"/>
  <c r="N72" i="508"/>
  <c r="N74" i="508"/>
  <c r="N75" i="508"/>
  <c r="H87" i="508"/>
  <c r="N87" i="508"/>
  <c r="H89" i="508"/>
  <c r="N89" i="508"/>
  <c r="H91" i="508"/>
  <c r="N91" i="508"/>
  <c r="H93" i="508"/>
  <c r="N93" i="508"/>
  <c r="H95" i="508"/>
  <c r="N95" i="508"/>
  <c r="H97" i="508"/>
  <c r="N97" i="508"/>
  <c r="H99" i="508"/>
  <c r="N99" i="508"/>
  <c r="H101" i="508"/>
  <c r="N101" i="508"/>
  <c r="H103" i="508"/>
  <c r="N103" i="508"/>
  <c r="H105" i="508"/>
  <c r="N105" i="508"/>
  <c r="H107" i="508"/>
  <c r="N107" i="508"/>
  <c r="H109" i="508"/>
  <c r="N109" i="508"/>
  <c r="H111" i="508"/>
  <c r="N111" i="508"/>
  <c r="H113" i="508"/>
  <c r="N113" i="508"/>
  <c r="H115" i="508"/>
  <c r="H117" i="508"/>
  <c r="H119" i="508"/>
  <c r="N119" i="508"/>
  <c r="H122" i="508"/>
  <c r="N122" i="508"/>
  <c r="H124" i="508"/>
  <c r="N124" i="508"/>
  <c r="H126" i="508"/>
  <c r="N126" i="508"/>
  <c r="H128" i="508"/>
  <c r="N128" i="508"/>
  <c r="H130" i="508"/>
  <c r="N130" i="508"/>
  <c r="H132" i="508"/>
  <c r="N132" i="508"/>
  <c r="H134" i="508"/>
  <c r="N134" i="508"/>
  <c r="H136" i="508"/>
  <c r="N136" i="508"/>
  <c r="O137" i="508"/>
  <c r="Q137" i="508"/>
  <c r="S137" i="508"/>
  <c r="U137" i="508"/>
  <c r="Y137" i="508"/>
  <c r="AA137" i="508"/>
  <c r="W317" i="516"/>
  <c r="H291" i="516"/>
  <c r="H333" i="516" s="1"/>
  <c r="E340" i="516" s="1"/>
  <c r="W147" i="516"/>
  <c r="H138" i="508"/>
  <c r="H138" i="489"/>
  <c r="K86" i="517"/>
  <c r="M29" i="517"/>
  <c r="M86" i="517" s="1"/>
  <c r="K28" i="517"/>
  <c r="M7" i="517"/>
  <c r="M28" i="517" s="1"/>
  <c r="W28" i="517"/>
  <c r="K121" i="517"/>
  <c r="M87" i="517"/>
  <c r="M121" i="517" s="1"/>
  <c r="C521" i="517"/>
  <c r="G163" i="517"/>
  <c r="C517" i="517"/>
  <c r="R165" i="517"/>
  <c r="O163" i="517"/>
  <c r="K522" i="517"/>
  <c r="K523" i="517"/>
  <c r="M122" i="517"/>
  <c r="M137" i="517" s="1"/>
  <c r="V137" i="517"/>
  <c r="W137" i="517" s="1"/>
  <c r="R168" i="517"/>
  <c r="K525" i="517"/>
  <c r="K162" i="517"/>
  <c r="K526" i="517"/>
  <c r="W198" i="517"/>
  <c r="B340" i="517"/>
  <c r="J333" i="517" a="1"/>
  <c r="J333" i="517" s="1"/>
  <c r="M340" i="517" s="1"/>
  <c r="M256" i="517"/>
  <c r="W7" i="517"/>
  <c r="J28" i="517" a="1"/>
  <c r="J28" i="517" s="1"/>
  <c r="X166" i="517"/>
  <c r="P163" i="517"/>
  <c r="X167" i="517" s="1"/>
  <c r="X172" i="517" s="1"/>
  <c r="W29" i="517"/>
  <c r="J86" i="517" a="1"/>
  <c r="J86" i="517" s="1"/>
  <c r="W87" i="517"/>
  <c r="J121" i="517" a="1"/>
  <c r="J121" i="517" s="1"/>
  <c r="K147" i="517"/>
  <c r="M138" i="517"/>
  <c r="M147" i="517" s="1"/>
  <c r="K169" i="517"/>
  <c r="M165" i="517"/>
  <c r="R342" i="517"/>
  <c r="T341" i="517" s="1"/>
  <c r="K307" i="517"/>
  <c r="M292" i="517"/>
  <c r="M307" i="517" s="1"/>
  <c r="V147" i="517"/>
  <c r="W147" i="517" s="1"/>
  <c r="E169" i="517"/>
  <c r="K198" i="517"/>
  <c r="K256" i="517"/>
  <c r="V307" i="517"/>
  <c r="W307" i="517" s="1"/>
  <c r="O333" i="517"/>
  <c r="J147" i="517" a="1"/>
  <c r="J147" i="517" s="1"/>
  <c r="M148" i="517"/>
  <c r="M162" i="517" s="1"/>
  <c r="M257" i="517"/>
  <c r="M291" i="517" s="1"/>
  <c r="M308" i="517"/>
  <c r="M317" i="517" s="1"/>
  <c r="M318" i="517"/>
  <c r="M332" i="517" s="1"/>
  <c r="P333" i="517"/>
  <c r="X337" i="517" s="1"/>
  <c r="X342" i="517" s="1"/>
  <c r="K335" i="517"/>
  <c r="K368" i="517"/>
  <c r="M347" i="517"/>
  <c r="M368" i="517" s="1"/>
  <c r="K426" i="517"/>
  <c r="M369" i="517"/>
  <c r="M426" i="517" s="1"/>
  <c r="K461" i="517"/>
  <c r="M427" i="517"/>
  <c r="M461" i="517" s="1"/>
  <c r="B511" i="517"/>
  <c r="J504" i="517" a="1"/>
  <c r="J504" i="517" s="1"/>
  <c r="M511" i="517" s="1"/>
  <c r="R506" i="517"/>
  <c r="X506" i="517"/>
  <c r="O504" i="517"/>
  <c r="X507" i="517" s="1"/>
  <c r="V426" i="517"/>
  <c r="W426" i="517" s="1"/>
  <c r="N461" i="517"/>
  <c r="W427" i="517"/>
  <c r="M462" i="517"/>
  <c r="M477" i="517" s="1"/>
  <c r="W462" i="517"/>
  <c r="V477" i="517"/>
  <c r="W477" i="517" s="1"/>
  <c r="W347" i="517"/>
  <c r="W368" i="517" s="1"/>
  <c r="J368" i="517" a="1"/>
  <c r="J368" i="517" s="1"/>
  <c r="N477" i="517"/>
  <c r="K503" i="517"/>
  <c r="M488" i="517"/>
  <c r="M503" i="517" s="1"/>
  <c r="K487" i="517"/>
  <c r="R531" i="517"/>
  <c r="S531" i="517" a="1"/>
  <c r="S531" i="517" s="1"/>
  <c r="R510" i="517"/>
  <c r="W488" i="517"/>
  <c r="W503" i="517" s="1"/>
  <c r="K510" i="517"/>
  <c r="M506" i="517"/>
  <c r="J533" i="517"/>
  <c r="Q530" i="517"/>
  <c r="R532" i="517"/>
  <c r="S532" i="517" a="1"/>
  <c r="S532" i="517" s="1"/>
  <c r="E510" i="517"/>
  <c r="T530" i="517" a="1"/>
  <c r="T530" i="517" s="1"/>
  <c r="T531" i="517" a="1"/>
  <c r="T531" i="517" s="1"/>
  <c r="T532" i="517" a="1"/>
  <c r="T532" i="517" s="1"/>
  <c r="C533" i="517"/>
  <c r="T533" i="517" s="1" a="1"/>
  <c r="T533" i="517" s="1"/>
  <c r="C517" i="516"/>
  <c r="Q522" i="516"/>
  <c r="K86" i="516"/>
  <c r="M29" i="516"/>
  <c r="M86" i="516" s="1"/>
  <c r="K522" i="516"/>
  <c r="K523" i="516"/>
  <c r="K525" i="516"/>
  <c r="W28" i="516"/>
  <c r="W163" i="516" s="1"/>
  <c r="K121" i="516"/>
  <c r="M87" i="516"/>
  <c r="M121" i="516" s="1"/>
  <c r="K137" i="516"/>
  <c r="K524" i="516"/>
  <c r="M138" i="516"/>
  <c r="M147" i="516" s="1"/>
  <c r="K147" i="516"/>
  <c r="M7" i="516"/>
  <c r="M28" i="516" s="1"/>
  <c r="C527" i="516"/>
  <c r="E521" i="516" s="1"/>
  <c r="M122" i="516"/>
  <c r="M137" i="516" s="1"/>
  <c r="W138" i="516"/>
  <c r="J147" i="516" a="1"/>
  <c r="J147" i="516" s="1"/>
  <c r="M148" i="516"/>
  <c r="M162" i="516" s="1"/>
  <c r="J162" i="516" a="1"/>
  <c r="J162" i="516" s="1"/>
  <c r="G163" i="516"/>
  <c r="P163" i="516"/>
  <c r="X167" i="516" s="1"/>
  <c r="K165" i="516"/>
  <c r="R165" i="516"/>
  <c r="Q524" i="516"/>
  <c r="W198" i="516"/>
  <c r="B340" i="516"/>
  <c r="J333" i="516" a="1"/>
  <c r="J333" i="516" s="1"/>
  <c r="M340" i="516" s="1"/>
  <c r="J28" i="516" a="1"/>
  <c r="J28" i="516" s="1"/>
  <c r="W29" i="516"/>
  <c r="J86" i="516" a="1"/>
  <c r="J86" i="516" s="1"/>
  <c r="W87" i="516"/>
  <c r="E526" i="516"/>
  <c r="K526" i="516"/>
  <c r="Q521" i="516"/>
  <c r="X172" i="516"/>
  <c r="Z171" i="516" s="1"/>
  <c r="K317" i="516"/>
  <c r="M308" i="516"/>
  <c r="M317" i="516" s="1"/>
  <c r="K332" i="516"/>
  <c r="M318" i="516"/>
  <c r="M332" i="516" s="1"/>
  <c r="Z169" i="516"/>
  <c r="J198" i="516" a="1"/>
  <c r="J198" i="516" s="1"/>
  <c r="K198" i="516"/>
  <c r="K256" i="516"/>
  <c r="M292" i="516"/>
  <c r="M307" i="516" s="1"/>
  <c r="R338" i="516"/>
  <c r="W308" i="516"/>
  <c r="R339" i="516"/>
  <c r="W318" i="516"/>
  <c r="W332" i="516" s="1"/>
  <c r="R340" i="516"/>
  <c r="O333" i="516"/>
  <c r="K335" i="516"/>
  <c r="E339" i="516"/>
  <c r="K461" i="516"/>
  <c r="M427" i="516"/>
  <c r="M461" i="516" s="1"/>
  <c r="R342" i="516"/>
  <c r="T341" i="516" s="1"/>
  <c r="M257" i="516"/>
  <c r="M291" i="516" s="1"/>
  <c r="P333" i="516"/>
  <c r="X337" i="516" s="1"/>
  <c r="K368" i="516"/>
  <c r="M347" i="516"/>
  <c r="M368" i="516" s="1"/>
  <c r="K426" i="516"/>
  <c r="M369" i="516"/>
  <c r="M426" i="516" s="1"/>
  <c r="B511" i="516"/>
  <c r="J504" i="516" a="1"/>
  <c r="J504" i="516" s="1"/>
  <c r="M511" i="516" s="1"/>
  <c r="R506" i="516"/>
  <c r="X506" i="516"/>
  <c r="O504" i="516"/>
  <c r="X507" i="516" s="1"/>
  <c r="V426" i="516"/>
  <c r="W426" i="516" s="1"/>
  <c r="H461" i="516"/>
  <c r="H504" i="516" s="1"/>
  <c r="E511" i="516" s="1"/>
  <c r="N461" i="516"/>
  <c r="N504" i="516" s="1"/>
  <c r="B513" i="516" s="1"/>
  <c r="W427" i="516"/>
  <c r="M462" i="516"/>
  <c r="M477" i="516" s="1"/>
  <c r="W462" i="516"/>
  <c r="V477" i="516"/>
  <c r="W477" i="516" s="1"/>
  <c r="W347" i="516"/>
  <c r="W368" i="516" s="1"/>
  <c r="J368" i="516" a="1"/>
  <c r="J368" i="516" s="1"/>
  <c r="K503" i="516"/>
  <c r="M488" i="516"/>
  <c r="M503" i="516" s="1"/>
  <c r="K487" i="516"/>
  <c r="R531" i="516"/>
  <c r="S531" i="516" a="1"/>
  <c r="S531" i="516" s="1"/>
  <c r="R510" i="516"/>
  <c r="W488" i="516"/>
  <c r="W503" i="516" s="1"/>
  <c r="K510" i="516"/>
  <c r="M506" i="516"/>
  <c r="J533" i="516"/>
  <c r="Q530" i="516"/>
  <c r="R532" i="516"/>
  <c r="S532" i="516" a="1"/>
  <c r="S532" i="516" s="1"/>
  <c r="E510" i="516"/>
  <c r="T530" i="516" a="1"/>
  <c r="T530" i="516" s="1"/>
  <c r="T531" i="516" a="1"/>
  <c r="T531" i="516" s="1"/>
  <c r="T532" i="516" a="1"/>
  <c r="T532" i="516" s="1"/>
  <c r="C533" i="516"/>
  <c r="T533" i="516" s="1" a="1"/>
  <c r="T533" i="516" s="1"/>
  <c r="H504" i="517" l="1"/>
  <c r="E511" i="517" s="1"/>
  <c r="G516" i="517" s="1"/>
  <c r="S527" i="518"/>
  <c r="N504" i="517"/>
  <c r="B513" i="517" s="1"/>
  <c r="N333" i="517"/>
  <c r="B342" i="517" s="1"/>
  <c r="E342" i="517" s="1"/>
  <c r="T339" i="517"/>
  <c r="T338" i="517"/>
  <c r="T336" i="517"/>
  <c r="T340" i="517"/>
  <c r="T337" i="517"/>
  <c r="M333" i="517"/>
  <c r="N163" i="517"/>
  <c r="B172" i="517" s="1"/>
  <c r="E172" i="517" s="1"/>
  <c r="M333" i="516"/>
  <c r="T336" i="516"/>
  <c r="T335" i="516" a="1"/>
  <c r="T335" i="516" s="1"/>
  <c r="V333" i="516"/>
  <c r="I342" i="516" s="1"/>
  <c r="M342" i="516" s="1" a="1"/>
  <c r="M342" i="516" s="1"/>
  <c r="N333" i="516"/>
  <c r="B342" i="516" s="1"/>
  <c r="E342" i="516" s="1"/>
  <c r="Z170" i="516"/>
  <c r="N163" i="516"/>
  <c r="B172" i="516" s="1"/>
  <c r="E172" i="516" s="1"/>
  <c r="H163" i="516"/>
  <c r="E170" i="516" s="1"/>
  <c r="G516" i="516" s="1"/>
  <c r="E524" i="516"/>
  <c r="E523" i="516"/>
  <c r="E525" i="516"/>
  <c r="E522" i="516"/>
  <c r="K163" i="516"/>
  <c r="E171" i="516" s="1"/>
  <c r="I171" i="516" s="1"/>
  <c r="M171" i="516" s="1"/>
  <c r="E513" i="517"/>
  <c r="C518" i="517"/>
  <c r="G518" i="517" s="1"/>
  <c r="R530" i="517"/>
  <c r="R533" i="517" s="1"/>
  <c r="Q533" i="517"/>
  <c r="S533" i="517" s="1" a="1"/>
  <c r="S533" i="517" s="1"/>
  <c r="S530" i="517" a="1"/>
  <c r="S530" i="517" s="1"/>
  <c r="Z506" i="517" a="1"/>
  <c r="Z506" i="517" s="1"/>
  <c r="X513" i="517"/>
  <c r="V504" i="517"/>
  <c r="K504" i="517"/>
  <c r="K339" i="517"/>
  <c r="M339" i="517" s="1"/>
  <c r="M335" i="517"/>
  <c r="Z165" i="517" a="1"/>
  <c r="Z165" i="517" s="1"/>
  <c r="Z171" i="517"/>
  <c r="Z335" i="517" a="1"/>
  <c r="Z335" i="517" s="1"/>
  <c r="Z340" i="517"/>
  <c r="Z339" i="517"/>
  <c r="Z336" i="517"/>
  <c r="Z170" i="517"/>
  <c r="V333" i="517"/>
  <c r="I342" i="517" s="1"/>
  <c r="M342" i="517" s="1" a="1"/>
  <c r="M342" i="517" s="1"/>
  <c r="Q523" i="517"/>
  <c r="Z167" i="517"/>
  <c r="W333" i="517"/>
  <c r="K524" i="517"/>
  <c r="B170" i="517"/>
  <c r="C516" i="517" s="1"/>
  <c r="J163" i="517" a="1"/>
  <c r="J163" i="517" s="1"/>
  <c r="M170" i="517" s="1"/>
  <c r="W163" i="517"/>
  <c r="M163" i="517"/>
  <c r="M510" i="517"/>
  <c r="Z507" i="517"/>
  <c r="R513" i="517"/>
  <c r="T506" i="517" s="1" a="1"/>
  <c r="T506" i="517" s="1"/>
  <c r="M504" i="517"/>
  <c r="Z338" i="517"/>
  <c r="Z337" i="517"/>
  <c r="Z341" i="517"/>
  <c r="K333" i="517"/>
  <c r="Z169" i="517"/>
  <c r="Z168" i="517"/>
  <c r="T335" i="517" a="1"/>
  <c r="T335" i="517" s="1"/>
  <c r="M169" i="517"/>
  <c r="Q522" i="517"/>
  <c r="Z166" i="517"/>
  <c r="K521" i="517"/>
  <c r="R172" i="517"/>
  <c r="T165" i="517" s="1" a="1"/>
  <c r="T165" i="517" s="1"/>
  <c r="C527" i="517"/>
  <c r="V163" i="517"/>
  <c r="I172" i="517" s="1"/>
  <c r="K163" i="517"/>
  <c r="E171" i="517" s="1"/>
  <c r="E513" i="516"/>
  <c r="C518" i="516"/>
  <c r="G518" i="516" s="1"/>
  <c r="M510" i="516"/>
  <c r="R513" i="516"/>
  <c r="M504" i="516"/>
  <c r="X342" i="516"/>
  <c r="K339" i="516"/>
  <c r="M339" i="516" s="1"/>
  <c r="M335" i="516"/>
  <c r="T340" i="516"/>
  <c r="T339" i="516"/>
  <c r="T338" i="516"/>
  <c r="T337" i="516"/>
  <c r="W333" i="516"/>
  <c r="K169" i="516"/>
  <c r="M169" i="516" s="1"/>
  <c r="M165" i="516"/>
  <c r="B170" i="516"/>
  <c r="C516" i="516" s="1"/>
  <c r="J163" i="516" a="1"/>
  <c r="J163" i="516" s="1"/>
  <c r="M170" i="516" s="1"/>
  <c r="L163" i="516"/>
  <c r="I170" i="516" s="1"/>
  <c r="Z165" i="516" a="1"/>
  <c r="Z165" i="516" s="1"/>
  <c r="Z166" i="516"/>
  <c r="R530" i="516"/>
  <c r="R533" i="516" s="1"/>
  <c r="Q533" i="516"/>
  <c r="S533" i="516" s="1" a="1"/>
  <c r="S533" i="516" s="1"/>
  <c r="S530" i="516" a="1"/>
  <c r="S530" i="516" s="1"/>
  <c r="X513" i="516"/>
  <c r="V504" i="516"/>
  <c r="K504" i="516"/>
  <c r="K333" i="516"/>
  <c r="Z168" i="516"/>
  <c r="K521" i="516"/>
  <c r="R172" i="516"/>
  <c r="Q523" i="516"/>
  <c r="Z167" i="516"/>
  <c r="E527" i="516"/>
  <c r="M163" i="516"/>
  <c r="M172" i="516" a="1"/>
  <c r="M172" i="516" s="1"/>
  <c r="M172" i="517" l="1" a="1"/>
  <c r="M172" i="517" s="1"/>
  <c r="E522" i="517"/>
  <c r="E524" i="517"/>
  <c r="E523" i="517"/>
  <c r="E525" i="517"/>
  <c r="E526" i="517"/>
  <c r="Q527" i="517"/>
  <c r="L163" i="517"/>
  <c r="I170" i="517" s="1"/>
  <c r="S523" i="517"/>
  <c r="I513" i="517"/>
  <c r="M513" i="517" s="1" a="1"/>
  <c r="M513" i="517" s="1"/>
  <c r="W504" i="517"/>
  <c r="I171" i="517"/>
  <c r="M171" i="517" s="1"/>
  <c r="E521" i="517"/>
  <c r="E527" i="517" s="1"/>
  <c r="K527" i="517"/>
  <c r="M521" i="517" s="1" a="1"/>
  <c r="M521" i="517" s="1"/>
  <c r="T171" i="517"/>
  <c r="T166" i="517"/>
  <c r="T170" i="517"/>
  <c r="T167" i="517"/>
  <c r="T169" i="517"/>
  <c r="E341" i="517"/>
  <c r="I341" i="517" s="1"/>
  <c r="M341" i="517" s="1"/>
  <c r="L333" i="517"/>
  <c r="I340" i="517" s="1"/>
  <c r="T512" i="517"/>
  <c r="T508" i="517"/>
  <c r="T509" i="517"/>
  <c r="T511" i="517"/>
  <c r="T507" i="517"/>
  <c r="T510" i="517"/>
  <c r="O516" i="517" a="1"/>
  <c r="O516" i="517" s="1"/>
  <c r="T168" i="517"/>
  <c r="E512" i="517"/>
  <c r="I512" i="517" s="1"/>
  <c r="M512" i="517" s="1"/>
  <c r="L504" i="517"/>
  <c r="I511" i="517" s="1"/>
  <c r="Z512" i="517"/>
  <c r="Z511" i="517"/>
  <c r="Z508" i="517"/>
  <c r="Z509" i="517"/>
  <c r="Z510" i="517"/>
  <c r="K527" i="516"/>
  <c r="T171" i="516"/>
  <c r="T168" i="516"/>
  <c r="T170" i="516"/>
  <c r="T166" i="516"/>
  <c r="T167" i="516"/>
  <c r="T169" i="516"/>
  <c r="E512" i="516"/>
  <c r="I512" i="516" s="1"/>
  <c r="M512" i="516" s="1"/>
  <c r="L504" i="516"/>
  <c r="I511" i="516" s="1"/>
  <c r="Z512" i="516"/>
  <c r="Z509" i="516"/>
  <c r="Z510" i="516"/>
  <c r="Z511" i="516"/>
  <c r="Z508" i="516"/>
  <c r="O516" i="516" a="1"/>
  <c r="O516" i="516" s="1"/>
  <c r="Q527" i="516"/>
  <c r="Z335" i="516" a="1"/>
  <c r="Z335" i="516" s="1"/>
  <c r="Z340" i="516"/>
  <c r="Z339" i="516"/>
  <c r="Z341" i="516"/>
  <c r="Z338" i="516"/>
  <c r="Z336" i="516"/>
  <c r="T512" i="516"/>
  <c r="T508" i="516"/>
  <c r="T507" i="516"/>
  <c r="T509" i="516"/>
  <c r="T511" i="516"/>
  <c r="T510" i="516"/>
  <c r="T165" i="516" a="1"/>
  <c r="T165" i="516" s="1"/>
  <c r="M521" i="516" a="1"/>
  <c r="M521" i="516" s="1"/>
  <c r="E341" i="516"/>
  <c r="L333" i="516"/>
  <c r="I340" i="516" s="1"/>
  <c r="I513" i="516"/>
  <c r="W504" i="516"/>
  <c r="Z506" i="516" a="1"/>
  <c r="Z506" i="516" s="1"/>
  <c r="Z337" i="516"/>
  <c r="T506" i="516" a="1"/>
  <c r="T506" i="516" s="1"/>
  <c r="Z507" i="516"/>
  <c r="G517" i="517" l="1"/>
  <c r="M524" i="517"/>
  <c r="S521" i="517" a="1"/>
  <c r="S521" i="517" s="1"/>
  <c r="S524" i="517"/>
  <c r="S526" i="517"/>
  <c r="S525" i="517"/>
  <c r="M526" i="517"/>
  <c r="M523" i="517"/>
  <c r="M522" i="517"/>
  <c r="M525" i="517"/>
  <c r="S522" i="517"/>
  <c r="K518" i="517"/>
  <c r="O518" i="517" s="1" a="1"/>
  <c r="O518" i="517" s="1"/>
  <c r="S526" i="516"/>
  <c r="S525" i="516"/>
  <c r="S521" i="516" a="1"/>
  <c r="S521" i="516" s="1"/>
  <c r="S524" i="516"/>
  <c r="S522" i="516"/>
  <c r="M526" i="516"/>
  <c r="M523" i="516"/>
  <c r="M524" i="516"/>
  <c r="M525" i="516"/>
  <c r="M522" i="516"/>
  <c r="M513" i="516" a="1"/>
  <c r="M513" i="516" s="1"/>
  <c r="K518" i="516"/>
  <c r="O518" i="516" s="1" a="1"/>
  <c r="O518" i="516" s="1"/>
  <c r="I341" i="516"/>
  <c r="M341" i="516" s="1"/>
  <c r="G517" i="516"/>
  <c r="S523" i="516"/>
  <c r="S527" i="517" l="1"/>
  <c r="K517" i="517"/>
  <c r="O517" i="517" s="1"/>
  <c r="K516" i="517"/>
  <c r="K517" i="516"/>
  <c r="O517" i="516" s="1"/>
  <c r="K516" i="516"/>
  <c r="S527" i="516"/>
  <c r="P533" i="508"/>
  <c r="O533" i="508"/>
  <c r="N533" i="508"/>
  <c r="M533" i="508"/>
  <c r="L533" i="508"/>
  <c r="K533" i="508"/>
  <c r="I533" i="508"/>
  <c r="H533" i="508"/>
  <c r="G533" i="508"/>
  <c r="F533" i="508"/>
  <c r="E533" i="508"/>
  <c r="D533" i="508"/>
  <c r="G514" i="508"/>
  <c r="N514" i="508" s="1"/>
  <c r="G510" i="508"/>
  <c r="E510" i="508"/>
  <c r="I509" i="508"/>
  <c r="E509" i="508"/>
  <c r="K509" i="508" s="1"/>
  <c r="M509" i="508" s="1"/>
  <c r="I508" i="508"/>
  <c r="E508" i="508"/>
  <c r="K508" i="508" s="1"/>
  <c r="M508" i="508" s="1"/>
  <c r="I507" i="508"/>
  <c r="E507" i="508"/>
  <c r="K507" i="508" s="1"/>
  <c r="M507" i="508" s="1"/>
  <c r="I506" i="508"/>
  <c r="I510" i="508" s="1"/>
  <c r="E506" i="508"/>
  <c r="K506" i="508" s="1"/>
  <c r="H502" i="508"/>
  <c r="H501" i="508"/>
  <c r="H500" i="508"/>
  <c r="D499" i="508"/>
  <c r="N498" i="508"/>
  <c r="K498" i="508" a="1"/>
  <c r="K498" i="508" s="1"/>
  <c r="H497" i="508"/>
  <c r="H496" i="508"/>
  <c r="V495" i="508"/>
  <c r="W495" i="508" s="1"/>
  <c r="K495" i="508" a="1"/>
  <c r="K495" i="508" s="1"/>
  <c r="V494" i="508"/>
  <c r="N494" i="508"/>
  <c r="K494" i="508" a="1"/>
  <c r="K494" i="508" s="1"/>
  <c r="H493" i="508"/>
  <c r="H492" i="508"/>
  <c r="V491" i="508"/>
  <c r="K491" i="508" a="1"/>
  <c r="K491" i="508" s="1"/>
  <c r="V490" i="508"/>
  <c r="N490" i="508"/>
  <c r="K490" i="508" a="1"/>
  <c r="K490" i="508" s="1"/>
  <c r="V489" i="508"/>
  <c r="W489" i="508" s="1"/>
  <c r="K489" i="508" a="1"/>
  <c r="K489" i="508" s="1"/>
  <c r="M489" i="508" s="1"/>
  <c r="AA503" i="508"/>
  <c r="Z503" i="508"/>
  <c r="Y503" i="508"/>
  <c r="X503" i="508"/>
  <c r="V488" i="508"/>
  <c r="U503" i="508"/>
  <c r="T503" i="508"/>
  <c r="S503" i="508"/>
  <c r="R503" i="508"/>
  <c r="Q503" i="508"/>
  <c r="P503" i="508"/>
  <c r="O503" i="508"/>
  <c r="N488" i="508"/>
  <c r="I503" i="508"/>
  <c r="G503" i="508"/>
  <c r="V486" i="508"/>
  <c r="N486" i="508"/>
  <c r="K486" i="508" a="1"/>
  <c r="K486" i="508" s="1"/>
  <c r="H483" i="508"/>
  <c r="V482" i="508"/>
  <c r="N482" i="508"/>
  <c r="K482" i="508" a="1"/>
  <c r="K482" i="508" s="1"/>
  <c r="M482" i="508" s="1"/>
  <c r="J481" i="508" a="1"/>
  <c r="J481" i="508" s="1"/>
  <c r="H481" i="508"/>
  <c r="K481" i="508" a="1"/>
  <c r="K481" i="508" s="1"/>
  <c r="M481" i="508" s="1"/>
  <c r="V480" i="508"/>
  <c r="N480" i="508"/>
  <c r="K480" i="508" a="1"/>
  <c r="K480" i="508" s="1"/>
  <c r="M480" i="508" s="1"/>
  <c r="J479" i="508" a="1"/>
  <c r="J479" i="508" s="1"/>
  <c r="H479" i="508"/>
  <c r="K479" i="508" a="1"/>
  <c r="K479" i="508" s="1"/>
  <c r="M479" i="508" s="1"/>
  <c r="AA487" i="508"/>
  <c r="Z487" i="508"/>
  <c r="Y487" i="508"/>
  <c r="X487" i="508"/>
  <c r="U487" i="508"/>
  <c r="T487" i="508"/>
  <c r="S487" i="508"/>
  <c r="Q487" i="508"/>
  <c r="P487" i="508"/>
  <c r="N478" i="508"/>
  <c r="I487" i="508"/>
  <c r="G487" i="508"/>
  <c r="V476" i="508"/>
  <c r="N476" i="508"/>
  <c r="K476" i="508" a="1"/>
  <c r="K476" i="508" s="1"/>
  <c r="N475" i="508"/>
  <c r="K475" i="508" a="1"/>
  <c r="K475" i="508" s="1"/>
  <c r="V474" i="508"/>
  <c r="N474" i="508"/>
  <c r="K474" i="508" a="1"/>
  <c r="K474" i="508" s="1"/>
  <c r="N473" i="508"/>
  <c r="K473" i="508" a="1"/>
  <c r="K473" i="508" s="1"/>
  <c r="V472" i="508"/>
  <c r="N472" i="508"/>
  <c r="K472" i="508" a="1"/>
  <c r="K472" i="508" s="1"/>
  <c r="N471" i="508"/>
  <c r="K471" i="508" a="1"/>
  <c r="K471" i="508" s="1"/>
  <c r="V470" i="508"/>
  <c r="N470" i="508"/>
  <c r="K470" i="508" a="1"/>
  <c r="K470" i="508" s="1"/>
  <c r="N469" i="508"/>
  <c r="K469" i="508" a="1"/>
  <c r="K469" i="508" s="1"/>
  <c r="V468" i="508"/>
  <c r="N468" i="508"/>
  <c r="K468" i="508" a="1"/>
  <c r="K468" i="508" s="1"/>
  <c r="V467" i="508"/>
  <c r="K467" i="508" a="1"/>
  <c r="K467" i="508" s="1"/>
  <c r="V466" i="508"/>
  <c r="N466" i="508"/>
  <c r="K466" i="508" a="1"/>
  <c r="K466" i="508" s="1"/>
  <c r="V465" i="508"/>
  <c r="K465" i="508" a="1"/>
  <c r="K465" i="508" s="1"/>
  <c r="M465" i="508" s="1"/>
  <c r="V464" i="508"/>
  <c r="N464" i="508"/>
  <c r="K464" i="508" a="1"/>
  <c r="K464" i="508" s="1"/>
  <c r="V463" i="508"/>
  <c r="K463" i="508" a="1"/>
  <c r="K463" i="508" s="1"/>
  <c r="M463" i="508" s="1"/>
  <c r="AA477" i="508"/>
  <c r="Y477" i="508"/>
  <c r="V462" i="508"/>
  <c r="T477" i="508"/>
  <c r="R477" i="508"/>
  <c r="P477" i="508"/>
  <c r="N462" i="508"/>
  <c r="K462" i="508" a="1"/>
  <c r="K462" i="508" s="1"/>
  <c r="K459" i="508" a="1"/>
  <c r="K459" i="508" s="1"/>
  <c r="M459" i="508" s="1"/>
  <c r="K458" i="508" a="1"/>
  <c r="K458" i="508" s="1"/>
  <c r="M458" i="508" s="1"/>
  <c r="K457" i="508" a="1"/>
  <c r="K457" i="508" s="1"/>
  <c r="K456" i="508" a="1"/>
  <c r="K456" i="508" s="1"/>
  <c r="M456" i="508" s="1"/>
  <c r="K455" i="508" a="1"/>
  <c r="K455" i="508" s="1"/>
  <c r="N453" i="508"/>
  <c r="K453" i="508" a="1"/>
  <c r="K453" i="508" s="1"/>
  <c r="K452" i="508" a="1"/>
  <c r="K452" i="508" s="1"/>
  <c r="N451" i="508"/>
  <c r="K451" i="508" a="1"/>
  <c r="K451" i="508" s="1"/>
  <c r="K450" i="508" a="1"/>
  <c r="K450" i="508" s="1"/>
  <c r="N449" i="508"/>
  <c r="K449" i="508" a="1"/>
  <c r="K449" i="508" s="1"/>
  <c r="K448" i="508" a="1"/>
  <c r="K448" i="508" s="1"/>
  <c r="N447" i="508"/>
  <c r="K447" i="508" a="1"/>
  <c r="K447" i="508" s="1"/>
  <c r="V446" i="508"/>
  <c r="N446" i="508"/>
  <c r="K446" i="508" a="1"/>
  <c r="K446" i="508" s="1"/>
  <c r="N445" i="508"/>
  <c r="K445" i="508" a="1"/>
  <c r="K445" i="508" s="1"/>
  <c r="V444" i="508"/>
  <c r="N444" i="508"/>
  <c r="K444" i="508" a="1"/>
  <c r="K444" i="508" s="1"/>
  <c r="N443" i="508"/>
  <c r="K443" i="508" a="1"/>
  <c r="K443" i="508" s="1"/>
  <c r="V442" i="508"/>
  <c r="N442" i="508"/>
  <c r="K442" i="508" a="1"/>
  <c r="K442" i="508" s="1"/>
  <c r="N441" i="508"/>
  <c r="K441" i="508" a="1"/>
  <c r="K441" i="508" s="1"/>
  <c r="V440" i="508"/>
  <c r="N440" i="508"/>
  <c r="K440" i="508" a="1"/>
  <c r="K440" i="508" s="1"/>
  <c r="N439" i="508"/>
  <c r="K439" i="508" a="1"/>
  <c r="K439" i="508" s="1"/>
  <c r="V438" i="508"/>
  <c r="N438" i="508"/>
  <c r="K438" i="508" a="1"/>
  <c r="K438" i="508" s="1"/>
  <c r="N437" i="508"/>
  <c r="K437" i="508" a="1"/>
  <c r="K437" i="508" s="1"/>
  <c r="V436" i="508"/>
  <c r="N436" i="508"/>
  <c r="K436" i="508" a="1"/>
  <c r="K436" i="508" s="1"/>
  <c r="N435" i="508"/>
  <c r="K435" i="508" a="1"/>
  <c r="K435" i="508" s="1"/>
  <c r="K434" i="508" a="1"/>
  <c r="K434" i="508" s="1"/>
  <c r="V433" i="508"/>
  <c r="N433" i="508"/>
  <c r="K433" i="508" a="1"/>
  <c r="K433" i="508" s="1"/>
  <c r="V432" i="508"/>
  <c r="W432" i="508" s="1"/>
  <c r="K432" i="508" a="1"/>
  <c r="K432" i="508" s="1"/>
  <c r="V431" i="508"/>
  <c r="X511" i="508"/>
  <c r="N431" i="508"/>
  <c r="K431" i="508" a="1"/>
  <c r="K431" i="508" s="1"/>
  <c r="V430" i="508"/>
  <c r="K430" i="508" a="1"/>
  <c r="K430" i="508" s="1"/>
  <c r="V429" i="508"/>
  <c r="N429" i="508"/>
  <c r="K429" i="508" a="1"/>
  <c r="K429" i="508" s="1"/>
  <c r="V428" i="508"/>
  <c r="K428" i="508" a="1"/>
  <c r="K428" i="508" s="1"/>
  <c r="AA461" i="508"/>
  <c r="Y461" i="508"/>
  <c r="V427" i="508"/>
  <c r="U461" i="508"/>
  <c r="T461" i="508"/>
  <c r="S461" i="508"/>
  <c r="R461" i="508"/>
  <c r="Q461" i="508"/>
  <c r="P461" i="508"/>
  <c r="O461" i="508"/>
  <c r="N427" i="508"/>
  <c r="G461" i="508"/>
  <c r="K425" i="508" a="1"/>
  <c r="K425" i="508" s="1"/>
  <c r="K424" i="508" a="1"/>
  <c r="K424" i="508" s="1"/>
  <c r="M424" i="508" s="1"/>
  <c r="K423" i="508" a="1"/>
  <c r="K423" i="508" s="1"/>
  <c r="K422" i="508" a="1"/>
  <c r="K422" i="508" s="1"/>
  <c r="K421" i="508" a="1"/>
  <c r="K421" i="508" s="1"/>
  <c r="K420" i="508" a="1"/>
  <c r="K420" i="508" s="1"/>
  <c r="K419" i="508" a="1"/>
  <c r="K419" i="508" s="1"/>
  <c r="K418" i="508" a="1"/>
  <c r="K418" i="508" s="1"/>
  <c r="K417" i="508" a="1"/>
  <c r="K417" i="508" s="1"/>
  <c r="K416" i="508" a="1"/>
  <c r="K416" i="508" s="1"/>
  <c r="V415" i="508"/>
  <c r="N415" i="508"/>
  <c r="K415" i="508" a="1"/>
  <c r="K415" i="508" s="1"/>
  <c r="V414" i="508"/>
  <c r="K414" i="508" a="1"/>
  <c r="K414" i="508" s="1"/>
  <c r="V413" i="508"/>
  <c r="N413" i="508"/>
  <c r="K413" i="508" a="1"/>
  <c r="K413" i="508" s="1"/>
  <c r="V412" i="508"/>
  <c r="K412" i="508" a="1"/>
  <c r="K412" i="508" s="1"/>
  <c r="H411" i="508"/>
  <c r="V410" i="508"/>
  <c r="K410" i="508" a="1"/>
  <c r="K410" i="508" s="1"/>
  <c r="V409" i="508"/>
  <c r="N409" i="508"/>
  <c r="K409" i="508" a="1"/>
  <c r="K409" i="508" s="1"/>
  <c r="H408" i="508"/>
  <c r="K407" i="508" a="1"/>
  <c r="K407" i="508" s="1"/>
  <c r="J405" i="508" a="1"/>
  <c r="J405" i="508" s="1"/>
  <c r="J403" i="508" a="1"/>
  <c r="J403" i="508" s="1"/>
  <c r="J401" i="508" a="1"/>
  <c r="J401" i="508" s="1"/>
  <c r="J399" i="508" a="1"/>
  <c r="J399" i="508" s="1"/>
  <c r="N397" i="508"/>
  <c r="J397" i="508" a="1"/>
  <c r="J397" i="508" s="1"/>
  <c r="K396" i="508" a="1"/>
  <c r="K396" i="508" s="1"/>
  <c r="K395" i="508" a="1"/>
  <c r="K395" i="508" s="1"/>
  <c r="M395" i="508" s="1"/>
  <c r="K394" i="508" a="1"/>
  <c r="K394" i="508" s="1"/>
  <c r="H393" i="508"/>
  <c r="K393" i="508" a="1"/>
  <c r="K393" i="508" s="1"/>
  <c r="M393" i="508" s="1"/>
  <c r="N392" i="508"/>
  <c r="K392" i="508" a="1"/>
  <c r="K392" i="508" s="1"/>
  <c r="M392" i="508" s="1"/>
  <c r="K391" i="508" a="1"/>
  <c r="K391" i="508" s="1"/>
  <c r="M391" i="508" s="1"/>
  <c r="K390" i="508" a="1"/>
  <c r="K390" i="508" s="1"/>
  <c r="H389" i="508"/>
  <c r="K389" i="508" a="1"/>
  <c r="K389" i="508" s="1"/>
  <c r="M389" i="508" s="1"/>
  <c r="V388" i="508"/>
  <c r="N388" i="508"/>
  <c r="K388" i="508" a="1"/>
  <c r="K388" i="508" s="1"/>
  <c r="M388" i="508" s="1"/>
  <c r="J387" i="508" a="1"/>
  <c r="J387" i="508" s="1"/>
  <c r="H387" i="508"/>
  <c r="K387" i="508" a="1"/>
  <c r="K387" i="508" s="1"/>
  <c r="M387" i="508" s="1"/>
  <c r="V386" i="508"/>
  <c r="N386" i="508"/>
  <c r="K386" i="508" a="1"/>
  <c r="K386" i="508" s="1"/>
  <c r="M386" i="508" s="1"/>
  <c r="J385" i="508" a="1"/>
  <c r="J385" i="508" s="1"/>
  <c r="H385" i="508"/>
  <c r="K385" i="508" a="1"/>
  <c r="K385" i="508" s="1"/>
  <c r="M385" i="508" s="1"/>
  <c r="V384" i="508"/>
  <c r="N384" i="508"/>
  <c r="K384" i="508" a="1"/>
  <c r="K384" i="508" s="1"/>
  <c r="M384" i="508" s="1"/>
  <c r="J383" i="508" a="1"/>
  <c r="J383" i="508" s="1"/>
  <c r="H383" i="508"/>
  <c r="K383" i="508" a="1"/>
  <c r="K383" i="508" s="1"/>
  <c r="M383" i="508" s="1"/>
  <c r="V382" i="508"/>
  <c r="N382" i="508"/>
  <c r="K382" i="508" a="1"/>
  <c r="K382" i="508" s="1"/>
  <c r="M382" i="508" s="1"/>
  <c r="J381" i="508" a="1"/>
  <c r="J381" i="508" s="1"/>
  <c r="H381" i="508"/>
  <c r="V380" i="508"/>
  <c r="N380" i="508"/>
  <c r="K380" i="508" a="1"/>
  <c r="K380" i="508" s="1"/>
  <c r="M380" i="508" s="1"/>
  <c r="J379" i="508" a="1"/>
  <c r="J379" i="508" s="1"/>
  <c r="H379" i="508"/>
  <c r="K379" i="508" a="1"/>
  <c r="K379" i="508" s="1"/>
  <c r="M379" i="508" s="1"/>
  <c r="V378" i="508"/>
  <c r="N378" i="508"/>
  <c r="K378" i="508" a="1"/>
  <c r="K378" i="508" s="1"/>
  <c r="M378" i="508" s="1"/>
  <c r="J377" i="508" a="1"/>
  <c r="J377" i="508" s="1"/>
  <c r="H377" i="508"/>
  <c r="K377" i="508" a="1"/>
  <c r="K377" i="508" s="1"/>
  <c r="M377" i="508" s="1"/>
  <c r="K376" i="508" a="1"/>
  <c r="K376" i="508" s="1"/>
  <c r="M376" i="508" s="1"/>
  <c r="H376" i="508"/>
  <c r="K375" i="508" a="1"/>
  <c r="K375" i="508" s="1"/>
  <c r="M375" i="508" s="1"/>
  <c r="H375" i="508"/>
  <c r="K374" i="508" a="1"/>
  <c r="K374" i="508" s="1"/>
  <c r="M374" i="508" s="1"/>
  <c r="H374" i="508"/>
  <c r="V373" i="508"/>
  <c r="X510" i="508"/>
  <c r="K373" i="508" a="1"/>
  <c r="K373" i="508" s="1"/>
  <c r="M373" i="508" s="1"/>
  <c r="X509" i="508"/>
  <c r="J372" i="508" a="1"/>
  <c r="J372" i="508" s="1"/>
  <c r="H372" i="508"/>
  <c r="K372" i="508" a="1"/>
  <c r="K372" i="508" s="1"/>
  <c r="M372" i="508" s="1"/>
  <c r="V371" i="508"/>
  <c r="X508" i="508"/>
  <c r="K371" i="508" a="1"/>
  <c r="K371" i="508" s="1"/>
  <c r="M371" i="508" s="1"/>
  <c r="K370" i="508" a="1"/>
  <c r="K370" i="508" s="1"/>
  <c r="Z426" i="508"/>
  <c r="X426" i="508"/>
  <c r="T426" i="508"/>
  <c r="R426" i="508"/>
  <c r="Q426" i="508"/>
  <c r="P426" i="508"/>
  <c r="J369" i="508" a="1"/>
  <c r="J369" i="508" s="1"/>
  <c r="I426" i="508"/>
  <c r="H369" i="508"/>
  <c r="G426" i="508"/>
  <c r="V367" i="508"/>
  <c r="N367" i="508"/>
  <c r="K367" i="508" a="1"/>
  <c r="K367" i="508" s="1"/>
  <c r="K366" i="508" a="1"/>
  <c r="K366" i="508" s="1"/>
  <c r="M366" i="508" s="1"/>
  <c r="H366" i="508"/>
  <c r="K365" i="508" a="1"/>
  <c r="K365" i="508" s="1"/>
  <c r="K364" i="508" a="1"/>
  <c r="K364" i="508" s="1"/>
  <c r="M364" i="508" s="1"/>
  <c r="H364" i="508"/>
  <c r="K363" i="508" a="1"/>
  <c r="K363" i="508" s="1"/>
  <c r="V362" i="508"/>
  <c r="W362" i="508" s="1"/>
  <c r="K362" i="508" a="1"/>
  <c r="K362" i="508" s="1"/>
  <c r="M362" i="508" s="1"/>
  <c r="V361" i="508"/>
  <c r="N361" i="508"/>
  <c r="K361" i="508" a="1"/>
  <c r="K361" i="508" s="1"/>
  <c r="V360" i="508"/>
  <c r="W360" i="508" s="1"/>
  <c r="K360" i="508" a="1"/>
  <c r="K360" i="508" s="1"/>
  <c r="M360" i="508" s="1"/>
  <c r="V359" i="508"/>
  <c r="N359" i="508"/>
  <c r="K359" i="508" a="1"/>
  <c r="K359" i="508" s="1"/>
  <c r="H358" i="508"/>
  <c r="H357" i="508"/>
  <c r="V356" i="508"/>
  <c r="W356" i="508" s="1"/>
  <c r="K356" i="508" a="1"/>
  <c r="K356" i="508" s="1"/>
  <c r="M356" i="508" s="1"/>
  <c r="V355" i="508"/>
  <c r="N355" i="508"/>
  <c r="K355" i="508" a="1"/>
  <c r="K355" i="508" s="1"/>
  <c r="V354" i="508"/>
  <c r="W354" i="508" s="1"/>
  <c r="K354" i="508" a="1"/>
  <c r="K354" i="508" s="1"/>
  <c r="M354" i="508" s="1"/>
  <c r="V353" i="508"/>
  <c r="N353" i="508"/>
  <c r="K353" i="508" a="1"/>
  <c r="K353" i="508" s="1"/>
  <c r="V352" i="508"/>
  <c r="W352" i="508" s="1"/>
  <c r="K352" i="508" a="1"/>
  <c r="K352" i="508" s="1"/>
  <c r="M352" i="508" s="1"/>
  <c r="V351" i="508"/>
  <c r="N351" i="508"/>
  <c r="K351" i="508" a="1"/>
  <c r="K351" i="508" s="1"/>
  <c r="V350" i="508"/>
  <c r="W350" i="508" s="1"/>
  <c r="K350" i="508" a="1"/>
  <c r="K350" i="508" s="1"/>
  <c r="M350" i="508" s="1"/>
  <c r="V349" i="508"/>
  <c r="N349" i="508"/>
  <c r="K349" i="508"/>
  <c r="K348" i="508"/>
  <c r="U368" i="508"/>
  <c r="S368" i="508"/>
  <c r="Q368" i="508"/>
  <c r="O368" i="508"/>
  <c r="E339" i="508"/>
  <c r="I338" i="508"/>
  <c r="K338" i="508" s="1"/>
  <c r="M338" i="508" s="1"/>
  <c r="E338" i="508"/>
  <c r="I337" i="508"/>
  <c r="K337" i="508" s="1"/>
  <c r="M337" i="508" s="1"/>
  <c r="E337" i="508"/>
  <c r="I336" i="508"/>
  <c r="K336" i="508" s="1"/>
  <c r="M336" i="508" s="1"/>
  <c r="E336" i="508"/>
  <c r="E335" i="508"/>
  <c r="K331" i="508" a="1"/>
  <c r="K331" i="508" s="1"/>
  <c r="K330" i="508" a="1"/>
  <c r="K330" i="508" s="1"/>
  <c r="M330" i="508" s="1"/>
  <c r="H330" i="508"/>
  <c r="K329" i="508" a="1"/>
  <c r="K329" i="508" s="1"/>
  <c r="J328" i="508" a="1"/>
  <c r="J328" i="508" s="1"/>
  <c r="D328" i="508"/>
  <c r="H327" i="508"/>
  <c r="K326" i="508" a="1"/>
  <c r="K326" i="508" s="1"/>
  <c r="H325" i="508"/>
  <c r="N324" i="508"/>
  <c r="K324" i="508" a="1"/>
  <c r="K324" i="508" s="1"/>
  <c r="V323" i="508"/>
  <c r="N323" i="508"/>
  <c r="K323" i="508" a="1"/>
  <c r="K323" i="508" s="1"/>
  <c r="H322" i="508"/>
  <c r="V321" i="508"/>
  <c r="N321" i="508"/>
  <c r="K321" i="508" a="1"/>
  <c r="K321" i="508" s="1"/>
  <c r="N320" i="508"/>
  <c r="K320" i="508" a="1"/>
  <c r="K320" i="508" s="1"/>
  <c r="V319" i="508"/>
  <c r="N319" i="508"/>
  <c r="K319" i="508" a="1"/>
  <c r="K319" i="508" s="1"/>
  <c r="AA332" i="508"/>
  <c r="Y332" i="508"/>
  <c r="U332" i="508"/>
  <c r="T332" i="508"/>
  <c r="S332" i="508"/>
  <c r="R332" i="508"/>
  <c r="Q332" i="508"/>
  <c r="P332" i="508"/>
  <c r="O332" i="508"/>
  <c r="G332" i="508"/>
  <c r="V316" i="508"/>
  <c r="N316" i="508"/>
  <c r="K316" i="508" a="1"/>
  <c r="K316" i="508" s="1"/>
  <c r="J312" i="508" a="1"/>
  <c r="J312" i="508" s="1"/>
  <c r="H312" i="508"/>
  <c r="K312" i="508" a="1"/>
  <c r="K312" i="508" s="1"/>
  <c r="M312" i="508" s="1"/>
  <c r="V311" i="508"/>
  <c r="N311" i="508"/>
  <c r="K311" i="508" a="1"/>
  <c r="K311" i="508" s="1"/>
  <c r="M311" i="508" s="1"/>
  <c r="J310" i="508" a="1"/>
  <c r="J310" i="508" s="1"/>
  <c r="H310" i="508"/>
  <c r="K310" i="508" a="1"/>
  <c r="K310" i="508" s="1"/>
  <c r="M310" i="508" s="1"/>
  <c r="V309" i="508"/>
  <c r="N309" i="508"/>
  <c r="K309" i="508" a="1"/>
  <c r="K309" i="508" s="1"/>
  <c r="M309" i="508" s="1"/>
  <c r="AA317" i="508"/>
  <c r="Z317" i="508"/>
  <c r="Y317" i="508"/>
  <c r="X317" i="508"/>
  <c r="U317" i="508"/>
  <c r="T317" i="508"/>
  <c r="S317" i="508"/>
  <c r="Q317" i="508"/>
  <c r="P317" i="508"/>
  <c r="O317" i="508"/>
  <c r="J308" i="508" a="1"/>
  <c r="J308" i="508" s="1"/>
  <c r="I317" i="508"/>
  <c r="H308" i="508"/>
  <c r="G317" i="508"/>
  <c r="J317" i="508" s="1" a="1"/>
  <c r="J317" i="508" s="1"/>
  <c r="V306" i="508"/>
  <c r="N306" i="508"/>
  <c r="K306" i="508" a="1"/>
  <c r="K306" i="508" s="1"/>
  <c r="V305" i="508"/>
  <c r="W305" i="508" s="1"/>
  <c r="K305" i="508" a="1"/>
  <c r="K305" i="508" s="1"/>
  <c r="V304" i="508"/>
  <c r="N304" i="508"/>
  <c r="V303" i="508"/>
  <c r="N302" i="508"/>
  <c r="V301" i="508"/>
  <c r="N301" i="508"/>
  <c r="N300" i="508"/>
  <c r="J299" i="508" a="1"/>
  <c r="J299" i="508" s="1"/>
  <c r="J297" i="508" a="1"/>
  <c r="J297" i="508" s="1"/>
  <c r="J295" i="508" a="1"/>
  <c r="J295" i="508" s="1"/>
  <c r="J293" i="508" a="1"/>
  <c r="J293" i="508" s="1"/>
  <c r="Z307" i="508"/>
  <c r="Y307" i="508"/>
  <c r="X307" i="508"/>
  <c r="U307" i="508"/>
  <c r="T307" i="508"/>
  <c r="S307" i="508"/>
  <c r="R307" i="508"/>
  <c r="Q307" i="508"/>
  <c r="P307" i="508"/>
  <c r="O307" i="508"/>
  <c r="I307" i="508"/>
  <c r="L559" i="508" s="1"/>
  <c r="G307" i="508"/>
  <c r="N290" i="508"/>
  <c r="K290" i="508" a="1"/>
  <c r="K290" i="508" s="1"/>
  <c r="V289" i="508"/>
  <c r="N289" i="508"/>
  <c r="K289" i="508" a="1"/>
  <c r="K289" i="508" s="1"/>
  <c r="N288" i="508"/>
  <c r="K288" i="508" a="1"/>
  <c r="K288" i="508" s="1"/>
  <c r="H287" i="508"/>
  <c r="H286" i="508"/>
  <c r="H285" i="508"/>
  <c r="V284" i="508"/>
  <c r="N284" i="508"/>
  <c r="K284" i="508" a="1"/>
  <c r="K284" i="508" s="1"/>
  <c r="N283" i="508"/>
  <c r="K283" i="508" a="1"/>
  <c r="K283" i="508" s="1"/>
  <c r="N282" i="508"/>
  <c r="K282" i="508" a="1"/>
  <c r="K282" i="508" s="1"/>
  <c r="N281" i="508"/>
  <c r="K281" i="508" a="1"/>
  <c r="K281" i="508" s="1"/>
  <c r="N280" i="508"/>
  <c r="K280" i="508" a="1"/>
  <c r="K280" i="508" s="1"/>
  <c r="N279" i="508"/>
  <c r="K279" i="508" a="1"/>
  <c r="K279" i="508" s="1"/>
  <c r="N278" i="508"/>
  <c r="K278" i="508" a="1"/>
  <c r="K278" i="508" s="1"/>
  <c r="N277" i="508"/>
  <c r="K277" i="508" a="1"/>
  <c r="K277" i="508" s="1"/>
  <c r="V276" i="508"/>
  <c r="W276" i="508" s="1"/>
  <c r="K276" i="508" a="1"/>
  <c r="K276" i="508" s="1"/>
  <c r="V275" i="508"/>
  <c r="N275" i="508"/>
  <c r="K275" i="508" a="1"/>
  <c r="K275" i="508" s="1"/>
  <c r="V274" i="508"/>
  <c r="W274" i="508" s="1"/>
  <c r="K274" i="508" a="1"/>
  <c r="K274" i="508" s="1"/>
  <c r="V273" i="508"/>
  <c r="N273" i="508"/>
  <c r="K273" i="508" a="1"/>
  <c r="K273" i="508" s="1"/>
  <c r="V272" i="508"/>
  <c r="W272" i="508" s="1"/>
  <c r="K272" i="508" a="1"/>
  <c r="K272" i="508" s="1"/>
  <c r="V271" i="508"/>
  <c r="N271" i="508"/>
  <c r="K271" i="508" a="1"/>
  <c r="K271" i="508" s="1"/>
  <c r="V270" i="508"/>
  <c r="N270" i="508"/>
  <c r="K270" i="508" a="1"/>
  <c r="K270" i="508" s="1"/>
  <c r="V269" i="508"/>
  <c r="W269" i="508" s="1"/>
  <c r="K269" i="508" a="1"/>
  <c r="K269" i="508" s="1"/>
  <c r="M269" i="508" s="1"/>
  <c r="V268" i="508"/>
  <c r="N268" i="508"/>
  <c r="K268" i="508" a="1"/>
  <c r="K268" i="508" s="1"/>
  <c r="V267" i="508"/>
  <c r="W267" i="508" s="1"/>
  <c r="K267" i="508" a="1"/>
  <c r="K267" i="508" s="1"/>
  <c r="M267" i="508" s="1"/>
  <c r="V266" i="508"/>
  <c r="N266" i="508"/>
  <c r="K266" i="508" a="1"/>
  <c r="K266" i="508" s="1"/>
  <c r="V265" i="508"/>
  <c r="W265" i="508" s="1"/>
  <c r="K265" i="508" a="1"/>
  <c r="K265" i="508" s="1"/>
  <c r="M265" i="508" s="1"/>
  <c r="N264" i="508"/>
  <c r="K264" i="508" a="1"/>
  <c r="K264" i="508" s="1"/>
  <c r="V263" i="508"/>
  <c r="N263" i="508"/>
  <c r="K263" i="508" a="1"/>
  <c r="K263" i="508" s="1"/>
  <c r="N262" i="508"/>
  <c r="K262" i="508" a="1"/>
  <c r="K262" i="508" s="1"/>
  <c r="V261" i="508"/>
  <c r="X341" i="508"/>
  <c r="N261" i="508"/>
  <c r="K261" i="508" a="1"/>
  <c r="K261" i="508" s="1"/>
  <c r="N260" i="508"/>
  <c r="K260" i="508" a="1"/>
  <c r="K260" i="508" s="1"/>
  <c r="V259" i="508"/>
  <c r="N259" i="508"/>
  <c r="K259" i="508" a="1"/>
  <c r="K259" i="508" s="1"/>
  <c r="N258" i="508"/>
  <c r="K258" i="508" a="1"/>
  <c r="K258" i="508" s="1"/>
  <c r="V257" i="508"/>
  <c r="T291" i="508"/>
  <c r="R291" i="508"/>
  <c r="P291" i="508"/>
  <c r="N257" i="508"/>
  <c r="G291" i="508"/>
  <c r="H255" i="508"/>
  <c r="H254" i="508"/>
  <c r="H253" i="508"/>
  <c r="H252" i="508"/>
  <c r="H251" i="508"/>
  <c r="H250" i="508"/>
  <c r="K249" i="508" a="1"/>
  <c r="K249" i="508" s="1"/>
  <c r="K248" i="508" a="1"/>
  <c r="K248" i="508" s="1"/>
  <c r="K247" i="508" a="1"/>
  <c r="K247" i="508" s="1"/>
  <c r="K246" i="508" a="1"/>
  <c r="K246" i="508" s="1"/>
  <c r="K245" i="508" a="1"/>
  <c r="K245" i="508" s="1"/>
  <c r="V244" i="508"/>
  <c r="W244" i="508" s="1"/>
  <c r="K244" i="508" a="1"/>
  <c r="K244" i="508" s="1"/>
  <c r="K243" i="508" a="1"/>
  <c r="K243" i="508" s="1"/>
  <c r="V242" i="508"/>
  <c r="W242" i="508" s="1"/>
  <c r="K242" i="508" a="1"/>
  <c r="K242" i="508" s="1"/>
  <c r="M241" i="508"/>
  <c r="H241" i="508"/>
  <c r="V240" i="508"/>
  <c r="K240" i="508" a="1"/>
  <c r="K240" i="508" s="1"/>
  <c r="V239" i="508"/>
  <c r="K239" i="508" a="1"/>
  <c r="K239" i="508" s="1"/>
  <c r="K238" i="508" a="1"/>
  <c r="K238" i="508" s="1"/>
  <c r="H237" i="508"/>
  <c r="K236" i="508" a="1"/>
  <c r="K236" i="508" s="1"/>
  <c r="V235" i="508"/>
  <c r="K235" i="508" a="1"/>
  <c r="K235" i="508" s="1"/>
  <c r="V234" i="508"/>
  <c r="K234" i="508" a="1"/>
  <c r="K234" i="508" s="1"/>
  <c r="V233" i="508"/>
  <c r="K233" i="508" a="1"/>
  <c r="K233" i="508" s="1"/>
  <c r="V232" i="508"/>
  <c r="K232" i="508" a="1"/>
  <c r="K232" i="508" s="1"/>
  <c r="V231" i="508"/>
  <c r="K231" i="508" a="1"/>
  <c r="K231" i="508" s="1"/>
  <c r="V230" i="508"/>
  <c r="K230" i="508" a="1"/>
  <c r="K230" i="508" s="1"/>
  <c r="V229" i="508"/>
  <c r="K229" i="508" a="1"/>
  <c r="K229" i="508" s="1"/>
  <c r="V228" i="508"/>
  <c r="K228" i="508" a="1"/>
  <c r="K228" i="508" s="1"/>
  <c r="V227" i="508"/>
  <c r="K227" i="508" a="1"/>
  <c r="K227" i="508" s="1"/>
  <c r="K226" i="508" a="1"/>
  <c r="K226" i="508" s="1"/>
  <c r="K225" i="508" a="1"/>
  <c r="K225" i="508" s="1"/>
  <c r="K224" i="508" a="1"/>
  <c r="K224" i="508" s="1"/>
  <c r="K223" i="508" a="1"/>
  <c r="K223" i="508" s="1"/>
  <c r="K222" i="508" a="1"/>
  <c r="K222" i="508" s="1"/>
  <c r="K221" i="508" a="1"/>
  <c r="K221" i="508" s="1"/>
  <c r="K220" i="508" a="1"/>
  <c r="K220" i="508" s="1"/>
  <c r="K219" i="508" a="1"/>
  <c r="K219" i="508" s="1"/>
  <c r="V218" i="508"/>
  <c r="K218" i="508" a="1"/>
  <c r="K218" i="508" s="1"/>
  <c r="V217" i="508"/>
  <c r="K217" i="508" a="1"/>
  <c r="K217" i="508" s="1"/>
  <c r="V216" i="508"/>
  <c r="K216" i="508" a="1"/>
  <c r="K216" i="508" s="1"/>
  <c r="V215" i="508"/>
  <c r="H215" i="508"/>
  <c r="K215" i="508" a="1"/>
  <c r="K215" i="508" s="1"/>
  <c r="V214" i="508"/>
  <c r="K214" i="508" a="1"/>
  <c r="K214" i="508" s="1"/>
  <c r="M214" i="508" s="1"/>
  <c r="J213" i="508" a="1"/>
  <c r="J213" i="508" s="1"/>
  <c r="H213" i="508"/>
  <c r="K213" i="508" a="1"/>
  <c r="K213" i="508" s="1"/>
  <c r="M213" i="508" s="1"/>
  <c r="V212" i="508"/>
  <c r="K212" i="508" a="1"/>
  <c r="K212" i="508" s="1"/>
  <c r="V211" i="508"/>
  <c r="K211" i="508" a="1"/>
  <c r="K211" i="508" s="1"/>
  <c r="M211" i="508" s="1"/>
  <c r="V210" i="508"/>
  <c r="K210" i="508" a="1"/>
  <c r="K210" i="508" s="1"/>
  <c r="M210" i="508" s="1"/>
  <c r="K209" i="508" a="1"/>
  <c r="K209" i="508" s="1"/>
  <c r="M209" i="508" s="1"/>
  <c r="K207" i="508" a="1"/>
  <c r="K207" i="508" s="1"/>
  <c r="M207" i="508" s="1"/>
  <c r="H206" i="508"/>
  <c r="H205" i="508"/>
  <c r="H204" i="508"/>
  <c r="V203" i="508"/>
  <c r="W203" i="508" s="1"/>
  <c r="X340" i="508"/>
  <c r="K203" i="508" a="1"/>
  <c r="K203" i="508" s="1"/>
  <c r="V202" i="508"/>
  <c r="X339" i="508"/>
  <c r="K202" i="508" a="1"/>
  <c r="K202" i="508" s="1"/>
  <c r="X338" i="508"/>
  <c r="K201" i="508" a="1"/>
  <c r="K201" i="508" s="1"/>
  <c r="H200" i="508"/>
  <c r="AA256" i="508"/>
  <c r="Z256" i="508"/>
  <c r="Y256" i="508"/>
  <c r="X256" i="508"/>
  <c r="U256" i="508"/>
  <c r="T256" i="508"/>
  <c r="S256" i="508"/>
  <c r="R256" i="508"/>
  <c r="Q256" i="508"/>
  <c r="P256" i="508"/>
  <c r="O256" i="508"/>
  <c r="I256" i="508"/>
  <c r="L557" i="508" s="1"/>
  <c r="K199" i="508" a="1"/>
  <c r="K199" i="508" s="1"/>
  <c r="X335" i="508"/>
  <c r="K197" i="508" a="1"/>
  <c r="K197" i="508" s="1"/>
  <c r="J193" i="508" a="1"/>
  <c r="J193" i="508" s="1"/>
  <c r="H193" i="508"/>
  <c r="K193" i="508" a="1"/>
  <c r="K193" i="508" s="1"/>
  <c r="M193" i="508" s="1"/>
  <c r="V192" i="508"/>
  <c r="K192" i="508" a="1"/>
  <c r="K192" i="508" s="1"/>
  <c r="K191" i="508" a="1"/>
  <c r="K191" i="508" s="1"/>
  <c r="M191" i="508" s="1"/>
  <c r="K190" i="508" a="1"/>
  <c r="K190" i="508" s="1"/>
  <c r="M190" i="508" s="1"/>
  <c r="K189" i="508" a="1"/>
  <c r="K189" i="508" s="1"/>
  <c r="M189" i="508" s="1"/>
  <c r="K188" i="508" a="1"/>
  <c r="K188" i="508" s="1"/>
  <c r="M188" i="508" s="1"/>
  <c r="J187" i="508" a="1"/>
  <c r="J187" i="508" s="1"/>
  <c r="H187" i="508"/>
  <c r="K187" i="508" a="1"/>
  <c r="K187" i="508" s="1"/>
  <c r="M187" i="508" s="1"/>
  <c r="V186" i="508"/>
  <c r="K186" i="508" a="1"/>
  <c r="K186" i="508" s="1"/>
  <c r="M186" i="508" s="1"/>
  <c r="K185" i="508" a="1"/>
  <c r="K185" i="508" s="1"/>
  <c r="M185" i="508" s="1"/>
  <c r="H183" i="508"/>
  <c r="K183" i="508" a="1"/>
  <c r="K183" i="508" s="1"/>
  <c r="M183" i="508" s="1"/>
  <c r="J182" i="508" a="1"/>
  <c r="J182" i="508" s="1"/>
  <c r="J181" i="508" a="1"/>
  <c r="J181" i="508" s="1"/>
  <c r="H181" i="508"/>
  <c r="K181" i="508" a="1"/>
  <c r="K181" i="508" s="1"/>
  <c r="M181" i="508" s="1"/>
  <c r="V180" i="508"/>
  <c r="J180" i="508" a="1"/>
  <c r="J180" i="508" s="1"/>
  <c r="J179" i="508" a="1"/>
  <c r="J179" i="508" s="1"/>
  <c r="H179" i="508"/>
  <c r="K179" i="508" a="1"/>
  <c r="K179" i="508" s="1"/>
  <c r="M179" i="508" s="1"/>
  <c r="V178" i="508"/>
  <c r="J178" i="508" a="1"/>
  <c r="J178" i="508" s="1"/>
  <c r="E169" i="508"/>
  <c r="I168" i="508"/>
  <c r="K168" i="508" s="1"/>
  <c r="M168" i="508" s="1"/>
  <c r="E168" i="508"/>
  <c r="I167" i="508"/>
  <c r="K167" i="508" s="1"/>
  <c r="M167" i="508" s="1"/>
  <c r="E167" i="508"/>
  <c r="I166" i="508"/>
  <c r="K166" i="508" s="1"/>
  <c r="M166" i="508" s="1"/>
  <c r="E166" i="508"/>
  <c r="E165" i="508"/>
  <c r="K160" i="508" a="1"/>
  <c r="K160" i="508" s="1"/>
  <c r="K159" i="508" a="1"/>
  <c r="K159" i="508" s="1"/>
  <c r="V158" i="508"/>
  <c r="W158" i="508" s="1"/>
  <c r="K158" i="508" a="1"/>
  <c r="K158" i="508" s="1"/>
  <c r="D158" i="508"/>
  <c r="K157" i="508" a="1"/>
  <c r="K157" i="508" s="1"/>
  <c r="M157" i="508" s="1"/>
  <c r="K154" i="508" a="1"/>
  <c r="K154" i="508" s="1"/>
  <c r="V153" i="508"/>
  <c r="W153" i="508" s="1"/>
  <c r="K153" i="508" a="1"/>
  <c r="K153" i="508" s="1"/>
  <c r="V151" i="508"/>
  <c r="K151" i="508" a="1"/>
  <c r="K151" i="508" s="1"/>
  <c r="M151" i="508" s="1"/>
  <c r="K150" i="508" a="1"/>
  <c r="K150" i="508" s="1"/>
  <c r="M150" i="508" s="1"/>
  <c r="K149" i="508" a="1"/>
  <c r="K149" i="508" s="1"/>
  <c r="J148" i="508" a="1"/>
  <c r="J148" i="508" s="1"/>
  <c r="V146" i="508"/>
  <c r="K146" i="508" a="1"/>
  <c r="K146" i="508" s="1"/>
  <c r="M146" i="508" s="1"/>
  <c r="V142" i="508"/>
  <c r="W142" i="508" s="1"/>
  <c r="K142" i="508" a="1"/>
  <c r="K142" i="508" s="1"/>
  <c r="V141" i="508"/>
  <c r="W141" i="508" s="1"/>
  <c r="K141" i="508" a="1"/>
  <c r="K141" i="508" s="1"/>
  <c r="V140" i="508"/>
  <c r="W140" i="508" s="1"/>
  <c r="K140" i="508" a="1"/>
  <c r="K140" i="508" s="1"/>
  <c r="V139" i="508"/>
  <c r="W139" i="508" s="1"/>
  <c r="K139" i="508" a="1"/>
  <c r="K139" i="508" s="1"/>
  <c r="Z147" i="508"/>
  <c r="X147" i="508"/>
  <c r="U147" i="508"/>
  <c r="T147" i="508"/>
  <c r="S147" i="508"/>
  <c r="Q147" i="508"/>
  <c r="P147" i="508"/>
  <c r="O147" i="508"/>
  <c r="I147" i="508"/>
  <c r="G147" i="508"/>
  <c r="K136" i="508" a="1"/>
  <c r="K136" i="508" s="1"/>
  <c r="V135" i="508"/>
  <c r="K135" i="508" a="1"/>
  <c r="K135" i="508" s="1"/>
  <c r="M135" i="508" s="1"/>
  <c r="K134" i="508" a="1"/>
  <c r="K134" i="508" s="1"/>
  <c r="M134" i="508" s="1"/>
  <c r="K132" i="508" a="1"/>
  <c r="K132" i="508" s="1"/>
  <c r="M132" i="508" s="1"/>
  <c r="K131" i="508" a="1"/>
  <c r="K131" i="508" s="1"/>
  <c r="M131" i="508" s="1"/>
  <c r="K130" i="508" a="1"/>
  <c r="K130" i="508" s="1"/>
  <c r="K129" i="508" a="1"/>
  <c r="K129" i="508" s="1"/>
  <c r="V128" i="508"/>
  <c r="K128" i="508" a="1"/>
  <c r="K128" i="508" s="1"/>
  <c r="M128" i="508" s="1"/>
  <c r="K127" i="508" a="1"/>
  <c r="K127" i="508" s="1"/>
  <c r="M127" i="508" s="1"/>
  <c r="K126" i="508" a="1"/>
  <c r="K126" i="508" s="1"/>
  <c r="K125" i="508" a="1"/>
  <c r="K125" i="508" s="1"/>
  <c r="V124" i="508"/>
  <c r="K124" i="508" a="1"/>
  <c r="K124" i="508" s="1"/>
  <c r="M124" i="508" s="1"/>
  <c r="K123" i="508" a="1"/>
  <c r="K123" i="508" s="1"/>
  <c r="M123" i="508" s="1"/>
  <c r="I137" i="508"/>
  <c r="L552" i="508" s="1"/>
  <c r="V120" i="508"/>
  <c r="W120" i="508" s="1"/>
  <c r="K120" i="508" a="1"/>
  <c r="K120" i="508" s="1"/>
  <c r="V119" i="508"/>
  <c r="W119" i="508" s="1"/>
  <c r="K119" i="508" a="1"/>
  <c r="K119" i="508" s="1"/>
  <c r="V118" i="508"/>
  <c r="W118" i="508" s="1"/>
  <c r="K118" i="508" a="1"/>
  <c r="K118" i="508" s="1"/>
  <c r="K117" i="508" a="1"/>
  <c r="K117" i="508" s="1"/>
  <c r="K116" i="508" a="1"/>
  <c r="K116" i="508" s="1"/>
  <c r="K115" i="508" a="1"/>
  <c r="K115" i="508" s="1"/>
  <c r="K114" i="508" a="1"/>
  <c r="K114" i="508" s="1"/>
  <c r="M114" i="508" s="1"/>
  <c r="K113" i="508" a="1"/>
  <c r="K113" i="508" s="1"/>
  <c r="K112" i="508" a="1"/>
  <c r="K112" i="508" s="1"/>
  <c r="M112" i="508" s="1"/>
  <c r="K111" i="508" a="1"/>
  <c r="K111" i="508" s="1"/>
  <c r="K110" i="508" a="1"/>
  <c r="K110" i="508" s="1"/>
  <c r="M110" i="508" s="1"/>
  <c r="K109" i="508" a="1"/>
  <c r="K109" i="508" s="1"/>
  <c r="K108" i="508" a="1"/>
  <c r="K108" i="508" s="1"/>
  <c r="M108" i="508" s="1"/>
  <c r="K107" i="508" a="1"/>
  <c r="K107" i="508" s="1"/>
  <c r="K106" i="508" a="1"/>
  <c r="K106" i="508" s="1"/>
  <c r="V105" i="508"/>
  <c r="K105" i="508" a="1"/>
  <c r="K105" i="508" s="1"/>
  <c r="M105" i="508" s="1"/>
  <c r="K104" i="508" a="1"/>
  <c r="K104" i="508" s="1"/>
  <c r="M104" i="508" s="1"/>
  <c r="K103" i="508" a="1"/>
  <c r="K103" i="508" s="1"/>
  <c r="K102" i="508" a="1"/>
  <c r="K102" i="508" s="1"/>
  <c r="V101" i="508"/>
  <c r="K101" i="508" a="1"/>
  <c r="K101" i="508" s="1"/>
  <c r="M101" i="508" s="1"/>
  <c r="K100" i="508" a="1"/>
  <c r="K100" i="508" s="1"/>
  <c r="M100" i="508" s="1"/>
  <c r="K99" i="508" a="1"/>
  <c r="K99" i="508" s="1"/>
  <c r="K98" i="508" a="1"/>
  <c r="K98" i="508" s="1"/>
  <c r="V97" i="508"/>
  <c r="K97" i="508" a="1"/>
  <c r="K97" i="508" s="1"/>
  <c r="M97" i="508" s="1"/>
  <c r="K96" i="508" a="1"/>
  <c r="K96" i="508" s="1"/>
  <c r="M96" i="508" s="1"/>
  <c r="K94" i="508" a="1"/>
  <c r="K94" i="508" s="1"/>
  <c r="K93" i="508" a="1"/>
  <c r="K93" i="508" s="1"/>
  <c r="M93" i="508" s="1"/>
  <c r="K91" i="508" a="1"/>
  <c r="K91" i="508" s="1"/>
  <c r="M91" i="508" s="1"/>
  <c r="K89" i="508" a="1"/>
  <c r="K89" i="508" s="1"/>
  <c r="M89" i="508" s="1"/>
  <c r="AA121" i="508"/>
  <c r="Y121" i="508"/>
  <c r="U121" i="508"/>
  <c r="S121" i="508"/>
  <c r="Q121" i="508"/>
  <c r="O121" i="508"/>
  <c r="G121" i="508"/>
  <c r="H85" i="508"/>
  <c r="H84" i="508"/>
  <c r="H83" i="508"/>
  <c r="H82" i="508"/>
  <c r="H81" i="508"/>
  <c r="H80" i="508"/>
  <c r="K79" i="508" a="1"/>
  <c r="K79" i="508" s="1"/>
  <c r="K78" i="508" a="1"/>
  <c r="K78" i="508" s="1"/>
  <c r="K77" i="508" a="1"/>
  <c r="K77" i="508" s="1"/>
  <c r="K76" i="508" a="1"/>
  <c r="K76" i="508" s="1"/>
  <c r="V75" i="508"/>
  <c r="W75" i="508" s="1"/>
  <c r="K75" i="508" a="1"/>
  <c r="K75" i="508" s="1"/>
  <c r="M75" i="508" s="1"/>
  <c r="V74" i="508"/>
  <c r="K74" i="508" a="1"/>
  <c r="K74" i="508" s="1"/>
  <c r="K73" i="508" a="1"/>
  <c r="K73" i="508" s="1"/>
  <c r="V72" i="508"/>
  <c r="K72" i="508" a="1"/>
  <c r="K72" i="508" s="1"/>
  <c r="H71" i="508"/>
  <c r="V70" i="508"/>
  <c r="J70" i="508" a="1"/>
  <c r="J70" i="508" s="1"/>
  <c r="J69" i="508" a="1"/>
  <c r="J69" i="508" s="1"/>
  <c r="H69" i="508"/>
  <c r="K69" i="508" a="1"/>
  <c r="K69" i="508" s="1"/>
  <c r="M69" i="508" s="1"/>
  <c r="K68" i="508" a="1"/>
  <c r="K68" i="508" s="1"/>
  <c r="K67" i="508" a="1"/>
  <c r="K67" i="508" s="1"/>
  <c r="H67" i="508"/>
  <c r="V66" i="508"/>
  <c r="J66" i="508" a="1"/>
  <c r="J66" i="508" s="1"/>
  <c r="J65" i="508" a="1"/>
  <c r="J65" i="508" s="1"/>
  <c r="H65" i="508"/>
  <c r="K65" i="508" a="1"/>
  <c r="K65" i="508" s="1"/>
  <c r="M65" i="508" s="1"/>
  <c r="V64" i="508"/>
  <c r="J64" i="508" a="1"/>
  <c r="J64" i="508" s="1"/>
  <c r="J63" i="508" a="1"/>
  <c r="J63" i="508" s="1"/>
  <c r="H63" i="508"/>
  <c r="K63" i="508" a="1"/>
  <c r="K63" i="508" s="1"/>
  <c r="M63" i="508" s="1"/>
  <c r="V62" i="508"/>
  <c r="J62" i="508" a="1"/>
  <c r="J62" i="508" s="1"/>
  <c r="J61" i="508" a="1"/>
  <c r="J61" i="508" s="1"/>
  <c r="H61" i="508"/>
  <c r="K61" i="508" a="1"/>
  <c r="K61" i="508" s="1"/>
  <c r="M61" i="508" s="1"/>
  <c r="V60" i="508"/>
  <c r="J60" i="508" a="1"/>
  <c r="J60" i="508" s="1"/>
  <c r="J59" i="508" a="1"/>
  <c r="J59" i="508" s="1"/>
  <c r="H59" i="508"/>
  <c r="K59" i="508" a="1"/>
  <c r="K59" i="508" s="1"/>
  <c r="M59" i="508" s="1"/>
  <c r="V58" i="508"/>
  <c r="J58" i="508" a="1"/>
  <c r="J58" i="508" s="1"/>
  <c r="J57" i="508" a="1"/>
  <c r="J57" i="508" s="1"/>
  <c r="H57" i="508"/>
  <c r="K57" i="508" a="1"/>
  <c r="K57" i="508" s="1"/>
  <c r="M57" i="508" s="1"/>
  <c r="K56" i="508" a="1"/>
  <c r="K56" i="508" s="1"/>
  <c r="M56" i="508" s="1"/>
  <c r="H56" i="508"/>
  <c r="K55" i="508" a="1"/>
  <c r="K55" i="508" s="1"/>
  <c r="M55" i="508" s="1"/>
  <c r="H55" i="508"/>
  <c r="K54" i="508" a="1"/>
  <c r="K54" i="508" s="1"/>
  <c r="M54" i="508" s="1"/>
  <c r="H54" i="508"/>
  <c r="K53" i="508" a="1"/>
  <c r="K53" i="508" s="1"/>
  <c r="M53" i="508" s="1"/>
  <c r="H53" i="508"/>
  <c r="K52" i="508" a="1"/>
  <c r="K52" i="508" s="1"/>
  <c r="M52" i="508" s="1"/>
  <c r="K51" i="508" a="1"/>
  <c r="K51" i="508" s="1"/>
  <c r="M51" i="508" s="1"/>
  <c r="H51" i="508"/>
  <c r="K50" i="508" a="1"/>
  <c r="K50" i="508" s="1"/>
  <c r="M50" i="508" s="1"/>
  <c r="K49" i="508" a="1"/>
  <c r="K49" i="508" s="1"/>
  <c r="M49" i="508" s="1"/>
  <c r="H49" i="508"/>
  <c r="V48" i="508"/>
  <c r="J47" i="508" a="1"/>
  <c r="J47" i="508" s="1"/>
  <c r="H47" i="508"/>
  <c r="K47" i="508" a="1"/>
  <c r="K47" i="508" s="1"/>
  <c r="M47" i="508" s="1"/>
  <c r="V46" i="508"/>
  <c r="J45" i="508" a="1"/>
  <c r="J45" i="508" s="1"/>
  <c r="H45" i="508"/>
  <c r="K45" i="508" a="1"/>
  <c r="K45" i="508" s="1"/>
  <c r="M45" i="508" s="1"/>
  <c r="V44" i="508"/>
  <c r="J43" i="508" a="1"/>
  <c r="J43" i="508" s="1"/>
  <c r="H43" i="508"/>
  <c r="K43" i="508" a="1"/>
  <c r="K43" i="508" s="1"/>
  <c r="M43" i="508" s="1"/>
  <c r="V42" i="508"/>
  <c r="J41" i="508" a="1"/>
  <c r="J41" i="508" s="1"/>
  <c r="H41" i="508"/>
  <c r="K41" i="508" a="1"/>
  <c r="K41" i="508" s="1"/>
  <c r="M41" i="508" s="1"/>
  <c r="V40" i="508"/>
  <c r="K40" i="508" a="1"/>
  <c r="K40" i="508" s="1"/>
  <c r="M40" i="508" s="1"/>
  <c r="V38" i="508"/>
  <c r="W38" i="508" s="1"/>
  <c r="K38" i="508" a="1"/>
  <c r="K38" i="508" s="1"/>
  <c r="H38" i="508"/>
  <c r="V37" i="508"/>
  <c r="K37" i="508" a="1"/>
  <c r="K37" i="508" s="1"/>
  <c r="M37" i="508" s="1"/>
  <c r="H36" i="508"/>
  <c r="H35" i="508"/>
  <c r="H34" i="508"/>
  <c r="V33" i="508"/>
  <c r="X170" i="508"/>
  <c r="K33" i="508" a="1"/>
  <c r="K33" i="508" s="1"/>
  <c r="X169" i="508"/>
  <c r="K32" i="508" a="1"/>
  <c r="K32" i="508" s="1"/>
  <c r="V31" i="508"/>
  <c r="X168" i="508"/>
  <c r="K31" i="508" a="1"/>
  <c r="K31" i="508" s="1"/>
  <c r="K30" i="508" a="1"/>
  <c r="K30" i="508" s="1"/>
  <c r="Z86" i="508"/>
  <c r="X86" i="508"/>
  <c r="T86" i="508"/>
  <c r="R86" i="508"/>
  <c r="I86" i="508"/>
  <c r="L550" i="508" s="1"/>
  <c r="V27" i="508"/>
  <c r="X165" i="508"/>
  <c r="K27" i="508" a="1"/>
  <c r="K27" i="508" s="1"/>
  <c r="K26" i="508" a="1"/>
  <c r="K26" i="508" s="1"/>
  <c r="K25" i="508" a="1"/>
  <c r="K25" i="508" s="1"/>
  <c r="M25" i="508" s="1"/>
  <c r="V24" i="508"/>
  <c r="K24" i="508" a="1"/>
  <c r="K24" i="508" s="1"/>
  <c r="K23" i="508" a="1"/>
  <c r="K23" i="508" s="1"/>
  <c r="K22" i="508" a="1"/>
  <c r="K22" i="508" s="1"/>
  <c r="V21" i="508"/>
  <c r="K21" i="508" a="1"/>
  <c r="K21" i="508" s="1"/>
  <c r="K20" i="508" a="1"/>
  <c r="K20" i="508" s="1"/>
  <c r="V19" i="508"/>
  <c r="K19" i="508" a="1"/>
  <c r="K19" i="508" s="1"/>
  <c r="V18" i="508"/>
  <c r="W18" i="508" s="1"/>
  <c r="K18" i="508" a="1"/>
  <c r="K18" i="508" s="1"/>
  <c r="V17" i="508"/>
  <c r="K17" i="508" a="1"/>
  <c r="K17" i="508" s="1"/>
  <c r="K16" i="508" a="1"/>
  <c r="K16" i="508" s="1"/>
  <c r="V15" i="508"/>
  <c r="K15" i="508" a="1"/>
  <c r="K15" i="508" s="1"/>
  <c r="V14" i="508"/>
  <c r="W14" i="508" s="1"/>
  <c r="K14" i="508" a="1"/>
  <c r="K14" i="508" s="1"/>
  <c r="V13" i="508"/>
  <c r="K13" i="508" a="1"/>
  <c r="K13" i="508" s="1"/>
  <c r="K12" i="508" a="1"/>
  <c r="K12" i="508" s="1"/>
  <c r="V11" i="508"/>
  <c r="K11" i="508" a="1"/>
  <c r="K11" i="508" s="1"/>
  <c r="V10" i="508"/>
  <c r="W10" i="508" s="1"/>
  <c r="K10" i="508" a="1"/>
  <c r="K10" i="508" s="1"/>
  <c r="K9" i="508" a="1"/>
  <c r="K9" i="508" s="1"/>
  <c r="V8" i="508"/>
  <c r="K8" i="508" a="1"/>
  <c r="K8" i="508" s="1"/>
  <c r="Z28" i="508"/>
  <c r="X28" i="508"/>
  <c r="U28" i="508"/>
  <c r="S28" i="508"/>
  <c r="Q28" i="508"/>
  <c r="O28" i="508"/>
  <c r="J7" i="508"/>
  <c r="H7" i="508"/>
  <c r="K477" i="508" l="1"/>
  <c r="J487" i="508" a="1"/>
  <c r="J487" i="508" s="1"/>
  <c r="G28" i="508"/>
  <c r="I28" i="508"/>
  <c r="P28" i="508"/>
  <c r="R28" i="508"/>
  <c r="T28" i="508"/>
  <c r="V7" i="508"/>
  <c r="Y28" i="508"/>
  <c r="AA28" i="508"/>
  <c r="V9" i="508"/>
  <c r="W9" i="508" s="1"/>
  <c r="V12" i="508"/>
  <c r="W12" i="508" s="1"/>
  <c r="V16" i="508"/>
  <c r="W16" i="508" s="1"/>
  <c r="V20" i="508"/>
  <c r="W20" i="508" s="1"/>
  <c r="V22" i="508"/>
  <c r="M23" i="508"/>
  <c r="V23" i="508"/>
  <c r="H25" i="508"/>
  <c r="V26" i="508"/>
  <c r="W26" i="508" s="1"/>
  <c r="G86" i="508"/>
  <c r="O86" i="508"/>
  <c r="V32" i="508"/>
  <c r="W32" i="508" s="1"/>
  <c r="H37" i="508"/>
  <c r="J38" i="508" a="1"/>
  <c r="J38" i="508" s="1"/>
  <c r="J39" i="508" a="1"/>
  <c r="J39" i="508" s="1"/>
  <c r="V39" i="508"/>
  <c r="H40" i="508"/>
  <c r="H50" i="508"/>
  <c r="H52" i="508"/>
  <c r="M73" i="508"/>
  <c r="V73" i="508"/>
  <c r="W73" i="508" s="1"/>
  <c r="I121" i="508"/>
  <c r="L551" i="508" s="1"/>
  <c r="P121" i="508"/>
  <c r="R121" i="508"/>
  <c r="T121" i="508"/>
  <c r="X121" i="508"/>
  <c r="Z121" i="508"/>
  <c r="J88" i="508" a="1"/>
  <c r="J88" i="508" s="1"/>
  <c r="V88" i="508"/>
  <c r="J90" i="508" a="1"/>
  <c r="J90" i="508" s="1"/>
  <c r="V90" i="508"/>
  <c r="J92" i="508" a="1"/>
  <c r="J92" i="508" s="1"/>
  <c r="V92" i="508"/>
  <c r="V95" i="508"/>
  <c r="W95" i="508" s="1"/>
  <c r="M98" i="508"/>
  <c r="J98" i="508" a="1"/>
  <c r="J98" i="508" s="1"/>
  <c r="M99" i="508"/>
  <c r="V99" i="508"/>
  <c r="M102" i="508"/>
  <c r="J102" i="508" a="1"/>
  <c r="J102" i="508" s="1"/>
  <c r="M103" i="508"/>
  <c r="V103" i="508"/>
  <c r="M106" i="508"/>
  <c r="J106" i="508" a="1"/>
  <c r="J106" i="508" s="1"/>
  <c r="M107" i="508"/>
  <c r="M109" i="508"/>
  <c r="M111" i="508"/>
  <c r="M113" i="508"/>
  <c r="V113" i="508"/>
  <c r="G137" i="508"/>
  <c r="V122" i="508"/>
  <c r="M125" i="508"/>
  <c r="J125" i="508" a="1"/>
  <c r="J125" i="508" s="1"/>
  <c r="M126" i="508"/>
  <c r="V126" i="508"/>
  <c r="M129" i="508"/>
  <c r="J129" i="508" a="1"/>
  <c r="J129" i="508" s="1"/>
  <c r="M130" i="508"/>
  <c r="V130" i="508"/>
  <c r="J133" i="508" a="1"/>
  <c r="J133" i="508" s="1"/>
  <c r="V133" i="508"/>
  <c r="M136" i="508"/>
  <c r="J136" i="508" a="1"/>
  <c r="J136" i="508" s="1"/>
  <c r="V138" i="508"/>
  <c r="V147" i="508" s="1"/>
  <c r="Y147" i="508"/>
  <c r="AA147" i="508"/>
  <c r="P162" i="508"/>
  <c r="R162" i="508"/>
  <c r="T162" i="508"/>
  <c r="X162" i="508"/>
  <c r="Z162" i="508"/>
  <c r="M149" i="508"/>
  <c r="V149" i="508"/>
  <c r="V154" i="508"/>
  <c r="W154" i="508" s="1"/>
  <c r="C169" i="508"/>
  <c r="G169" i="508"/>
  <c r="J184" i="508" a="1"/>
  <c r="J184" i="508" s="1"/>
  <c r="V184" i="508"/>
  <c r="V185" i="508"/>
  <c r="V209" i="508"/>
  <c r="W215" i="508"/>
  <c r="W218" i="508"/>
  <c r="W230" i="508"/>
  <c r="W234" i="508"/>
  <c r="V236" i="508"/>
  <c r="W236" i="508" s="1"/>
  <c r="V243" i="508"/>
  <c r="W243" i="508" s="1"/>
  <c r="V245" i="508"/>
  <c r="W245" i="508" s="1"/>
  <c r="Y291" i="508"/>
  <c r="AA291" i="508"/>
  <c r="M258" i="508"/>
  <c r="V258" i="508"/>
  <c r="W258" i="508" s="1"/>
  <c r="M260" i="508"/>
  <c r="V260" i="508"/>
  <c r="W260" i="508" s="1"/>
  <c r="M262" i="508"/>
  <c r="V262" i="508"/>
  <c r="W262" i="508" s="1"/>
  <c r="M264" i="508"/>
  <c r="N265" i="508"/>
  <c r="N267" i="508"/>
  <c r="N269" i="508"/>
  <c r="N272" i="508"/>
  <c r="N274" i="508"/>
  <c r="N276" i="508"/>
  <c r="V283" i="508"/>
  <c r="W283" i="508" s="1"/>
  <c r="V288" i="508"/>
  <c r="W288" i="508" s="1"/>
  <c r="V290" i="508"/>
  <c r="W290" i="508" s="1"/>
  <c r="AA307" i="508"/>
  <c r="J294" i="508" a="1"/>
  <c r="J294" i="508" s="1"/>
  <c r="J296" i="508" a="1"/>
  <c r="J296" i="508" s="1"/>
  <c r="J298" i="508" a="1"/>
  <c r="J298" i="508" s="1"/>
  <c r="V300" i="508"/>
  <c r="N303" i="508"/>
  <c r="N305" i="508"/>
  <c r="H309" i="508"/>
  <c r="J309" i="508" a="1"/>
  <c r="J309" i="508" s="1"/>
  <c r="N310" i="508"/>
  <c r="V310" i="508"/>
  <c r="W310" i="508" s="1"/>
  <c r="H311" i="508"/>
  <c r="J311" i="508" a="1"/>
  <c r="J311" i="508" s="1"/>
  <c r="N312" i="508"/>
  <c r="V312" i="508"/>
  <c r="W312" i="508" s="1"/>
  <c r="I332" i="508"/>
  <c r="L560" i="508" s="1"/>
  <c r="X332" i="508"/>
  <c r="Z332" i="508"/>
  <c r="V320" i="508"/>
  <c r="W320" i="508" s="1"/>
  <c r="V324" i="508"/>
  <c r="W324" i="508" s="1"/>
  <c r="H328" i="508"/>
  <c r="C339" i="508"/>
  <c r="G339" i="508"/>
  <c r="I368" i="508"/>
  <c r="X368" i="508"/>
  <c r="Z368" i="508"/>
  <c r="N348" i="508"/>
  <c r="V348" i="508"/>
  <c r="H349" i="508"/>
  <c r="J349" i="508" a="1"/>
  <c r="J349" i="508" s="1"/>
  <c r="N350" i="508"/>
  <c r="N352" i="508"/>
  <c r="N354" i="508"/>
  <c r="N356" i="508"/>
  <c r="N360" i="508"/>
  <c r="N362" i="508"/>
  <c r="N369" i="508"/>
  <c r="S426" i="508"/>
  <c r="U426" i="508"/>
  <c r="Y426" i="508"/>
  <c r="AA426" i="508"/>
  <c r="H370" i="508"/>
  <c r="H371" i="508"/>
  <c r="J371" i="508" a="1"/>
  <c r="J371" i="508" s="1"/>
  <c r="V372" i="508"/>
  <c r="W372" i="508" s="1"/>
  <c r="H373" i="508"/>
  <c r="J373" i="508" a="1"/>
  <c r="J373" i="508" s="1"/>
  <c r="N377" i="508"/>
  <c r="V377" i="508"/>
  <c r="W377" i="508" s="1"/>
  <c r="H378" i="508"/>
  <c r="J378" i="508" a="1"/>
  <c r="J378" i="508" s="1"/>
  <c r="N379" i="508"/>
  <c r="V379" i="508"/>
  <c r="W379" i="508" s="1"/>
  <c r="H380" i="508"/>
  <c r="J380" i="508" a="1"/>
  <c r="J380" i="508" s="1"/>
  <c r="N381" i="508"/>
  <c r="V381" i="508"/>
  <c r="H382" i="508"/>
  <c r="J382" i="508" a="1"/>
  <c r="J382" i="508" s="1"/>
  <c r="N383" i="508"/>
  <c r="V383" i="508"/>
  <c r="W383" i="508" s="1"/>
  <c r="H384" i="508"/>
  <c r="J384" i="508" a="1"/>
  <c r="J384" i="508" s="1"/>
  <c r="N385" i="508"/>
  <c r="V385" i="508"/>
  <c r="W385" i="508" s="1"/>
  <c r="H386" i="508"/>
  <c r="J386" i="508" a="1"/>
  <c r="J386" i="508" s="1"/>
  <c r="N387" i="508"/>
  <c r="V387" i="508"/>
  <c r="W387" i="508" s="1"/>
  <c r="H388" i="508"/>
  <c r="J388" i="508" a="1"/>
  <c r="J388" i="508" s="1"/>
  <c r="M390" i="508"/>
  <c r="N390" i="508"/>
  <c r="H391" i="508"/>
  <c r="J398" i="508" a="1"/>
  <c r="J398" i="508" s="1"/>
  <c r="J400" i="508" a="1"/>
  <c r="J400" i="508" s="1"/>
  <c r="J402" i="508" a="1"/>
  <c r="J402" i="508" s="1"/>
  <c r="J404" i="508" a="1"/>
  <c r="J404" i="508" s="1"/>
  <c r="J406" i="508" a="1"/>
  <c r="J406" i="508" s="1"/>
  <c r="N410" i="508"/>
  <c r="N412" i="508"/>
  <c r="N414" i="508"/>
  <c r="N428" i="508"/>
  <c r="N430" i="508"/>
  <c r="N434" i="508"/>
  <c r="V435" i="508"/>
  <c r="W435" i="508" s="1"/>
  <c r="V437" i="508"/>
  <c r="W437" i="508" s="1"/>
  <c r="V439" i="508"/>
  <c r="W439" i="508" s="1"/>
  <c r="V441" i="508"/>
  <c r="W441" i="508" s="1"/>
  <c r="V443" i="508"/>
  <c r="W443" i="508" s="1"/>
  <c r="V445" i="508"/>
  <c r="W445" i="508" s="1"/>
  <c r="N448" i="508"/>
  <c r="N450" i="508"/>
  <c r="N452" i="508"/>
  <c r="V453" i="508"/>
  <c r="W453" i="508" s="1"/>
  <c r="N454" i="508"/>
  <c r="V454" i="508"/>
  <c r="W454" i="508" s="1"/>
  <c r="H455" i="508"/>
  <c r="H458" i="508"/>
  <c r="J458" i="508" a="1"/>
  <c r="J458" i="508" s="1"/>
  <c r="V458" i="508"/>
  <c r="W458" i="508" s="1"/>
  <c r="H459" i="508"/>
  <c r="J459" i="508" a="1"/>
  <c r="J459" i="508" s="1"/>
  <c r="J460" i="508" a="1"/>
  <c r="J460" i="508" s="1"/>
  <c r="N463" i="508"/>
  <c r="N465" i="508"/>
  <c r="N467" i="508"/>
  <c r="W480" i="508"/>
  <c r="N489" i="508"/>
  <c r="N491" i="508"/>
  <c r="N495" i="508"/>
  <c r="V498" i="508"/>
  <c r="W498" i="508" s="1"/>
  <c r="H499" i="508"/>
  <c r="J96" i="508" a="1"/>
  <c r="J96" i="508" s="1"/>
  <c r="J100" i="508" a="1"/>
  <c r="J100" i="508" s="1"/>
  <c r="J104" i="508" a="1"/>
  <c r="J104" i="508" s="1"/>
  <c r="J114" i="508" a="1"/>
  <c r="J114" i="508" s="1"/>
  <c r="J123" i="508" a="1"/>
  <c r="J123" i="508" s="1"/>
  <c r="J127" i="508" a="1"/>
  <c r="J127" i="508" s="1"/>
  <c r="J131" i="508" a="1"/>
  <c r="J131" i="508" s="1"/>
  <c r="J134" i="508" a="1"/>
  <c r="J134" i="508" s="1"/>
  <c r="J150" i="508" a="1"/>
  <c r="J150" i="508" s="1"/>
  <c r="J157" i="508" a="1"/>
  <c r="J157" i="508" s="1"/>
  <c r="V182" i="508"/>
  <c r="V188" i="508"/>
  <c r="W188" i="508" s="1"/>
  <c r="H189" i="508"/>
  <c r="J189" i="508" a="1"/>
  <c r="J189" i="508" s="1"/>
  <c r="V190" i="508"/>
  <c r="H191" i="508"/>
  <c r="J191" i="508" a="1"/>
  <c r="J191" i="508" s="1"/>
  <c r="M192" i="508"/>
  <c r="R336" i="508"/>
  <c r="V201" i="508"/>
  <c r="W201" i="508" s="1"/>
  <c r="H207" i="508"/>
  <c r="J207" i="508" a="1"/>
  <c r="J207" i="508" s="1"/>
  <c r="J208" i="508" a="1"/>
  <c r="J208" i="508" s="1"/>
  <c r="V208" i="508"/>
  <c r="M212" i="508"/>
  <c r="W228" i="508"/>
  <c r="W232" i="508"/>
  <c r="W309" i="508"/>
  <c r="W311" i="508"/>
  <c r="K328" i="508" a="1"/>
  <c r="K328" i="508" s="1"/>
  <c r="W349" i="508"/>
  <c r="W371" i="508"/>
  <c r="W373" i="508"/>
  <c r="W378" i="508"/>
  <c r="W380" i="508"/>
  <c r="W382" i="508"/>
  <c r="W384" i="508"/>
  <c r="W386" i="508"/>
  <c r="W410" i="508"/>
  <c r="W412" i="508"/>
  <c r="W414" i="508"/>
  <c r="M417" i="508"/>
  <c r="M419" i="508"/>
  <c r="W428" i="508"/>
  <c r="W430" i="508"/>
  <c r="M455" i="508"/>
  <c r="W463" i="508"/>
  <c r="W465" i="508"/>
  <c r="M467" i="508"/>
  <c r="W467" i="508"/>
  <c r="M469" i="508"/>
  <c r="V469" i="508"/>
  <c r="W469" i="508" s="1"/>
  <c r="M471" i="508"/>
  <c r="V471" i="508"/>
  <c r="W471" i="508" s="1"/>
  <c r="M473" i="508"/>
  <c r="V473" i="508"/>
  <c r="W473" i="508" s="1"/>
  <c r="M475" i="508"/>
  <c r="V475" i="508"/>
  <c r="W475" i="508" s="1"/>
  <c r="H478" i="508"/>
  <c r="J478" i="508" a="1"/>
  <c r="J478" i="508" s="1"/>
  <c r="N479" i="508"/>
  <c r="V479" i="508"/>
  <c r="W479" i="508" s="1"/>
  <c r="H480" i="508"/>
  <c r="J480" i="508" a="1"/>
  <c r="J480" i="508" s="1"/>
  <c r="N481" i="508"/>
  <c r="V481" i="508"/>
  <c r="W481" i="508" s="1"/>
  <c r="H482" i="508"/>
  <c r="J482" i="508" a="1"/>
  <c r="J482" i="508" s="1"/>
  <c r="C510" i="508"/>
  <c r="G368" i="508"/>
  <c r="N347" i="508"/>
  <c r="P368" i="508"/>
  <c r="P504" i="508" s="1"/>
  <c r="R368" i="508"/>
  <c r="R504" i="508" s="1"/>
  <c r="T368" i="508"/>
  <c r="T504" i="508" s="1"/>
  <c r="V347" i="508"/>
  <c r="Y368" i="508"/>
  <c r="Y504" i="508" s="1"/>
  <c r="AA368" i="508"/>
  <c r="M349" i="508"/>
  <c r="K369" i="508" a="1"/>
  <c r="K369" i="508" s="1"/>
  <c r="W381" i="508"/>
  <c r="K381" i="508" a="1"/>
  <c r="K381" i="508" s="1"/>
  <c r="M381" i="508" s="1"/>
  <c r="N389" i="508"/>
  <c r="H390" i="508"/>
  <c r="N391" i="508"/>
  <c r="H392" i="508"/>
  <c r="K397" i="508" a="1"/>
  <c r="K397" i="508" s="1"/>
  <c r="M397" i="508" s="1"/>
  <c r="K398" i="508" a="1"/>
  <c r="K398" i="508" s="1"/>
  <c r="M398" i="508" s="1"/>
  <c r="K399" i="508" a="1"/>
  <c r="K399" i="508" s="1"/>
  <c r="M399" i="508" s="1"/>
  <c r="K400" i="508" a="1"/>
  <c r="K400" i="508" s="1"/>
  <c r="M400" i="508" s="1"/>
  <c r="K401" i="508" a="1"/>
  <c r="K401" i="508" s="1"/>
  <c r="M401" i="508" s="1"/>
  <c r="K402" i="508" a="1"/>
  <c r="K402" i="508" s="1"/>
  <c r="M402" i="508" s="1"/>
  <c r="K403" i="508" a="1"/>
  <c r="K403" i="508" s="1"/>
  <c r="M403" i="508" s="1"/>
  <c r="K404" i="508" a="1"/>
  <c r="K404" i="508" s="1"/>
  <c r="M404" i="508" s="1"/>
  <c r="K405" i="508" a="1"/>
  <c r="K405" i="508" s="1"/>
  <c r="M405" i="508" s="1"/>
  <c r="K406" i="508" a="1"/>
  <c r="K406" i="508" s="1"/>
  <c r="M406" i="508" s="1"/>
  <c r="W409" i="508"/>
  <c r="W413" i="508"/>
  <c r="W415" i="508"/>
  <c r="W429" i="508"/>
  <c r="W431" i="508"/>
  <c r="W433" i="508"/>
  <c r="W348" i="508"/>
  <c r="W351" i="508"/>
  <c r="W353" i="508"/>
  <c r="W355" i="508"/>
  <c r="W359" i="508"/>
  <c r="W361" i="508"/>
  <c r="W367" i="508"/>
  <c r="W388" i="508"/>
  <c r="H395" i="508"/>
  <c r="H397" i="508"/>
  <c r="V397" i="508"/>
  <c r="W397" i="508" s="1"/>
  <c r="H398" i="508"/>
  <c r="N398" i="508"/>
  <c r="V398" i="508"/>
  <c r="W398" i="508" s="1"/>
  <c r="H399" i="508"/>
  <c r="N399" i="508"/>
  <c r="V399" i="508"/>
  <c r="W399" i="508" s="1"/>
  <c r="H400" i="508"/>
  <c r="N400" i="508"/>
  <c r="V400" i="508"/>
  <c r="W400" i="508" s="1"/>
  <c r="H401" i="508"/>
  <c r="N401" i="508"/>
  <c r="V401" i="508"/>
  <c r="W401" i="508" s="1"/>
  <c r="H402" i="508"/>
  <c r="N402" i="508"/>
  <c r="V402" i="508"/>
  <c r="W402" i="508" s="1"/>
  <c r="H403" i="508"/>
  <c r="N403" i="508"/>
  <c r="V403" i="508"/>
  <c r="W403" i="508" s="1"/>
  <c r="H404" i="508"/>
  <c r="N404" i="508"/>
  <c r="V404" i="508"/>
  <c r="W404" i="508" s="1"/>
  <c r="H405" i="508"/>
  <c r="N405" i="508"/>
  <c r="V405" i="508"/>
  <c r="W405" i="508" s="1"/>
  <c r="H406" i="508"/>
  <c r="N406" i="508"/>
  <c r="V406" i="508"/>
  <c r="W406" i="508" s="1"/>
  <c r="H407" i="508"/>
  <c r="M409" i="508"/>
  <c r="M413" i="508"/>
  <c r="M415" i="508"/>
  <c r="H417" i="508"/>
  <c r="H419" i="508"/>
  <c r="H424" i="508"/>
  <c r="I461" i="508"/>
  <c r="X512" i="508"/>
  <c r="N432" i="508"/>
  <c r="W436" i="508"/>
  <c r="M457" i="508"/>
  <c r="W438" i="508"/>
  <c r="W440" i="508"/>
  <c r="W442" i="508"/>
  <c r="W444" i="508"/>
  <c r="W446" i="508"/>
  <c r="K460" i="508" a="1"/>
  <c r="K460" i="508" s="1"/>
  <c r="M460" i="508" s="1"/>
  <c r="N477" i="508"/>
  <c r="W464" i="508"/>
  <c r="W466" i="508"/>
  <c r="W468" i="508"/>
  <c r="W470" i="508"/>
  <c r="W472" i="508"/>
  <c r="W474" i="508"/>
  <c r="W476" i="508"/>
  <c r="W482" i="508"/>
  <c r="W486" i="508"/>
  <c r="M494" i="508"/>
  <c r="M498" i="508"/>
  <c r="X461" i="508"/>
  <c r="Z461" i="508"/>
  <c r="M429" i="508"/>
  <c r="M431" i="508"/>
  <c r="M433" i="508"/>
  <c r="M436" i="508"/>
  <c r="M438" i="508"/>
  <c r="M440" i="508"/>
  <c r="M442" i="508"/>
  <c r="M444" i="508"/>
  <c r="M446" i="508"/>
  <c r="H456" i="508"/>
  <c r="H457" i="508"/>
  <c r="N458" i="508"/>
  <c r="N459" i="508"/>
  <c r="V459" i="508"/>
  <c r="W459" i="508" s="1"/>
  <c r="H460" i="508"/>
  <c r="N460" i="508"/>
  <c r="V460" i="508"/>
  <c r="W460" i="508" s="1"/>
  <c r="O477" i="508"/>
  <c r="Q477" i="508"/>
  <c r="Q504" i="508" s="1"/>
  <c r="S477" i="508"/>
  <c r="S504" i="508" s="1"/>
  <c r="U477" i="508"/>
  <c r="U504" i="508" s="1"/>
  <c r="X477" i="508"/>
  <c r="Z477" i="508"/>
  <c r="K478" i="508" a="1"/>
  <c r="K478" i="508" s="1"/>
  <c r="M486" i="508"/>
  <c r="V503" i="508"/>
  <c r="W490" i="508"/>
  <c r="W494" i="508"/>
  <c r="K178" i="508" a="1"/>
  <c r="K178" i="508" s="1"/>
  <c r="M178" i="508" s="1"/>
  <c r="W178" i="508"/>
  <c r="K180" i="508" a="1"/>
  <c r="K180" i="508" s="1"/>
  <c r="M180" i="508" s="1"/>
  <c r="W180" i="508"/>
  <c r="K182" i="508" a="1"/>
  <c r="K182" i="508" s="1"/>
  <c r="M182" i="508" s="1"/>
  <c r="W182" i="508"/>
  <c r="J183" i="508" a="1"/>
  <c r="J183" i="508" s="1"/>
  <c r="K184" i="508" a="1"/>
  <c r="K184" i="508" s="1"/>
  <c r="M184" i="508" s="1"/>
  <c r="W184" i="508"/>
  <c r="I198" i="508"/>
  <c r="O198" i="508"/>
  <c r="Q198" i="508"/>
  <c r="S198" i="508"/>
  <c r="U198" i="508"/>
  <c r="Y198" i="508"/>
  <c r="Y333" i="508" s="1"/>
  <c r="AA198" i="508"/>
  <c r="AA333" i="508" s="1"/>
  <c r="H178" i="508"/>
  <c r="V179" i="508"/>
  <c r="W179" i="508" s="1"/>
  <c r="H180" i="508"/>
  <c r="V181" i="508"/>
  <c r="W181" i="508" s="1"/>
  <c r="H182" i="508"/>
  <c r="V183" i="508"/>
  <c r="W183" i="508" s="1"/>
  <c r="H184" i="508"/>
  <c r="G198" i="508"/>
  <c r="P198" i="508"/>
  <c r="R198" i="508"/>
  <c r="R333" i="508" s="1"/>
  <c r="T198" i="508"/>
  <c r="T333" i="508" s="1"/>
  <c r="X198" i="508"/>
  <c r="Z198" i="508"/>
  <c r="H186" i="508"/>
  <c r="J186" i="508" a="1"/>
  <c r="J186" i="508" s="1"/>
  <c r="V187" i="508"/>
  <c r="W187" i="508" s="1"/>
  <c r="H188" i="508"/>
  <c r="J188" i="508" a="1"/>
  <c r="J188" i="508" s="1"/>
  <c r="V189" i="508"/>
  <c r="W189" i="508" s="1"/>
  <c r="H190" i="508"/>
  <c r="J190" i="508" a="1"/>
  <c r="J190" i="508" s="1"/>
  <c r="V191" i="508"/>
  <c r="W191" i="508" s="1"/>
  <c r="H192" i="508"/>
  <c r="J192" i="508" a="1"/>
  <c r="J192" i="508" s="1"/>
  <c r="V193" i="508"/>
  <c r="W193" i="508" s="1"/>
  <c r="W186" i="508"/>
  <c r="W190" i="508"/>
  <c r="W192" i="508"/>
  <c r="H199" i="508"/>
  <c r="J199" i="508" a="1"/>
  <c r="J199" i="508" s="1"/>
  <c r="W202" i="508"/>
  <c r="K208" i="508" a="1"/>
  <c r="K208" i="508" s="1"/>
  <c r="M208" i="508" s="1"/>
  <c r="W208" i="508"/>
  <c r="H209" i="508"/>
  <c r="J209" i="508" a="1"/>
  <c r="J209" i="508" s="1"/>
  <c r="M202" i="508"/>
  <c r="V207" i="508"/>
  <c r="W207" i="508" s="1"/>
  <c r="H208" i="508"/>
  <c r="W209" i="508"/>
  <c r="N291" i="508"/>
  <c r="W257" i="508"/>
  <c r="W259" i="508"/>
  <c r="W261" i="508"/>
  <c r="W263" i="508"/>
  <c r="W266" i="508"/>
  <c r="W268" i="508"/>
  <c r="W270" i="508"/>
  <c r="W271" i="508"/>
  <c r="I291" i="508"/>
  <c r="L558" i="508" s="1"/>
  <c r="O291" i="508"/>
  <c r="Q291" i="508"/>
  <c r="Q333" i="508" s="1"/>
  <c r="S291" i="508"/>
  <c r="S333" i="508" s="1"/>
  <c r="U291" i="508"/>
  <c r="U333" i="508" s="1"/>
  <c r="X291" i="508"/>
  <c r="Z291" i="508"/>
  <c r="W273" i="508"/>
  <c r="W275" i="508"/>
  <c r="W284" i="508"/>
  <c r="W289" i="508"/>
  <c r="K292" i="508" a="1"/>
  <c r="K292" i="508" s="1"/>
  <c r="K293" i="508" a="1"/>
  <c r="K293" i="508" s="1"/>
  <c r="M293" i="508" s="1"/>
  <c r="K294" i="508" a="1"/>
  <c r="K294" i="508" s="1"/>
  <c r="M294" i="508" s="1"/>
  <c r="K295" i="508" a="1"/>
  <c r="K295" i="508" s="1"/>
  <c r="M295" i="508" s="1"/>
  <c r="K296" i="508" a="1"/>
  <c r="K296" i="508" s="1"/>
  <c r="M296" i="508" s="1"/>
  <c r="K297" i="508" a="1"/>
  <c r="K297" i="508" s="1"/>
  <c r="M297" i="508" s="1"/>
  <c r="K298" i="508" a="1"/>
  <c r="K298" i="508" s="1"/>
  <c r="M298" i="508" s="1"/>
  <c r="K299" i="508" a="1"/>
  <c r="K299" i="508" s="1"/>
  <c r="M299" i="508" s="1"/>
  <c r="W300" i="508"/>
  <c r="W306" i="508"/>
  <c r="W316" i="508"/>
  <c r="W319" i="508"/>
  <c r="W321" i="508"/>
  <c r="W323" i="508"/>
  <c r="M328" i="508"/>
  <c r="M271" i="508"/>
  <c r="M273" i="508"/>
  <c r="M275" i="508"/>
  <c r="M277" i="508"/>
  <c r="M278" i="508"/>
  <c r="M279" i="508"/>
  <c r="M280" i="508"/>
  <c r="M281" i="508"/>
  <c r="M282" i="508"/>
  <c r="M283" i="508"/>
  <c r="M284" i="508"/>
  <c r="M289" i="508"/>
  <c r="H292" i="508"/>
  <c r="J292" i="508" a="1"/>
  <c r="J292" i="508" s="1"/>
  <c r="R338" i="508"/>
  <c r="H293" i="508"/>
  <c r="N293" i="508"/>
  <c r="V293" i="508"/>
  <c r="W293" i="508" s="1"/>
  <c r="H294" i="508"/>
  <c r="N294" i="508"/>
  <c r="V294" i="508"/>
  <c r="W294" i="508" s="1"/>
  <c r="H295" i="508"/>
  <c r="N295" i="508"/>
  <c r="V295" i="508"/>
  <c r="W295" i="508" s="1"/>
  <c r="H296" i="508"/>
  <c r="N296" i="508"/>
  <c r="V296" i="508"/>
  <c r="W296" i="508" s="1"/>
  <c r="H297" i="508"/>
  <c r="N297" i="508"/>
  <c r="V297" i="508"/>
  <c r="W297" i="508" s="1"/>
  <c r="H298" i="508"/>
  <c r="N298" i="508"/>
  <c r="V298" i="508"/>
  <c r="W298" i="508" s="1"/>
  <c r="H299" i="508"/>
  <c r="N299" i="508"/>
  <c r="V299" i="508"/>
  <c r="W299" i="508" s="1"/>
  <c r="V302" i="508"/>
  <c r="W302" i="508" s="1"/>
  <c r="M306" i="508"/>
  <c r="K308" i="508" a="1"/>
  <c r="K308" i="508" s="1"/>
  <c r="M316" i="508"/>
  <c r="N318" i="508"/>
  <c r="V318" i="508"/>
  <c r="M319" i="508"/>
  <c r="M321" i="508"/>
  <c r="M323" i="508"/>
  <c r="H326" i="508"/>
  <c r="N328" i="508"/>
  <c r="V328" i="508"/>
  <c r="W328" i="508" s="1"/>
  <c r="H329" i="508"/>
  <c r="M331" i="508"/>
  <c r="M242" i="508"/>
  <c r="M244" i="508"/>
  <c r="M246" i="508"/>
  <c r="M247" i="508"/>
  <c r="M248" i="508"/>
  <c r="M249" i="508"/>
  <c r="M238" i="508"/>
  <c r="M219" i="508"/>
  <c r="M220" i="508"/>
  <c r="M221" i="508"/>
  <c r="M222" i="508"/>
  <c r="M223" i="508"/>
  <c r="M224" i="508"/>
  <c r="M225" i="508"/>
  <c r="M226" i="508"/>
  <c r="M227" i="508"/>
  <c r="M229" i="508"/>
  <c r="M231" i="508"/>
  <c r="M233" i="508"/>
  <c r="M235" i="508"/>
  <c r="W227" i="508"/>
  <c r="W229" i="508"/>
  <c r="W231" i="508"/>
  <c r="W233" i="508"/>
  <c r="W235" i="508"/>
  <c r="V213" i="508"/>
  <c r="W213" i="508" s="1"/>
  <c r="H214" i="508"/>
  <c r="J214" i="508" a="1"/>
  <c r="J214" i="508" s="1"/>
  <c r="W214" i="508"/>
  <c r="M217" i="508"/>
  <c r="W217" i="508"/>
  <c r="W216" i="508"/>
  <c r="H177" i="508"/>
  <c r="J177" i="508" a="1"/>
  <c r="J177" i="508" s="1"/>
  <c r="K177" i="508" a="1"/>
  <c r="K177" i="508" s="1"/>
  <c r="M177" i="508" s="1"/>
  <c r="H211" i="508"/>
  <c r="J211" i="508" a="1"/>
  <c r="J211" i="508" s="1"/>
  <c r="W211" i="508"/>
  <c r="H212" i="508"/>
  <c r="J212" i="508" a="1"/>
  <c r="J212" i="508" s="1"/>
  <c r="W212" i="508"/>
  <c r="H210" i="508"/>
  <c r="J210" i="508" a="1"/>
  <c r="J210" i="508" s="1"/>
  <c r="W210" i="508"/>
  <c r="H185" i="508"/>
  <c r="J185" i="508" a="1"/>
  <c r="J185" i="508" s="1"/>
  <c r="W185" i="508"/>
  <c r="W239" i="508"/>
  <c r="G256" i="508"/>
  <c r="G333" i="508" s="1"/>
  <c r="M239" i="508"/>
  <c r="W240" i="508"/>
  <c r="J122" i="508" a="1"/>
  <c r="J122" i="508" s="1"/>
  <c r="V123" i="508"/>
  <c r="W123" i="508" s="1"/>
  <c r="J124" i="508" a="1"/>
  <c r="J124" i="508" s="1"/>
  <c r="V125" i="508"/>
  <c r="W125" i="508" s="1"/>
  <c r="J126" i="508" a="1"/>
  <c r="J126" i="508" s="1"/>
  <c r="V127" i="508"/>
  <c r="W127" i="508" s="1"/>
  <c r="J128" i="508" a="1"/>
  <c r="J128" i="508" s="1"/>
  <c r="V129" i="508"/>
  <c r="W129" i="508" s="1"/>
  <c r="J130" i="508" a="1"/>
  <c r="J130" i="508" s="1"/>
  <c r="V131" i="508"/>
  <c r="W131" i="508" s="1"/>
  <c r="J132" i="508" a="1"/>
  <c r="J132" i="508" s="1"/>
  <c r="W133" i="508"/>
  <c r="K122" i="508" a="1"/>
  <c r="K122" i="508" s="1"/>
  <c r="W124" i="508"/>
  <c r="W126" i="508"/>
  <c r="W128" i="508"/>
  <c r="W130" i="508"/>
  <c r="K133" i="508" a="1"/>
  <c r="K133" i="508" s="1"/>
  <c r="M133" i="508" s="1"/>
  <c r="V132" i="508"/>
  <c r="W132" i="508" s="1"/>
  <c r="V134" i="508"/>
  <c r="W134" i="508" s="1"/>
  <c r="J135" i="508" a="1"/>
  <c r="J135" i="508" s="1"/>
  <c r="V136" i="508"/>
  <c r="W136" i="508" s="1"/>
  <c r="R169" i="508"/>
  <c r="K525" i="508" s="1"/>
  <c r="J146" i="508" a="1"/>
  <c r="J146" i="508" s="1"/>
  <c r="G162" i="508"/>
  <c r="C526" i="508" s="1"/>
  <c r="I162" i="508"/>
  <c r="L553" i="508" s="1"/>
  <c r="K148" i="508" a="1"/>
  <c r="K148" i="508" s="1"/>
  <c r="K162" i="508" s="1"/>
  <c r="O162" i="508"/>
  <c r="Q162" i="508"/>
  <c r="S162" i="508"/>
  <c r="U162" i="508"/>
  <c r="Y162" i="508"/>
  <c r="AA162" i="508"/>
  <c r="J149" i="508" a="1"/>
  <c r="J149" i="508" s="1"/>
  <c r="V150" i="508"/>
  <c r="W150" i="508" s="1"/>
  <c r="J151" i="508" a="1"/>
  <c r="J151" i="508" s="1"/>
  <c r="V157" i="508"/>
  <c r="W157" i="508" s="1"/>
  <c r="W135" i="508"/>
  <c r="W146" i="508"/>
  <c r="W149" i="508"/>
  <c r="W151" i="508"/>
  <c r="K88" i="508" a="1"/>
  <c r="K88" i="508" s="1"/>
  <c r="M88" i="508" s="1"/>
  <c r="W88" i="508"/>
  <c r="J89" i="508" a="1"/>
  <c r="J89" i="508" s="1"/>
  <c r="K90" i="508" a="1"/>
  <c r="K90" i="508" s="1"/>
  <c r="M90" i="508" s="1"/>
  <c r="W90" i="508"/>
  <c r="J91" i="508" a="1"/>
  <c r="J91" i="508" s="1"/>
  <c r="K92" i="508" a="1"/>
  <c r="K92" i="508" s="1"/>
  <c r="M92" i="508" s="1"/>
  <c r="W92" i="508"/>
  <c r="J93" i="508" a="1"/>
  <c r="J93" i="508" s="1"/>
  <c r="M94" i="508"/>
  <c r="J95" i="508" a="1"/>
  <c r="J95" i="508" s="1"/>
  <c r="K95" i="508" a="1"/>
  <c r="K95" i="508" s="1"/>
  <c r="M95" i="508" s="1"/>
  <c r="V89" i="508"/>
  <c r="W89" i="508" s="1"/>
  <c r="V91" i="508"/>
  <c r="W91" i="508" s="1"/>
  <c r="V93" i="508"/>
  <c r="W93" i="508" s="1"/>
  <c r="V96" i="508"/>
  <c r="W96" i="508" s="1"/>
  <c r="J97" i="508" a="1"/>
  <c r="J97" i="508" s="1"/>
  <c r="V98" i="508"/>
  <c r="W98" i="508" s="1"/>
  <c r="J99" i="508" a="1"/>
  <c r="J99" i="508" s="1"/>
  <c r="V100" i="508"/>
  <c r="W100" i="508" s="1"/>
  <c r="J101" i="508" a="1"/>
  <c r="J101" i="508" s="1"/>
  <c r="V102" i="508"/>
  <c r="W102" i="508" s="1"/>
  <c r="J103" i="508" a="1"/>
  <c r="J103" i="508" s="1"/>
  <c r="V104" i="508"/>
  <c r="W104" i="508" s="1"/>
  <c r="J105" i="508" a="1"/>
  <c r="J105" i="508" s="1"/>
  <c r="V106" i="508"/>
  <c r="W106" i="508" s="1"/>
  <c r="J113" i="508" a="1"/>
  <c r="J113" i="508" s="1"/>
  <c r="V114" i="508"/>
  <c r="W114" i="508" s="1"/>
  <c r="W97" i="508"/>
  <c r="W99" i="508"/>
  <c r="W101" i="508"/>
  <c r="W103" i="508"/>
  <c r="W105" i="508"/>
  <c r="W113" i="508"/>
  <c r="W42" i="508"/>
  <c r="W44" i="508"/>
  <c r="W46" i="508"/>
  <c r="W48" i="508"/>
  <c r="J42" i="508" a="1"/>
  <c r="J42" i="508" s="1"/>
  <c r="H42" i="508"/>
  <c r="K42" i="508" a="1"/>
  <c r="K42" i="508" s="1"/>
  <c r="M42" i="508" s="1"/>
  <c r="J44" i="508" a="1"/>
  <c r="J44" i="508" s="1"/>
  <c r="H44" i="508"/>
  <c r="K44" i="508" a="1"/>
  <c r="K44" i="508" s="1"/>
  <c r="M44" i="508" s="1"/>
  <c r="J46" i="508" a="1"/>
  <c r="J46" i="508" s="1"/>
  <c r="H46" i="508"/>
  <c r="K46" i="508" a="1"/>
  <c r="K46" i="508" s="1"/>
  <c r="M46" i="508" s="1"/>
  <c r="J48" i="508" a="1"/>
  <c r="J48" i="508" s="1"/>
  <c r="H48" i="508"/>
  <c r="K48" i="508" a="1"/>
  <c r="K48" i="508" s="1"/>
  <c r="M48" i="508" s="1"/>
  <c r="K58" i="508" a="1"/>
  <c r="K58" i="508" s="1"/>
  <c r="M58" i="508" s="1"/>
  <c r="W58" i="508"/>
  <c r="K60" i="508" a="1"/>
  <c r="K60" i="508" s="1"/>
  <c r="M60" i="508" s="1"/>
  <c r="W60" i="508"/>
  <c r="K62" i="508" a="1"/>
  <c r="K62" i="508" s="1"/>
  <c r="M62" i="508" s="1"/>
  <c r="W62" i="508"/>
  <c r="K64" i="508" a="1"/>
  <c r="K64" i="508" s="1"/>
  <c r="M64" i="508" s="1"/>
  <c r="W64" i="508"/>
  <c r="K66" i="508" a="1"/>
  <c r="K66" i="508" s="1"/>
  <c r="M66" i="508" s="1"/>
  <c r="W66" i="508"/>
  <c r="K70" i="508" a="1"/>
  <c r="K70" i="508" s="1"/>
  <c r="M70" i="508" s="1"/>
  <c r="W70" i="508"/>
  <c r="W72" i="508"/>
  <c r="W74" i="508"/>
  <c r="Q86" i="508"/>
  <c r="S86" i="508"/>
  <c r="U86" i="508"/>
  <c r="Y86" i="508"/>
  <c r="AA86" i="508"/>
  <c r="V41" i="508"/>
  <c r="W41" i="508" s="1"/>
  <c r="V43" i="508"/>
  <c r="W43" i="508" s="1"/>
  <c r="V45" i="508"/>
  <c r="W45" i="508" s="1"/>
  <c r="V47" i="508"/>
  <c r="W47" i="508" s="1"/>
  <c r="V57" i="508"/>
  <c r="W57" i="508" s="1"/>
  <c r="H58" i="508"/>
  <c r="V59" i="508"/>
  <c r="W59" i="508" s="1"/>
  <c r="H60" i="508"/>
  <c r="V61" i="508"/>
  <c r="W61" i="508" s="1"/>
  <c r="H62" i="508"/>
  <c r="V63" i="508"/>
  <c r="W63" i="508" s="1"/>
  <c r="H64" i="508"/>
  <c r="V65" i="508"/>
  <c r="W65" i="508" s="1"/>
  <c r="H66" i="508"/>
  <c r="V69" i="508"/>
  <c r="W69" i="508" s="1"/>
  <c r="H70" i="508"/>
  <c r="K39" i="508" a="1"/>
  <c r="K39" i="508" s="1"/>
  <c r="M39" i="508" s="1"/>
  <c r="W39" i="508"/>
  <c r="H39" i="508"/>
  <c r="K29" i="508" a="1"/>
  <c r="K29" i="508" s="1"/>
  <c r="H30" i="508"/>
  <c r="M31" i="508"/>
  <c r="M33" i="508"/>
  <c r="H29" i="508"/>
  <c r="J29" i="508" a="1"/>
  <c r="J29" i="508" s="1"/>
  <c r="W31" i="508"/>
  <c r="W33" i="508"/>
  <c r="W8" i="508"/>
  <c r="M9" i="508"/>
  <c r="M11" i="508"/>
  <c r="M13" i="508"/>
  <c r="M15" i="508"/>
  <c r="M17" i="508"/>
  <c r="M19" i="508"/>
  <c r="M21" i="508"/>
  <c r="H23" i="508"/>
  <c r="M24" i="508"/>
  <c r="V25" i="508"/>
  <c r="V28" i="508" s="1"/>
  <c r="M27" i="508"/>
  <c r="W11" i="508"/>
  <c r="W13" i="508"/>
  <c r="W15" i="508"/>
  <c r="W17" i="508"/>
  <c r="W19" i="508"/>
  <c r="W21" i="508"/>
  <c r="W27" i="508"/>
  <c r="J40" i="508" a="1"/>
  <c r="J40" i="508" s="1"/>
  <c r="W40" i="508"/>
  <c r="J37" i="508" a="1"/>
  <c r="J37" i="508" s="1"/>
  <c r="W37" i="508"/>
  <c r="M38" i="508"/>
  <c r="R165" i="508"/>
  <c r="J550" i="508"/>
  <c r="M550" i="508" s="1"/>
  <c r="C522" i="508"/>
  <c r="J86" i="508" a="1"/>
  <c r="J86" i="508" s="1"/>
  <c r="M29" i="508"/>
  <c r="Q525" i="508"/>
  <c r="J551" i="508"/>
  <c r="M551" i="508" s="1"/>
  <c r="C523" i="508"/>
  <c r="J121" i="508" a="1"/>
  <c r="J121" i="508" s="1"/>
  <c r="M118" i="508"/>
  <c r="M119" i="508"/>
  <c r="M120" i="508"/>
  <c r="J552" i="508"/>
  <c r="M552" i="508" s="1"/>
  <c r="J137" i="508" a="1"/>
  <c r="J137" i="508" s="1"/>
  <c r="M122" i="508"/>
  <c r="M137" i="508" s="1"/>
  <c r="W122" i="508"/>
  <c r="C525" i="508"/>
  <c r="J147" i="508" a="1"/>
  <c r="J147" i="508" s="1"/>
  <c r="M139" i="508"/>
  <c r="M140" i="508"/>
  <c r="M141" i="508"/>
  <c r="M142" i="508"/>
  <c r="J553" i="508"/>
  <c r="M553" i="508" s="1"/>
  <c r="M148" i="508"/>
  <c r="M158" i="508"/>
  <c r="M159" i="508"/>
  <c r="J549" i="508"/>
  <c r="J541" i="508"/>
  <c r="C521" i="508"/>
  <c r="J28" i="508" a="1"/>
  <c r="J28" i="508" s="1"/>
  <c r="L549" i="508"/>
  <c r="L541" i="508"/>
  <c r="I163" i="508"/>
  <c r="B171" i="508" s="1"/>
  <c r="M8" i="508"/>
  <c r="M10" i="508"/>
  <c r="M12" i="508"/>
  <c r="M14" i="508"/>
  <c r="M16" i="508"/>
  <c r="M18" i="508"/>
  <c r="M20" i="508"/>
  <c r="M22" i="508"/>
  <c r="M26" i="508"/>
  <c r="Q521" i="508"/>
  <c r="Q524" i="508"/>
  <c r="M32" i="508"/>
  <c r="Q526" i="508"/>
  <c r="M72" i="508"/>
  <c r="M74" i="508"/>
  <c r="M76" i="508"/>
  <c r="M77" i="508"/>
  <c r="M78" i="508"/>
  <c r="M79" i="508"/>
  <c r="W147" i="508"/>
  <c r="M153" i="508"/>
  <c r="M154" i="508"/>
  <c r="M160" i="508"/>
  <c r="K7" i="508" a="1"/>
  <c r="K7" i="508" s="1"/>
  <c r="K28" i="508" s="1"/>
  <c r="W7" i="508"/>
  <c r="H8" i="508"/>
  <c r="J8" i="508" a="1"/>
  <c r="J8" i="508" s="1"/>
  <c r="H9" i="508"/>
  <c r="J9" i="508" a="1"/>
  <c r="J9" i="508" s="1"/>
  <c r="H10" i="508"/>
  <c r="J10" i="508" a="1"/>
  <c r="J10" i="508" s="1"/>
  <c r="H11" i="508"/>
  <c r="J11" i="508" a="1"/>
  <c r="J11" i="508" s="1"/>
  <c r="H12" i="508"/>
  <c r="J12" i="508" a="1"/>
  <c r="J12" i="508" s="1"/>
  <c r="H13" i="508"/>
  <c r="J13" i="508" a="1"/>
  <c r="J13" i="508" s="1"/>
  <c r="H14" i="508"/>
  <c r="J14" i="508" a="1"/>
  <c r="J14" i="508" s="1"/>
  <c r="H15" i="508"/>
  <c r="J15" i="508" a="1"/>
  <c r="J15" i="508" s="1"/>
  <c r="H16" i="508"/>
  <c r="J16" i="508" a="1"/>
  <c r="J16" i="508" s="1"/>
  <c r="H17" i="508"/>
  <c r="J17" i="508" a="1"/>
  <c r="J17" i="508" s="1"/>
  <c r="H18" i="508"/>
  <c r="J18" i="508" a="1"/>
  <c r="J18" i="508" s="1"/>
  <c r="H19" i="508"/>
  <c r="J19" i="508" a="1"/>
  <c r="J19" i="508" s="1"/>
  <c r="H20" i="508"/>
  <c r="J20" i="508" a="1"/>
  <c r="J20" i="508" s="1"/>
  <c r="H21" i="508"/>
  <c r="J21" i="508" a="1"/>
  <c r="J21" i="508" s="1"/>
  <c r="H22" i="508"/>
  <c r="H24" i="508"/>
  <c r="H26" i="508"/>
  <c r="J26" i="508" a="1"/>
  <c r="J26" i="508" s="1"/>
  <c r="H27" i="508"/>
  <c r="J27" i="508" a="1"/>
  <c r="J27" i="508" s="1"/>
  <c r="V29" i="508"/>
  <c r="H31" i="508"/>
  <c r="J31" i="508" a="1"/>
  <c r="J31" i="508" s="1"/>
  <c r="H32" i="508"/>
  <c r="J32" i="508" a="1"/>
  <c r="J32" i="508" s="1"/>
  <c r="H33" i="508"/>
  <c r="J33" i="508" a="1"/>
  <c r="J33" i="508" s="1"/>
  <c r="H68" i="508"/>
  <c r="H72" i="508"/>
  <c r="J72" i="508" a="1"/>
  <c r="J72" i="508" s="1"/>
  <c r="H73" i="508"/>
  <c r="J73" i="508" a="1"/>
  <c r="J73" i="508" s="1"/>
  <c r="H74" i="508"/>
  <c r="J74" i="508" a="1"/>
  <c r="J74" i="508" s="1"/>
  <c r="H75" i="508"/>
  <c r="J75" i="508" a="1"/>
  <c r="J75" i="508" s="1"/>
  <c r="H76" i="508"/>
  <c r="H77" i="508"/>
  <c r="H78" i="508"/>
  <c r="H79" i="508"/>
  <c r="J87" i="508"/>
  <c r="V87" i="508"/>
  <c r="J118" i="508" a="1"/>
  <c r="J118" i="508" s="1"/>
  <c r="J119" i="508" a="1"/>
  <c r="J119" i="508" s="1"/>
  <c r="J120" i="508" a="1"/>
  <c r="J120" i="508" s="1"/>
  <c r="J138" i="508" a="1"/>
  <c r="J138" i="508" s="1"/>
  <c r="K138" i="508" a="1"/>
  <c r="K138" i="508" s="1"/>
  <c r="K147" i="508" s="1"/>
  <c r="W138" i="508"/>
  <c r="J139" i="508" a="1"/>
  <c r="J139" i="508" s="1"/>
  <c r="J140" i="508" a="1"/>
  <c r="J140" i="508" s="1"/>
  <c r="J141" i="508" a="1"/>
  <c r="J141" i="508" s="1"/>
  <c r="J142" i="508" a="1"/>
  <c r="J142" i="508" s="1"/>
  <c r="V148" i="508"/>
  <c r="J153" i="508" a="1"/>
  <c r="J153" i="508" s="1"/>
  <c r="J154" i="508" a="1"/>
  <c r="J154" i="508" s="1"/>
  <c r="J158" i="508" a="1"/>
  <c r="J158" i="508" s="1"/>
  <c r="I165" i="508"/>
  <c r="J556" i="508"/>
  <c r="J198" i="508" a="1"/>
  <c r="J198" i="508" s="1"/>
  <c r="L556" i="508"/>
  <c r="I333" i="508"/>
  <c r="B341" i="508" s="1"/>
  <c r="X336" i="508"/>
  <c r="P333" i="508"/>
  <c r="X337" i="508" s="1"/>
  <c r="V177" i="508"/>
  <c r="K194" i="508" a="1"/>
  <c r="K194" i="508" s="1"/>
  <c r="H194" i="508"/>
  <c r="K196" i="508" a="1"/>
  <c r="K196" i="508" s="1"/>
  <c r="M196" i="508" s="1"/>
  <c r="H196" i="508"/>
  <c r="M197" i="508"/>
  <c r="M201" i="508"/>
  <c r="M203" i="508"/>
  <c r="M216" i="508"/>
  <c r="M218" i="508"/>
  <c r="M228" i="508"/>
  <c r="M230" i="508"/>
  <c r="M232" i="508"/>
  <c r="M234" i="508"/>
  <c r="M236" i="508"/>
  <c r="M240" i="508"/>
  <c r="M243" i="508"/>
  <c r="M245" i="508"/>
  <c r="R337" i="508"/>
  <c r="M259" i="508"/>
  <c r="M261" i="508"/>
  <c r="M263" i="508"/>
  <c r="M266" i="508"/>
  <c r="M268" i="508"/>
  <c r="M270" i="508"/>
  <c r="M272" i="508"/>
  <c r="M274" i="508"/>
  <c r="M276" i="508"/>
  <c r="M288" i="508"/>
  <c r="M290" i="508"/>
  <c r="M292" i="508"/>
  <c r="P86" i="508"/>
  <c r="R166" i="508" s="1"/>
  <c r="K87" i="508" a="1"/>
  <c r="K87" i="508" s="1"/>
  <c r="R335" i="508"/>
  <c r="O333" i="508"/>
  <c r="M194" i="508"/>
  <c r="K195" i="508" a="1"/>
  <c r="K195" i="508" s="1"/>
  <c r="M195" i="508" s="1"/>
  <c r="H195" i="508"/>
  <c r="J557" i="508"/>
  <c r="M557" i="508" s="1"/>
  <c r="J256" i="508" a="1"/>
  <c r="J256" i="508" s="1"/>
  <c r="K256" i="508"/>
  <c r="M199" i="508"/>
  <c r="M215" i="508"/>
  <c r="J558" i="508"/>
  <c r="M558" i="508" s="1"/>
  <c r="J291" i="508" a="1"/>
  <c r="J291" i="508" s="1"/>
  <c r="J215" i="508" a="1"/>
  <c r="J215" i="508" s="1"/>
  <c r="H216" i="508"/>
  <c r="J216" i="508" a="1"/>
  <c r="J216" i="508" s="1"/>
  <c r="H217" i="508"/>
  <c r="J217" i="508" a="1"/>
  <c r="J217" i="508" s="1"/>
  <c r="H218" i="508"/>
  <c r="J218" i="508" a="1"/>
  <c r="J218" i="508" s="1"/>
  <c r="H219" i="508"/>
  <c r="H220" i="508"/>
  <c r="H221" i="508"/>
  <c r="H222" i="508"/>
  <c r="H223" i="508"/>
  <c r="H224" i="508"/>
  <c r="H225" i="508"/>
  <c r="H226" i="508"/>
  <c r="H227" i="508"/>
  <c r="J227" i="508" a="1"/>
  <c r="J227" i="508" s="1"/>
  <c r="H228" i="508"/>
  <c r="J228" i="508" a="1"/>
  <c r="J228" i="508" s="1"/>
  <c r="H229" i="508"/>
  <c r="J229" i="508" a="1"/>
  <c r="J229" i="508" s="1"/>
  <c r="H230" i="508"/>
  <c r="J230" i="508" a="1"/>
  <c r="J230" i="508" s="1"/>
  <c r="H231" i="508"/>
  <c r="J231" i="508" a="1"/>
  <c r="J231" i="508" s="1"/>
  <c r="H232" i="508"/>
  <c r="J232" i="508" a="1"/>
  <c r="J232" i="508" s="1"/>
  <c r="H233" i="508"/>
  <c r="J233" i="508" a="1"/>
  <c r="J233" i="508" s="1"/>
  <c r="H234" i="508"/>
  <c r="J234" i="508" a="1"/>
  <c r="J234" i="508" s="1"/>
  <c r="H235" i="508"/>
  <c r="J235" i="508" a="1"/>
  <c r="J235" i="508" s="1"/>
  <c r="H236" i="508"/>
  <c r="J236" i="508" a="1"/>
  <c r="J236" i="508" s="1"/>
  <c r="H288" i="508"/>
  <c r="J288" i="508" a="1"/>
  <c r="J288" i="508" s="1"/>
  <c r="H289" i="508"/>
  <c r="J289" i="508" a="1"/>
  <c r="J289" i="508" s="1"/>
  <c r="H290" i="508"/>
  <c r="J290" i="508" a="1"/>
  <c r="J290" i="508" s="1"/>
  <c r="V291" i="508"/>
  <c r="W291" i="508" s="1"/>
  <c r="J559" i="508"/>
  <c r="M559" i="508" s="1"/>
  <c r="J307" i="508" a="1"/>
  <c r="J307" i="508" s="1"/>
  <c r="N292" i="508"/>
  <c r="N307" i="508" s="1"/>
  <c r="V292" i="508"/>
  <c r="K300" i="508" a="1"/>
  <c r="K300" i="508" s="1"/>
  <c r="M300" i="508" s="1"/>
  <c r="J300" i="508" a="1"/>
  <c r="J300" i="508" s="1"/>
  <c r="H300" i="508"/>
  <c r="K302" i="508" a="1"/>
  <c r="K302" i="508" s="1"/>
  <c r="J302" i="508" a="1"/>
  <c r="J302" i="508" s="1"/>
  <c r="H302" i="508"/>
  <c r="K304" i="508" a="1"/>
  <c r="K304" i="508" s="1"/>
  <c r="M304" i="508" s="1"/>
  <c r="J304" i="508" a="1"/>
  <c r="J304" i="508" s="1"/>
  <c r="H304" i="508"/>
  <c r="W304" i="508"/>
  <c r="M305" i="508"/>
  <c r="R339" i="508"/>
  <c r="R340" i="508"/>
  <c r="M320" i="508"/>
  <c r="M324" i="508"/>
  <c r="J562" i="508"/>
  <c r="J368" i="508" a="1"/>
  <c r="J368" i="508" s="1"/>
  <c r="N368" i="508"/>
  <c r="V368" i="508"/>
  <c r="M348" i="508"/>
  <c r="M351" i="508"/>
  <c r="M353" i="508"/>
  <c r="M355" i="508"/>
  <c r="M359" i="508"/>
  <c r="M361" i="508"/>
  <c r="M363" i="508"/>
  <c r="M365" i="508"/>
  <c r="M367" i="508"/>
  <c r="K426" i="508"/>
  <c r="M369" i="508"/>
  <c r="H197" i="508"/>
  <c r="V199" i="508"/>
  <c r="H201" i="508"/>
  <c r="J201" i="508" a="1"/>
  <c r="J201" i="508" s="1"/>
  <c r="H202" i="508"/>
  <c r="J202" i="508" a="1"/>
  <c r="J202" i="508" s="1"/>
  <c r="H203" i="508"/>
  <c r="J203" i="508" a="1"/>
  <c r="J203" i="508" s="1"/>
  <c r="H238" i="508"/>
  <c r="H239" i="508"/>
  <c r="J239" i="508" a="1"/>
  <c r="J239" i="508" s="1"/>
  <c r="H240" i="508"/>
  <c r="J240" i="508" a="1"/>
  <c r="J240" i="508" s="1"/>
  <c r="H242" i="508"/>
  <c r="J242" i="508" a="1"/>
  <c r="J242" i="508" s="1"/>
  <c r="H243" i="508"/>
  <c r="J243" i="508" a="1"/>
  <c r="J243" i="508" s="1"/>
  <c r="H244" i="508"/>
  <c r="J244" i="508" a="1"/>
  <c r="J244" i="508" s="1"/>
  <c r="H245" i="508"/>
  <c r="J245" i="508" a="1"/>
  <c r="J245" i="508" s="1"/>
  <c r="H246" i="508"/>
  <c r="H247" i="508"/>
  <c r="H248" i="508"/>
  <c r="H249" i="508"/>
  <c r="H257" i="508"/>
  <c r="J257" i="508" a="1"/>
  <c r="J257" i="508" s="1"/>
  <c r="K257" i="508" a="1"/>
  <c r="K257" i="508" s="1"/>
  <c r="K291" i="508" s="1"/>
  <c r="H258" i="508"/>
  <c r="J258" i="508" a="1"/>
  <c r="J258" i="508" s="1"/>
  <c r="H259" i="508"/>
  <c r="J259" i="508" a="1"/>
  <c r="J259" i="508" s="1"/>
  <c r="H260" i="508"/>
  <c r="J260" i="508" a="1"/>
  <c r="J260" i="508" s="1"/>
  <c r="H261" i="508"/>
  <c r="J261" i="508" a="1"/>
  <c r="J261" i="508" s="1"/>
  <c r="H262" i="508"/>
  <c r="J262" i="508" a="1"/>
  <c r="J262" i="508" s="1"/>
  <c r="H263" i="508"/>
  <c r="J263" i="508" a="1"/>
  <c r="J263" i="508" s="1"/>
  <c r="H264" i="508"/>
  <c r="H265" i="508"/>
  <c r="J265" i="508" a="1"/>
  <c r="J265" i="508" s="1"/>
  <c r="H266" i="508"/>
  <c r="J266" i="508" a="1"/>
  <c r="J266" i="508" s="1"/>
  <c r="H267" i="508"/>
  <c r="J267" i="508" a="1"/>
  <c r="J267" i="508" s="1"/>
  <c r="H268" i="508"/>
  <c r="J268" i="508" a="1"/>
  <c r="J268" i="508" s="1"/>
  <c r="H269" i="508"/>
  <c r="J269" i="508" a="1"/>
  <c r="J269" i="508" s="1"/>
  <c r="H270" i="508"/>
  <c r="J270" i="508" a="1"/>
  <c r="J270" i="508" s="1"/>
  <c r="H271" i="508"/>
  <c r="J271" i="508" a="1"/>
  <c r="J271" i="508" s="1"/>
  <c r="H272" i="508"/>
  <c r="J272" i="508" a="1"/>
  <c r="J272" i="508" s="1"/>
  <c r="H273" i="508"/>
  <c r="J273" i="508" a="1"/>
  <c r="J273" i="508" s="1"/>
  <c r="H274" i="508"/>
  <c r="J274" i="508" a="1"/>
  <c r="J274" i="508" s="1"/>
  <c r="H275" i="508"/>
  <c r="J275" i="508" a="1"/>
  <c r="J275" i="508" s="1"/>
  <c r="H276" i="508"/>
  <c r="J276" i="508" a="1"/>
  <c r="J276" i="508" s="1"/>
  <c r="H277" i="508"/>
  <c r="H278" i="508"/>
  <c r="H279" i="508"/>
  <c r="H280" i="508"/>
  <c r="H281" i="508"/>
  <c r="H282" i="508"/>
  <c r="H283" i="508"/>
  <c r="J283" i="508" a="1"/>
  <c r="J283" i="508" s="1"/>
  <c r="H284" i="508"/>
  <c r="J284" i="508" a="1"/>
  <c r="J284" i="508" s="1"/>
  <c r="K301" i="508" a="1"/>
  <c r="K301" i="508" s="1"/>
  <c r="M301" i="508" s="1"/>
  <c r="J301" i="508" a="1"/>
  <c r="J301" i="508" s="1"/>
  <c r="H301" i="508"/>
  <c r="W301" i="508"/>
  <c r="M302" i="508"/>
  <c r="K303" i="508" a="1"/>
  <c r="K303" i="508" s="1"/>
  <c r="M303" i="508" s="1"/>
  <c r="J303" i="508" a="1"/>
  <c r="J303" i="508" s="1"/>
  <c r="H303" i="508"/>
  <c r="W303" i="508"/>
  <c r="M308" i="508"/>
  <c r="M317" i="508" s="1"/>
  <c r="K317" i="508"/>
  <c r="J560" i="508"/>
  <c r="M560" i="508" s="1"/>
  <c r="J332" i="508" a="1"/>
  <c r="J332" i="508" s="1"/>
  <c r="L562" i="508"/>
  <c r="R506" i="508"/>
  <c r="H305" i="508"/>
  <c r="J305" i="508" a="1"/>
  <c r="J305" i="508" s="1"/>
  <c r="H306" i="508"/>
  <c r="J306" i="508" a="1"/>
  <c r="J306" i="508" s="1"/>
  <c r="N308" i="508"/>
  <c r="N317" i="508" s="1"/>
  <c r="V308" i="508"/>
  <c r="H316" i="508"/>
  <c r="H317" i="508" s="1"/>
  <c r="J316" i="508" a="1"/>
  <c r="J316" i="508" s="1"/>
  <c r="H318" i="508"/>
  <c r="J318" i="508" a="1"/>
  <c r="J318" i="508" s="1"/>
  <c r="K318" i="508" a="1"/>
  <c r="K318" i="508" s="1"/>
  <c r="K332" i="508" s="1"/>
  <c r="W318" i="508"/>
  <c r="H319" i="508"/>
  <c r="J319" i="508" a="1"/>
  <c r="J319" i="508" s="1"/>
  <c r="H320" i="508"/>
  <c r="J320" i="508" a="1"/>
  <c r="J320" i="508" s="1"/>
  <c r="H321" i="508"/>
  <c r="J321" i="508" a="1"/>
  <c r="J321" i="508" s="1"/>
  <c r="H323" i="508"/>
  <c r="J323" i="508" a="1"/>
  <c r="J323" i="508" s="1"/>
  <c r="H324" i="508"/>
  <c r="J324" i="508" a="1"/>
  <c r="J324" i="508" s="1"/>
  <c r="H331" i="508"/>
  <c r="I335" i="508"/>
  <c r="H347" i="508"/>
  <c r="J347" i="508" a="1"/>
  <c r="J347" i="508" s="1"/>
  <c r="K347" i="508" a="1"/>
  <c r="K347" i="508" s="1"/>
  <c r="K368" i="508" s="1"/>
  <c r="W347" i="508"/>
  <c r="W368" i="508" s="1"/>
  <c r="H348" i="508"/>
  <c r="J348" i="508" a="1"/>
  <c r="J348" i="508" s="1"/>
  <c r="H350" i="508"/>
  <c r="J350" i="508" a="1"/>
  <c r="J350" i="508" s="1"/>
  <c r="H351" i="508"/>
  <c r="J351" i="508" a="1"/>
  <c r="J351" i="508" s="1"/>
  <c r="H352" i="508"/>
  <c r="J352" i="508" a="1"/>
  <c r="J352" i="508" s="1"/>
  <c r="H353" i="508"/>
  <c r="J353" i="508" a="1"/>
  <c r="J353" i="508" s="1"/>
  <c r="H354" i="508"/>
  <c r="J354" i="508" a="1"/>
  <c r="J354" i="508" s="1"/>
  <c r="H355" i="508"/>
  <c r="J355" i="508" a="1"/>
  <c r="J355" i="508" s="1"/>
  <c r="H356" i="508"/>
  <c r="J356" i="508" a="1"/>
  <c r="J356" i="508" s="1"/>
  <c r="H359" i="508"/>
  <c r="J359" i="508" a="1"/>
  <c r="J359" i="508" s="1"/>
  <c r="H360" i="508"/>
  <c r="J360" i="508" a="1"/>
  <c r="J360" i="508" s="1"/>
  <c r="H361" i="508"/>
  <c r="J361" i="508" a="1"/>
  <c r="J361" i="508" s="1"/>
  <c r="H362" i="508"/>
  <c r="J362" i="508" a="1"/>
  <c r="J362" i="508" s="1"/>
  <c r="H363" i="508"/>
  <c r="H365" i="508"/>
  <c r="H367" i="508"/>
  <c r="J367" i="508" a="1"/>
  <c r="J367" i="508" s="1"/>
  <c r="J563" i="508"/>
  <c r="J542" i="508"/>
  <c r="J426" i="508" a="1"/>
  <c r="J426" i="508" s="1"/>
  <c r="L563" i="508"/>
  <c r="L542" i="508"/>
  <c r="V369" i="508"/>
  <c r="N371" i="508"/>
  <c r="N372" i="508"/>
  <c r="N373" i="508"/>
  <c r="M394" i="508"/>
  <c r="M396" i="508"/>
  <c r="M410" i="508"/>
  <c r="M412" i="508"/>
  <c r="M414" i="508"/>
  <c r="M416" i="508"/>
  <c r="M418" i="508"/>
  <c r="M420" i="508"/>
  <c r="M421" i="508"/>
  <c r="M422" i="508"/>
  <c r="M423" i="508"/>
  <c r="M425" i="508"/>
  <c r="M428" i="508"/>
  <c r="M430" i="508"/>
  <c r="M432" i="508"/>
  <c r="M434" i="508"/>
  <c r="M435" i="508"/>
  <c r="M437" i="508"/>
  <c r="M439" i="508"/>
  <c r="M441" i="508"/>
  <c r="M443" i="508"/>
  <c r="M445" i="508"/>
  <c r="M447" i="508"/>
  <c r="M448" i="508"/>
  <c r="M449" i="508"/>
  <c r="M450" i="508"/>
  <c r="M451" i="508"/>
  <c r="M452" i="508"/>
  <c r="M453" i="508"/>
  <c r="O426" i="508"/>
  <c r="R507" i="508" s="1"/>
  <c r="H394" i="508"/>
  <c r="H396" i="508"/>
  <c r="J564" i="508"/>
  <c r="J543" i="508"/>
  <c r="J461" i="508" a="1"/>
  <c r="J461" i="508" s="1"/>
  <c r="L564" i="508"/>
  <c r="L543" i="508"/>
  <c r="K454" i="508" a="1"/>
  <c r="K454" i="508" s="1"/>
  <c r="M454" i="508" s="1"/>
  <c r="M490" i="508"/>
  <c r="H409" i="508"/>
  <c r="J409" i="508" a="1"/>
  <c r="J409" i="508" s="1"/>
  <c r="H410" i="508"/>
  <c r="J410" i="508" a="1"/>
  <c r="J410" i="508" s="1"/>
  <c r="H412" i="508"/>
  <c r="J412" i="508" a="1"/>
  <c r="J412" i="508" s="1"/>
  <c r="H413" i="508"/>
  <c r="J413" i="508" a="1"/>
  <c r="J413" i="508" s="1"/>
  <c r="H414" i="508"/>
  <c r="J414" i="508" a="1"/>
  <c r="J414" i="508" s="1"/>
  <c r="H415" i="508"/>
  <c r="J415" i="508" a="1"/>
  <c r="J415" i="508" s="1"/>
  <c r="H416" i="508"/>
  <c r="H418" i="508"/>
  <c r="H420" i="508"/>
  <c r="H421" i="508"/>
  <c r="H422" i="508"/>
  <c r="H423" i="508"/>
  <c r="H425" i="508"/>
  <c r="H427" i="508"/>
  <c r="J427" i="508" a="1"/>
  <c r="J427" i="508" s="1"/>
  <c r="K427" i="508" a="1"/>
  <c r="K427" i="508" s="1"/>
  <c r="R508" i="508"/>
  <c r="W427" i="508"/>
  <c r="H428" i="508"/>
  <c r="J428" i="508" a="1"/>
  <c r="J428" i="508" s="1"/>
  <c r="H429" i="508"/>
  <c r="J429" i="508" a="1"/>
  <c r="J429" i="508" s="1"/>
  <c r="H430" i="508"/>
  <c r="J430" i="508" a="1"/>
  <c r="J430" i="508" s="1"/>
  <c r="H431" i="508"/>
  <c r="J431" i="508" a="1"/>
  <c r="J431" i="508" s="1"/>
  <c r="H432" i="508"/>
  <c r="J432" i="508" a="1"/>
  <c r="J432" i="508" s="1"/>
  <c r="H433" i="508"/>
  <c r="J433" i="508" a="1"/>
  <c r="J433" i="508" s="1"/>
  <c r="H434" i="508"/>
  <c r="H435" i="508"/>
  <c r="J435" i="508" a="1"/>
  <c r="J435" i="508" s="1"/>
  <c r="H436" i="508"/>
  <c r="J436" i="508" a="1"/>
  <c r="J436" i="508" s="1"/>
  <c r="H437" i="508"/>
  <c r="J437" i="508" a="1"/>
  <c r="J437" i="508" s="1"/>
  <c r="H438" i="508"/>
  <c r="J438" i="508" a="1"/>
  <c r="J438" i="508" s="1"/>
  <c r="H439" i="508"/>
  <c r="J439" i="508" a="1"/>
  <c r="J439" i="508" s="1"/>
  <c r="H440" i="508"/>
  <c r="J440" i="508" a="1"/>
  <c r="J440" i="508" s="1"/>
  <c r="H441" i="508"/>
  <c r="J441" i="508" a="1"/>
  <c r="J441" i="508" s="1"/>
  <c r="H442" i="508"/>
  <c r="J442" i="508" a="1"/>
  <c r="J442" i="508" s="1"/>
  <c r="H443" i="508"/>
  <c r="J443" i="508" a="1"/>
  <c r="J443" i="508" s="1"/>
  <c r="H444" i="508"/>
  <c r="J444" i="508" a="1"/>
  <c r="J444" i="508" s="1"/>
  <c r="H445" i="508"/>
  <c r="J445" i="508" a="1"/>
  <c r="J445" i="508" s="1"/>
  <c r="H446" i="508"/>
  <c r="J446" i="508" a="1"/>
  <c r="J446" i="508" s="1"/>
  <c r="H447" i="508"/>
  <c r="H448" i="508"/>
  <c r="H449" i="508"/>
  <c r="H450" i="508"/>
  <c r="H451" i="508"/>
  <c r="H452" i="508"/>
  <c r="H453" i="508"/>
  <c r="J453" i="508" a="1"/>
  <c r="J453" i="508" s="1"/>
  <c r="H454" i="508"/>
  <c r="J454" i="508" a="1"/>
  <c r="J454" i="508" s="1"/>
  <c r="M462" i="508"/>
  <c r="R509" i="508"/>
  <c r="M464" i="508"/>
  <c r="M466" i="508"/>
  <c r="M468" i="508"/>
  <c r="M470" i="508"/>
  <c r="M472" i="508"/>
  <c r="M474" i="508"/>
  <c r="M476" i="508"/>
  <c r="K487" i="508"/>
  <c r="M478" i="508"/>
  <c r="M487" i="508" s="1"/>
  <c r="G477" i="508"/>
  <c r="I477" i="508"/>
  <c r="O487" i="508"/>
  <c r="R510" i="508" s="1"/>
  <c r="J566" i="508"/>
  <c r="J503" i="508" a="1"/>
  <c r="J503" i="508" s="1"/>
  <c r="L566" i="508"/>
  <c r="L545" i="508"/>
  <c r="W503" i="508"/>
  <c r="M491" i="508"/>
  <c r="W491" i="508"/>
  <c r="M506" i="508"/>
  <c r="K510" i="508"/>
  <c r="M510" i="508" s="1"/>
  <c r="H462" i="508"/>
  <c r="J462" i="508" a="1"/>
  <c r="J462" i="508" s="1"/>
  <c r="W462" i="508"/>
  <c r="H463" i="508"/>
  <c r="J463" i="508" a="1"/>
  <c r="J463" i="508" s="1"/>
  <c r="H464" i="508"/>
  <c r="J464" i="508" a="1"/>
  <c r="J464" i="508" s="1"/>
  <c r="H465" i="508"/>
  <c r="J465" i="508" a="1"/>
  <c r="J465" i="508" s="1"/>
  <c r="H466" i="508"/>
  <c r="J466" i="508" a="1"/>
  <c r="J466" i="508" s="1"/>
  <c r="H467" i="508"/>
  <c r="J467" i="508" a="1"/>
  <c r="J467" i="508" s="1"/>
  <c r="H468" i="508"/>
  <c r="J468" i="508" a="1"/>
  <c r="J468" i="508" s="1"/>
  <c r="H469" i="508"/>
  <c r="J469" i="508" a="1"/>
  <c r="J469" i="508" s="1"/>
  <c r="H470" i="508"/>
  <c r="J470" i="508" a="1"/>
  <c r="J470" i="508" s="1"/>
  <c r="H471" i="508"/>
  <c r="J471" i="508" a="1"/>
  <c r="J471" i="508" s="1"/>
  <c r="H472" i="508"/>
  <c r="J472" i="508" a="1"/>
  <c r="J472" i="508" s="1"/>
  <c r="H473" i="508"/>
  <c r="J473" i="508" a="1"/>
  <c r="J473" i="508" s="1"/>
  <c r="H474" i="508"/>
  <c r="J474" i="508" a="1"/>
  <c r="J474" i="508" s="1"/>
  <c r="H475" i="508"/>
  <c r="J475" i="508" a="1"/>
  <c r="J475" i="508" s="1"/>
  <c r="H476" i="508"/>
  <c r="J476" i="508" a="1"/>
  <c r="J476" i="508" s="1"/>
  <c r="V478" i="508"/>
  <c r="H486" i="508"/>
  <c r="H487" i="508" s="1"/>
  <c r="J486" i="508" a="1"/>
  <c r="J486" i="508" s="1"/>
  <c r="H488" i="508"/>
  <c r="J488" i="508" a="1"/>
  <c r="J488" i="508" s="1"/>
  <c r="K488" i="508" a="1"/>
  <c r="K488" i="508" s="1"/>
  <c r="K503" i="508" s="1"/>
  <c r="R511" i="508"/>
  <c r="W488" i="508"/>
  <c r="H489" i="508"/>
  <c r="J489" i="508" a="1"/>
  <c r="J489" i="508" s="1"/>
  <c r="H490" i="508"/>
  <c r="J490" i="508" a="1"/>
  <c r="J490" i="508" s="1"/>
  <c r="H491" i="508"/>
  <c r="J491" i="508" a="1"/>
  <c r="J491" i="508" s="1"/>
  <c r="M495" i="508"/>
  <c r="H494" i="508"/>
  <c r="J494" i="508" a="1"/>
  <c r="J494" i="508" s="1"/>
  <c r="H495" i="508"/>
  <c r="J495" i="508" a="1"/>
  <c r="J495" i="508" s="1"/>
  <c r="H498" i="508"/>
  <c r="J498" i="508" a="1"/>
  <c r="J498" i="508" s="1"/>
  <c r="R167" i="508" l="1"/>
  <c r="K523" i="508" s="1"/>
  <c r="N503" i="508"/>
  <c r="J162" i="508" a="1"/>
  <c r="J162" i="508" s="1"/>
  <c r="X333" i="508"/>
  <c r="V477" i="508"/>
  <c r="M138" i="508"/>
  <c r="M147" i="508" s="1"/>
  <c r="K137" i="508"/>
  <c r="J545" i="508"/>
  <c r="M545" i="508" s="1"/>
  <c r="K121" i="508"/>
  <c r="G163" i="508"/>
  <c r="J163" i="508" s="1" a="1"/>
  <c r="J163" i="508" s="1"/>
  <c r="M170" i="508" s="1"/>
  <c r="V137" i="508"/>
  <c r="W137" i="508" s="1"/>
  <c r="H198" i="508"/>
  <c r="K86" i="508"/>
  <c r="Z333" i="508"/>
  <c r="AA504" i="508"/>
  <c r="K461" i="508"/>
  <c r="W28" i="508"/>
  <c r="N487" i="508"/>
  <c r="M257" i="508"/>
  <c r="M291" i="508" s="1"/>
  <c r="X504" i="508"/>
  <c r="N461" i="508"/>
  <c r="R163" i="508"/>
  <c r="Z504" i="508"/>
  <c r="H426" i="508"/>
  <c r="K563" i="508" s="1"/>
  <c r="M488" i="508"/>
  <c r="M503" i="508" s="1"/>
  <c r="N426" i="508"/>
  <c r="M563" i="508"/>
  <c r="M347" i="508"/>
  <c r="M368" i="508" s="1"/>
  <c r="V461" i="508"/>
  <c r="W461" i="508" s="1"/>
  <c r="K198" i="508"/>
  <c r="K307" i="508"/>
  <c r="V332" i="508"/>
  <c r="W332" i="508" s="1"/>
  <c r="H332" i="508"/>
  <c r="K560" i="508" s="1"/>
  <c r="H307" i="508"/>
  <c r="K559" i="508" s="1"/>
  <c r="N332" i="508"/>
  <c r="H256" i="508"/>
  <c r="K557" i="508" s="1"/>
  <c r="Y163" i="508"/>
  <c r="S163" i="508"/>
  <c r="T163" i="508"/>
  <c r="X163" i="508"/>
  <c r="Z163" i="508"/>
  <c r="AA163" i="508"/>
  <c r="U163" i="508"/>
  <c r="Q163" i="508"/>
  <c r="R170" i="508"/>
  <c r="K526" i="508" s="1"/>
  <c r="M543" i="508"/>
  <c r="H86" i="508"/>
  <c r="K550" i="508" s="1"/>
  <c r="H28" i="508"/>
  <c r="K549" i="508" s="1"/>
  <c r="K556" i="508"/>
  <c r="K522" i="508"/>
  <c r="V487" i="508"/>
  <c r="W487" i="508" s="1"/>
  <c r="W478" i="508"/>
  <c r="J565" i="508"/>
  <c r="J544" i="508"/>
  <c r="J477" i="508" a="1"/>
  <c r="J477" i="508" s="1"/>
  <c r="H461" i="508"/>
  <c r="W477" i="508"/>
  <c r="K335" i="508"/>
  <c r="I339" i="508"/>
  <c r="O504" i="508"/>
  <c r="X507" i="508" s="1"/>
  <c r="X506" i="508"/>
  <c r="M426" i="508"/>
  <c r="G504" i="508"/>
  <c r="V307" i="508"/>
  <c r="W307" i="508" s="1"/>
  <c r="W292" i="508"/>
  <c r="M256" i="508"/>
  <c r="M307" i="508"/>
  <c r="B340" i="508"/>
  <c r="J561" i="508" s="1"/>
  <c r="J333" i="508" a="1"/>
  <c r="J333" i="508" s="1"/>
  <c r="M340" i="508" s="1"/>
  <c r="K165" i="508"/>
  <c r="I169" i="508"/>
  <c r="V162" i="508"/>
  <c r="W162" i="508" s="1"/>
  <c r="W148" i="508"/>
  <c r="W87" i="508"/>
  <c r="V121" i="508"/>
  <c r="W121" i="508" s="1"/>
  <c r="K163" i="508"/>
  <c r="X166" i="508"/>
  <c r="M549" i="508"/>
  <c r="M86" i="508"/>
  <c r="K521" i="508"/>
  <c r="H503" i="508"/>
  <c r="H477" i="508"/>
  <c r="M566" i="508"/>
  <c r="L565" i="508"/>
  <c r="L544" i="508"/>
  <c r="M477" i="508"/>
  <c r="M427" i="508"/>
  <c r="M461" i="508" s="1"/>
  <c r="M564" i="508"/>
  <c r="V426" i="508"/>
  <c r="W426" i="508" s="1"/>
  <c r="W369" i="508"/>
  <c r="M542" i="508"/>
  <c r="K504" i="508"/>
  <c r="E512" i="508" s="1"/>
  <c r="H368" i="508"/>
  <c r="M318" i="508"/>
  <c r="M332" i="508" s="1"/>
  <c r="V317" i="508"/>
  <c r="W317" i="508" s="1"/>
  <c r="W308" i="508"/>
  <c r="R513" i="508"/>
  <c r="T512" i="508" s="1"/>
  <c r="I504" i="508"/>
  <c r="B512" i="508" s="1"/>
  <c r="I512" i="508" s="1"/>
  <c r="M512" i="508" s="1"/>
  <c r="H291" i="508"/>
  <c r="K558" i="508" s="1"/>
  <c r="V256" i="508"/>
  <c r="W256" i="508" s="1"/>
  <c r="W199" i="508"/>
  <c r="M562" i="508"/>
  <c r="X342" i="508"/>
  <c r="Z336" i="508" s="1"/>
  <c r="R342" i="508"/>
  <c r="M87" i="508"/>
  <c r="M121" i="508" s="1"/>
  <c r="V198" i="508"/>
  <c r="W177" i="508"/>
  <c r="W198" i="508" s="1"/>
  <c r="M556" i="508"/>
  <c r="V86" i="508"/>
  <c r="W29" i="508"/>
  <c r="M7" i="508"/>
  <c r="M28" i="508" s="1"/>
  <c r="P163" i="508"/>
  <c r="X167" i="508" s="1"/>
  <c r="B170" i="508"/>
  <c r="M541" i="508"/>
  <c r="J546" i="508"/>
  <c r="M198" i="508"/>
  <c r="M162" i="508"/>
  <c r="C524" i="508"/>
  <c r="V504" i="508" l="1"/>
  <c r="E171" i="508"/>
  <c r="I171" i="508" s="1"/>
  <c r="M171" i="508" s="1"/>
  <c r="K333" i="508"/>
  <c r="L333" i="508" s="1"/>
  <c r="I340" i="508" s="1"/>
  <c r="M333" i="508"/>
  <c r="N504" i="508"/>
  <c r="B513" i="508" s="1"/>
  <c r="T506" i="508" a="1"/>
  <c r="T506" i="508" s="1"/>
  <c r="C517" i="508"/>
  <c r="J532" i="508"/>
  <c r="Q532" i="508" s="1"/>
  <c r="T532" i="508" a="1"/>
  <c r="T532" i="508" s="1"/>
  <c r="J531" i="508"/>
  <c r="Q531" i="508" s="1"/>
  <c r="T531" i="508" a="1"/>
  <c r="T531" i="508" s="1"/>
  <c r="C533" i="508"/>
  <c r="T533" i="508" s="1" a="1"/>
  <c r="T533" i="508" s="1"/>
  <c r="J530" i="508"/>
  <c r="T530" i="508" a="1"/>
  <c r="T530" i="508" s="1"/>
  <c r="M504" i="508"/>
  <c r="N198" i="508"/>
  <c r="N256" i="508"/>
  <c r="V333" i="508"/>
  <c r="I342" i="508" s="1"/>
  <c r="M342" i="508" s="1" a="1"/>
  <c r="M342" i="508" s="1"/>
  <c r="H147" i="508"/>
  <c r="H137" i="508"/>
  <c r="K552" i="508" s="1"/>
  <c r="N147" i="508"/>
  <c r="N162" i="508"/>
  <c r="R168" i="508"/>
  <c r="O163" i="508"/>
  <c r="H162" i="508"/>
  <c r="K553" i="508" s="1"/>
  <c r="N137" i="508"/>
  <c r="H121" i="508"/>
  <c r="K543" i="508" s="1"/>
  <c r="N121" i="508"/>
  <c r="K542" i="508"/>
  <c r="N86" i="508"/>
  <c r="N28" i="508"/>
  <c r="L163" i="508"/>
  <c r="I170" i="508" s="1"/>
  <c r="J554" i="508"/>
  <c r="T341" i="508"/>
  <c r="T336" i="508"/>
  <c r="T338" i="508"/>
  <c r="T339" i="508"/>
  <c r="I513" i="508"/>
  <c r="W504" i="508"/>
  <c r="K562" i="508"/>
  <c r="H504" i="508"/>
  <c r="E511" i="508" s="1"/>
  <c r="K566" i="508"/>
  <c r="Q522" i="508"/>
  <c r="X172" i="508"/>
  <c r="Z166" i="508" s="1"/>
  <c r="L504" i="508"/>
  <c r="I511" i="508" s="1"/>
  <c r="B511" i="508"/>
  <c r="J567" i="508" s="1"/>
  <c r="J504" i="508" a="1"/>
  <c r="J504" i="508" s="1"/>
  <c r="M511" i="508" s="1"/>
  <c r="X513" i="508"/>
  <c r="Z506" i="508" s="1" a="1"/>
  <c r="Z506" i="508" s="1"/>
  <c r="T508" i="508"/>
  <c r="M565" i="508"/>
  <c r="K541" i="508"/>
  <c r="H333" i="508"/>
  <c r="E340" i="508" s="1"/>
  <c r="Q523" i="508"/>
  <c r="Z167" i="508"/>
  <c r="M163" i="508"/>
  <c r="W86" i="508"/>
  <c r="W163" i="508" s="1"/>
  <c r="V163" i="508"/>
  <c r="I172" i="508" s="1"/>
  <c r="W333" i="508"/>
  <c r="T337" i="508"/>
  <c r="T335" i="508" a="1"/>
  <c r="T335" i="508" s="1"/>
  <c r="Z338" i="508"/>
  <c r="Z340" i="508"/>
  <c r="Z341" i="508"/>
  <c r="Z335" i="508" a="1"/>
  <c r="Z335" i="508" s="1"/>
  <c r="Z339" i="508"/>
  <c r="K544" i="508"/>
  <c r="K565" i="508"/>
  <c r="T511" i="508"/>
  <c r="C527" i="508"/>
  <c r="E524" i="508" s="1"/>
  <c r="K169" i="508"/>
  <c r="M169" i="508" s="1"/>
  <c r="M165" i="508"/>
  <c r="T340" i="508"/>
  <c r="E513" i="508"/>
  <c r="Z337" i="508"/>
  <c r="K339" i="508"/>
  <c r="M339" i="508" s="1"/>
  <c r="M335" i="508"/>
  <c r="T507" i="508"/>
  <c r="K564" i="508"/>
  <c r="T509" i="508"/>
  <c r="M544" i="508"/>
  <c r="T510" i="508"/>
  <c r="E341" i="508" l="1"/>
  <c r="I341" i="508" s="1"/>
  <c r="M341" i="508" s="1"/>
  <c r="Z507" i="508"/>
  <c r="K545" i="508"/>
  <c r="N163" i="508"/>
  <c r="B172" i="508" s="1"/>
  <c r="E172" i="508" s="1"/>
  <c r="N333" i="508"/>
  <c r="B342" i="508" s="1"/>
  <c r="S532" i="508" a="1"/>
  <c r="S532" i="508" s="1"/>
  <c r="R532" i="508"/>
  <c r="S531" i="508" a="1"/>
  <c r="S531" i="508" s="1"/>
  <c r="R531" i="508"/>
  <c r="J533" i="508"/>
  <c r="Q530" i="508"/>
  <c r="T513" i="508"/>
  <c r="K524" i="508"/>
  <c r="R172" i="508"/>
  <c r="K551" i="508"/>
  <c r="H163" i="508"/>
  <c r="E170" i="508" s="1"/>
  <c r="G516" i="508" s="1"/>
  <c r="Z342" i="508"/>
  <c r="T342" i="508"/>
  <c r="Z508" i="508"/>
  <c r="Z510" i="508"/>
  <c r="Z512" i="508"/>
  <c r="Z509" i="508"/>
  <c r="Z511" i="508"/>
  <c r="G517" i="508"/>
  <c r="K517" i="508" s="1"/>
  <c r="O517" i="508" s="1"/>
  <c r="M513" i="508" a="1"/>
  <c r="M513" i="508" s="1"/>
  <c r="C516" i="508"/>
  <c r="E526" i="508"/>
  <c r="E523" i="508"/>
  <c r="E521" i="508"/>
  <c r="E525" i="508"/>
  <c r="E522" i="508"/>
  <c r="K518" i="508"/>
  <c r="O518" i="508" s="1" a="1"/>
  <c r="O518" i="508" s="1"/>
  <c r="M172" i="508" a="1"/>
  <c r="M172" i="508" s="1"/>
  <c r="Z513" i="508"/>
  <c r="Q527" i="508"/>
  <c r="Z171" i="508"/>
  <c r="Z169" i="508"/>
  <c r="Z165" i="508" a="1"/>
  <c r="Z165" i="508" s="1"/>
  <c r="Z170" i="508"/>
  <c r="Z168" i="508"/>
  <c r="S522" i="508"/>
  <c r="P533" i="505"/>
  <c r="O533" i="505"/>
  <c r="N533" i="505"/>
  <c r="M533" i="505"/>
  <c r="L533" i="505"/>
  <c r="K533" i="505"/>
  <c r="I533" i="505"/>
  <c r="H533" i="505"/>
  <c r="G533" i="505"/>
  <c r="F533" i="505"/>
  <c r="E533" i="505"/>
  <c r="D533" i="505"/>
  <c r="G514" i="505"/>
  <c r="N514" i="505" s="1"/>
  <c r="G510" i="505"/>
  <c r="E510" i="505"/>
  <c r="I509" i="505"/>
  <c r="E509" i="505"/>
  <c r="K509" i="505" s="1"/>
  <c r="M509" i="505" s="1"/>
  <c r="I508" i="505"/>
  <c r="E508" i="505"/>
  <c r="K508" i="505" s="1"/>
  <c r="M508" i="505" s="1"/>
  <c r="I507" i="505"/>
  <c r="E507" i="505"/>
  <c r="K507" i="505" s="1"/>
  <c r="M507" i="505" s="1"/>
  <c r="I506" i="505"/>
  <c r="I510" i="505" s="1"/>
  <c r="E506" i="505"/>
  <c r="K506" i="505" s="1"/>
  <c r="C510" i="505"/>
  <c r="H502" i="505"/>
  <c r="H501" i="505"/>
  <c r="H500" i="505"/>
  <c r="D499" i="505"/>
  <c r="H499" i="505" s="1"/>
  <c r="V498" i="505"/>
  <c r="W498" i="505" s="1"/>
  <c r="N498" i="505"/>
  <c r="K498" i="505" a="1"/>
  <c r="K498" i="505" s="1"/>
  <c r="M498" i="505" s="1"/>
  <c r="H497" i="505"/>
  <c r="H496" i="505"/>
  <c r="V495" i="505"/>
  <c r="W495" i="505" s="1"/>
  <c r="N495" i="505"/>
  <c r="K495" i="505" a="1"/>
  <c r="K495" i="505" s="1"/>
  <c r="V494" i="505"/>
  <c r="W494" i="505" s="1"/>
  <c r="N494" i="505"/>
  <c r="K494" i="505" a="1"/>
  <c r="K494" i="505" s="1"/>
  <c r="M494" i="505" s="1"/>
  <c r="H493" i="505"/>
  <c r="H492" i="505"/>
  <c r="V491" i="505"/>
  <c r="W491" i="505" s="1"/>
  <c r="N491" i="505"/>
  <c r="K491" i="505" a="1"/>
  <c r="K491" i="505" s="1"/>
  <c r="V490" i="505"/>
  <c r="W490" i="505" s="1"/>
  <c r="N490" i="505"/>
  <c r="K490" i="505" a="1"/>
  <c r="K490" i="505" s="1"/>
  <c r="M490" i="505" s="1"/>
  <c r="V489" i="505"/>
  <c r="W489" i="505" s="1"/>
  <c r="N489" i="505"/>
  <c r="K489" i="505" a="1"/>
  <c r="K489" i="505" s="1"/>
  <c r="AA503" i="505"/>
  <c r="Z503" i="505"/>
  <c r="Y503" i="505"/>
  <c r="X503" i="505"/>
  <c r="V488" i="505"/>
  <c r="U503" i="505"/>
  <c r="T503" i="505"/>
  <c r="S503" i="505"/>
  <c r="R503" i="505"/>
  <c r="Q503" i="505"/>
  <c r="P503" i="505"/>
  <c r="O503" i="505"/>
  <c r="N488" i="505"/>
  <c r="I503" i="505"/>
  <c r="G503" i="505"/>
  <c r="H9" i="534" s="1"/>
  <c r="J9" i="534" s="1"/>
  <c r="V486" i="505"/>
  <c r="W486" i="505" s="1"/>
  <c r="N486" i="505"/>
  <c r="K486" i="505" a="1"/>
  <c r="K486" i="505" s="1"/>
  <c r="M486" i="505" s="1"/>
  <c r="J486" i="505" a="1"/>
  <c r="J486" i="505" s="1"/>
  <c r="H486" i="505"/>
  <c r="H483" i="505"/>
  <c r="V482" i="505"/>
  <c r="W482" i="505" s="1"/>
  <c r="N482" i="505"/>
  <c r="K482" i="505" a="1"/>
  <c r="K482" i="505" s="1"/>
  <c r="V481" i="505"/>
  <c r="W481" i="505" s="1"/>
  <c r="N481" i="505"/>
  <c r="K481" i="505" a="1"/>
  <c r="K481" i="505" s="1"/>
  <c r="V480" i="505"/>
  <c r="W480" i="505" s="1"/>
  <c r="N480" i="505"/>
  <c r="K480" i="505" a="1"/>
  <c r="K480" i="505" s="1"/>
  <c r="V479" i="505"/>
  <c r="W479" i="505" s="1"/>
  <c r="N479" i="505"/>
  <c r="K479" i="505" a="1"/>
  <c r="K479" i="505" s="1"/>
  <c r="AA487" i="505"/>
  <c r="Z487" i="505"/>
  <c r="Y487" i="505"/>
  <c r="X487" i="505"/>
  <c r="V478" i="505"/>
  <c r="U487" i="505"/>
  <c r="T487" i="505"/>
  <c r="S487" i="505"/>
  <c r="Q487" i="505"/>
  <c r="P487" i="505"/>
  <c r="O487" i="505"/>
  <c r="N478" i="505"/>
  <c r="G487" i="505"/>
  <c r="H8" i="534" s="1"/>
  <c r="J8" i="534" s="1"/>
  <c r="V476" i="505"/>
  <c r="W476" i="505" s="1"/>
  <c r="N476" i="505"/>
  <c r="K476" i="505" a="1"/>
  <c r="K476" i="505" s="1"/>
  <c r="M476" i="505" s="1"/>
  <c r="J476" i="505" a="1"/>
  <c r="J476" i="505" s="1"/>
  <c r="H476" i="505"/>
  <c r="V475" i="505"/>
  <c r="W475" i="505" s="1"/>
  <c r="N475" i="505"/>
  <c r="K475" i="505" a="1"/>
  <c r="K475" i="505" s="1"/>
  <c r="M475" i="505" s="1"/>
  <c r="J475" i="505" a="1"/>
  <c r="J475" i="505" s="1"/>
  <c r="H475" i="505"/>
  <c r="V474" i="505"/>
  <c r="W474" i="505" s="1"/>
  <c r="N474" i="505"/>
  <c r="K474" i="505" a="1"/>
  <c r="K474" i="505" s="1"/>
  <c r="M474" i="505" s="1"/>
  <c r="J474" i="505" a="1"/>
  <c r="J474" i="505" s="1"/>
  <c r="H474" i="505"/>
  <c r="V473" i="505"/>
  <c r="W473" i="505" s="1"/>
  <c r="N473" i="505"/>
  <c r="K473" i="505" a="1"/>
  <c r="K473" i="505" s="1"/>
  <c r="M473" i="505" s="1"/>
  <c r="J473" i="505" a="1"/>
  <c r="J473" i="505" s="1"/>
  <c r="H473" i="505"/>
  <c r="V472" i="505"/>
  <c r="W472" i="505" s="1"/>
  <c r="N472" i="505"/>
  <c r="K472" i="505" a="1"/>
  <c r="K472" i="505" s="1"/>
  <c r="M472" i="505" s="1"/>
  <c r="J472" i="505" a="1"/>
  <c r="J472" i="505" s="1"/>
  <c r="H472" i="505"/>
  <c r="V471" i="505"/>
  <c r="W471" i="505" s="1"/>
  <c r="N471" i="505"/>
  <c r="K471" i="505" a="1"/>
  <c r="K471" i="505" s="1"/>
  <c r="M471" i="505" s="1"/>
  <c r="J471" i="505" a="1"/>
  <c r="J471" i="505" s="1"/>
  <c r="H471" i="505"/>
  <c r="V470" i="505"/>
  <c r="W470" i="505" s="1"/>
  <c r="N470" i="505"/>
  <c r="K470" i="505" a="1"/>
  <c r="K470" i="505" s="1"/>
  <c r="M470" i="505" s="1"/>
  <c r="J470" i="505" a="1"/>
  <c r="J470" i="505" s="1"/>
  <c r="H470" i="505"/>
  <c r="V469" i="505"/>
  <c r="W469" i="505" s="1"/>
  <c r="N469" i="505"/>
  <c r="K469" i="505" a="1"/>
  <c r="K469" i="505" s="1"/>
  <c r="M469" i="505" s="1"/>
  <c r="J469" i="505" a="1"/>
  <c r="J469" i="505" s="1"/>
  <c r="H469" i="505"/>
  <c r="V468" i="505"/>
  <c r="W468" i="505" s="1"/>
  <c r="N468" i="505"/>
  <c r="K468" i="505" a="1"/>
  <c r="K468" i="505" s="1"/>
  <c r="V467" i="505"/>
  <c r="W467" i="505" s="1"/>
  <c r="N467" i="505"/>
  <c r="K467" i="505" a="1"/>
  <c r="K467" i="505" s="1"/>
  <c r="V466" i="505"/>
  <c r="W466" i="505" s="1"/>
  <c r="N466" i="505"/>
  <c r="K466" i="505" a="1"/>
  <c r="K466" i="505" s="1"/>
  <c r="M466" i="505" s="1"/>
  <c r="V465" i="505"/>
  <c r="W465" i="505" s="1"/>
  <c r="N465" i="505"/>
  <c r="K465" i="505" a="1"/>
  <c r="K465" i="505" s="1"/>
  <c r="V464" i="505"/>
  <c r="W464" i="505" s="1"/>
  <c r="N464" i="505"/>
  <c r="K464" i="505" a="1"/>
  <c r="K464" i="505" s="1"/>
  <c r="M464" i="505" s="1"/>
  <c r="V463" i="505"/>
  <c r="W463" i="505" s="1"/>
  <c r="N463" i="505"/>
  <c r="K463" i="505" a="1"/>
  <c r="K463" i="505" s="1"/>
  <c r="M463" i="505" s="1"/>
  <c r="AA477" i="505"/>
  <c r="Z477" i="505"/>
  <c r="Y477" i="505"/>
  <c r="X477" i="505"/>
  <c r="V462" i="505"/>
  <c r="U477" i="505"/>
  <c r="T477" i="505"/>
  <c r="S477" i="505"/>
  <c r="R477" i="505"/>
  <c r="Q477" i="505"/>
  <c r="P477" i="505"/>
  <c r="O477" i="505"/>
  <c r="N462" i="505"/>
  <c r="I477" i="505"/>
  <c r="G477" i="505"/>
  <c r="H7" i="534" s="1"/>
  <c r="J7" i="534" s="1"/>
  <c r="V460" i="505"/>
  <c r="W460" i="505" s="1"/>
  <c r="N460" i="505"/>
  <c r="K460" i="505" a="1"/>
  <c r="K460" i="505" s="1"/>
  <c r="V459" i="505"/>
  <c r="W459" i="505" s="1"/>
  <c r="N459" i="505"/>
  <c r="K459" i="505" a="1"/>
  <c r="K459" i="505" s="1"/>
  <c r="M459" i="505" s="1"/>
  <c r="V458" i="505"/>
  <c r="W458" i="505" s="1"/>
  <c r="N458" i="505"/>
  <c r="K458" i="505" a="1"/>
  <c r="K458" i="505" s="1"/>
  <c r="K457" i="505" a="1"/>
  <c r="K457" i="505" s="1"/>
  <c r="K456" i="505" a="1"/>
  <c r="K456" i="505" s="1"/>
  <c r="K455" i="505" a="1"/>
  <c r="K455" i="505" s="1"/>
  <c r="V454" i="505"/>
  <c r="W454" i="505" s="1"/>
  <c r="N454" i="505"/>
  <c r="K454" i="505" a="1"/>
  <c r="K454" i="505" s="1"/>
  <c r="M454" i="505" s="1"/>
  <c r="V453" i="505"/>
  <c r="W453" i="505" s="1"/>
  <c r="N453" i="505"/>
  <c r="K453" i="505" a="1"/>
  <c r="K453" i="505" s="1"/>
  <c r="N452" i="505"/>
  <c r="K452" i="505" a="1"/>
  <c r="K452" i="505" s="1"/>
  <c r="N451" i="505"/>
  <c r="K451" i="505" a="1"/>
  <c r="K451" i="505" s="1"/>
  <c r="N450" i="505"/>
  <c r="K450" i="505" a="1"/>
  <c r="K450" i="505" s="1"/>
  <c r="N449" i="505"/>
  <c r="K449" i="505" a="1"/>
  <c r="K449" i="505" s="1"/>
  <c r="N448" i="505"/>
  <c r="K448" i="505" a="1"/>
  <c r="K448" i="505" s="1"/>
  <c r="N447" i="505"/>
  <c r="K447" i="505" a="1"/>
  <c r="K447" i="505" s="1"/>
  <c r="V446" i="505"/>
  <c r="W446" i="505" s="1"/>
  <c r="N446" i="505"/>
  <c r="K446" i="505" a="1"/>
  <c r="K446" i="505" s="1"/>
  <c r="M446" i="505" s="1"/>
  <c r="V445" i="505"/>
  <c r="W445" i="505" s="1"/>
  <c r="N445" i="505"/>
  <c r="K445" i="505" a="1"/>
  <c r="K445" i="505" s="1"/>
  <c r="V444" i="505"/>
  <c r="W444" i="505" s="1"/>
  <c r="N444" i="505"/>
  <c r="K444" i="505" a="1"/>
  <c r="K444" i="505" s="1"/>
  <c r="M444" i="505" s="1"/>
  <c r="J444" i="505" a="1"/>
  <c r="J444" i="505" s="1"/>
  <c r="H444" i="505"/>
  <c r="V443" i="505"/>
  <c r="W443" i="505" s="1"/>
  <c r="N443" i="505"/>
  <c r="K443" i="505" a="1"/>
  <c r="K443" i="505" s="1"/>
  <c r="M443" i="505" s="1"/>
  <c r="J443" i="505" a="1"/>
  <c r="J443" i="505" s="1"/>
  <c r="H443" i="505"/>
  <c r="V442" i="505"/>
  <c r="W442" i="505" s="1"/>
  <c r="N442" i="505"/>
  <c r="K442" i="505" a="1"/>
  <c r="K442" i="505" s="1"/>
  <c r="M442" i="505" s="1"/>
  <c r="J442" i="505" a="1"/>
  <c r="J442" i="505" s="1"/>
  <c r="H442" i="505"/>
  <c r="V441" i="505"/>
  <c r="W441" i="505" s="1"/>
  <c r="N441" i="505"/>
  <c r="K441" i="505" a="1"/>
  <c r="K441" i="505" s="1"/>
  <c r="M441" i="505" s="1"/>
  <c r="J441" i="505" a="1"/>
  <c r="J441" i="505" s="1"/>
  <c r="H441" i="505"/>
  <c r="V440" i="505"/>
  <c r="W440" i="505" s="1"/>
  <c r="N440" i="505"/>
  <c r="K440" i="505" a="1"/>
  <c r="K440" i="505" s="1"/>
  <c r="M440" i="505" s="1"/>
  <c r="J440" i="505" a="1"/>
  <c r="J440" i="505" s="1"/>
  <c r="H440" i="505"/>
  <c r="V439" i="505"/>
  <c r="W439" i="505" s="1"/>
  <c r="N439" i="505"/>
  <c r="K439" i="505" a="1"/>
  <c r="K439" i="505" s="1"/>
  <c r="M439" i="505" s="1"/>
  <c r="J439" i="505" a="1"/>
  <c r="J439" i="505" s="1"/>
  <c r="H439" i="505"/>
  <c r="V438" i="505"/>
  <c r="W438" i="505" s="1"/>
  <c r="N438" i="505"/>
  <c r="K438" i="505" a="1"/>
  <c r="K438" i="505" s="1"/>
  <c r="M438" i="505" s="1"/>
  <c r="J438" i="505" a="1"/>
  <c r="J438" i="505" s="1"/>
  <c r="H438" i="505"/>
  <c r="V437" i="505"/>
  <c r="W437" i="505" s="1"/>
  <c r="N437" i="505"/>
  <c r="H437" i="505"/>
  <c r="K437" i="505" a="1"/>
  <c r="K437" i="505" s="1"/>
  <c r="M437" i="505" s="1"/>
  <c r="V436" i="505"/>
  <c r="W436" i="505" s="1"/>
  <c r="N436" i="505"/>
  <c r="K436" i="505" a="1"/>
  <c r="K436" i="505" s="1"/>
  <c r="V435" i="505"/>
  <c r="W435" i="505" s="1"/>
  <c r="N435" i="505"/>
  <c r="K435" i="505" a="1"/>
  <c r="K435" i="505" s="1"/>
  <c r="M435" i="505" s="1"/>
  <c r="N434" i="505"/>
  <c r="K434" i="505" a="1"/>
  <c r="K434" i="505" s="1"/>
  <c r="M434" i="505" s="1"/>
  <c r="V433" i="505"/>
  <c r="W433" i="505" s="1"/>
  <c r="N433" i="505"/>
  <c r="K433" i="505" a="1"/>
  <c r="K433" i="505" s="1"/>
  <c r="V432" i="505"/>
  <c r="W432" i="505" s="1"/>
  <c r="X512" i="505"/>
  <c r="K432" i="505" a="1"/>
  <c r="K432" i="505" s="1"/>
  <c r="V431" i="505"/>
  <c r="W431" i="505" s="1"/>
  <c r="X511" i="505"/>
  <c r="N431" i="505"/>
  <c r="K431" i="505" a="1"/>
  <c r="K431" i="505" s="1"/>
  <c r="M431" i="505" s="1"/>
  <c r="V430" i="505"/>
  <c r="W430" i="505" s="1"/>
  <c r="N430" i="505"/>
  <c r="K430" i="505" a="1"/>
  <c r="K430" i="505" s="1"/>
  <c r="V429" i="505"/>
  <c r="W429" i="505" s="1"/>
  <c r="N429" i="505"/>
  <c r="K429" i="505" a="1"/>
  <c r="K429" i="505" s="1"/>
  <c r="M429" i="505" s="1"/>
  <c r="V428" i="505"/>
  <c r="W428" i="505" s="1"/>
  <c r="N428" i="505"/>
  <c r="K428" i="505" a="1"/>
  <c r="K428" i="505" s="1"/>
  <c r="AA461" i="505"/>
  <c r="Z461" i="505"/>
  <c r="Y461" i="505"/>
  <c r="X461" i="505"/>
  <c r="V427" i="505"/>
  <c r="W427" i="505" s="1"/>
  <c r="U461" i="505"/>
  <c r="T461" i="505"/>
  <c r="S461" i="505"/>
  <c r="R461" i="505"/>
  <c r="Q461" i="505"/>
  <c r="P461" i="505"/>
  <c r="O461" i="505"/>
  <c r="N427" i="505"/>
  <c r="I461" i="505"/>
  <c r="G461" i="505"/>
  <c r="H6" i="534" s="1"/>
  <c r="J6" i="534" s="1"/>
  <c r="K425" i="505" a="1"/>
  <c r="K425" i="505" s="1"/>
  <c r="K424" i="505" a="1"/>
  <c r="K424" i="505" s="1"/>
  <c r="M424" i="505" s="1"/>
  <c r="K423" i="505" a="1"/>
  <c r="K423" i="505" s="1"/>
  <c r="K422" i="505" a="1"/>
  <c r="K422" i="505" s="1"/>
  <c r="K421" i="505" a="1"/>
  <c r="K421" i="505" s="1"/>
  <c r="K420" i="505" a="1"/>
  <c r="K420" i="505" s="1"/>
  <c r="K419" i="505" a="1"/>
  <c r="K419" i="505" s="1"/>
  <c r="M419" i="505" s="1"/>
  <c r="H419" i="505"/>
  <c r="K418" i="505" a="1"/>
  <c r="K418" i="505" s="1"/>
  <c r="K417" i="505" a="1"/>
  <c r="K417" i="505" s="1"/>
  <c r="M417" i="505" s="1"/>
  <c r="H417" i="505"/>
  <c r="K416" i="505" a="1"/>
  <c r="K416" i="505" s="1"/>
  <c r="V415" i="505"/>
  <c r="W415" i="505" s="1"/>
  <c r="N415" i="505"/>
  <c r="K415" i="505" a="1"/>
  <c r="K415" i="505" s="1"/>
  <c r="M415" i="505" s="1"/>
  <c r="V414" i="505"/>
  <c r="W414" i="505" s="1"/>
  <c r="N414" i="505"/>
  <c r="K414" i="505" a="1"/>
  <c r="K414" i="505" s="1"/>
  <c r="V413" i="505"/>
  <c r="W413" i="505" s="1"/>
  <c r="N413" i="505"/>
  <c r="K413" i="505" a="1"/>
  <c r="K413" i="505" s="1"/>
  <c r="M413" i="505" s="1"/>
  <c r="V412" i="505"/>
  <c r="W412" i="505" s="1"/>
  <c r="N412" i="505"/>
  <c r="K412" i="505" a="1"/>
  <c r="K412" i="505" s="1"/>
  <c r="H411" i="505"/>
  <c r="V410" i="505"/>
  <c r="W410" i="505" s="1"/>
  <c r="N410" i="505"/>
  <c r="K410" i="505" a="1"/>
  <c r="K410" i="505" s="1"/>
  <c r="V409" i="505"/>
  <c r="W409" i="505" s="1"/>
  <c r="N409" i="505"/>
  <c r="K409" i="505" a="1"/>
  <c r="K409" i="505" s="1"/>
  <c r="M409" i="505" s="1"/>
  <c r="H408" i="505"/>
  <c r="K407" i="505" a="1"/>
  <c r="K407" i="505" s="1"/>
  <c r="V406" i="505"/>
  <c r="W406" i="505" s="1"/>
  <c r="N406" i="505"/>
  <c r="K406" i="505" a="1"/>
  <c r="K406" i="505" s="1"/>
  <c r="V405" i="505"/>
  <c r="W405" i="505" s="1"/>
  <c r="N405" i="505"/>
  <c r="K405" i="505" a="1"/>
  <c r="K405" i="505" s="1"/>
  <c r="M405" i="505" s="1"/>
  <c r="V404" i="505"/>
  <c r="W404" i="505" s="1"/>
  <c r="N404" i="505"/>
  <c r="K404" i="505" a="1"/>
  <c r="K404" i="505" s="1"/>
  <c r="V403" i="505"/>
  <c r="W403" i="505" s="1"/>
  <c r="N403" i="505"/>
  <c r="K403" i="505" a="1"/>
  <c r="K403" i="505" s="1"/>
  <c r="M403" i="505" s="1"/>
  <c r="V402" i="505"/>
  <c r="W402" i="505" s="1"/>
  <c r="N402" i="505"/>
  <c r="K402" i="505" a="1"/>
  <c r="K402" i="505" s="1"/>
  <c r="V401" i="505"/>
  <c r="N401" i="505"/>
  <c r="V400" i="505"/>
  <c r="W400" i="505" s="1"/>
  <c r="N400" i="505"/>
  <c r="K400" i="505" a="1"/>
  <c r="K400" i="505" s="1"/>
  <c r="V399" i="505"/>
  <c r="W399" i="505" s="1"/>
  <c r="N399" i="505"/>
  <c r="K399" i="505" a="1"/>
  <c r="K399" i="505" s="1"/>
  <c r="M399" i="505" s="1"/>
  <c r="V398" i="505"/>
  <c r="W398" i="505" s="1"/>
  <c r="N398" i="505"/>
  <c r="K398" i="505" a="1"/>
  <c r="K398" i="505" s="1"/>
  <c r="V397" i="505"/>
  <c r="W397" i="505" s="1"/>
  <c r="N397" i="505"/>
  <c r="K397" i="505" a="1"/>
  <c r="K397" i="505" s="1"/>
  <c r="M397" i="505" s="1"/>
  <c r="K396" i="505" a="1"/>
  <c r="K396" i="505" s="1"/>
  <c r="M396" i="505" s="1"/>
  <c r="H396" i="505"/>
  <c r="K395" i="505" a="1"/>
  <c r="K395" i="505" s="1"/>
  <c r="K394" i="505" a="1"/>
  <c r="K394" i="505" s="1"/>
  <c r="M394" i="505" s="1"/>
  <c r="H394" i="505"/>
  <c r="K393" i="505" a="1"/>
  <c r="K393" i="505" s="1"/>
  <c r="N392" i="505"/>
  <c r="K392" i="505" a="1"/>
  <c r="K392" i="505" s="1"/>
  <c r="N391" i="505"/>
  <c r="K391" i="505" a="1"/>
  <c r="K391" i="505" s="1"/>
  <c r="N390" i="505"/>
  <c r="K390" i="505" a="1"/>
  <c r="K390" i="505" s="1"/>
  <c r="N389" i="505"/>
  <c r="K389" i="505" a="1"/>
  <c r="K389" i="505" s="1"/>
  <c r="V388" i="505"/>
  <c r="W388" i="505" s="1"/>
  <c r="N388" i="505"/>
  <c r="K388" i="505" a="1"/>
  <c r="K388" i="505" s="1"/>
  <c r="M388" i="505" s="1"/>
  <c r="V387" i="505"/>
  <c r="W387" i="505" s="1"/>
  <c r="N387" i="505"/>
  <c r="K387" i="505" a="1"/>
  <c r="K387" i="505" s="1"/>
  <c r="V386" i="505"/>
  <c r="W386" i="505" s="1"/>
  <c r="N386" i="505"/>
  <c r="K386" i="505" a="1"/>
  <c r="K386" i="505" s="1"/>
  <c r="M386" i="505" s="1"/>
  <c r="V385" i="505"/>
  <c r="W385" i="505" s="1"/>
  <c r="N385" i="505"/>
  <c r="K385" i="505" a="1"/>
  <c r="K385" i="505" s="1"/>
  <c r="V384" i="505"/>
  <c r="W384" i="505" s="1"/>
  <c r="N384" i="505"/>
  <c r="K384" i="505" a="1"/>
  <c r="K384" i="505" s="1"/>
  <c r="M384" i="505" s="1"/>
  <c r="V383" i="505"/>
  <c r="W383" i="505" s="1"/>
  <c r="N383" i="505"/>
  <c r="K383" i="505" a="1"/>
  <c r="K383" i="505" s="1"/>
  <c r="V382" i="505"/>
  <c r="W382" i="505" s="1"/>
  <c r="N382" i="505"/>
  <c r="K382" i="505" a="1"/>
  <c r="K382" i="505" s="1"/>
  <c r="M382" i="505" s="1"/>
  <c r="V381" i="505"/>
  <c r="W381" i="505" s="1"/>
  <c r="N381" i="505"/>
  <c r="K381" i="505" a="1"/>
  <c r="K381" i="505" s="1"/>
  <c r="V380" i="505"/>
  <c r="W380" i="505" s="1"/>
  <c r="N380" i="505"/>
  <c r="K380" i="505" a="1"/>
  <c r="K380" i="505" s="1"/>
  <c r="M380" i="505" s="1"/>
  <c r="V379" i="505"/>
  <c r="W379" i="505" s="1"/>
  <c r="N379" i="505"/>
  <c r="K379" i="505" a="1"/>
  <c r="K379" i="505" s="1"/>
  <c r="V378" i="505"/>
  <c r="W378" i="505" s="1"/>
  <c r="N378" i="505"/>
  <c r="K378" i="505" a="1"/>
  <c r="K378" i="505" s="1"/>
  <c r="M378" i="505" s="1"/>
  <c r="V377" i="505"/>
  <c r="W377" i="505" s="1"/>
  <c r="N377" i="505"/>
  <c r="K377" i="505" a="1"/>
  <c r="K377" i="505" s="1"/>
  <c r="K376" i="505" a="1"/>
  <c r="K376" i="505" s="1"/>
  <c r="K375" i="505" a="1"/>
  <c r="K375" i="505" s="1"/>
  <c r="K374" i="505" a="1"/>
  <c r="K374" i="505" s="1"/>
  <c r="V373" i="505"/>
  <c r="W373" i="505" s="1"/>
  <c r="X510" i="505"/>
  <c r="N373" i="505"/>
  <c r="K373" i="505" a="1"/>
  <c r="K373" i="505" s="1"/>
  <c r="M373" i="505" s="1"/>
  <c r="V372" i="505"/>
  <c r="W372" i="505" s="1"/>
  <c r="X509" i="505"/>
  <c r="N372" i="505"/>
  <c r="K372" i="505" a="1"/>
  <c r="K372" i="505" s="1"/>
  <c r="V371" i="505"/>
  <c r="W371" i="505" s="1"/>
  <c r="X508" i="505"/>
  <c r="N371" i="505"/>
  <c r="K371" i="505" a="1"/>
  <c r="K371" i="505" s="1"/>
  <c r="M371" i="505" s="1"/>
  <c r="H370" i="505"/>
  <c r="AA426" i="505"/>
  <c r="Z426" i="505"/>
  <c r="Y426" i="505"/>
  <c r="X426" i="505"/>
  <c r="V369" i="505"/>
  <c r="U426" i="505"/>
  <c r="T426" i="505"/>
  <c r="S426" i="505"/>
  <c r="R426" i="505"/>
  <c r="Q426" i="505"/>
  <c r="P426" i="505"/>
  <c r="N369" i="505"/>
  <c r="I426" i="505"/>
  <c r="G426" i="505"/>
  <c r="H5" i="534" s="1"/>
  <c r="J5" i="534" s="1"/>
  <c r="V367" i="505"/>
  <c r="W367" i="505" s="1"/>
  <c r="N367" i="505"/>
  <c r="K367" i="505" a="1"/>
  <c r="K367" i="505" s="1"/>
  <c r="M367" i="505" s="1"/>
  <c r="J367" i="505" a="1"/>
  <c r="J367" i="505" s="1"/>
  <c r="H367" i="505"/>
  <c r="K366" i="505" a="1"/>
  <c r="K366" i="505" s="1"/>
  <c r="K365" i="505" a="1"/>
  <c r="K365" i="505" s="1"/>
  <c r="M365" i="505" s="1"/>
  <c r="H365" i="505"/>
  <c r="K364" i="505" a="1"/>
  <c r="K364" i="505" s="1"/>
  <c r="K363" i="505" a="1"/>
  <c r="K363" i="505" s="1"/>
  <c r="M363" i="505" s="1"/>
  <c r="V362" i="505"/>
  <c r="W362" i="505" s="1"/>
  <c r="N362" i="505"/>
  <c r="K362" i="505" a="1"/>
  <c r="K362" i="505" s="1"/>
  <c r="V361" i="505"/>
  <c r="W361" i="505" s="1"/>
  <c r="N361" i="505"/>
  <c r="K361" i="505" a="1"/>
  <c r="K361" i="505" s="1"/>
  <c r="M361" i="505" s="1"/>
  <c r="V360" i="505"/>
  <c r="W360" i="505" s="1"/>
  <c r="N360" i="505"/>
  <c r="K360" i="505" a="1"/>
  <c r="K360" i="505" s="1"/>
  <c r="V359" i="505"/>
  <c r="W359" i="505" s="1"/>
  <c r="N359" i="505"/>
  <c r="K359" i="505" a="1"/>
  <c r="K359" i="505" s="1"/>
  <c r="M359" i="505" s="1"/>
  <c r="H358" i="505"/>
  <c r="H357" i="505"/>
  <c r="V356" i="505"/>
  <c r="W356" i="505" s="1"/>
  <c r="N356" i="505"/>
  <c r="K356" i="505" a="1"/>
  <c r="K356" i="505" s="1"/>
  <c r="V355" i="505"/>
  <c r="W355" i="505" s="1"/>
  <c r="N355" i="505"/>
  <c r="K355" i="505" a="1"/>
  <c r="K355" i="505" s="1"/>
  <c r="M355" i="505" s="1"/>
  <c r="V354" i="505"/>
  <c r="W354" i="505" s="1"/>
  <c r="N354" i="505"/>
  <c r="K354" i="505" a="1"/>
  <c r="K354" i="505" s="1"/>
  <c r="V353" i="505"/>
  <c r="W353" i="505" s="1"/>
  <c r="N353" i="505"/>
  <c r="K353" i="505" a="1"/>
  <c r="K353" i="505" s="1"/>
  <c r="M353" i="505" s="1"/>
  <c r="V352" i="505"/>
  <c r="W352" i="505" s="1"/>
  <c r="N352" i="505"/>
  <c r="K352" i="505" a="1"/>
  <c r="K352" i="505" s="1"/>
  <c r="V351" i="505"/>
  <c r="W351" i="505" s="1"/>
  <c r="N351" i="505"/>
  <c r="K351" i="505" a="1"/>
  <c r="K351" i="505" s="1"/>
  <c r="M351" i="505" s="1"/>
  <c r="V350" i="505"/>
  <c r="W350" i="505" s="1"/>
  <c r="N350" i="505"/>
  <c r="K350" i="505" a="1"/>
  <c r="K350" i="505" s="1"/>
  <c r="V349" i="505"/>
  <c r="W349" i="505" s="1"/>
  <c r="N349" i="505"/>
  <c r="K349" i="505"/>
  <c r="M349" i="505" s="1"/>
  <c r="V348" i="505"/>
  <c r="W348" i="505" s="1"/>
  <c r="N348" i="505"/>
  <c r="K348" i="505"/>
  <c r="AA368" i="505"/>
  <c r="Z368" i="505"/>
  <c r="Y368" i="505"/>
  <c r="X368" i="505"/>
  <c r="V347" i="505"/>
  <c r="U368" i="505"/>
  <c r="T368" i="505"/>
  <c r="S368" i="505"/>
  <c r="R368" i="505"/>
  <c r="Q368" i="505"/>
  <c r="P368" i="505"/>
  <c r="O368" i="505"/>
  <c r="N347" i="505"/>
  <c r="I368" i="505"/>
  <c r="G368" i="505"/>
  <c r="H4" i="534" s="1"/>
  <c r="E339" i="505"/>
  <c r="I338" i="505"/>
  <c r="K338" i="505" s="1"/>
  <c r="M338" i="505" s="1"/>
  <c r="E338" i="505"/>
  <c r="I337" i="505"/>
  <c r="K337" i="505" s="1"/>
  <c r="M337" i="505" s="1"/>
  <c r="E337" i="505"/>
  <c r="I336" i="505"/>
  <c r="K336" i="505" s="1"/>
  <c r="M336" i="505" s="1"/>
  <c r="E336" i="505"/>
  <c r="G339" i="505"/>
  <c r="E335" i="505"/>
  <c r="C339" i="505"/>
  <c r="K331" i="505" a="1"/>
  <c r="K331" i="505" s="1"/>
  <c r="M331" i="505" s="1"/>
  <c r="K330" i="505" a="1"/>
  <c r="K330" i="505" s="1"/>
  <c r="M330" i="505" s="1"/>
  <c r="H330" i="505"/>
  <c r="K329" i="505" a="1"/>
  <c r="K329" i="505" s="1"/>
  <c r="H329" i="505"/>
  <c r="V328" i="505"/>
  <c r="W328" i="505" s="1"/>
  <c r="N328" i="505"/>
  <c r="K328" i="505" a="1"/>
  <c r="K328" i="505" s="1"/>
  <c r="M328" i="505" s="1"/>
  <c r="J328" i="505" a="1"/>
  <c r="J328" i="505" s="1"/>
  <c r="D328" i="505"/>
  <c r="H328" i="505" s="1"/>
  <c r="H327" i="505"/>
  <c r="K326" i="505" a="1"/>
  <c r="K326" i="505" s="1"/>
  <c r="H326" i="505"/>
  <c r="H325" i="505"/>
  <c r="V324" i="505"/>
  <c r="W324" i="505" s="1"/>
  <c r="N324" i="505"/>
  <c r="K324" i="505" a="1"/>
  <c r="K324" i="505" s="1"/>
  <c r="V323" i="505"/>
  <c r="W323" i="505" s="1"/>
  <c r="N323" i="505"/>
  <c r="K323" i="505" a="1"/>
  <c r="K323" i="505" s="1"/>
  <c r="M323" i="505" s="1"/>
  <c r="H322" i="505"/>
  <c r="V321" i="505"/>
  <c r="W321" i="505" s="1"/>
  <c r="N321" i="505"/>
  <c r="K321" i="505" a="1"/>
  <c r="K321" i="505" s="1"/>
  <c r="M321" i="505" s="1"/>
  <c r="V320" i="505"/>
  <c r="W320" i="505" s="1"/>
  <c r="N320" i="505"/>
  <c r="K320" i="505" a="1"/>
  <c r="K320" i="505" s="1"/>
  <c r="V319" i="505"/>
  <c r="W319" i="505" s="1"/>
  <c r="N319" i="505"/>
  <c r="K319" i="505" a="1"/>
  <c r="K319" i="505" s="1"/>
  <c r="M319" i="505" s="1"/>
  <c r="AA332" i="505"/>
  <c r="Z332" i="505"/>
  <c r="Y332" i="505"/>
  <c r="X332" i="505"/>
  <c r="V318" i="505"/>
  <c r="U332" i="505"/>
  <c r="T332" i="505"/>
  <c r="S332" i="505"/>
  <c r="R332" i="505"/>
  <c r="Q332" i="505"/>
  <c r="P332" i="505"/>
  <c r="O332" i="505"/>
  <c r="N318" i="505"/>
  <c r="I332" i="505"/>
  <c r="L560" i="505" s="1"/>
  <c r="G332" i="505"/>
  <c r="E9" i="534" s="1"/>
  <c r="G9" i="534" s="1"/>
  <c r="V316" i="505"/>
  <c r="W316" i="505" s="1"/>
  <c r="N316" i="505"/>
  <c r="M316" i="505"/>
  <c r="V312" i="505"/>
  <c r="W312" i="505" s="1"/>
  <c r="N312" i="505"/>
  <c r="K312" i="505" a="1"/>
  <c r="K312" i="505" s="1"/>
  <c r="M312" i="505" s="1"/>
  <c r="V311" i="505"/>
  <c r="W311" i="505" s="1"/>
  <c r="N311" i="505"/>
  <c r="K311" i="505" a="1"/>
  <c r="K311" i="505" s="1"/>
  <c r="V310" i="505"/>
  <c r="W310" i="505" s="1"/>
  <c r="N310" i="505"/>
  <c r="K310" i="505" a="1"/>
  <c r="K310" i="505" s="1"/>
  <c r="M310" i="505" s="1"/>
  <c r="V309" i="505"/>
  <c r="W309" i="505" s="1"/>
  <c r="N309" i="505"/>
  <c r="K309" i="505" a="1"/>
  <c r="K309" i="505" s="1"/>
  <c r="AA317" i="505"/>
  <c r="Z317" i="505"/>
  <c r="Y317" i="505"/>
  <c r="X317" i="505"/>
  <c r="V308" i="505"/>
  <c r="U317" i="505"/>
  <c r="T317" i="505"/>
  <c r="S317" i="505"/>
  <c r="Q317" i="505"/>
  <c r="P317" i="505"/>
  <c r="O317" i="505"/>
  <c r="N308" i="505"/>
  <c r="I317" i="505"/>
  <c r="G317" i="505"/>
  <c r="E8" i="534" s="1"/>
  <c r="G8" i="534" s="1"/>
  <c r="V306" i="505"/>
  <c r="W306" i="505" s="1"/>
  <c r="N306" i="505"/>
  <c r="K306" i="505" a="1"/>
  <c r="K306" i="505" s="1"/>
  <c r="M306" i="505" s="1"/>
  <c r="V305" i="505"/>
  <c r="W305" i="505" s="1"/>
  <c r="N305" i="505"/>
  <c r="K305" i="505" a="1"/>
  <c r="K305" i="505" s="1"/>
  <c r="V304" i="505"/>
  <c r="W304" i="505" s="1"/>
  <c r="N304" i="505"/>
  <c r="K304" i="505" a="1"/>
  <c r="K304" i="505" s="1"/>
  <c r="M304" i="505" s="1"/>
  <c r="V303" i="505"/>
  <c r="W303" i="505" s="1"/>
  <c r="N303" i="505"/>
  <c r="K303" i="505" a="1"/>
  <c r="K303" i="505" s="1"/>
  <c r="V302" i="505"/>
  <c r="W302" i="505" s="1"/>
  <c r="N302" i="505"/>
  <c r="K302" i="505" a="1"/>
  <c r="K302" i="505" s="1"/>
  <c r="M302" i="505" s="1"/>
  <c r="V301" i="505"/>
  <c r="W301" i="505" s="1"/>
  <c r="N301" i="505"/>
  <c r="K301" i="505" a="1"/>
  <c r="K301" i="505" s="1"/>
  <c r="V300" i="505"/>
  <c r="W300" i="505" s="1"/>
  <c r="N300" i="505"/>
  <c r="K300" i="505" a="1"/>
  <c r="K300" i="505" s="1"/>
  <c r="M300" i="505" s="1"/>
  <c r="V299" i="505"/>
  <c r="W299" i="505" s="1"/>
  <c r="N299" i="505"/>
  <c r="H299" i="505"/>
  <c r="V298" i="505"/>
  <c r="W298" i="505" s="1"/>
  <c r="N298" i="505"/>
  <c r="K298" i="505" a="1"/>
  <c r="K298" i="505" s="1"/>
  <c r="M298" i="505" s="1"/>
  <c r="J298" i="505" a="1"/>
  <c r="J298" i="505" s="1"/>
  <c r="H298" i="505"/>
  <c r="V297" i="505"/>
  <c r="W297" i="505" s="1"/>
  <c r="N297" i="505"/>
  <c r="K297" i="505" a="1"/>
  <c r="K297" i="505" s="1"/>
  <c r="M297" i="505" s="1"/>
  <c r="J297" i="505" a="1"/>
  <c r="J297" i="505" s="1"/>
  <c r="H297" i="505"/>
  <c r="V296" i="505"/>
  <c r="W296" i="505" s="1"/>
  <c r="N296" i="505"/>
  <c r="K296" i="505" a="1"/>
  <c r="K296" i="505" s="1"/>
  <c r="M296" i="505" s="1"/>
  <c r="J296" i="505" a="1"/>
  <c r="J296" i="505" s="1"/>
  <c r="H296" i="505"/>
  <c r="V295" i="505"/>
  <c r="W295" i="505" s="1"/>
  <c r="N295" i="505"/>
  <c r="K295" i="505" a="1"/>
  <c r="K295" i="505" s="1"/>
  <c r="M295" i="505" s="1"/>
  <c r="J295" i="505" a="1"/>
  <c r="J295" i="505" s="1"/>
  <c r="H295" i="505"/>
  <c r="V294" i="505"/>
  <c r="W294" i="505" s="1"/>
  <c r="N294" i="505"/>
  <c r="K294" i="505" a="1"/>
  <c r="K294" i="505" s="1"/>
  <c r="M294" i="505" s="1"/>
  <c r="J294" i="505" a="1"/>
  <c r="J294" i="505" s="1"/>
  <c r="H294" i="505"/>
  <c r="V293" i="505"/>
  <c r="W293" i="505" s="1"/>
  <c r="N293" i="505"/>
  <c r="K293" i="505" a="1"/>
  <c r="K293" i="505" s="1"/>
  <c r="M293" i="505" s="1"/>
  <c r="AA307" i="505"/>
  <c r="Z307" i="505"/>
  <c r="Y307" i="505"/>
  <c r="X307" i="505"/>
  <c r="V292" i="505"/>
  <c r="U307" i="505"/>
  <c r="T307" i="505"/>
  <c r="S307" i="505"/>
  <c r="R307" i="505"/>
  <c r="Q307" i="505"/>
  <c r="P307" i="505"/>
  <c r="O307" i="505"/>
  <c r="N292" i="505"/>
  <c r="I307" i="505"/>
  <c r="L559" i="505" s="1"/>
  <c r="G307" i="505"/>
  <c r="E7" i="534" s="1"/>
  <c r="G7" i="534" s="1"/>
  <c r="V290" i="505"/>
  <c r="W290" i="505" s="1"/>
  <c r="N290" i="505"/>
  <c r="K290" i="505" a="1"/>
  <c r="K290" i="505" s="1"/>
  <c r="V289" i="505"/>
  <c r="W289" i="505" s="1"/>
  <c r="N289" i="505"/>
  <c r="K289" i="505" a="1"/>
  <c r="K289" i="505" s="1"/>
  <c r="M289" i="505" s="1"/>
  <c r="V288" i="505"/>
  <c r="W288" i="505" s="1"/>
  <c r="N288" i="505"/>
  <c r="K288" i="505" a="1"/>
  <c r="K288" i="505" s="1"/>
  <c r="H287" i="505"/>
  <c r="H286" i="505"/>
  <c r="H285" i="505"/>
  <c r="V284" i="505"/>
  <c r="W284" i="505" s="1"/>
  <c r="N284" i="505"/>
  <c r="K284" i="505" a="1"/>
  <c r="K284" i="505" s="1"/>
  <c r="M284" i="505" s="1"/>
  <c r="V283" i="505"/>
  <c r="W283" i="505" s="1"/>
  <c r="N283" i="505"/>
  <c r="K283" i="505" a="1"/>
  <c r="K283" i="505" s="1"/>
  <c r="N282" i="505"/>
  <c r="K282" i="505" a="1"/>
  <c r="K282" i="505" s="1"/>
  <c r="N281" i="505"/>
  <c r="K281" i="505" a="1"/>
  <c r="K281" i="505" s="1"/>
  <c r="N280" i="505"/>
  <c r="K280" i="505" a="1"/>
  <c r="K280" i="505" s="1"/>
  <c r="N279" i="505"/>
  <c r="K279" i="505" a="1"/>
  <c r="K279" i="505" s="1"/>
  <c r="N278" i="505"/>
  <c r="K278" i="505" a="1"/>
  <c r="K278" i="505" s="1"/>
  <c r="N277" i="505"/>
  <c r="K277" i="505" a="1"/>
  <c r="K277" i="505" s="1"/>
  <c r="V276" i="505"/>
  <c r="W276" i="505" s="1"/>
  <c r="N276" i="505"/>
  <c r="K276" i="505" a="1"/>
  <c r="K276" i="505" s="1"/>
  <c r="M276" i="505" s="1"/>
  <c r="V275" i="505"/>
  <c r="W275" i="505" s="1"/>
  <c r="N275" i="505"/>
  <c r="K275" i="505" a="1"/>
  <c r="K275" i="505" s="1"/>
  <c r="V274" i="505"/>
  <c r="W274" i="505" s="1"/>
  <c r="N274" i="505"/>
  <c r="K274" i="505" a="1"/>
  <c r="K274" i="505" s="1"/>
  <c r="M274" i="505" s="1"/>
  <c r="V273" i="505"/>
  <c r="W273" i="505" s="1"/>
  <c r="N273" i="505"/>
  <c r="K273" i="505" a="1"/>
  <c r="K273" i="505" s="1"/>
  <c r="V272" i="505"/>
  <c r="W272" i="505" s="1"/>
  <c r="N272" i="505"/>
  <c r="K272" i="505" a="1"/>
  <c r="K272" i="505" s="1"/>
  <c r="M272" i="505" s="1"/>
  <c r="V271" i="505"/>
  <c r="W271" i="505" s="1"/>
  <c r="N271" i="505"/>
  <c r="K271" i="505" a="1"/>
  <c r="K271" i="505" s="1"/>
  <c r="V270" i="505"/>
  <c r="W270" i="505" s="1"/>
  <c r="N270" i="505"/>
  <c r="K270" i="505" a="1"/>
  <c r="K270" i="505" s="1"/>
  <c r="M270" i="505" s="1"/>
  <c r="V269" i="505"/>
  <c r="W269" i="505" s="1"/>
  <c r="N269" i="505"/>
  <c r="K269" i="505" a="1"/>
  <c r="K269" i="505" s="1"/>
  <c r="V268" i="505"/>
  <c r="W268" i="505" s="1"/>
  <c r="N268" i="505"/>
  <c r="K268" i="505" a="1"/>
  <c r="K268" i="505" s="1"/>
  <c r="M268" i="505" s="1"/>
  <c r="V267" i="505"/>
  <c r="W267" i="505" s="1"/>
  <c r="N267" i="505"/>
  <c r="K267" i="505" a="1"/>
  <c r="K267" i="505" s="1"/>
  <c r="V266" i="505"/>
  <c r="W266" i="505" s="1"/>
  <c r="N266" i="505"/>
  <c r="K266" i="505" a="1"/>
  <c r="K266" i="505" s="1"/>
  <c r="M266" i="505" s="1"/>
  <c r="V265" i="505"/>
  <c r="W265" i="505" s="1"/>
  <c r="N265" i="505"/>
  <c r="K265" i="505" a="1"/>
  <c r="K265" i="505" s="1"/>
  <c r="N264" i="505"/>
  <c r="K264" i="505" a="1"/>
  <c r="K264" i="505" s="1"/>
  <c r="V263" i="505"/>
  <c r="W263" i="505" s="1"/>
  <c r="N263" i="505"/>
  <c r="K263" i="505" a="1"/>
  <c r="K263" i="505" s="1"/>
  <c r="M263" i="505" s="1"/>
  <c r="V262" i="505"/>
  <c r="W262" i="505" s="1"/>
  <c r="N262" i="505"/>
  <c r="K262" i="505" a="1"/>
  <c r="K262" i="505" s="1"/>
  <c r="V261" i="505"/>
  <c r="W261" i="505" s="1"/>
  <c r="X341" i="505"/>
  <c r="N261" i="505"/>
  <c r="K261" i="505" a="1"/>
  <c r="K261" i="505" s="1"/>
  <c r="M261" i="505" s="1"/>
  <c r="V260" i="505"/>
  <c r="W260" i="505" s="1"/>
  <c r="N260" i="505"/>
  <c r="K260" i="505" a="1"/>
  <c r="K260" i="505" s="1"/>
  <c r="V259" i="505"/>
  <c r="W259" i="505" s="1"/>
  <c r="N259" i="505"/>
  <c r="K259" i="505" a="1"/>
  <c r="K259" i="505" s="1"/>
  <c r="M259" i="505" s="1"/>
  <c r="V258" i="505"/>
  <c r="W258" i="505" s="1"/>
  <c r="N258" i="505"/>
  <c r="K258" i="505" a="1"/>
  <c r="K258" i="505" s="1"/>
  <c r="AA291" i="505"/>
  <c r="Z291" i="505"/>
  <c r="Y291" i="505"/>
  <c r="X291" i="505"/>
  <c r="V257" i="505"/>
  <c r="W257" i="505" s="1"/>
  <c r="U291" i="505"/>
  <c r="T291" i="505"/>
  <c r="S291" i="505"/>
  <c r="R291" i="505"/>
  <c r="Q291" i="505"/>
  <c r="P291" i="505"/>
  <c r="O291" i="505"/>
  <c r="N257" i="505"/>
  <c r="I291" i="505"/>
  <c r="L558" i="505" s="1"/>
  <c r="G291" i="505"/>
  <c r="E6" i="534" s="1"/>
  <c r="G6" i="534" s="1"/>
  <c r="H255" i="505"/>
  <c r="H254" i="505"/>
  <c r="H253" i="505"/>
  <c r="H252" i="505"/>
  <c r="H251" i="505"/>
  <c r="H250" i="505"/>
  <c r="K249" i="505" a="1"/>
  <c r="K249" i="505" s="1"/>
  <c r="K248" i="505" a="1"/>
  <c r="K248" i="505" s="1"/>
  <c r="K247" i="505" a="1"/>
  <c r="K247" i="505" s="1"/>
  <c r="K246" i="505" a="1"/>
  <c r="K246" i="505" s="1"/>
  <c r="V245" i="505"/>
  <c r="W245" i="505" s="1"/>
  <c r="K245" i="505" a="1"/>
  <c r="K245" i="505" s="1"/>
  <c r="M245" i="505" s="1"/>
  <c r="V244" i="505"/>
  <c r="W244" i="505" s="1"/>
  <c r="K244" i="505" a="1"/>
  <c r="K244" i="505" s="1"/>
  <c r="V243" i="505"/>
  <c r="W243" i="505" s="1"/>
  <c r="K243" i="505" a="1"/>
  <c r="K243" i="505" s="1"/>
  <c r="M243" i="505" s="1"/>
  <c r="V242" i="505"/>
  <c r="W242" i="505" s="1"/>
  <c r="K242" i="505" a="1"/>
  <c r="K242" i="505" s="1"/>
  <c r="M241" i="505"/>
  <c r="H241" i="505"/>
  <c r="V240" i="505"/>
  <c r="W240" i="505" s="1"/>
  <c r="K240" i="505" a="1"/>
  <c r="K240" i="505" s="1"/>
  <c r="M240" i="505" s="1"/>
  <c r="V239" i="505"/>
  <c r="W239" i="505" s="1"/>
  <c r="K239" i="505" a="1"/>
  <c r="K239" i="505" s="1"/>
  <c r="K238" i="505" a="1"/>
  <c r="K238" i="505" s="1"/>
  <c r="H237" i="505"/>
  <c r="V236" i="505"/>
  <c r="W236" i="505" s="1"/>
  <c r="K236" i="505" a="1"/>
  <c r="K236" i="505" s="1"/>
  <c r="M236" i="505" s="1"/>
  <c r="J236" i="505" a="1"/>
  <c r="J236" i="505" s="1"/>
  <c r="H236" i="505"/>
  <c r="V235" i="505"/>
  <c r="W235" i="505" s="1"/>
  <c r="K235" i="505" a="1"/>
  <c r="K235" i="505" s="1"/>
  <c r="V234" i="505"/>
  <c r="W234" i="505" s="1"/>
  <c r="K234" i="505" a="1"/>
  <c r="K234" i="505" s="1"/>
  <c r="M234" i="505" s="1"/>
  <c r="V233" i="505"/>
  <c r="W233" i="505" s="1"/>
  <c r="K233" i="505" a="1"/>
  <c r="K233" i="505" s="1"/>
  <c r="V232" i="505"/>
  <c r="W232" i="505" s="1"/>
  <c r="K232" i="505" a="1"/>
  <c r="K232" i="505" s="1"/>
  <c r="M232" i="505" s="1"/>
  <c r="V231" i="505"/>
  <c r="W231" i="505" s="1"/>
  <c r="K231" i="505" a="1"/>
  <c r="K231" i="505" s="1"/>
  <c r="V230" i="505"/>
  <c r="W230" i="505" s="1"/>
  <c r="K230" i="505" a="1"/>
  <c r="K230" i="505" s="1"/>
  <c r="M230" i="505" s="1"/>
  <c r="V229" i="505"/>
  <c r="W229" i="505" s="1"/>
  <c r="K229" i="505" a="1"/>
  <c r="K229" i="505" s="1"/>
  <c r="V228" i="505"/>
  <c r="W228" i="505" s="1"/>
  <c r="K228" i="505" a="1"/>
  <c r="K228" i="505" s="1"/>
  <c r="M228" i="505" s="1"/>
  <c r="V227" i="505"/>
  <c r="W227" i="505" s="1"/>
  <c r="K227" i="505" a="1"/>
  <c r="K227" i="505" s="1"/>
  <c r="K226" i="505" a="1"/>
  <c r="K226" i="505" s="1"/>
  <c r="K225" i="505" a="1"/>
  <c r="K225" i="505" s="1"/>
  <c r="K224" i="505" a="1"/>
  <c r="K224" i="505" s="1"/>
  <c r="K223" i="505" a="1"/>
  <c r="K223" i="505" s="1"/>
  <c r="K222" i="505" a="1"/>
  <c r="K222" i="505" s="1"/>
  <c r="K221" i="505" a="1"/>
  <c r="K221" i="505" s="1"/>
  <c r="K220" i="505" a="1"/>
  <c r="K220" i="505" s="1"/>
  <c r="K219" i="505" a="1"/>
  <c r="K219" i="505" s="1"/>
  <c r="V218" i="505"/>
  <c r="W218" i="505" s="1"/>
  <c r="K218" i="505" a="1"/>
  <c r="K218" i="505" s="1"/>
  <c r="M218" i="505" s="1"/>
  <c r="V217" i="505"/>
  <c r="W217" i="505" s="1"/>
  <c r="K217" i="505" a="1"/>
  <c r="K217" i="505" s="1"/>
  <c r="V216" i="505"/>
  <c r="W216" i="505" s="1"/>
  <c r="K216" i="505" a="1"/>
  <c r="K216" i="505" s="1"/>
  <c r="M216" i="505" s="1"/>
  <c r="V215" i="505"/>
  <c r="W215" i="505" s="1"/>
  <c r="K215" i="505" a="1"/>
  <c r="K215" i="505" s="1"/>
  <c r="V214" i="505"/>
  <c r="W214" i="505" s="1"/>
  <c r="K214" i="505" a="1"/>
  <c r="K214" i="505" s="1"/>
  <c r="M214" i="505" s="1"/>
  <c r="V213" i="505"/>
  <c r="W213" i="505" s="1"/>
  <c r="K213" i="505" a="1"/>
  <c r="K213" i="505" s="1"/>
  <c r="V212" i="505"/>
  <c r="W212" i="505" s="1"/>
  <c r="K212" i="505" a="1"/>
  <c r="K212" i="505" s="1"/>
  <c r="M212" i="505" s="1"/>
  <c r="V211" i="505"/>
  <c r="W211" i="505" s="1"/>
  <c r="K211" i="505" a="1"/>
  <c r="K211" i="505" s="1"/>
  <c r="V210" i="505"/>
  <c r="W210" i="505" s="1"/>
  <c r="K210" i="505" a="1"/>
  <c r="K210" i="505" s="1"/>
  <c r="M210" i="505" s="1"/>
  <c r="V209" i="505"/>
  <c r="W209" i="505" s="1"/>
  <c r="K209" i="505" a="1"/>
  <c r="K209" i="505" s="1"/>
  <c r="V208" i="505"/>
  <c r="W208" i="505" s="1"/>
  <c r="K208" i="505" a="1"/>
  <c r="K208" i="505" s="1"/>
  <c r="M208" i="505" s="1"/>
  <c r="V207" i="505"/>
  <c r="W207" i="505" s="1"/>
  <c r="K207" i="505" a="1"/>
  <c r="K207" i="505" s="1"/>
  <c r="H206" i="505"/>
  <c r="H205" i="505"/>
  <c r="H204" i="505"/>
  <c r="V203" i="505"/>
  <c r="W203" i="505" s="1"/>
  <c r="X340" i="505"/>
  <c r="K203" i="505" a="1"/>
  <c r="K203" i="505" s="1"/>
  <c r="M203" i="505" s="1"/>
  <c r="J203" i="505" a="1"/>
  <c r="J203" i="505" s="1"/>
  <c r="H203" i="505"/>
  <c r="V202" i="505"/>
  <c r="W202" i="505" s="1"/>
  <c r="X339" i="505"/>
  <c r="K202" i="505" a="1"/>
  <c r="K202" i="505" s="1"/>
  <c r="M202" i="505" s="1"/>
  <c r="J202" i="505" a="1"/>
  <c r="J202" i="505" s="1"/>
  <c r="H202" i="505"/>
  <c r="V201" i="505"/>
  <c r="W201" i="505" s="1"/>
  <c r="X338" i="505"/>
  <c r="K201" i="505" a="1"/>
  <c r="K201" i="505" s="1"/>
  <c r="M201" i="505" s="1"/>
  <c r="J201" i="505" a="1"/>
  <c r="J201" i="505" s="1"/>
  <c r="H201" i="505"/>
  <c r="H200" i="505"/>
  <c r="AA256" i="505"/>
  <c r="Z256" i="505"/>
  <c r="Y256" i="505"/>
  <c r="X256" i="505"/>
  <c r="V199" i="505"/>
  <c r="U256" i="505"/>
  <c r="T256" i="505"/>
  <c r="S256" i="505"/>
  <c r="R256" i="505"/>
  <c r="Q256" i="505"/>
  <c r="P256" i="505"/>
  <c r="O256" i="505"/>
  <c r="I256" i="505"/>
  <c r="L557" i="505" s="1"/>
  <c r="G256" i="505"/>
  <c r="E5" i="534" s="1"/>
  <c r="G5" i="534" s="1"/>
  <c r="X335" i="505"/>
  <c r="K197" i="505" a="1"/>
  <c r="K197" i="505" s="1"/>
  <c r="M197" i="505" s="1"/>
  <c r="H197" i="505"/>
  <c r="K196" i="505" a="1"/>
  <c r="K196" i="505" s="1"/>
  <c r="M196" i="505" s="1"/>
  <c r="H196" i="505"/>
  <c r="K195" i="505" a="1"/>
  <c r="K195" i="505" s="1"/>
  <c r="M195" i="505" s="1"/>
  <c r="H195" i="505"/>
  <c r="K194" i="505" a="1"/>
  <c r="K194" i="505" s="1"/>
  <c r="V193" i="505"/>
  <c r="V192" i="505"/>
  <c r="W192" i="505" s="1"/>
  <c r="K192" i="505" a="1"/>
  <c r="K192" i="505" s="1"/>
  <c r="M192" i="505" s="1"/>
  <c r="J192" i="505" a="1"/>
  <c r="J192" i="505" s="1"/>
  <c r="H192" i="505"/>
  <c r="V191" i="505"/>
  <c r="W191" i="505" s="1"/>
  <c r="K191" i="505" a="1"/>
  <c r="K191" i="505" s="1"/>
  <c r="M191" i="505" s="1"/>
  <c r="J191" i="505" a="1"/>
  <c r="J191" i="505" s="1"/>
  <c r="H191" i="505"/>
  <c r="V190" i="505"/>
  <c r="W190" i="505" s="1"/>
  <c r="K190" i="505" a="1"/>
  <c r="K190" i="505" s="1"/>
  <c r="M190" i="505" s="1"/>
  <c r="J190" i="505" a="1"/>
  <c r="J190" i="505" s="1"/>
  <c r="H190" i="505"/>
  <c r="V189" i="505"/>
  <c r="W189" i="505" s="1"/>
  <c r="K189" i="505" a="1"/>
  <c r="K189" i="505" s="1"/>
  <c r="M189" i="505" s="1"/>
  <c r="J189" i="505" a="1"/>
  <c r="J189" i="505" s="1"/>
  <c r="H189" i="505"/>
  <c r="V188" i="505"/>
  <c r="W188" i="505" s="1"/>
  <c r="K188" i="505" a="1"/>
  <c r="K188" i="505" s="1"/>
  <c r="M188" i="505" s="1"/>
  <c r="J188" i="505" a="1"/>
  <c r="J188" i="505" s="1"/>
  <c r="H188" i="505"/>
  <c r="V187" i="505"/>
  <c r="W187" i="505" s="1"/>
  <c r="J187" i="505" a="1"/>
  <c r="J187" i="505" s="1"/>
  <c r="H187" i="505"/>
  <c r="K187" i="505" a="1"/>
  <c r="K187" i="505" s="1"/>
  <c r="M187" i="505" s="1"/>
  <c r="V186" i="505"/>
  <c r="W186" i="505" s="1"/>
  <c r="K186" i="505" a="1"/>
  <c r="K186" i="505" s="1"/>
  <c r="V185" i="505"/>
  <c r="W185" i="505" s="1"/>
  <c r="K185" i="505" a="1"/>
  <c r="K185" i="505" s="1"/>
  <c r="M185" i="505" s="1"/>
  <c r="V184" i="505"/>
  <c r="W184" i="505" s="1"/>
  <c r="K184" i="505" a="1"/>
  <c r="K184" i="505" s="1"/>
  <c r="V183" i="505"/>
  <c r="W183" i="505" s="1"/>
  <c r="K183" i="505" a="1"/>
  <c r="K183" i="505" s="1"/>
  <c r="M183" i="505" s="1"/>
  <c r="V182" i="505"/>
  <c r="W182" i="505" s="1"/>
  <c r="K182" i="505" a="1"/>
  <c r="K182" i="505" s="1"/>
  <c r="V181" i="505"/>
  <c r="W181" i="505" s="1"/>
  <c r="K181" i="505" a="1"/>
  <c r="K181" i="505" s="1"/>
  <c r="M181" i="505" s="1"/>
  <c r="V180" i="505"/>
  <c r="W180" i="505" s="1"/>
  <c r="K180" i="505" a="1"/>
  <c r="K180" i="505" s="1"/>
  <c r="V179" i="505"/>
  <c r="W179" i="505" s="1"/>
  <c r="K179" i="505" a="1"/>
  <c r="K179" i="505" s="1"/>
  <c r="M179" i="505" s="1"/>
  <c r="V178" i="505"/>
  <c r="W178" i="505" s="1"/>
  <c r="K178" i="505" a="1"/>
  <c r="K178" i="505" s="1"/>
  <c r="AA198" i="505"/>
  <c r="AA333" i="505" s="1"/>
  <c r="Z198" i="505"/>
  <c r="Y198" i="505"/>
  <c r="Y333" i="505" s="1"/>
  <c r="X198" i="505"/>
  <c r="V177" i="505"/>
  <c r="U198" i="505"/>
  <c r="T198" i="505"/>
  <c r="T333" i="505" s="1"/>
  <c r="S198" i="505"/>
  <c r="R198" i="505"/>
  <c r="R333" i="505" s="1"/>
  <c r="Q198" i="505"/>
  <c r="P198" i="505"/>
  <c r="O198" i="505"/>
  <c r="I198" i="505"/>
  <c r="G198" i="505"/>
  <c r="E4" i="534" s="1"/>
  <c r="E169" i="505"/>
  <c r="I168" i="505"/>
  <c r="E168" i="505"/>
  <c r="I167" i="505"/>
  <c r="E167" i="505"/>
  <c r="I166" i="505"/>
  <c r="E166" i="505"/>
  <c r="G169" i="505"/>
  <c r="E165" i="505"/>
  <c r="C169" i="505"/>
  <c r="K160" i="505" a="1"/>
  <c r="K160" i="505" s="1"/>
  <c r="K159" i="505" a="1"/>
  <c r="K159" i="505" s="1"/>
  <c r="V158" i="505"/>
  <c r="W158" i="505" s="1"/>
  <c r="K158" i="505" a="1"/>
  <c r="K158" i="505" s="1"/>
  <c r="D158" i="505"/>
  <c r="V157" i="505"/>
  <c r="W157" i="505" s="1"/>
  <c r="K157" i="505" a="1"/>
  <c r="K157" i="505" s="1"/>
  <c r="V154" i="505"/>
  <c r="W154" i="505" s="1"/>
  <c r="K154" i="505" a="1"/>
  <c r="K154" i="505" s="1"/>
  <c r="V153" i="505"/>
  <c r="W153" i="505" s="1"/>
  <c r="K153" i="505" a="1"/>
  <c r="K153" i="505" s="1"/>
  <c r="V151" i="505"/>
  <c r="W151" i="505" s="1"/>
  <c r="K151" i="505" a="1"/>
  <c r="K151" i="505" s="1"/>
  <c r="V150" i="505"/>
  <c r="W150" i="505" s="1"/>
  <c r="K150" i="505" a="1"/>
  <c r="K150" i="505" s="1"/>
  <c r="V149" i="505"/>
  <c r="W149" i="505" s="1"/>
  <c r="K149" i="505" a="1"/>
  <c r="K149" i="505" s="1"/>
  <c r="AA162" i="505"/>
  <c r="Z162" i="505"/>
  <c r="Y162" i="505"/>
  <c r="X162" i="505"/>
  <c r="V148" i="505"/>
  <c r="U162" i="505"/>
  <c r="T162" i="505"/>
  <c r="S162" i="505"/>
  <c r="R162" i="505"/>
  <c r="Q162" i="505"/>
  <c r="P162" i="505"/>
  <c r="O162" i="505"/>
  <c r="K148" i="505" a="1"/>
  <c r="K148" i="505" s="1"/>
  <c r="V146" i="505"/>
  <c r="W146" i="505" s="1"/>
  <c r="K146" i="505" a="1"/>
  <c r="K146" i="505" s="1"/>
  <c r="V142" i="505"/>
  <c r="W142" i="505" s="1"/>
  <c r="K142" i="505" a="1"/>
  <c r="K142" i="505" s="1"/>
  <c r="V141" i="505"/>
  <c r="W141" i="505" s="1"/>
  <c r="K141" i="505" a="1"/>
  <c r="K141" i="505" s="1"/>
  <c r="V140" i="505"/>
  <c r="W140" i="505" s="1"/>
  <c r="K140" i="505" a="1"/>
  <c r="K140" i="505" s="1"/>
  <c r="V139" i="505"/>
  <c r="W139" i="505" s="1"/>
  <c r="K139" i="505" a="1"/>
  <c r="K139" i="505" s="1"/>
  <c r="AA147" i="505"/>
  <c r="Z147" i="505"/>
  <c r="Y147" i="505"/>
  <c r="X147" i="505"/>
  <c r="V138" i="505"/>
  <c r="V147" i="505" s="1"/>
  <c r="U147" i="505"/>
  <c r="T147" i="505"/>
  <c r="S147" i="505"/>
  <c r="Q147" i="505"/>
  <c r="P147" i="505"/>
  <c r="O147" i="505"/>
  <c r="R169" i="505" s="1"/>
  <c r="I147" i="505"/>
  <c r="G147" i="505"/>
  <c r="B8" i="534" s="1"/>
  <c r="V136" i="505"/>
  <c r="W136" i="505" s="1"/>
  <c r="K136" i="505" a="1"/>
  <c r="K136" i="505" s="1"/>
  <c r="V135" i="505"/>
  <c r="W135" i="505" s="1"/>
  <c r="K135" i="505" a="1"/>
  <c r="K135" i="505" s="1"/>
  <c r="V134" i="505"/>
  <c r="W134" i="505" s="1"/>
  <c r="K134" i="505" a="1"/>
  <c r="K134" i="505" s="1"/>
  <c r="V133" i="505"/>
  <c r="W133" i="505" s="1"/>
  <c r="K133" i="505" a="1"/>
  <c r="K133" i="505" s="1"/>
  <c r="V132" i="505"/>
  <c r="W132" i="505" s="1"/>
  <c r="K132" i="505" a="1"/>
  <c r="K132" i="505" s="1"/>
  <c r="V131" i="505"/>
  <c r="W131" i="505" s="1"/>
  <c r="K131" i="505" a="1"/>
  <c r="K131" i="505" s="1"/>
  <c r="V130" i="505"/>
  <c r="W130" i="505" s="1"/>
  <c r="K130" i="505" a="1"/>
  <c r="K130" i="505" s="1"/>
  <c r="V129" i="505"/>
  <c r="W129" i="505" s="1"/>
  <c r="K129" i="505" a="1"/>
  <c r="K129" i="505" s="1"/>
  <c r="V128" i="505"/>
  <c r="W128" i="505" s="1"/>
  <c r="K128" i="505" a="1"/>
  <c r="K128" i="505" s="1"/>
  <c r="V127" i="505"/>
  <c r="W127" i="505" s="1"/>
  <c r="K127" i="505" a="1"/>
  <c r="K127" i="505" s="1"/>
  <c r="V126" i="505"/>
  <c r="W126" i="505" s="1"/>
  <c r="K126" i="505" a="1"/>
  <c r="K126" i="505" s="1"/>
  <c r="V125" i="505"/>
  <c r="W125" i="505" s="1"/>
  <c r="K125" i="505" a="1"/>
  <c r="K125" i="505" s="1"/>
  <c r="V124" i="505"/>
  <c r="W124" i="505" s="1"/>
  <c r="K124" i="505" a="1"/>
  <c r="K124" i="505" s="1"/>
  <c r="V123" i="505"/>
  <c r="W123" i="505" s="1"/>
  <c r="K123" i="505" a="1"/>
  <c r="K123" i="505" s="1"/>
  <c r="V122" i="505"/>
  <c r="V137" i="505" s="1"/>
  <c r="K122" i="505" a="1"/>
  <c r="K122" i="505" s="1"/>
  <c r="K137" i="505" s="1"/>
  <c r="V120" i="505"/>
  <c r="W120" i="505" s="1"/>
  <c r="K120" i="505" a="1"/>
  <c r="K120" i="505" s="1"/>
  <c r="V119" i="505"/>
  <c r="W119" i="505" s="1"/>
  <c r="K119" i="505" a="1"/>
  <c r="K119" i="505" s="1"/>
  <c r="V118" i="505"/>
  <c r="W118" i="505" s="1"/>
  <c r="K117" i="505" a="1"/>
  <c r="K117" i="505" s="1"/>
  <c r="K116" i="505" a="1"/>
  <c r="K116" i="505" s="1"/>
  <c r="K115" i="505" a="1"/>
  <c r="K115" i="505" s="1"/>
  <c r="V114" i="505"/>
  <c r="W114" i="505" s="1"/>
  <c r="K114" i="505" a="1"/>
  <c r="K114" i="505" s="1"/>
  <c r="V113" i="505"/>
  <c r="W113" i="505" s="1"/>
  <c r="K113" i="505" a="1"/>
  <c r="K113" i="505" s="1"/>
  <c r="K112" i="505" a="1"/>
  <c r="K112" i="505" s="1"/>
  <c r="K111" i="505" a="1"/>
  <c r="K111" i="505" s="1"/>
  <c r="K110" i="505" a="1"/>
  <c r="K110" i="505" s="1"/>
  <c r="K109" i="505" a="1"/>
  <c r="K109" i="505" s="1"/>
  <c r="K108" i="505" a="1"/>
  <c r="K108" i="505" s="1"/>
  <c r="K107" i="505" a="1"/>
  <c r="K107" i="505" s="1"/>
  <c r="V106" i="505"/>
  <c r="W106" i="505" s="1"/>
  <c r="K106" i="505" a="1"/>
  <c r="K106" i="505" s="1"/>
  <c r="V105" i="505"/>
  <c r="W105" i="505" s="1"/>
  <c r="K105" i="505" a="1"/>
  <c r="K105" i="505" s="1"/>
  <c r="V104" i="505"/>
  <c r="W104" i="505" s="1"/>
  <c r="K104" i="505" a="1"/>
  <c r="K104" i="505" s="1"/>
  <c r="V103" i="505"/>
  <c r="W103" i="505" s="1"/>
  <c r="K103" i="505" a="1"/>
  <c r="K103" i="505" s="1"/>
  <c r="V102" i="505"/>
  <c r="W102" i="505" s="1"/>
  <c r="K102" i="505" a="1"/>
  <c r="K102" i="505" s="1"/>
  <c r="V101" i="505"/>
  <c r="W101" i="505" s="1"/>
  <c r="K101" i="505" a="1"/>
  <c r="K101" i="505" s="1"/>
  <c r="V100" i="505"/>
  <c r="W100" i="505" s="1"/>
  <c r="K100" i="505" a="1"/>
  <c r="K100" i="505" s="1"/>
  <c r="V99" i="505"/>
  <c r="W99" i="505" s="1"/>
  <c r="K99" i="505" a="1"/>
  <c r="K99" i="505" s="1"/>
  <c r="V98" i="505"/>
  <c r="W98" i="505" s="1"/>
  <c r="K98" i="505" a="1"/>
  <c r="K98" i="505" s="1"/>
  <c r="V97" i="505"/>
  <c r="W97" i="505" s="1"/>
  <c r="K97" i="505" a="1"/>
  <c r="K97" i="505" s="1"/>
  <c r="V96" i="505"/>
  <c r="W96" i="505" s="1"/>
  <c r="K96" i="505" a="1"/>
  <c r="K96" i="505" s="1"/>
  <c r="V95" i="505"/>
  <c r="W95" i="505" s="1"/>
  <c r="K95" i="505" a="1"/>
  <c r="K95" i="505" s="1"/>
  <c r="K94" i="505" a="1"/>
  <c r="K94" i="505" s="1"/>
  <c r="V93" i="505"/>
  <c r="W93" i="505" s="1"/>
  <c r="K93" i="505" a="1"/>
  <c r="K93" i="505" s="1"/>
  <c r="V92" i="505"/>
  <c r="W92" i="505" s="1"/>
  <c r="K92" i="505" a="1"/>
  <c r="K92" i="505" s="1"/>
  <c r="V91" i="505"/>
  <c r="W91" i="505" s="1"/>
  <c r="K91" i="505" a="1"/>
  <c r="K91" i="505" s="1"/>
  <c r="V90" i="505"/>
  <c r="W90" i="505" s="1"/>
  <c r="K90" i="505" a="1"/>
  <c r="K90" i="505" s="1"/>
  <c r="V89" i="505"/>
  <c r="W89" i="505" s="1"/>
  <c r="K89" i="505" a="1"/>
  <c r="K89" i="505" s="1"/>
  <c r="V88" i="505"/>
  <c r="W88" i="505" s="1"/>
  <c r="K88" i="505" a="1"/>
  <c r="K88" i="505" s="1"/>
  <c r="AA121" i="505"/>
  <c r="Z121" i="505"/>
  <c r="Y121" i="505"/>
  <c r="X121" i="505"/>
  <c r="V87" i="505"/>
  <c r="W87" i="505" s="1"/>
  <c r="U121" i="505"/>
  <c r="T121" i="505"/>
  <c r="S121" i="505"/>
  <c r="R121" i="505"/>
  <c r="Q121" i="505"/>
  <c r="P121" i="505"/>
  <c r="O121" i="505"/>
  <c r="I121" i="505"/>
  <c r="L551" i="505" s="1"/>
  <c r="G121" i="505"/>
  <c r="B6" i="534" s="1"/>
  <c r="H85" i="505"/>
  <c r="H84" i="505"/>
  <c r="H83" i="505"/>
  <c r="H82" i="505"/>
  <c r="H81" i="505"/>
  <c r="H80" i="505"/>
  <c r="K79" i="505" a="1"/>
  <c r="K79" i="505" s="1"/>
  <c r="M79" i="505" s="1"/>
  <c r="K78" i="505" a="1"/>
  <c r="K78" i="505" s="1"/>
  <c r="K77" i="505" a="1"/>
  <c r="K77" i="505" s="1"/>
  <c r="K76" i="505" a="1"/>
  <c r="K76" i="505" s="1"/>
  <c r="V75" i="505"/>
  <c r="W75" i="505" s="1"/>
  <c r="K75" i="505" a="1"/>
  <c r="K75" i="505" s="1"/>
  <c r="V74" i="505"/>
  <c r="W74" i="505" s="1"/>
  <c r="K74" i="505" a="1"/>
  <c r="K74" i="505" s="1"/>
  <c r="V73" i="505"/>
  <c r="W73" i="505" s="1"/>
  <c r="K73" i="505" a="1"/>
  <c r="K73" i="505" s="1"/>
  <c r="V72" i="505"/>
  <c r="W72" i="505" s="1"/>
  <c r="K72" i="505" a="1"/>
  <c r="K72" i="505" s="1"/>
  <c r="H71" i="505"/>
  <c r="V70" i="505"/>
  <c r="W70" i="505" s="1"/>
  <c r="K70" i="505" a="1"/>
  <c r="K70" i="505" s="1"/>
  <c r="M70" i="505" s="1"/>
  <c r="V69" i="505"/>
  <c r="W69" i="505" s="1"/>
  <c r="K69" i="505" a="1"/>
  <c r="K69" i="505" s="1"/>
  <c r="K68" i="505" a="1"/>
  <c r="K68" i="505" s="1"/>
  <c r="H68" i="505"/>
  <c r="K67" i="505" a="1"/>
  <c r="K67" i="505" s="1"/>
  <c r="V66" i="505"/>
  <c r="W66" i="505" s="1"/>
  <c r="K66" i="505" a="1"/>
  <c r="K66" i="505" s="1"/>
  <c r="M66" i="505" s="1"/>
  <c r="V65" i="505"/>
  <c r="W65" i="505" s="1"/>
  <c r="K65" i="505" a="1"/>
  <c r="K65" i="505" s="1"/>
  <c r="V64" i="505"/>
  <c r="W64" i="505" s="1"/>
  <c r="K64" i="505" a="1"/>
  <c r="K64" i="505" s="1"/>
  <c r="M64" i="505" s="1"/>
  <c r="V63" i="505"/>
  <c r="W63" i="505" s="1"/>
  <c r="K63" i="505" a="1"/>
  <c r="K63" i="505" s="1"/>
  <c r="V62" i="505"/>
  <c r="W62" i="505" s="1"/>
  <c r="K62" i="505" a="1"/>
  <c r="K62" i="505" s="1"/>
  <c r="M62" i="505" s="1"/>
  <c r="V61" i="505"/>
  <c r="W61" i="505" s="1"/>
  <c r="K61" i="505" a="1"/>
  <c r="K61" i="505" s="1"/>
  <c r="V60" i="505"/>
  <c r="W60" i="505" s="1"/>
  <c r="K60" i="505" a="1"/>
  <c r="K60" i="505" s="1"/>
  <c r="M60" i="505" s="1"/>
  <c r="V59" i="505"/>
  <c r="W59" i="505" s="1"/>
  <c r="K59" i="505" a="1"/>
  <c r="K59" i="505" s="1"/>
  <c r="V58" i="505"/>
  <c r="W58" i="505" s="1"/>
  <c r="K58" i="505" a="1"/>
  <c r="K58" i="505" s="1"/>
  <c r="M58" i="505" s="1"/>
  <c r="V57" i="505"/>
  <c r="W57" i="505" s="1"/>
  <c r="K57" i="505" a="1"/>
  <c r="K57" i="505" s="1"/>
  <c r="K56" i="505" a="1"/>
  <c r="K56" i="505" s="1"/>
  <c r="K55" i="505" a="1"/>
  <c r="K55" i="505" s="1"/>
  <c r="K54" i="505" a="1"/>
  <c r="K54" i="505" s="1"/>
  <c r="K53" i="505" a="1"/>
  <c r="K53" i="505" s="1"/>
  <c r="K52" i="505" a="1"/>
  <c r="K52" i="505" s="1"/>
  <c r="K51" i="505" a="1"/>
  <c r="K51" i="505" s="1"/>
  <c r="K50" i="505" a="1"/>
  <c r="K50" i="505" s="1"/>
  <c r="K49" i="505" a="1"/>
  <c r="K49" i="505" s="1"/>
  <c r="V48" i="505"/>
  <c r="W48" i="505" s="1"/>
  <c r="K48" i="505" a="1"/>
  <c r="K48" i="505" s="1"/>
  <c r="M48" i="505" s="1"/>
  <c r="V47" i="505"/>
  <c r="W47" i="505" s="1"/>
  <c r="K47" i="505" a="1"/>
  <c r="K47" i="505" s="1"/>
  <c r="V46" i="505"/>
  <c r="W46" i="505" s="1"/>
  <c r="K46" i="505" a="1"/>
  <c r="K46" i="505" s="1"/>
  <c r="M46" i="505" s="1"/>
  <c r="V45" i="505"/>
  <c r="W45" i="505" s="1"/>
  <c r="K45" i="505" a="1"/>
  <c r="K45" i="505" s="1"/>
  <c r="V44" i="505"/>
  <c r="W44" i="505" s="1"/>
  <c r="K44" i="505" a="1"/>
  <c r="K44" i="505" s="1"/>
  <c r="M44" i="505" s="1"/>
  <c r="V43" i="505"/>
  <c r="W43" i="505" s="1"/>
  <c r="K43" i="505" a="1"/>
  <c r="K43" i="505" s="1"/>
  <c r="V42" i="505"/>
  <c r="W42" i="505" s="1"/>
  <c r="K42" i="505" a="1"/>
  <c r="K42" i="505" s="1"/>
  <c r="M42" i="505" s="1"/>
  <c r="V41" i="505"/>
  <c r="W41" i="505" s="1"/>
  <c r="K41" i="505" a="1"/>
  <c r="K41" i="505" s="1"/>
  <c r="V40" i="505"/>
  <c r="W40" i="505" s="1"/>
  <c r="K40" i="505" a="1"/>
  <c r="K40" i="505" s="1"/>
  <c r="M40" i="505" s="1"/>
  <c r="V39" i="505"/>
  <c r="W39" i="505" s="1"/>
  <c r="K39" i="505" a="1"/>
  <c r="K39" i="505" s="1"/>
  <c r="V38" i="505"/>
  <c r="W38" i="505" s="1"/>
  <c r="K38" i="505" a="1"/>
  <c r="K38" i="505" s="1"/>
  <c r="M38" i="505" s="1"/>
  <c r="V37" i="505"/>
  <c r="W37" i="505" s="1"/>
  <c r="K37" i="505" a="1"/>
  <c r="K37" i="505" s="1"/>
  <c r="H36" i="505"/>
  <c r="H35" i="505"/>
  <c r="H34" i="505"/>
  <c r="V33" i="505"/>
  <c r="W33" i="505" s="1"/>
  <c r="X170" i="505"/>
  <c r="K33" i="505" a="1"/>
  <c r="K33" i="505" s="1"/>
  <c r="M33" i="505" s="1"/>
  <c r="J33" i="505" a="1"/>
  <c r="J33" i="505" s="1"/>
  <c r="H33" i="505"/>
  <c r="V32" i="505"/>
  <c r="W32" i="505" s="1"/>
  <c r="X169" i="505"/>
  <c r="K32" i="505" a="1"/>
  <c r="K32" i="505" s="1"/>
  <c r="M32" i="505" s="1"/>
  <c r="J32" i="505" a="1"/>
  <c r="J32" i="505" s="1"/>
  <c r="H32" i="505"/>
  <c r="V31" i="505"/>
  <c r="W31" i="505" s="1"/>
  <c r="X168" i="505"/>
  <c r="K31" i="505" a="1"/>
  <c r="K31" i="505" s="1"/>
  <c r="M31" i="505" s="1"/>
  <c r="J31" i="505" a="1"/>
  <c r="J31" i="505" s="1"/>
  <c r="H31" i="505"/>
  <c r="K30" i="505" a="1"/>
  <c r="K30" i="505" s="1"/>
  <c r="AA86" i="505"/>
  <c r="Z86" i="505"/>
  <c r="Y86" i="505"/>
  <c r="X86" i="505"/>
  <c r="V29" i="505"/>
  <c r="U86" i="505"/>
  <c r="T86" i="505"/>
  <c r="S86" i="505"/>
  <c r="R86" i="505"/>
  <c r="Q86" i="505"/>
  <c r="O86" i="505"/>
  <c r="K29" i="505" a="1"/>
  <c r="K29" i="505" s="1"/>
  <c r="V27" i="505"/>
  <c r="W27" i="505" s="1"/>
  <c r="X165" i="505"/>
  <c r="K27" i="505" a="1"/>
  <c r="K27" i="505" s="1"/>
  <c r="M27" i="505" s="1"/>
  <c r="J27" i="505" a="1"/>
  <c r="J27" i="505" s="1"/>
  <c r="H27" i="505"/>
  <c r="V26" i="505"/>
  <c r="W26" i="505" s="1"/>
  <c r="K26" i="505" a="1"/>
  <c r="K26" i="505" s="1"/>
  <c r="M26" i="505" s="1"/>
  <c r="J26" i="505" a="1"/>
  <c r="J26" i="505" s="1"/>
  <c r="H26" i="505"/>
  <c r="V25" i="505"/>
  <c r="K25" i="505" a="1"/>
  <c r="K25" i="505" s="1"/>
  <c r="M25" i="505" s="1"/>
  <c r="V24" i="505"/>
  <c r="K24" i="505" a="1"/>
  <c r="K24" i="505" s="1"/>
  <c r="M24" i="505" s="1"/>
  <c r="H24" i="505"/>
  <c r="V23" i="505"/>
  <c r="K23" i="505" a="1"/>
  <c r="K23" i="505" s="1"/>
  <c r="V22" i="505"/>
  <c r="K22" i="505" a="1"/>
  <c r="K22" i="505" s="1"/>
  <c r="M22" i="505" s="1"/>
  <c r="H22" i="505"/>
  <c r="V21" i="505"/>
  <c r="W21" i="505" s="1"/>
  <c r="K21" i="505" a="1"/>
  <c r="K21" i="505" s="1"/>
  <c r="M21" i="505" s="1"/>
  <c r="J21" i="505" a="1"/>
  <c r="J21" i="505" s="1"/>
  <c r="H21" i="505"/>
  <c r="V20" i="505"/>
  <c r="W20" i="505" s="1"/>
  <c r="K20" i="505" a="1"/>
  <c r="K20" i="505" s="1"/>
  <c r="M20" i="505" s="1"/>
  <c r="J20" i="505" a="1"/>
  <c r="J20" i="505" s="1"/>
  <c r="H20" i="505"/>
  <c r="V19" i="505"/>
  <c r="W19" i="505" s="1"/>
  <c r="K19" i="505" a="1"/>
  <c r="K19" i="505" s="1"/>
  <c r="M19" i="505" s="1"/>
  <c r="J19" i="505" a="1"/>
  <c r="J19" i="505" s="1"/>
  <c r="H19" i="505"/>
  <c r="V18" i="505"/>
  <c r="W18" i="505" s="1"/>
  <c r="K18" i="505" a="1"/>
  <c r="K18" i="505" s="1"/>
  <c r="M18" i="505" s="1"/>
  <c r="V17" i="505"/>
  <c r="W17" i="505" s="1"/>
  <c r="K17" i="505" a="1"/>
  <c r="K17" i="505" s="1"/>
  <c r="V16" i="505"/>
  <c r="W16" i="505" s="1"/>
  <c r="K16" i="505" a="1"/>
  <c r="K16" i="505" s="1"/>
  <c r="M16" i="505" s="1"/>
  <c r="V15" i="505"/>
  <c r="W15" i="505" s="1"/>
  <c r="K15" i="505" a="1"/>
  <c r="K15" i="505" s="1"/>
  <c r="V14" i="505"/>
  <c r="W14" i="505" s="1"/>
  <c r="K14" i="505" a="1"/>
  <c r="K14" i="505" s="1"/>
  <c r="M14" i="505" s="1"/>
  <c r="V13" i="505"/>
  <c r="W13" i="505" s="1"/>
  <c r="K13" i="505" a="1"/>
  <c r="K13" i="505" s="1"/>
  <c r="V12" i="505"/>
  <c r="W12" i="505" s="1"/>
  <c r="K12" i="505" a="1"/>
  <c r="K12" i="505" s="1"/>
  <c r="M12" i="505" s="1"/>
  <c r="V11" i="505"/>
  <c r="W11" i="505" s="1"/>
  <c r="K11" i="505" a="1"/>
  <c r="K11" i="505" s="1"/>
  <c r="V10" i="505"/>
  <c r="W10" i="505" s="1"/>
  <c r="K10" i="505" a="1"/>
  <c r="K10" i="505" s="1"/>
  <c r="M10" i="505" s="1"/>
  <c r="V9" i="505"/>
  <c r="W9" i="505" s="1"/>
  <c r="K9" i="505" a="1"/>
  <c r="K9" i="505" s="1"/>
  <c r="V8" i="505"/>
  <c r="W8" i="505" s="1"/>
  <c r="K8" i="505" a="1"/>
  <c r="K8" i="505" s="1"/>
  <c r="M8" i="505" s="1"/>
  <c r="AA28" i="505"/>
  <c r="Z28" i="505"/>
  <c r="Y28" i="505"/>
  <c r="X28" i="505"/>
  <c r="U28" i="505"/>
  <c r="T28" i="505"/>
  <c r="S28" i="505"/>
  <c r="R28" i="505"/>
  <c r="Q28" i="505"/>
  <c r="P28" i="505"/>
  <c r="O28" i="505"/>
  <c r="J7" i="505"/>
  <c r="I28" i="505"/>
  <c r="H7" i="505"/>
  <c r="G28" i="505"/>
  <c r="B4" i="534" s="1"/>
  <c r="D4" i="534" l="1"/>
  <c r="K4" i="534"/>
  <c r="D6" i="534"/>
  <c r="K6" i="534"/>
  <c r="G4" i="534"/>
  <c r="E11" i="534"/>
  <c r="G11" i="534" s="1"/>
  <c r="D8" i="534"/>
  <c r="K8" i="534"/>
  <c r="J4" i="534"/>
  <c r="H11" i="534"/>
  <c r="J11" i="534" s="1"/>
  <c r="E342" i="508"/>
  <c r="C518" i="508"/>
  <c r="G518" i="508" s="1"/>
  <c r="S530" i="508"/>
  <c r="Q533" i="508"/>
  <c r="S533" i="508" s="1" a="1"/>
  <c r="S533" i="508" s="1"/>
  <c r="R530" i="508"/>
  <c r="R533" i="508" s="1"/>
  <c r="T166" i="508"/>
  <c r="T165" i="508" a="1"/>
  <c r="T165" i="508" s="1"/>
  <c r="K527" i="508"/>
  <c r="T170" i="508"/>
  <c r="T167" i="508"/>
  <c r="T171" i="508"/>
  <c r="T168" i="508"/>
  <c r="T169" i="508"/>
  <c r="Z172" i="508"/>
  <c r="E527" i="508"/>
  <c r="N477" i="505"/>
  <c r="S521" i="508" a="1"/>
  <c r="S521" i="508" s="1"/>
  <c r="S526" i="508"/>
  <c r="S525" i="508"/>
  <c r="S524" i="508"/>
  <c r="S523" i="508"/>
  <c r="O516" i="508" a="1"/>
  <c r="O516" i="508" s="1"/>
  <c r="K516" i="508"/>
  <c r="R163" i="505"/>
  <c r="Q333" i="505"/>
  <c r="S333" i="505"/>
  <c r="U333" i="505"/>
  <c r="X333" i="505"/>
  <c r="Z333" i="505"/>
  <c r="R510" i="505"/>
  <c r="R511" i="505"/>
  <c r="R170" i="505"/>
  <c r="N317" i="505"/>
  <c r="N332" i="505"/>
  <c r="V332" i="505"/>
  <c r="N368" i="505"/>
  <c r="P504" i="505"/>
  <c r="R504" i="505"/>
  <c r="T504" i="505"/>
  <c r="V368" i="505"/>
  <c r="Y504" i="505"/>
  <c r="AA504" i="505"/>
  <c r="N426" i="505"/>
  <c r="N503" i="505"/>
  <c r="V503" i="505"/>
  <c r="W503" i="505" s="1"/>
  <c r="V86" i="505"/>
  <c r="R167" i="505"/>
  <c r="K162" i="505"/>
  <c r="V162" i="505"/>
  <c r="V477" i="505"/>
  <c r="K86" i="505"/>
  <c r="V256" i="505"/>
  <c r="N291" i="505"/>
  <c r="R339" i="505"/>
  <c r="V317" i="505"/>
  <c r="Q504" i="505"/>
  <c r="S504" i="505"/>
  <c r="U504" i="505"/>
  <c r="X504" i="505"/>
  <c r="Z504" i="505"/>
  <c r="V426" i="505"/>
  <c r="W426" i="505" s="1"/>
  <c r="K166" i="505"/>
  <c r="M166" i="505" s="1"/>
  <c r="R337" i="505"/>
  <c r="R338" i="505"/>
  <c r="R508" i="505"/>
  <c r="K167" i="505"/>
  <c r="M167" i="505" s="1"/>
  <c r="K168" i="505"/>
  <c r="M168" i="505" s="1"/>
  <c r="Q521" i="505"/>
  <c r="Q524" i="505"/>
  <c r="Q526" i="505"/>
  <c r="M73" i="505"/>
  <c r="M75" i="505"/>
  <c r="M95" i="505"/>
  <c r="M96" i="505"/>
  <c r="M97" i="505"/>
  <c r="M98" i="505"/>
  <c r="M99" i="505"/>
  <c r="M100" i="505"/>
  <c r="M101" i="505"/>
  <c r="M102" i="505"/>
  <c r="M103" i="505"/>
  <c r="M104" i="505"/>
  <c r="M105" i="505"/>
  <c r="M106" i="505"/>
  <c r="M107" i="505"/>
  <c r="M109" i="505"/>
  <c r="M111" i="505"/>
  <c r="M113" i="505"/>
  <c r="M114" i="505"/>
  <c r="C525" i="505"/>
  <c r="J147" i="505" a="1"/>
  <c r="J147" i="505" s="1"/>
  <c r="K525" i="505"/>
  <c r="M139" i="505"/>
  <c r="M140" i="505"/>
  <c r="M141" i="505"/>
  <c r="M142" i="505"/>
  <c r="M153" i="505"/>
  <c r="M154" i="505"/>
  <c r="M158" i="505"/>
  <c r="M159" i="505"/>
  <c r="M178" i="505"/>
  <c r="M180" i="505"/>
  <c r="M182" i="505"/>
  <c r="M184" i="505"/>
  <c r="M186" i="505"/>
  <c r="R165" i="505"/>
  <c r="J549" i="505"/>
  <c r="J541" i="505"/>
  <c r="C521" i="505"/>
  <c r="J28" i="505" a="1"/>
  <c r="J28" i="505" s="1"/>
  <c r="L549" i="505"/>
  <c r="L541" i="505"/>
  <c r="M9" i="505"/>
  <c r="M11" i="505"/>
  <c r="M13" i="505"/>
  <c r="M15" i="505"/>
  <c r="M17" i="505"/>
  <c r="M23" i="505"/>
  <c r="M29" i="505"/>
  <c r="Q525" i="505"/>
  <c r="M37" i="505"/>
  <c r="M39" i="505"/>
  <c r="M41" i="505"/>
  <c r="M43" i="505"/>
  <c r="M45" i="505"/>
  <c r="M47" i="505"/>
  <c r="M49" i="505"/>
  <c r="M50" i="505"/>
  <c r="M51" i="505"/>
  <c r="M52" i="505"/>
  <c r="M53" i="505"/>
  <c r="M54" i="505"/>
  <c r="M55" i="505"/>
  <c r="M56" i="505"/>
  <c r="M57" i="505"/>
  <c r="M59" i="505"/>
  <c r="M61" i="505"/>
  <c r="M63" i="505"/>
  <c r="M65" i="505"/>
  <c r="M69" i="505"/>
  <c r="M72" i="505"/>
  <c r="M74" i="505"/>
  <c r="M76" i="505"/>
  <c r="M77" i="505"/>
  <c r="M78" i="505"/>
  <c r="J551" i="505"/>
  <c r="M551" i="505" s="1"/>
  <c r="C523" i="505"/>
  <c r="J121" i="505" a="1"/>
  <c r="J121" i="505" s="1"/>
  <c r="K523" i="505"/>
  <c r="M88" i="505"/>
  <c r="M89" i="505"/>
  <c r="M90" i="505"/>
  <c r="M91" i="505"/>
  <c r="M92" i="505"/>
  <c r="M93" i="505"/>
  <c r="M94" i="505"/>
  <c r="M108" i="505"/>
  <c r="M110" i="505"/>
  <c r="M112" i="505"/>
  <c r="M119" i="505"/>
  <c r="M120" i="505"/>
  <c r="M122" i="505"/>
  <c r="M123" i="505"/>
  <c r="M124" i="505"/>
  <c r="M125" i="505"/>
  <c r="M126" i="505"/>
  <c r="M127" i="505"/>
  <c r="M128" i="505"/>
  <c r="M129" i="505"/>
  <c r="M130" i="505"/>
  <c r="M131" i="505"/>
  <c r="M132" i="505"/>
  <c r="M133" i="505"/>
  <c r="M134" i="505"/>
  <c r="M135" i="505"/>
  <c r="M136" i="505"/>
  <c r="W147" i="505"/>
  <c r="M146" i="505"/>
  <c r="M148" i="505"/>
  <c r="K526" i="505"/>
  <c r="M149" i="505"/>
  <c r="M150" i="505"/>
  <c r="M151" i="505"/>
  <c r="M157" i="505"/>
  <c r="M160" i="505"/>
  <c r="V7" i="505"/>
  <c r="K7" i="505" a="1"/>
  <c r="K7" i="505" s="1"/>
  <c r="K28" i="505" s="1"/>
  <c r="H8" i="505"/>
  <c r="J8" i="505" a="1"/>
  <c r="J8" i="505" s="1"/>
  <c r="H9" i="505"/>
  <c r="J9" i="505" a="1"/>
  <c r="J9" i="505" s="1"/>
  <c r="H10" i="505"/>
  <c r="J10" i="505" a="1"/>
  <c r="J10" i="505" s="1"/>
  <c r="H11" i="505"/>
  <c r="J11" i="505" a="1"/>
  <c r="J11" i="505" s="1"/>
  <c r="H12" i="505"/>
  <c r="J12" i="505" a="1"/>
  <c r="J12" i="505" s="1"/>
  <c r="H13" i="505"/>
  <c r="J13" i="505" a="1"/>
  <c r="J13" i="505" s="1"/>
  <c r="H14" i="505"/>
  <c r="J14" i="505" a="1"/>
  <c r="J14" i="505" s="1"/>
  <c r="H15" i="505"/>
  <c r="J15" i="505" a="1"/>
  <c r="J15" i="505" s="1"/>
  <c r="H16" i="505"/>
  <c r="J16" i="505" a="1"/>
  <c r="J16" i="505" s="1"/>
  <c r="H17" i="505"/>
  <c r="J17" i="505" a="1"/>
  <c r="J17" i="505" s="1"/>
  <c r="H18" i="505"/>
  <c r="J18" i="505" a="1"/>
  <c r="J18" i="505" s="1"/>
  <c r="H72" i="505"/>
  <c r="J72" i="505" a="1"/>
  <c r="J72" i="505" s="1"/>
  <c r="H73" i="505"/>
  <c r="J73" i="505" a="1"/>
  <c r="J73" i="505" s="1"/>
  <c r="H74" i="505"/>
  <c r="J74" i="505" a="1"/>
  <c r="J74" i="505" s="1"/>
  <c r="H75" i="505"/>
  <c r="J75" i="505" a="1"/>
  <c r="J75" i="505" s="1"/>
  <c r="H76" i="505"/>
  <c r="H77" i="505"/>
  <c r="H78" i="505"/>
  <c r="H79" i="505"/>
  <c r="G86" i="505"/>
  <c r="B5" i="534" s="1"/>
  <c r="I86" i="505"/>
  <c r="L550" i="505" s="1"/>
  <c r="J87" i="505"/>
  <c r="J118" i="505" a="1"/>
  <c r="J118" i="505" s="1"/>
  <c r="K118" i="505" a="1"/>
  <c r="K118" i="505" s="1"/>
  <c r="M118" i="505" s="1"/>
  <c r="J119" i="505" a="1"/>
  <c r="J119" i="505" s="1"/>
  <c r="J120" i="505" a="1"/>
  <c r="J120" i="505" s="1"/>
  <c r="V121" i="505"/>
  <c r="W121" i="505" s="1"/>
  <c r="G137" i="505"/>
  <c r="B7" i="534" s="1"/>
  <c r="I137" i="505"/>
  <c r="L552" i="505" s="1"/>
  <c r="J138" i="505" a="1"/>
  <c r="J138" i="505" s="1"/>
  <c r="K138" i="505" a="1"/>
  <c r="K138" i="505" s="1"/>
  <c r="K147" i="505" s="1"/>
  <c r="W138" i="505"/>
  <c r="J139" i="505" a="1"/>
  <c r="J139" i="505" s="1"/>
  <c r="J140" i="505" a="1"/>
  <c r="J140" i="505" s="1"/>
  <c r="J153" i="505" a="1"/>
  <c r="J153" i="505" s="1"/>
  <c r="J154" i="505" a="1"/>
  <c r="J154" i="505" s="1"/>
  <c r="J158" i="505" a="1"/>
  <c r="J158" i="505" s="1"/>
  <c r="G162" i="505"/>
  <c r="B9" i="534" s="1"/>
  <c r="I162" i="505"/>
  <c r="L553" i="505" s="1"/>
  <c r="I165" i="505"/>
  <c r="J556" i="505"/>
  <c r="G333" i="505"/>
  <c r="J198" i="505" a="1"/>
  <c r="J198" i="505" s="1"/>
  <c r="L556" i="505"/>
  <c r="I333" i="505"/>
  <c r="B341" i="505" s="1"/>
  <c r="X336" i="505"/>
  <c r="P333" i="505"/>
  <c r="X337" i="505" s="1"/>
  <c r="V198" i="505"/>
  <c r="K193" i="505" a="1"/>
  <c r="K193" i="505" s="1"/>
  <c r="J193" i="505" a="1"/>
  <c r="J193" i="505" s="1"/>
  <c r="H193" i="505"/>
  <c r="W193" i="505"/>
  <c r="M194" i="505"/>
  <c r="R336" i="505"/>
  <c r="M207" i="505"/>
  <c r="M209" i="505"/>
  <c r="M211" i="505"/>
  <c r="M213" i="505"/>
  <c r="M215" i="505"/>
  <c r="M217" i="505"/>
  <c r="M219" i="505"/>
  <c r="M220" i="505"/>
  <c r="M221" i="505"/>
  <c r="M222" i="505"/>
  <c r="M223" i="505"/>
  <c r="M224" i="505"/>
  <c r="M225" i="505"/>
  <c r="M226" i="505"/>
  <c r="M227" i="505"/>
  <c r="M229" i="505"/>
  <c r="M231" i="505"/>
  <c r="M233" i="505"/>
  <c r="M235" i="505"/>
  <c r="M238" i="505"/>
  <c r="M239" i="505"/>
  <c r="M242" i="505"/>
  <c r="M244" i="505"/>
  <c r="M246" i="505"/>
  <c r="M247" i="505"/>
  <c r="M248" i="505"/>
  <c r="M249" i="505"/>
  <c r="J558" i="505"/>
  <c r="M558" i="505" s="1"/>
  <c r="J291" i="505" a="1"/>
  <c r="J291" i="505" s="1"/>
  <c r="M258" i="505"/>
  <c r="M260" i="505"/>
  <c r="M262" i="505"/>
  <c r="M264" i="505"/>
  <c r="M265" i="505"/>
  <c r="M267" i="505"/>
  <c r="M269" i="505"/>
  <c r="M271" i="505"/>
  <c r="M273" i="505"/>
  <c r="M275" i="505"/>
  <c r="M277" i="505"/>
  <c r="M278" i="505"/>
  <c r="M279" i="505"/>
  <c r="M280" i="505"/>
  <c r="M281" i="505"/>
  <c r="M282" i="505"/>
  <c r="M283" i="505"/>
  <c r="M288" i="505"/>
  <c r="M290" i="505"/>
  <c r="H23" i="505"/>
  <c r="H25" i="505"/>
  <c r="H29" i="505"/>
  <c r="J29" i="505" a="1"/>
  <c r="J29" i="505" s="1"/>
  <c r="W29" i="505"/>
  <c r="H30" i="505"/>
  <c r="H37" i="505"/>
  <c r="J37" i="505" a="1"/>
  <c r="J37" i="505" s="1"/>
  <c r="H38" i="505"/>
  <c r="J38" i="505" a="1"/>
  <c r="J38" i="505" s="1"/>
  <c r="H39" i="505"/>
  <c r="J39" i="505" a="1"/>
  <c r="J39" i="505" s="1"/>
  <c r="H40" i="505"/>
  <c r="J40" i="505" a="1"/>
  <c r="J40" i="505" s="1"/>
  <c r="H41" i="505"/>
  <c r="J41" i="505" a="1"/>
  <c r="J41" i="505" s="1"/>
  <c r="H42" i="505"/>
  <c r="J42" i="505" a="1"/>
  <c r="J42" i="505" s="1"/>
  <c r="H43" i="505"/>
  <c r="J43" i="505" a="1"/>
  <c r="J43" i="505" s="1"/>
  <c r="H44" i="505"/>
  <c r="J44" i="505" a="1"/>
  <c r="J44" i="505" s="1"/>
  <c r="H45" i="505"/>
  <c r="J45" i="505" a="1"/>
  <c r="J45" i="505" s="1"/>
  <c r="H46" i="505"/>
  <c r="J46" i="505" a="1"/>
  <c r="J46" i="505" s="1"/>
  <c r="H47" i="505"/>
  <c r="J47" i="505" a="1"/>
  <c r="J47" i="505" s="1"/>
  <c r="H48" i="505"/>
  <c r="J48" i="505" a="1"/>
  <c r="J48" i="505" s="1"/>
  <c r="H49" i="505"/>
  <c r="H50" i="505"/>
  <c r="H51" i="505"/>
  <c r="H52" i="505"/>
  <c r="H53" i="505"/>
  <c r="H54" i="505"/>
  <c r="H55" i="505"/>
  <c r="H56" i="505"/>
  <c r="H57" i="505"/>
  <c r="J57" i="505" a="1"/>
  <c r="J57" i="505" s="1"/>
  <c r="H58" i="505"/>
  <c r="J58" i="505" a="1"/>
  <c r="J58" i="505" s="1"/>
  <c r="H59" i="505"/>
  <c r="J59" i="505" a="1"/>
  <c r="J59" i="505" s="1"/>
  <c r="H60" i="505"/>
  <c r="J60" i="505" a="1"/>
  <c r="J60" i="505" s="1"/>
  <c r="H61" i="505"/>
  <c r="J61" i="505" a="1"/>
  <c r="J61" i="505" s="1"/>
  <c r="H62" i="505"/>
  <c r="J62" i="505" a="1"/>
  <c r="J62" i="505" s="1"/>
  <c r="H63" i="505"/>
  <c r="J63" i="505" a="1"/>
  <c r="J63" i="505" s="1"/>
  <c r="H64" i="505"/>
  <c r="J64" i="505" a="1"/>
  <c r="J64" i="505" s="1"/>
  <c r="H65" i="505"/>
  <c r="J65" i="505" a="1"/>
  <c r="J65" i="505" s="1"/>
  <c r="H66" i="505"/>
  <c r="J66" i="505" a="1"/>
  <c r="J66" i="505" s="1"/>
  <c r="H67" i="505"/>
  <c r="H69" i="505"/>
  <c r="J69" i="505" a="1"/>
  <c r="J69" i="505" s="1"/>
  <c r="H70" i="505"/>
  <c r="J70" i="505" a="1"/>
  <c r="J70" i="505" s="1"/>
  <c r="P86" i="505"/>
  <c r="K87" i="505" a="1"/>
  <c r="K87" i="505" s="1"/>
  <c r="J88" i="505" a="1"/>
  <c r="J88" i="505" s="1"/>
  <c r="J89" i="505" a="1"/>
  <c r="J89" i="505" s="1"/>
  <c r="J90" i="505" a="1"/>
  <c r="J90" i="505" s="1"/>
  <c r="J91" i="505" a="1"/>
  <c r="J91" i="505" s="1"/>
  <c r="J92" i="505" a="1"/>
  <c r="J92" i="505" s="1"/>
  <c r="J93" i="505" a="1"/>
  <c r="J93" i="505" s="1"/>
  <c r="J95" i="505" a="1"/>
  <c r="J95" i="505" s="1"/>
  <c r="J96" i="505" a="1"/>
  <c r="J96" i="505" s="1"/>
  <c r="J97" i="505" a="1"/>
  <c r="J97" i="505" s="1"/>
  <c r="J98" i="505" a="1"/>
  <c r="J98" i="505" s="1"/>
  <c r="J99" i="505" a="1"/>
  <c r="J99" i="505" s="1"/>
  <c r="J100" i="505" a="1"/>
  <c r="J100" i="505" s="1"/>
  <c r="J101" i="505" a="1"/>
  <c r="J101" i="505" s="1"/>
  <c r="J102" i="505" a="1"/>
  <c r="J102" i="505" s="1"/>
  <c r="J103" i="505" a="1"/>
  <c r="J103" i="505" s="1"/>
  <c r="J104" i="505" a="1"/>
  <c r="J104" i="505" s="1"/>
  <c r="J105" i="505" a="1"/>
  <c r="J105" i="505" s="1"/>
  <c r="J106" i="505" a="1"/>
  <c r="J106" i="505" s="1"/>
  <c r="J113" i="505" a="1"/>
  <c r="J113" i="505" s="1"/>
  <c r="J114" i="505" a="1"/>
  <c r="J114" i="505" s="1"/>
  <c r="J122" i="505" a="1"/>
  <c r="J122" i="505" s="1"/>
  <c r="W122" i="505"/>
  <c r="J123" i="505" a="1"/>
  <c r="J123" i="505" s="1"/>
  <c r="J124" i="505" a="1"/>
  <c r="J124" i="505" s="1"/>
  <c r="J125" i="505" a="1"/>
  <c r="J125" i="505" s="1"/>
  <c r="J126" i="505" a="1"/>
  <c r="J126" i="505" s="1"/>
  <c r="J127" i="505" a="1"/>
  <c r="J127" i="505" s="1"/>
  <c r="J128" i="505" a="1"/>
  <c r="J128" i="505" s="1"/>
  <c r="J129" i="505" a="1"/>
  <c r="J129" i="505" s="1"/>
  <c r="J130" i="505" a="1"/>
  <c r="J130" i="505" s="1"/>
  <c r="J131" i="505" a="1"/>
  <c r="J131" i="505" s="1"/>
  <c r="J132" i="505" a="1"/>
  <c r="J132" i="505" s="1"/>
  <c r="J133" i="505" a="1"/>
  <c r="J133" i="505" s="1"/>
  <c r="J134" i="505" a="1"/>
  <c r="J134" i="505" s="1"/>
  <c r="J135" i="505" a="1"/>
  <c r="J135" i="505" s="1"/>
  <c r="J136" i="505" a="1"/>
  <c r="J136" i="505" s="1"/>
  <c r="J146" i="505" a="1"/>
  <c r="J146" i="505" s="1"/>
  <c r="J148" i="505" a="1"/>
  <c r="J148" i="505" s="1"/>
  <c r="W148" i="505"/>
  <c r="J149" i="505" a="1"/>
  <c r="J149" i="505" s="1"/>
  <c r="J150" i="505" a="1"/>
  <c r="J150" i="505" s="1"/>
  <c r="J151" i="505" a="1"/>
  <c r="J151" i="505" s="1"/>
  <c r="J157" i="505" a="1"/>
  <c r="J157" i="505" s="1"/>
  <c r="H177" i="505"/>
  <c r="J177" i="505" a="1"/>
  <c r="J177" i="505" s="1"/>
  <c r="K177" i="505" a="1"/>
  <c r="K177" i="505" s="1"/>
  <c r="K198" i="505" s="1"/>
  <c r="R335" i="505"/>
  <c r="O333" i="505"/>
  <c r="W177" i="505"/>
  <c r="W198" i="505" s="1"/>
  <c r="H178" i="505"/>
  <c r="J178" i="505" a="1"/>
  <c r="J178" i="505" s="1"/>
  <c r="H179" i="505"/>
  <c r="J179" i="505" a="1"/>
  <c r="J179" i="505" s="1"/>
  <c r="H180" i="505"/>
  <c r="J180" i="505" a="1"/>
  <c r="J180" i="505" s="1"/>
  <c r="H181" i="505"/>
  <c r="J181" i="505" a="1"/>
  <c r="J181" i="505" s="1"/>
  <c r="H182" i="505"/>
  <c r="J182" i="505" a="1"/>
  <c r="J182" i="505" s="1"/>
  <c r="H183" i="505"/>
  <c r="J183" i="505" a="1"/>
  <c r="J183" i="505" s="1"/>
  <c r="H184" i="505"/>
  <c r="J184" i="505" a="1"/>
  <c r="J184" i="505" s="1"/>
  <c r="H185" i="505"/>
  <c r="J185" i="505" a="1"/>
  <c r="J185" i="505" s="1"/>
  <c r="H186" i="505"/>
  <c r="J186" i="505" a="1"/>
  <c r="J186" i="505" s="1"/>
  <c r="M193" i="505"/>
  <c r="J557" i="505"/>
  <c r="M557" i="505" s="1"/>
  <c r="J256" i="505" a="1"/>
  <c r="J256" i="505" s="1"/>
  <c r="W256" i="505"/>
  <c r="H199" i="505"/>
  <c r="J199" i="505" a="1"/>
  <c r="J199" i="505" s="1"/>
  <c r="K199" i="505" a="1"/>
  <c r="K199" i="505" s="1"/>
  <c r="K256" i="505" s="1"/>
  <c r="W199" i="505"/>
  <c r="H207" i="505"/>
  <c r="J207" i="505" a="1"/>
  <c r="J207" i="505" s="1"/>
  <c r="H208" i="505"/>
  <c r="J208" i="505" a="1"/>
  <c r="J208" i="505" s="1"/>
  <c r="H209" i="505"/>
  <c r="J209" i="505" a="1"/>
  <c r="J209" i="505" s="1"/>
  <c r="H210" i="505"/>
  <c r="J210" i="505" a="1"/>
  <c r="J210" i="505" s="1"/>
  <c r="H211" i="505"/>
  <c r="J211" i="505" a="1"/>
  <c r="J211" i="505" s="1"/>
  <c r="H212" i="505"/>
  <c r="J212" i="505" a="1"/>
  <c r="J212" i="505" s="1"/>
  <c r="H213" i="505"/>
  <c r="J213" i="505" a="1"/>
  <c r="J213" i="505" s="1"/>
  <c r="H214" i="505"/>
  <c r="J214" i="505" a="1"/>
  <c r="J214" i="505" s="1"/>
  <c r="H215" i="505"/>
  <c r="J215" i="505" a="1"/>
  <c r="J215" i="505" s="1"/>
  <c r="H216" i="505"/>
  <c r="J216" i="505" a="1"/>
  <c r="J216" i="505" s="1"/>
  <c r="H217" i="505"/>
  <c r="J217" i="505" a="1"/>
  <c r="J217" i="505" s="1"/>
  <c r="H218" i="505"/>
  <c r="J218" i="505" a="1"/>
  <c r="J218" i="505" s="1"/>
  <c r="H219" i="505"/>
  <c r="H220" i="505"/>
  <c r="H221" i="505"/>
  <c r="H222" i="505"/>
  <c r="H223" i="505"/>
  <c r="H224" i="505"/>
  <c r="H225" i="505"/>
  <c r="H226" i="505"/>
  <c r="H227" i="505"/>
  <c r="J227" i="505" a="1"/>
  <c r="J227" i="505" s="1"/>
  <c r="H228" i="505"/>
  <c r="J228" i="505" a="1"/>
  <c r="J228" i="505" s="1"/>
  <c r="H229" i="505"/>
  <c r="J229" i="505" a="1"/>
  <c r="J229" i="505" s="1"/>
  <c r="H230" i="505"/>
  <c r="J230" i="505" a="1"/>
  <c r="J230" i="505" s="1"/>
  <c r="H231" i="505"/>
  <c r="J231" i="505" a="1"/>
  <c r="J231" i="505" s="1"/>
  <c r="H232" i="505"/>
  <c r="J232" i="505" a="1"/>
  <c r="J232" i="505" s="1"/>
  <c r="H233" i="505"/>
  <c r="J233" i="505" a="1"/>
  <c r="J233" i="505" s="1"/>
  <c r="H234" i="505"/>
  <c r="J234" i="505" a="1"/>
  <c r="J234" i="505" s="1"/>
  <c r="H235" i="505"/>
  <c r="J235" i="505" a="1"/>
  <c r="J235" i="505" s="1"/>
  <c r="H288" i="505"/>
  <c r="J288" i="505" a="1"/>
  <c r="J288" i="505" s="1"/>
  <c r="H289" i="505"/>
  <c r="J289" i="505" a="1"/>
  <c r="J289" i="505" s="1"/>
  <c r="H290" i="505"/>
  <c r="J290" i="505" a="1"/>
  <c r="J290" i="505" s="1"/>
  <c r="V291" i="505"/>
  <c r="W291" i="505" s="1"/>
  <c r="J559" i="505"/>
  <c r="M559" i="505" s="1"/>
  <c r="J307" i="505" a="1"/>
  <c r="J307" i="505" s="1"/>
  <c r="N307" i="505"/>
  <c r="V307" i="505"/>
  <c r="W307" i="505" s="1"/>
  <c r="K299" i="505" a="1"/>
  <c r="K299" i="505" s="1"/>
  <c r="J299" i="505" a="1"/>
  <c r="J299" i="505" s="1"/>
  <c r="M299" i="505"/>
  <c r="M301" i="505"/>
  <c r="M303" i="505"/>
  <c r="M305" i="505"/>
  <c r="J317" i="505" a="1"/>
  <c r="J317" i="505" s="1"/>
  <c r="W317" i="505"/>
  <c r="M309" i="505"/>
  <c r="M311" i="505"/>
  <c r="R340" i="505"/>
  <c r="M320" i="505"/>
  <c r="M324" i="505"/>
  <c r="J562" i="505"/>
  <c r="G504" i="505"/>
  <c r="J368" i="505" a="1"/>
  <c r="J368" i="505" s="1"/>
  <c r="M348" i="505"/>
  <c r="M350" i="505"/>
  <c r="M352" i="505"/>
  <c r="M354" i="505"/>
  <c r="M356" i="505"/>
  <c r="M360" i="505"/>
  <c r="M362" i="505"/>
  <c r="M364" i="505"/>
  <c r="M366" i="505"/>
  <c r="M372" i="505"/>
  <c r="M374" i="505"/>
  <c r="M375" i="505"/>
  <c r="M376" i="505"/>
  <c r="M377" i="505"/>
  <c r="M379" i="505"/>
  <c r="M381" i="505"/>
  <c r="M383" i="505"/>
  <c r="M385" i="505"/>
  <c r="M387" i="505"/>
  <c r="M389" i="505"/>
  <c r="M390" i="505"/>
  <c r="M391" i="505"/>
  <c r="M392" i="505"/>
  <c r="M393" i="505"/>
  <c r="M395" i="505"/>
  <c r="H194" i="505"/>
  <c r="H238" i="505"/>
  <c r="H239" i="505"/>
  <c r="J239" i="505" a="1"/>
  <c r="J239" i="505" s="1"/>
  <c r="H240" i="505"/>
  <c r="J240" i="505" a="1"/>
  <c r="J240" i="505" s="1"/>
  <c r="H242" i="505"/>
  <c r="J242" i="505" a="1"/>
  <c r="J242" i="505" s="1"/>
  <c r="H243" i="505"/>
  <c r="J243" i="505" a="1"/>
  <c r="J243" i="505" s="1"/>
  <c r="H244" i="505"/>
  <c r="J244" i="505" a="1"/>
  <c r="J244" i="505" s="1"/>
  <c r="H245" i="505"/>
  <c r="J245" i="505" a="1"/>
  <c r="J245" i="505" s="1"/>
  <c r="H246" i="505"/>
  <c r="H247" i="505"/>
  <c r="H248" i="505"/>
  <c r="H249" i="505"/>
  <c r="H257" i="505"/>
  <c r="J257" i="505" a="1"/>
  <c r="J257" i="505" s="1"/>
  <c r="K257" i="505" a="1"/>
  <c r="K257" i="505" s="1"/>
  <c r="K291" i="505" s="1"/>
  <c r="H258" i="505"/>
  <c r="J258" i="505" a="1"/>
  <c r="J258" i="505" s="1"/>
  <c r="H259" i="505"/>
  <c r="J259" i="505" a="1"/>
  <c r="J259" i="505" s="1"/>
  <c r="H260" i="505"/>
  <c r="J260" i="505" a="1"/>
  <c r="J260" i="505" s="1"/>
  <c r="H261" i="505"/>
  <c r="J261" i="505" a="1"/>
  <c r="J261" i="505" s="1"/>
  <c r="H262" i="505"/>
  <c r="J262" i="505" a="1"/>
  <c r="J262" i="505" s="1"/>
  <c r="H263" i="505"/>
  <c r="J263" i="505" a="1"/>
  <c r="J263" i="505" s="1"/>
  <c r="H264" i="505"/>
  <c r="H265" i="505"/>
  <c r="J265" i="505" a="1"/>
  <c r="J265" i="505" s="1"/>
  <c r="H266" i="505"/>
  <c r="J266" i="505" a="1"/>
  <c r="J266" i="505" s="1"/>
  <c r="H267" i="505"/>
  <c r="J267" i="505" a="1"/>
  <c r="J267" i="505" s="1"/>
  <c r="H268" i="505"/>
  <c r="J268" i="505" a="1"/>
  <c r="J268" i="505" s="1"/>
  <c r="H269" i="505"/>
  <c r="J269" i="505" a="1"/>
  <c r="J269" i="505" s="1"/>
  <c r="H270" i="505"/>
  <c r="J270" i="505" a="1"/>
  <c r="J270" i="505" s="1"/>
  <c r="H271" i="505"/>
  <c r="J271" i="505" a="1"/>
  <c r="J271" i="505" s="1"/>
  <c r="H272" i="505"/>
  <c r="J272" i="505" a="1"/>
  <c r="J272" i="505" s="1"/>
  <c r="H273" i="505"/>
  <c r="J273" i="505" a="1"/>
  <c r="J273" i="505" s="1"/>
  <c r="H274" i="505"/>
  <c r="J274" i="505" a="1"/>
  <c r="J274" i="505" s="1"/>
  <c r="H275" i="505"/>
  <c r="J275" i="505" a="1"/>
  <c r="J275" i="505" s="1"/>
  <c r="H276" i="505"/>
  <c r="J276" i="505" a="1"/>
  <c r="J276" i="505" s="1"/>
  <c r="H277" i="505"/>
  <c r="H278" i="505"/>
  <c r="H279" i="505"/>
  <c r="H280" i="505"/>
  <c r="H281" i="505"/>
  <c r="H282" i="505"/>
  <c r="H283" i="505"/>
  <c r="J283" i="505" a="1"/>
  <c r="J283" i="505" s="1"/>
  <c r="H284" i="505"/>
  <c r="J284" i="505" a="1"/>
  <c r="J284" i="505" s="1"/>
  <c r="H292" i="505"/>
  <c r="J292" i="505" a="1"/>
  <c r="J292" i="505" s="1"/>
  <c r="K292" i="505" a="1"/>
  <c r="K292" i="505" s="1"/>
  <c r="W292" i="505"/>
  <c r="H293" i="505"/>
  <c r="J293" i="505" a="1"/>
  <c r="J293" i="505" s="1"/>
  <c r="J560" i="505"/>
  <c r="M560" i="505" s="1"/>
  <c r="J332" i="505" a="1"/>
  <c r="J332" i="505" s="1"/>
  <c r="W332" i="505"/>
  <c r="L562" i="505"/>
  <c r="R506" i="505"/>
  <c r="M398" i="505"/>
  <c r="M400" i="505"/>
  <c r="H300" i="505"/>
  <c r="J300" i="505" a="1"/>
  <c r="J300" i="505" s="1"/>
  <c r="H301" i="505"/>
  <c r="J301" i="505" a="1"/>
  <c r="J301" i="505" s="1"/>
  <c r="H302" i="505"/>
  <c r="J302" i="505" a="1"/>
  <c r="J302" i="505" s="1"/>
  <c r="H303" i="505"/>
  <c r="J303" i="505" a="1"/>
  <c r="J303" i="505" s="1"/>
  <c r="H304" i="505"/>
  <c r="J304" i="505" a="1"/>
  <c r="J304" i="505" s="1"/>
  <c r="H305" i="505"/>
  <c r="J305" i="505" a="1"/>
  <c r="J305" i="505" s="1"/>
  <c r="H306" i="505"/>
  <c r="J306" i="505" a="1"/>
  <c r="J306" i="505" s="1"/>
  <c r="H316" i="505"/>
  <c r="J316" i="505" a="1"/>
  <c r="J316" i="505" s="1"/>
  <c r="H318" i="505"/>
  <c r="J318" i="505" a="1"/>
  <c r="J318" i="505" s="1"/>
  <c r="K318" i="505" a="1"/>
  <c r="K318" i="505" s="1"/>
  <c r="K332" i="505" s="1"/>
  <c r="W318" i="505"/>
  <c r="H319" i="505"/>
  <c r="J319" i="505" a="1"/>
  <c r="J319" i="505" s="1"/>
  <c r="H320" i="505"/>
  <c r="J320" i="505" a="1"/>
  <c r="J320" i="505" s="1"/>
  <c r="H321" i="505"/>
  <c r="J321" i="505" a="1"/>
  <c r="J321" i="505" s="1"/>
  <c r="H323" i="505"/>
  <c r="J323" i="505" a="1"/>
  <c r="J323" i="505" s="1"/>
  <c r="H324" i="505"/>
  <c r="J324" i="505" a="1"/>
  <c r="J324" i="505" s="1"/>
  <c r="H331" i="505"/>
  <c r="I335" i="505"/>
  <c r="H347" i="505"/>
  <c r="J347" i="505" a="1"/>
  <c r="J347" i="505" s="1"/>
  <c r="K347" i="505" a="1"/>
  <c r="K347" i="505" s="1"/>
  <c r="K368" i="505" s="1"/>
  <c r="W347" i="505"/>
  <c r="W368" i="505" s="1"/>
  <c r="H348" i="505"/>
  <c r="J348" i="505" a="1"/>
  <c r="J348" i="505" s="1"/>
  <c r="H350" i="505"/>
  <c r="J350" i="505" a="1"/>
  <c r="J350" i="505" s="1"/>
  <c r="H351" i="505"/>
  <c r="J351" i="505" a="1"/>
  <c r="J351" i="505" s="1"/>
  <c r="H352" i="505"/>
  <c r="J352" i="505" a="1"/>
  <c r="J352" i="505" s="1"/>
  <c r="H353" i="505"/>
  <c r="J353" i="505" a="1"/>
  <c r="J353" i="505" s="1"/>
  <c r="H354" i="505"/>
  <c r="J354" i="505" a="1"/>
  <c r="J354" i="505" s="1"/>
  <c r="H355" i="505"/>
  <c r="J355" i="505" a="1"/>
  <c r="J355" i="505" s="1"/>
  <c r="H356" i="505"/>
  <c r="J356" i="505" a="1"/>
  <c r="J356" i="505" s="1"/>
  <c r="H359" i="505"/>
  <c r="J359" i="505" a="1"/>
  <c r="J359" i="505" s="1"/>
  <c r="H360" i="505"/>
  <c r="J360" i="505" a="1"/>
  <c r="J360" i="505" s="1"/>
  <c r="H361" i="505"/>
  <c r="J361" i="505" a="1"/>
  <c r="J361" i="505" s="1"/>
  <c r="H362" i="505"/>
  <c r="J362" i="505" a="1"/>
  <c r="J362" i="505" s="1"/>
  <c r="H363" i="505"/>
  <c r="J563" i="505"/>
  <c r="J542" i="505"/>
  <c r="J426" i="505" a="1"/>
  <c r="J426" i="505" s="1"/>
  <c r="L563" i="505"/>
  <c r="L542" i="505"/>
  <c r="K370" i="505" a="1"/>
  <c r="K370" i="505" s="1"/>
  <c r="K401" i="505" a="1"/>
  <c r="K401" i="505" s="1"/>
  <c r="J401" i="505" a="1"/>
  <c r="J401" i="505" s="1"/>
  <c r="M401" i="505"/>
  <c r="H308" i="505"/>
  <c r="J308" i="505" a="1"/>
  <c r="J308" i="505" s="1"/>
  <c r="K308" i="505" a="1"/>
  <c r="K308" i="505" s="1"/>
  <c r="K317" i="505" s="1"/>
  <c r="W308" i="505"/>
  <c r="H309" i="505"/>
  <c r="J309" i="505" a="1"/>
  <c r="J309" i="505" s="1"/>
  <c r="H310" i="505"/>
  <c r="J310" i="505" a="1"/>
  <c r="J310" i="505" s="1"/>
  <c r="H311" i="505"/>
  <c r="H312" i="505"/>
  <c r="H349" i="505"/>
  <c r="J349" i="505" a="1"/>
  <c r="J349" i="505" s="1"/>
  <c r="H364" i="505"/>
  <c r="H366" i="505"/>
  <c r="H369" i="505"/>
  <c r="J369" i="505" a="1"/>
  <c r="J369" i="505" s="1"/>
  <c r="K369" i="505" a="1"/>
  <c r="K369" i="505" s="1"/>
  <c r="O426" i="505"/>
  <c r="R507" i="505" s="1"/>
  <c r="W369" i="505"/>
  <c r="H371" i="505"/>
  <c r="J371" i="505" a="1"/>
  <c r="J371" i="505" s="1"/>
  <c r="H372" i="505"/>
  <c r="J372" i="505" a="1"/>
  <c r="J372" i="505" s="1"/>
  <c r="H373" i="505"/>
  <c r="J373" i="505" a="1"/>
  <c r="J373" i="505" s="1"/>
  <c r="H374" i="505"/>
  <c r="H375" i="505"/>
  <c r="H376" i="505"/>
  <c r="H377" i="505"/>
  <c r="J377" i="505" a="1"/>
  <c r="J377" i="505" s="1"/>
  <c r="H378" i="505"/>
  <c r="J378" i="505" a="1"/>
  <c r="J378" i="505" s="1"/>
  <c r="H379" i="505"/>
  <c r="J379" i="505" a="1"/>
  <c r="J379" i="505" s="1"/>
  <c r="H380" i="505"/>
  <c r="J380" i="505" a="1"/>
  <c r="J380" i="505" s="1"/>
  <c r="H381" i="505"/>
  <c r="J381" i="505" a="1"/>
  <c r="J381" i="505" s="1"/>
  <c r="H382" i="505"/>
  <c r="J382" i="505" a="1"/>
  <c r="J382" i="505" s="1"/>
  <c r="H383" i="505"/>
  <c r="J383" i="505" a="1"/>
  <c r="J383" i="505" s="1"/>
  <c r="H384" i="505"/>
  <c r="J384" i="505" a="1"/>
  <c r="J384" i="505" s="1"/>
  <c r="H385" i="505"/>
  <c r="J385" i="505" a="1"/>
  <c r="J385" i="505" s="1"/>
  <c r="H386" i="505"/>
  <c r="J386" i="505" a="1"/>
  <c r="J386" i="505" s="1"/>
  <c r="H387" i="505"/>
  <c r="J387" i="505" a="1"/>
  <c r="J387" i="505" s="1"/>
  <c r="H388" i="505"/>
  <c r="J388" i="505" a="1"/>
  <c r="J388" i="505" s="1"/>
  <c r="H389" i="505"/>
  <c r="H390" i="505"/>
  <c r="H391" i="505"/>
  <c r="H392" i="505"/>
  <c r="H393" i="505"/>
  <c r="H395" i="505"/>
  <c r="H397" i="505"/>
  <c r="J397" i="505" a="1"/>
  <c r="J397" i="505" s="1"/>
  <c r="H398" i="505"/>
  <c r="J398" i="505" a="1"/>
  <c r="J398" i="505" s="1"/>
  <c r="H399" i="505"/>
  <c r="J399" i="505" a="1"/>
  <c r="J399" i="505" s="1"/>
  <c r="H400" i="505"/>
  <c r="J400" i="505" a="1"/>
  <c r="J400" i="505" s="1"/>
  <c r="H401" i="505"/>
  <c r="W401" i="505"/>
  <c r="M402" i="505"/>
  <c r="M404" i="505"/>
  <c r="M406" i="505"/>
  <c r="M410" i="505"/>
  <c r="M412" i="505"/>
  <c r="M414" i="505"/>
  <c r="M416" i="505"/>
  <c r="M418" i="505"/>
  <c r="M420" i="505"/>
  <c r="M421" i="505"/>
  <c r="M422" i="505"/>
  <c r="M423" i="505"/>
  <c r="M425" i="505"/>
  <c r="M428" i="505"/>
  <c r="M430" i="505"/>
  <c r="M432" i="505"/>
  <c r="M433" i="505"/>
  <c r="M436" i="505"/>
  <c r="H402" i="505"/>
  <c r="J402" i="505" a="1"/>
  <c r="J402" i="505" s="1"/>
  <c r="H403" i="505"/>
  <c r="J403" i="505" a="1"/>
  <c r="J403" i="505" s="1"/>
  <c r="H404" i="505"/>
  <c r="J404" i="505" a="1"/>
  <c r="J404" i="505" s="1"/>
  <c r="H405" i="505"/>
  <c r="J405" i="505" a="1"/>
  <c r="J405" i="505" s="1"/>
  <c r="H406" i="505"/>
  <c r="J406" i="505" a="1"/>
  <c r="J406" i="505" s="1"/>
  <c r="H407" i="505"/>
  <c r="H409" i="505"/>
  <c r="J409" i="505" a="1"/>
  <c r="J409" i="505" s="1"/>
  <c r="H410" i="505"/>
  <c r="J410" i="505" a="1"/>
  <c r="J410" i="505" s="1"/>
  <c r="H412" i="505"/>
  <c r="J412" i="505" a="1"/>
  <c r="J412" i="505" s="1"/>
  <c r="H413" i="505"/>
  <c r="J413" i="505" a="1"/>
  <c r="J413" i="505" s="1"/>
  <c r="H414" i="505"/>
  <c r="J414" i="505" a="1"/>
  <c r="J414" i="505" s="1"/>
  <c r="H415" i="505"/>
  <c r="J415" i="505" a="1"/>
  <c r="J415" i="505" s="1"/>
  <c r="H416" i="505"/>
  <c r="H418" i="505"/>
  <c r="H420" i="505"/>
  <c r="H421" i="505"/>
  <c r="H422" i="505"/>
  <c r="H423" i="505"/>
  <c r="H425" i="505"/>
  <c r="H427" i="505"/>
  <c r="J427" i="505" a="1"/>
  <c r="J427" i="505" s="1"/>
  <c r="K427" i="505" a="1"/>
  <c r="K427" i="505" s="1"/>
  <c r="K461" i="505" s="1"/>
  <c r="H428" i="505"/>
  <c r="J428" i="505" a="1"/>
  <c r="J428" i="505" s="1"/>
  <c r="H429" i="505"/>
  <c r="J429" i="505" a="1"/>
  <c r="J429" i="505" s="1"/>
  <c r="H430" i="505"/>
  <c r="J430" i="505" a="1"/>
  <c r="J430" i="505" s="1"/>
  <c r="H431" i="505"/>
  <c r="J431" i="505" a="1"/>
  <c r="J431" i="505" s="1"/>
  <c r="H432" i="505"/>
  <c r="J432" i="505" a="1"/>
  <c r="J432" i="505" s="1"/>
  <c r="H433" i="505"/>
  <c r="J433" i="505" a="1"/>
  <c r="J433" i="505" s="1"/>
  <c r="H434" i="505"/>
  <c r="H435" i="505"/>
  <c r="J435" i="505" a="1"/>
  <c r="J435" i="505" s="1"/>
  <c r="H436" i="505"/>
  <c r="J436" i="505" a="1"/>
  <c r="J436" i="505" s="1"/>
  <c r="J437" i="505" a="1"/>
  <c r="J437" i="505" s="1"/>
  <c r="J565" i="505"/>
  <c r="J544" i="505"/>
  <c r="J477" i="505" a="1"/>
  <c r="J477" i="505" s="1"/>
  <c r="W477" i="505"/>
  <c r="M479" i="505"/>
  <c r="M481" i="505"/>
  <c r="H424" i="505"/>
  <c r="J564" i="505"/>
  <c r="J543" i="505"/>
  <c r="J461" i="505" a="1"/>
  <c r="J461" i="505" s="1"/>
  <c r="L564" i="505"/>
  <c r="L543" i="505"/>
  <c r="V461" i="505"/>
  <c r="W461" i="505" s="1"/>
  <c r="N432" i="505"/>
  <c r="N461" i="505" s="1"/>
  <c r="M445" i="505"/>
  <c r="M447" i="505"/>
  <c r="M448" i="505"/>
  <c r="M449" i="505"/>
  <c r="M450" i="505"/>
  <c r="M451" i="505"/>
  <c r="M452" i="505"/>
  <c r="M453" i="505"/>
  <c r="M455" i="505"/>
  <c r="M456" i="505"/>
  <c r="M457" i="505"/>
  <c r="M458" i="505"/>
  <c r="M460" i="505"/>
  <c r="L565" i="505"/>
  <c r="R509" i="505"/>
  <c r="M465" i="505"/>
  <c r="M467" i="505"/>
  <c r="M468" i="505"/>
  <c r="M480" i="505"/>
  <c r="M482" i="505"/>
  <c r="H462" i="505"/>
  <c r="J462" i="505" a="1"/>
  <c r="J462" i="505" s="1"/>
  <c r="K462" i="505" a="1"/>
  <c r="K462" i="505" s="1"/>
  <c r="K477" i="505" s="1"/>
  <c r="W462" i="505"/>
  <c r="H463" i="505"/>
  <c r="J463" i="505" a="1"/>
  <c r="J463" i="505" s="1"/>
  <c r="H464" i="505"/>
  <c r="J464" i="505" a="1"/>
  <c r="J464" i="505" s="1"/>
  <c r="H465" i="505"/>
  <c r="J465" i="505" a="1"/>
  <c r="J465" i="505" s="1"/>
  <c r="H466" i="505"/>
  <c r="J466" i="505" a="1"/>
  <c r="J466" i="505" s="1"/>
  <c r="H467" i="505"/>
  <c r="J467" i="505" a="1"/>
  <c r="J467" i="505" s="1"/>
  <c r="H468" i="505"/>
  <c r="J468" i="505" a="1"/>
  <c r="J468" i="505" s="1"/>
  <c r="N487" i="505"/>
  <c r="V487" i="505"/>
  <c r="W487" i="505" s="1"/>
  <c r="I487" i="505"/>
  <c r="I504" i="505" s="1"/>
  <c r="B512" i="505" s="1"/>
  <c r="L566" i="505"/>
  <c r="L545" i="505"/>
  <c r="K510" i="505"/>
  <c r="M510" i="505" s="1"/>
  <c r="M506" i="505"/>
  <c r="H445" i="505"/>
  <c r="J445" i="505" a="1"/>
  <c r="J445" i="505" s="1"/>
  <c r="H446" i="505"/>
  <c r="J446" i="505" a="1"/>
  <c r="J446" i="505" s="1"/>
  <c r="H447" i="505"/>
  <c r="H448" i="505"/>
  <c r="H449" i="505"/>
  <c r="H450" i="505"/>
  <c r="H451" i="505"/>
  <c r="H452" i="505"/>
  <c r="H453" i="505"/>
  <c r="J453" i="505" a="1"/>
  <c r="J453" i="505" s="1"/>
  <c r="H454" i="505"/>
  <c r="J454" i="505" a="1"/>
  <c r="J454" i="505" s="1"/>
  <c r="H455" i="505"/>
  <c r="H456" i="505"/>
  <c r="H457" i="505"/>
  <c r="H458" i="505"/>
  <c r="J458" i="505" a="1"/>
  <c r="J458" i="505" s="1"/>
  <c r="H459" i="505"/>
  <c r="J459" i="505" a="1"/>
  <c r="J459" i="505" s="1"/>
  <c r="H460" i="505"/>
  <c r="J460" i="505" a="1"/>
  <c r="J460" i="505" s="1"/>
  <c r="H478" i="505"/>
  <c r="J478" i="505" a="1"/>
  <c r="J478" i="505" s="1"/>
  <c r="K478" i="505" a="1"/>
  <c r="K478" i="505" s="1"/>
  <c r="K487" i="505" s="1"/>
  <c r="W478" i="505"/>
  <c r="H479" i="505"/>
  <c r="J479" i="505" a="1"/>
  <c r="J479" i="505" s="1"/>
  <c r="H480" i="505"/>
  <c r="J480" i="505" a="1"/>
  <c r="J480" i="505" s="1"/>
  <c r="H481" i="505"/>
  <c r="J481" i="505" a="1"/>
  <c r="J481" i="505" s="1"/>
  <c r="H482" i="505"/>
  <c r="J482" i="505" a="1"/>
  <c r="J482" i="505" s="1"/>
  <c r="J566" i="505"/>
  <c r="J545" i="505"/>
  <c r="J503" i="505" a="1"/>
  <c r="J503" i="505" s="1"/>
  <c r="M489" i="505"/>
  <c r="M491" i="505"/>
  <c r="M495" i="505"/>
  <c r="H488" i="505"/>
  <c r="J488" i="505" a="1"/>
  <c r="J488" i="505" s="1"/>
  <c r="K488" i="505" a="1"/>
  <c r="K488" i="505" s="1"/>
  <c r="K503" i="505" s="1"/>
  <c r="W488" i="505"/>
  <c r="H489" i="505"/>
  <c r="J489" i="505" a="1"/>
  <c r="J489" i="505" s="1"/>
  <c r="H490" i="505"/>
  <c r="J490" i="505" a="1"/>
  <c r="J490" i="505" s="1"/>
  <c r="H491" i="505"/>
  <c r="J491" i="505" a="1"/>
  <c r="J491" i="505" s="1"/>
  <c r="H494" i="505"/>
  <c r="J494" i="505" a="1"/>
  <c r="J494" i="505" s="1"/>
  <c r="H495" i="505"/>
  <c r="J495" i="505" a="1"/>
  <c r="J495" i="505" s="1"/>
  <c r="H498" i="505"/>
  <c r="J498" i="505" a="1"/>
  <c r="J498" i="505" s="1"/>
  <c r="B11" i="534" l="1"/>
  <c r="D11" i="534" s="1"/>
  <c r="K9" i="534"/>
  <c r="D9" i="534"/>
  <c r="K7" i="534"/>
  <c r="D7" i="534"/>
  <c r="K5" i="534"/>
  <c r="D5" i="534"/>
  <c r="K121" i="505"/>
  <c r="K163" i="505" s="1"/>
  <c r="L544" i="505"/>
  <c r="M544" i="505" s="1"/>
  <c r="W162" i="505"/>
  <c r="T172" i="508"/>
  <c r="M521" i="508" a="1"/>
  <c r="M521" i="508" s="1"/>
  <c r="M522" i="508"/>
  <c r="M525" i="508"/>
  <c r="M523" i="508"/>
  <c r="M524" i="508"/>
  <c r="M526" i="508"/>
  <c r="S527" i="508"/>
  <c r="M566" i="505"/>
  <c r="K426" i="505"/>
  <c r="K307" i="505"/>
  <c r="M545" i="505"/>
  <c r="M347" i="505"/>
  <c r="M368" i="505" s="1"/>
  <c r="M427" i="505"/>
  <c r="M87" i="505"/>
  <c r="M369" i="505"/>
  <c r="M426" i="505" s="1"/>
  <c r="M292" i="505"/>
  <c r="M307" i="505" s="1"/>
  <c r="M462" i="505"/>
  <c r="M477" i="505" s="1"/>
  <c r="M7" i="505"/>
  <c r="M28" i="505" s="1"/>
  <c r="M549" i="505"/>
  <c r="N504" i="505"/>
  <c r="B513" i="505" s="1"/>
  <c r="E513" i="505" s="1"/>
  <c r="H317" i="505"/>
  <c r="M563" i="505"/>
  <c r="M257" i="505"/>
  <c r="M291" i="505" s="1"/>
  <c r="H28" i="505"/>
  <c r="K549" i="505" s="1"/>
  <c r="H503" i="505"/>
  <c r="M564" i="505"/>
  <c r="J487" i="505" a="1"/>
  <c r="J487" i="505" s="1"/>
  <c r="M565" i="505"/>
  <c r="M461" i="505"/>
  <c r="H426" i="505"/>
  <c r="M308" i="505"/>
  <c r="M317" i="505" s="1"/>
  <c r="M542" i="505"/>
  <c r="K335" i="505"/>
  <c r="I339" i="505"/>
  <c r="H332" i="505"/>
  <c r="K560" i="505" s="1"/>
  <c r="O504" i="505"/>
  <c r="X507" i="505" s="1"/>
  <c r="H291" i="505"/>
  <c r="K558" i="505" s="1"/>
  <c r="B511" i="505"/>
  <c r="J567" i="505" s="1"/>
  <c r="J504" i="505" a="1"/>
  <c r="J504" i="505" s="1"/>
  <c r="M511" i="505" s="1"/>
  <c r="H256" i="505"/>
  <c r="K557" i="505" s="1"/>
  <c r="X342" i="505"/>
  <c r="W333" i="505"/>
  <c r="R342" i="505"/>
  <c r="T335" i="505" s="1" a="1"/>
  <c r="T335" i="505" s="1"/>
  <c r="K333" i="505"/>
  <c r="E341" i="505" s="1"/>
  <c r="I341" i="505" s="1"/>
  <c r="M341" i="505" s="1"/>
  <c r="H198" i="505"/>
  <c r="M121" i="505"/>
  <c r="T336" i="505"/>
  <c r="V333" i="505"/>
  <c r="I342" i="505" s="1"/>
  <c r="Z336" i="505"/>
  <c r="M556" i="505"/>
  <c r="M138" i="505"/>
  <c r="M147" i="505" s="1"/>
  <c r="J552" i="505"/>
  <c r="M552" i="505" s="1"/>
  <c r="C524" i="505"/>
  <c r="J137" i="505" a="1"/>
  <c r="J137" i="505" s="1"/>
  <c r="J550" i="505"/>
  <c r="M550" i="505" s="1"/>
  <c r="C522" i="505"/>
  <c r="J86" i="505" a="1"/>
  <c r="J86" i="505" s="1"/>
  <c r="M137" i="505"/>
  <c r="R166" i="505"/>
  <c r="I163" i="505"/>
  <c r="B171" i="505" s="1"/>
  <c r="G163" i="505"/>
  <c r="M541" i="505"/>
  <c r="J546" i="505"/>
  <c r="M488" i="505"/>
  <c r="M503" i="505" s="1"/>
  <c r="H487" i="505"/>
  <c r="H477" i="505"/>
  <c r="M478" i="505"/>
  <c r="M487" i="505" s="1"/>
  <c r="M543" i="505"/>
  <c r="H461" i="505"/>
  <c r="K504" i="505"/>
  <c r="E512" i="505" s="1"/>
  <c r="I512" i="505" s="1"/>
  <c r="M512" i="505" s="1"/>
  <c r="H368" i="505"/>
  <c r="M318" i="505"/>
  <c r="M332" i="505" s="1"/>
  <c r="X506" i="505"/>
  <c r="R513" i="505"/>
  <c r="T506" i="505" s="1" a="1"/>
  <c r="T506" i="505" s="1"/>
  <c r="H307" i="505"/>
  <c r="K559" i="505" s="1"/>
  <c r="V504" i="505"/>
  <c r="M562" i="505"/>
  <c r="M199" i="505"/>
  <c r="M256" i="505" s="1"/>
  <c r="M177" i="505"/>
  <c r="M198" i="505" s="1"/>
  <c r="H86" i="505"/>
  <c r="K550" i="505" s="1"/>
  <c r="B340" i="505"/>
  <c r="J561" i="505" s="1"/>
  <c r="J333" i="505" a="1"/>
  <c r="J333" i="505" s="1"/>
  <c r="M340" i="505" s="1"/>
  <c r="K165" i="505"/>
  <c r="I169" i="505"/>
  <c r="J553" i="505"/>
  <c r="M553" i="505" s="1"/>
  <c r="C526" i="505"/>
  <c r="J162" i="505" a="1"/>
  <c r="J162" i="505" s="1"/>
  <c r="V28" i="505"/>
  <c r="V163" i="505" s="1"/>
  <c r="I172" i="505" s="1"/>
  <c r="W7" i="505"/>
  <c r="W28" i="505" s="1"/>
  <c r="M162" i="505"/>
  <c r="M86" i="505"/>
  <c r="K521" i="505"/>
  <c r="W137" i="505"/>
  <c r="W86" i="505"/>
  <c r="K11" i="534" l="1"/>
  <c r="B12" i="534"/>
  <c r="M504" i="505"/>
  <c r="M527" i="508"/>
  <c r="C527" i="505"/>
  <c r="E525" i="505" s="1"/>
  <c r="M163" i="505"/>
  <c r="L333" i="505"/>
  <c r="I340" i="505" s="1"/>
  <c r="K541" i="505"/>
  <c r="W163" i="505"/>
  <c r="M333" i="505"/>
  <c r="T512" i="505"/>
  <c r="T508" i="505"/>
  <c r="T511" i="505"/>
  <c r="T510" i="505"/>
  <c r="T507" i="505"/>
  <c r="T509" i="505"/>
  <c r="K565" i="505"/>
  <c r="C517" i="505"/>
  <c r="K522" i="505"/>
  <c r="M342" i="505" a="1"/>
  <c r="M342" i="505" s="1"/>
  <c r="T341" i="505"/>
  <c r="T337" i="505"/>
  <c r="T338" i="505"/>
  <c r="T339" i="505"/>
  <c r="Z335" i="505" a="1"/>
  <c r="Z335" i="505" s="1"/>
  <c r="Z338" i="505"/>
  <c r="Z340" i="505"/>
  <c r="Z339" i="505"/>
  <c r="Z341" i="505"/>
  <c r="T340" i="505"/>
  <c r="Z337" i="505"/>
  <c r="K566" i="505"/>
  <c r="K169" i="505"/>
  <c r="M169" i="505" s="1"/>
  <c r="M165" i="505"/>
  <c r="W504" i="505"/>
  <c r="I513" i="505"/>
  <c r="M513" i="505" s="1" a="1"/>
  <c r="M513" i="505" s="1"/>
  <c r="X513" i="505"/>
  <c r="Z507" i="505" s="1"/>
  <c r="K562" i="505"/>
  <c r="H504" i="505"/>
  <c r="E511" i="505" s="1"/>
  <c r="K564" i="505"/>
  <c r="B170" i="505"/>
  <c r="L163" i="505"/>
  <c r="I170" i="505" s="1"/>
  <c r="J163" i="505" a="1"/>
  <c r="J163" i="505" s="1"/>
  <c r="M170" i="505" s="1"/>
  <c r="E171" i="505"/>
  <c r="G517" i="505" s="1"/>
  <c r="E522" i="505"/>
  <c r="K556" i="505"/>
  <c r="H333" i="505"/>
  <c r="E340" i="505" s="1"/>
  <c r="L504" i="505"/>
  <c r="I511" i="505" s="1"/>
  <c r="K339" i="505"/>
  <c r="M339" i="505" s="1"/>
  <c r="M335" i="505"/>
  <c r="K542" i="505"/>
  <c r="K563" i="505"/>
  <c r="E524" i="505" l="1"/>
  <c r="E526" i="505"/>
  <c r="E523" i="505"/>
  <c r="E521" i="505"/>
  <c r="T342" i="505"/>
  <c r="T513" i="505"/>
  <c r="Z506" i="505" a="1"/>
  <c r="Z506" i="505" s="1"/>
  <c r="K518" i="505"/>
  <c r="K517" i="505"/>
  <c r="O517" i="505" s="1"/>
  <c r="J554" i="505"/>
  <c r="C516" i="505"/>
  <c r="Z508" i="505"/>
  <c r="Z510" i="505"/>
  <c r="Z512" i="505"/>
  <c r="Z509" i="505"/>
  <c r="Z511" i="505"/>
  <c r="M172" i="505" a="1"/>
  <c r="M172" i="505" s="1"/>
  <c r="Z342" i="505"/>
  <c r="I171" i="505"/>
  <c r="M171" i="505" s="1"/>
  <c r="E527" i="505" l="1"/>
  <c r="K516" i="505"/>
  <c r="O516" i="505" a="1"/>
  <c r="O516" i="505" s="1"/>
  <c r="O518" i="505" a="1"/>
  <c r="O518" i="505" s="1"/>
  <c r="Z513" i="505"/>
  <c r="H490" i="434" l="1"/>
  <c r="H491" i="434"/>
  <c r="H492" i="434"/>
  <c r="H493" i="434"/>
  <c r="H494" i="434"/>
  <c r="H495" i="434"/>
  <c r="H496" i="434"/>
  <c r="H497" i="434"/>
  <c r="H498" i="434"/>
  <c r="H499" i="434"/>
  <c r="H500" i="434"/>
  <c r="H501" i="434"/>
  <c r="H502" i="434"/>
  <c r="H483" i="434"/>
  <c r="H357" i="489"/>
  <c r="H358" i="489"/>
  <c r="H357" i="434"/>
  <c r="H358" i="434"/>
  <c r="H359" i="434"/>
  <c r="H360" i="434"/>
  <c r="H361" i="434"/>
  <c r="H327" i="489"/>
  <c r="H322" i="434"/>
  <c r="H323" i="434"/>
  <c r="H324" i="434"/>
  <c r="H325" i="434"/>
  <c r="H326" i="434"/>
  <c r="H327" i="434"/>
  <c r="H239" i="434"/>
  <c r="H240" i="434"/>
  <c r="H241" i="434"/>
  <c r="H242" i="434"/>
  <c r="H243" i="434"/>
  <c r="H244" i="434"/>
  <c r="H245" i="434"/>
  <c r="H246" i="434"/>
  <c r="H247" i="434"/>
  <c r="H248" i="434"/>
  <c r="H249" i="434"/>
  <c r="H250" i="434"/>
  <c r="H251" i="434"/>
  <c r="H252" i="434"/>
  <c r="H253" i="434"/>
  <c r="H254" i="434"/>
  <c r="H255" i="434"/>
  <c r="H223" i="434"/>
  <c r="H224" i="434"/>
  <c r="H225" i="434"/>
  <c r="H226" i="434"/>
  <c r="H227" i="434"/>
  <c r="H228" i="434"/>
  <c r="H203" i="434"/>
  <c r="H204" i="434"/>
  <c r="H205" i="434"/>
  <c r="H206" i="434"/>
  <c r="H207" i="434"/>
  <c r="H208" i="434"/>
  <c r="H209" i="434"/>
  <c r="H160" i="434"/>
  <c r="H161" i="434"/>
  <c r="H151" i="434"/>
  <c r="H152" i="434"/>
  <c r="H153" i="434"/>
  <c r="H154" i="434"/>
  <c r="H155" i="434"/>
  <c r="H156" i="434"/>
  <c r="H157" i="434"/>
  <c r="H158" i="434"/>
  <c r="H159" i="434"/>
  <c r="H143" i="434"/>
  <c r="H502" i="489"/>
  <c r="H501" i="489"/>
  <c r="H500" i="489"/>
  <c r="H499" i="489"/>
  <c r="H498" i="489"/>
  <c r="H497" i="489"/>
  <c r="H496" i="489"/>
  <c r="H495" i="489"/>
  <c r="H494" i="489"/>
  <c r="H493" i="489"/>
  <c r="H492" i="489"/>
  <c r="H491" i="489"/>
  <c r="H490" i="489"/>
  <c r="H483" i="489"/>
  <c r="H361" i="489"/>
  <c r="H360" i="489"/>
  <c r="H359" i="489"/>
  <c r="H326" i="489"/>
  <c r="H325" i="489"/>
  <c r="H324" i="489"/>
  <c r="H323" i="489"/>
  <c r="H322" i="489"/>
  <c r="H255" i="489"/>
  <c r="H254" i="489"/>
  <c r="H253" i="489"/>
  <c r="H252" i="489"/>
  <c r="H251" i="489"/>
  <c r="H250" i="489"/>
  <c r="H249" i="489"/>
  <c r="H248" i="489"/>
  <c r="H247" i="489"/>
  <c r="H246" i="489"/>
  <c r="H245" i="489"/>
  <c r="H244" i="489"/>
  <c r="H243" i="489"/>
  <c r="H242" i="489"/>
  <c r="H241" i="489"/>
  <c r="H240" i="489"/>
  <c r="H239" i="489"/>
  <c r="H228" i="489"/>
  <c r="H227" i="489"/>
  <c r="H226" i="489"/>
  <c r="H225" i="489"/>
  <c r="H224" i="489"/>
  <c r="H223" i="489"/>
  <c r="H209" i="489"/>
  <c r="H208" i="489"/>
  <c r="H207" i="489"/>
  <c r="H206" i="489"/>
  <c r="H205" i="489"/>
  <c r="H204" i="489"/>
  <c r="H203" i="489"/>
  <c r="D499" i="489"/>
  <c r="D499" i="434"/>
  <c r="D328" i="489"/>
  <c r="D328" i="434"/>
  <c r="Q163" i="505" l="1"/>
  <c r="T163" i="505"/>
  <c r="X163" i="505"/>
  <c r="Z163" i="505"/>
  <c r="S163" i="505"/>
  <c r="U163" i="505"/>
  <c r="Y163" i="505"/>
  <c r="AA163" i="505"/>
  <c r="N162" i="505"/>
  <c r="N147" i="505"/>
  <c r="H137" i="505"/>
  <c r="N198" i="505"/>
  <c r="R168" i="505"/>
  <c r="O163" i="505"/>
  <c r="N121" i="505"/>
  <c r="X166" i="505"/>
  <c r="P163" i="505"/>
  <c r="X167" i="505" s="1"/>
  <c r="H121" i="505"/>
  <c r="N86" i="505"/>
  <c r="N28" i="505"/>
  <c r="N256" i="505"/>
  <c r="H162" i="505"/>
  <c r="H147" i="505"/>
  <c r="N137" i="505"/>
  <c r="K545" i="505" l="1"/>
  <c r="K553" i="505"/>
  <c r="N163" i="505"/>
  <c r="B172" i="505" s="1"/>
  <c r="K551" i="505"/>
  <c r="K543" i="505"/>
  <c r="H163" i="505"/>
  <c r="E170" i="505" s="1"/>
  <c r="G516" i="505" s="1"/>
  <c r="Q522" i="505"/>
  <c r="X172" i="505"/>
  <c r="Z167" i="505" s="1"/>
  <c r="N333" i="505"/>
  <c r="B342" i="505" s="1"/>
  <c r="E342" i="505" s="1"/>
  <c r="Q523" i="505"/>
  <c r="K524" i="505"/>
  <c r="R172" i="505"/>
  <c r="K552" i="505"/>
  <c r="K544" i="505"/>
  <c r="T532" i="505" a="1"/>
  <c r="T532" i="505" s="1"/>
  <c r="J532" i="505"/>
  <c r="Q532" i="505" s="1"/>
  <c r="C533" i="505"/>
  <c r="T533" i="505" s="1" a="1"/>
  <c r="T533" i="505" s="1"/>
  <c r="J530" i="505"/>
  <c r="T530" i="505" a="1"/>
  <c r="T530" i="505" s="1"/>
  <c r="T531" i="505" a="1"/>
  <c r="T531" i="505" s="1"/>
  <c r="J531" i="505"/>
  <c r="Q531" i="505" s="1"/>
  <c r="T165" i="505" l="1" a="1"/>
  <c r="T165" i="505" s="1"/>
  <c r="T171" i="505"/>
  <c r="T170" i="505"/>
  <c r="K527" i="505"/>
  <c r="M524" i="505" s="1"/>
  <c r="T169" i="505"/>
  <c r="T167" i="505"/>
  <c r="T166" i="505"/>
  <c r="Q527" i="505"/>
  <c r="S523" i="505" s="1"/>
  <c r="Z168" i="505"/>
  <c r="Z165" i="505" a="1"/>
  <c r="Z165" i="505" s="1"/>
  <c r="Z171" i="505"/>
  <c r="Z170" i="505"/>
  <c r="Z169" i="505"/>
  <c r="T168" i="505"/>
  <c r="Z166" i="505"/>
  <c r="C518" i="505"/>
  <c r="G518" i="505" s="1"/>
  <c r="E172" i="505"/>
  <c r="J533" i="505"/>
  <c r="Q530" i="505"/>
  <c r="R532" i="505"/>
  <c r="S532" i="505" a="1"/>
  <c r="S532" i="505" s="1"/>
  <c r="R531" i="505"/>
  <c r="S531" i="505" a="1"/>
  <c r="S531" i="505" s="1"/>
  <c r="AC496" i="489"/>
  <c r="AC497" i="489"/>
  <c r="AC498" i="489"/>
  <c r="AC325" i="489"/>
  <c r="AC156" i="489"/>
  <c r="AC155" i="489"/>
  <c r="S522" i="505" l="1"/>
  <c r="Z172" i="505"/>
  <c r="S524" i="505"/>
  <c r="S526" i="505"/>
  <c r="S521" i="505" a="1"/>
  <c r="S521" i="505" s="1"/>
  <c r="S525" i="505"/>
  <c r="M521" i="505" a="1"/>
  <c r="M521" i="505" s="1"/>
  <c r="M522" i="505"/>
  <c r="M526" i="505"/>
  <c r="M523" i="505"/>
  <c r="M525" i="505"/>
  <c r="T172" i="505"/>
  <c r="Q533" i="505"/>
  <c r="S533" i="505" s="1" a="1"/>
  <c r="S533" i="505" s="1"/>
  <c r="S530" i="505"/>
  <c r="R530" i="505"/>
  <c r="R533" i="505" s="1"/>
  <c r="S527" i="505" l="1"/>
  <c r="M527" i="505"/>
  <c r="AC483" i="489" l="1"/>
  <c r="AC407" i="489"/>
  <c r="AC370" i="489"/>
  <c r="AC313" i="489"/>
  <c r="AC161" i="489"/>
  <c r="AC143" i="489"/>
  <c r="AC502" i="489" l="1"/>
  <c r="AC501" i="489"/>
  <c r="AC500" i="489"/>
  <c r="AC499" i="489"/>
  <c r="AC495" i="489"/>
  <c r="AC494" i="489"/>
  <c r="AC493" i="489"/>
  <c r="AC492" i="489"/>
  <c r="AC491" i="489"/>
  <c r="AC490" i="489"/>
  <c r="AC489" i="489"/>
  <c r="AC488" i="489"/>
  <c r="AC486" i="489"/>
  <c r="AC482" i="489"/>
  <c r="AC481" i="489"/>
  <c r="AC480" i="489"/>
  <c r="AC479" i="489"/>
  <c r="AC478" i="489"/>
  <c r="AC476" i="489"/>
  <c r="AC475" i="489"/>
  <c r="AC474" i="489"/>
  <c r="AC473" i="489"/>
  <c r="AC472" i="489"/>
  <c r="AC471" i="489"/>
  <c r="AC470" i="489"/>
  <c r="AC469" i="489"/>
  <c r="AC468" i="489"/>
  <c r="AC467" i="489"/>
  <c r="AC466" i="489"/>
  <c r="AC465" i="489"/>
  <c r="AC464" i="489"/>
  <c r="AC463" i="489"/>
  <c r="AC462" i="489"/>
  <c r="AC460" i="489"/>
  <c r="AC459" i="489"/>
  <c r="AC458" i="489"/>
  <c r="AC457" i="489"/>
  <c r="AC456" i="489"/>
  <c r="AC455" i="489"/>
  <c r="AC454" i="489"/>
  <c r="AC453" i="489"/>
  <c r="AC452" i="489"/>
  <c r="AC451" i="489"/>
  <c r="AC450" i="489"/>
  <c r="AC449" i="489"/>
  <c r="AC448" i="489"/>
  <c r="AC447" i="489"/>
  <c r="AC446" i="489"/>
  <c r="AC445" i="489"/>
  <c r="AC444" i="489"/>
  <c r="AC443" i="489"/>
  <c r="AC442" i="489"/>
  <c r="AC441" i="489"/>
  <c r="AC440" i="489"/>
  <c r="AC439" i="489"/>
  <c r="AC438" i="489"/>
  <c r="AC437" i="489"/>
  <c r="AC436" i="489"/>
  <c r="AC435" i="489"/>
  <c r="AC434" i="489"/>
  <c r="AC433" i="489"/>
  <c r="AC432" i="489"/>
  <c r="AC431" i="489"/>
  <c r="AC430" i="489"/>
  <c r="AC429" i="489"/>
  <c r="AC428" i="489"/>
  <c r="AC425" i="489"/>
  <c r="AC424" i="489"/>
  <c r="AC423" i="489"/>
  <c r="AC422" i="489"/>
  <c r="AC421" i="489"/>
  <c r="AC420" i="489"/>
  <c r="AC419" i="489"/>
  <c r="AC418" i="489"/>
  <c r="AC417" i="489"/>
  <c r="AC416" i="489"/>
  <c r="AC415" i="489"/>
  <c r="AC414" i="489"/>
  <c r="AC413" i="489"/>
  <c r="AC412" i="489"/>
  <c r="AC411" i="489"/>
  <c r="AC410" i="489"/>
  <c r="AC409" i="489"/>
  <c r="AC408" i="489"/>
  <c r="AC406" i="489"/>
  <c r="AC405" i="489"/>
  <c r="AC404" i="489"/>
  <c r="AC403" i="489"/>
  <c r="AC402" i="489"/>
  <c r="AC401" i="489"/>
  <c r="AC400" i="489"/>
  <c r="AC399" i="489"/>
  <c r="AC398" i="489"/>
  <c r="AC397" i="489"/>
  <c r="AC396" i="489"/>
  <c r="AC395" i="489"/>
  <c r="AC394" i="489"/>
  <c r="AC393" i="489"/>
  <c r="AC392" i="489"/>
  <c r="AC391" i="489"/>
  <c r="AC390" i="489"/>
  <c r="AC389" i="489"/>
  <c r="AC388" i="489"/>
  <c r="AC387" i="489"/>
  <c r="AC386" i="489"/>
  <c r="AC385" i="489"/>
  <c r="AC384" i="489"/>
  <c r="AC383" i="489"/>
  <c r="AC382" i="489"/>
  <c r="AC381" i="489"/>
  <c r="AC380" i="489"/>
  <c r="AC379" i="489"/>
  <c r="AC378" i="489"/>
  <c r="AC377" i="489"/>
  <c r="AC376" i="489"/>
  <c r="AC375" i="489"/>
  <c r="AC374" i="489"/>
  <c r="AC373" i="489"/>
  <c r="AC372" i="489"/>
  <c r="AC371" i="489"/>
  <c r="AC369" i="489"/>
  <c r="AC367" i="489"/>
  <c r="AC366" i="489"/>
  <c r="AC365" i="489"/>
  <c r="AC364" i="489"/>
  <c r="AC363" i="489"/>
  <c r="AC362" i="489"/>
  <c r="AC361" i="489"/>
  <c r="AC360" i="489"/>
  <c r="AC359" i="489"/>
  <c r="AC356" i="489"/>
  <c r="AC355" i="489"/>
  <c r="AC354" i="489"/>
  <c r="AC353" i="489"/>
  <c r="AC352" i="489"/>
  <c r="AC351" i="489"/>
  <c r="AC350" i="489"/>
  <c r="AC349" i="489"/>
  <c r="AC348" i="489"/>
  <c r="AC347" i="489"/>
  <c r="AC487" i="489" l="1"/>
  <c r="AC503" i="489"/>
  <c r="AC477" i="489"/>
  <c r="AC427" i="489"/>
  <c r="AC461" i="489" s="1"/>
  <c r="G461" i="489"/>
  <c r="AC504" i="489" l="1"/>
  <c r="K326" i="434" l="1" a="1"/>
  <c r="K326" i="434" s="1"/>
  <c r="K328" i="434" a="1"/>
  <c r="K328" i="434" s="1"/>
  <c r="K329" i="434" a="1"/>
  <c r="K329" i="434" s="1"/>
  <c r="K330" i="434" a="1"/>
  <c r="K330" i="434" s="1"/>
  <c r="K331" i="434" a="1"/>
  <c r="K331" i="434" s="1"/>
  <c r="K326" i="489" a="1"/>
  <c r="K326" i="489" s="1"/>
  <c r="K329" i="489" a="1"/>
  <c r="K329" i="489" s="1"/>
  <c r="K330" i="489" a="1"/>
  <c r="K330" i="489" s="1"/>
  <c r="K331" i="489" a="1"/>
  <c r="K331" i="489" s="1"/>
  <c r="H329" i="434"/>
  <c r="H330" i="434"/>
  <c r="H331" i="434"/>
  <c r="H329" i="489"/>
  <c r="H330" i="489"/>
  <c r="H331" i="489"/>
  <c r="K328" i="489" l="1" a="1"/>
  <c r="K328" i="489" s="1"/>
  <c r="AC67" i="489" l="1"/>
  <c r="AC30" i="489"/>
  <c r="K498" i="489" l="1" a="1"/>
  <c r="K498" i="489" s="1"/>
  <c r="K495" i="489" a="1"/>
  <c r="K495" i="489" s="1"/>
  <c r="V494" i="489"/>
  <c r="K494" i="489" a="1"/>
  <c r="K494" i="489" s="1"/>
  <c r="K490" i="489" a="1"/>
  <c r="K490" i="489" s="1"/>
  <c r="K489" i="489" a="1"/>
  <c r="K489" i="489" s="1"/>
  <c r="AA503" i="489"/>
  <c r="Y503" i="489"/>
  <c r="U503" i="489"/>
  <c r="S503" i="489"/>
  <c r="Q503" i="489"/>
  <c r="O503" i="489"/>
  <c r="K488" i="489" a="1"/>
  <c r="K488" i="489" s="1"/>
  <c r="V486" i="489"/>
  <c r="K486" i="489" a="1"/>
  <c r="K486" i="489" s="1"/>
  <c r="V482" i="489"/>
  <c r="K482" i="489" a="1"/>
  <c r="K482" i="489" s="1"/>
  <c r="K481" i="489" a="1"/>
  <c r="K481" i="489" s="1"/>
  <c r="K480" i="489" a="1"/>
  <c r="K480" i="489" s="1"/>
  <c r="K479" i="489" a="1"/>
  <c r="K479" i="489" s="1"/>
  <c r="Z487" i="489"/>
  <c r="X487" i="489"/>
  <c r="T487" i="489"/>
  <c r="P487" i="489"/>
  <c r="I487" i="489"/>
  <c r="V476" i="489"/>
  <c r="N476" i="489"/>
  <c r="K476" i="489" a="1"/>
  <c r="K476" i="489" s="1"/>
  <c r="V475" i="489"/>
  <c r="K475" i="489" a="1"/>
  <c r="K475" i="489" s="1"/>
  <c r="M475" i="489" s="1"/>
  <c r="V474" i="489"/>
  <c r="N474" i="489"/>
  <c r="K474" i="489" a="1"/>
  <c r="K474" i="489" s="1"/>
  <c r="V473" i="489"/>
  <c r="K473" i="489" a="1"/>
  <c r="K473" i="489" s="1"/>
  <c r="V472" i="489"/>
  <c r="N472" i="489"/>
  <c r="K472" i="489" a="1"/>
  <c r="K472" i="489" s="1"/>
  <c r="V471" i="489"/>
  <c r="K471" i="489" a="1"/>
  <c r="K471" i="489" s="1"/>
  <c r="V470" i="489"/>
  <c r="N470" i="489"/>
  <c r="K470" i="489" a="1"/>
  <c r="K470" i="489" s="1"/>
  <c r="V469" i="489"/>
  <c r="K469" i="489" a="1"/>
  <c r="K469" i="489" s="1"/>
  <c r="M469" i="489" s="1"/>
  <c r="V468" i="489"/>
  <c r="N468" i="489"/>
  <c r="K468" i="489" a="1"/>
  <c r="K468" i="489" s="1"/>
  <c r="V467" i="489"/>
  <c r="K467" i="489" a="1"/>
  <c r="K467" i="489" s="1"/>
  <c r="K466" i="489" a="1"/>
  <c r="K466" i="489" s="1"/>
  <c r="V465" i="489"/>
  <c r="N465" i="489"/>
  <c r="K465" i="489" a="1"/>
  <c r="K465" i="489" s="1"/>
  <c r="V464" i="489"/>
  <c r="K464" i="489" a="1"/>
  <c r="K464" i="489" s="1"/>
  <c r="V463" i="489"/>
  <c r="N463" i="489"/>
  <c r="K463" i="489" a="1"/>
  <c r="K463" i="489" s="1"/>
  <c r="Z477" i="489"/>
  <c r="X477" i="489"/>
  <c r="U477" i="489"/>
  <c r="S477" i="489"/>
  <c r="Q477" i="489"/>
  <c r="O477" i="489"/>
  <c r="I477" i="489"/>
  <c r="V460" i="489"/>
  <c r="N460" i="489"/>
  <c r="K460" i="489" a="1"/>
  <c r="K460" i="489" s="1"/>
  <c r="M460" i="489" s="1"/>
  <c r="K459" i="489" a="1"/>
  <c r="K459" i="489" s="1"/>
  <c r="K458" i="489" a="1"/>
  <c r="K458" i="489" s="1"/>
  <c r="K457" i="489" a="1"/>
  <c r="K457" i="489" s="1"/>
  <c r="K456" i="489" a="1"/>
  <c r="K456" i="489" s="1"/>
  <c r="M456" i="489" s="1"/>
  <c r="K455" i="489" a="1"/>
  <c r="K455" i="489" s="1"/>
  <c r="M455" i="489" s="1"/>
  <c r="J454" i="489" a="1"/>
  <c r="J454" i="489" s="1"/>
  <c r="H454" i="489"/>
  <c r="K454" i="489" a="1"/>
  <c r="K454" i="489" s="1"/>
  <c r="M454" i="489" s="1"/>
  <c r="V453" i="489"/>
  <c r="N453" i="489"/>
  <c r="K453" i="489" a="1"/>
  <c r="K453" i="489" s="1"/>
  <c r="M453" i="489" s="1"/>
  <c r="K452" i="489" a="1"/>
  <c r="K452" i="489" s="1"/>
  <c r="K451" i="489" a="1"/>
  <c r="K451" i="489" s="1"/>
  <c r="M451" i="489" s="1"/>
  <c r="K450" i="489" a="1"/>
  <c r="K450" i="489" s="1"/>
  <c r="K449" i="489" a="1"/>
  <c r="K449" i="489" s="1"/>
  <c r="M449" i="489" s="1"/>
  <c r="K448" i="489" a="1"/>
  <c r="K448" i="489" s="1"/>
  <c r="K447" i="489" a="1"/>
  <c r="K447" i="489" s="1"/>
  <c r="M447" i="489" s="1"/>
  <c r="K446" i="489" a="1"/>
  <c r="K446" i="489" s="1"/>
  <c r="K445" i="489" a="1"/>
  <c r="K445" i="489" s="1"/>
  <c r="M445" i="489" s="1"/>
  <c r="K444" i="489" a="1"/>
  <c r="K444" i="489" s="1"/>
  <c r="K443" i="489" a="1"/>
  <c r="K443" i="489" s="1"/>
  <c r="M443" i="489" s="1"/>
  <c r="K442" i="489" a="1"/>
  <c r="K442" i="489" s="1"/>
  <c r="K441" i="489" a="1"/>
  <c r="K441" i="489" s="1"/>
  <c r="M441" i="489" s="1"/>
  <c r="K440" i="489" a="1"/>
  <c r="K440" i="489" s="1"/>
  <c r="K439" i="489" a="1"/>
  <c r="K439" i="489" s="1"/>
  <c r="M439" i="489" s="1"/>
  <c r="K438" i="489" a="1"/>
  <c r="K438" i="489" s="1"/>
  <c r="K437" i="489" a="1"/>
  <c r="K437" i="489" s="1"/>
  <c r="M437" i="489" s="1"/>
  <c r="K436" i="489" a="1"/>
  <c r="K436" i="489" s="1"/>
  <c r="K435" i="489" a="1"/>
  <c r="K435" i="489" s="1"/>
  <c r="M435" i="489" s="1"/>
  <c r="K434" i="489" a="1"/>
  <c r="K434" i="489" s="1"/>
  <c r="K433" i="489" a="1"/>
  <c r="K433" i="489" s="1"/>
  <c r="K432" i="489" a="1"/>
  <c r="K432" i="489" s="1"/>
  <c r="K431" i="489" a="1"/>
  <c r="K431" i="489" s="1"/>
  <c r="K430" i="489" a="1"/>
  <c r="K430" i="489" s="1"/>
  <c r="K429" i="489" a="1"/>
  <c r="K429" i="489" s="1"/>
  <c r="K428" i="489" a="1"/>
  <c r="K428" i="489" s="1"/>
  <c r="K425" i="489" a="1"/>
  <c r="K425" i="489" s="1"/>
  <c r="K424" i="489" a="1"/>
  <c r="K424" i="489" s="1"/>
  <c r="K423" i="489" a="1"/>
  <c r="K423" i="489" s="1"/>
  <c r="K422" i="489" a="1"/>
  <c r="K422" i="489" s="1"/>
  <c r="K421" i="489" a="1"/>
  <c r="K421" i="489" s="1"/>
  <c r="K420" i="489" a="1"/>
  <c r="K420" i="489" s="1"/>
  <c r="K419" i="489" a="1"/>
  <c r="K419" i="489" s="1"/>
  <c r="K418" i="489" a="1"/>
  <c r="K418" i="489" s="1"/>
  <c r="K417" i="489" a="1"/>
  <c r="K417" i="489" s="1"/>
  <c r="K416" i="489" a="1"/>
  <c r="K416" i="489" s="1"/>
  <c r="K415" i="489" a="1"/>
  <c r="K415" i="489" s="1"/>
  <c r="K414" i="489" a="1"/>
  <c r="K414" i="489" s="1"/>
  <c r="K413" i="489" a="1"/>
  <c r="K413" i="489" s="1"/>
  <c r="K412" i="489" a="1"/>
  <c r="K412" i="489" s="1"/>
  <c r="H411" i="489"/>
  <c r="K410" i="489" a="1"/>
  <c r="K410" i="489" s="1"/>
  <c r="K409" i="489" a="1"/>
  <c r="K409" i="489" s="1"/>
  <c r="M409" i="489" s="1"/>
  <c r="H408" i="489"/>
  <c r="K407" i="489"/>
  <c r="K407" i="489" a="1"/>
  <c r="H407" i="489"/>
  <c r="K406" i="489" a="1"/>
  <c r="K406" i="489" s="1"/>
  <c r="K405" i="489" a="1"/>
  <c r="K405" i="489" s="1"/>
  <c r="K404" i="489" a="1"/>
  <c r="K404" i="489" s="1"/>
  <c r="K403" i="489" a="1"/>
  <c r="K403" i="489" s="1"/>
  <c r="K402" i="489" a="1"/>
  <c r="K402" i="489" s="1"/>
  <c r="K401" i="489" a="1"/>
  <c r="K401" i="489" s="1"/>
  <c r="K400" i="489" a="1"/>
  <c r="K400" i="489" s="1"/>
  <c r="K399" i="489" a="1"/>
  <c r="K399" i="489" s="1"/>
  <c r="K398" i="489" a="1"/>
  <c r="K398" i="489" s="1"/>
  <c r="K397" i="489" a="1"/>
  <c r="K397" i="489" s="1"/>
  <c r="K396" i="489" a="1"/>
  <c r="K396" i="489" s="1"/>
  <c r="K395" i="489" a="1"/>
  <c r="K395" i="489" s="1"/>
  <c r="K394" i="489" a="1"/>
  <c r="K394" i="489" s="1"/>
  <c r="K393" i="489" a="1"/>
  <c r="K393" i="489" s="1"/>
  <c r="K392" i="489" a="1"/>
  <c r="K392" i="489" s="1"/>
  <c r="K391" i="489" a="1"/>
  <c r="K391" i="489" s="1"/>
  <c r="K390" i="489" a="1"/>
  <c r="K390" i="489" s="1"/>
  <c r="K389" i="489" a="1"/>
  <c r="K389" i="489" s="1"/>
  <c r="K388" i="489" a="1"/>
  <c r="K388" i="489" s="1"/>
  <c r="V387" i="489"/>
  <c r="K387" i="489" a="1"/>
  <c r="K387" i="489" s="1"/>
  <c r="K386" i="489" a="1"/>
  <c r="K386" i="489" s="1"/>
  <c r="V385" i="489"/>
  <c r="K385" i="489" a="1"/>
  <c r="K385" i="489" s="1"/>
  <c r="K384" i="489" a="1"/>
  <c r="K384" i="489" s="1"/>
  <c r="V383" i="489"/>
  <c r="K383" i="489" a="1"/>
  <c r="K383" i="489" s="1"/>
  <c r="K382" i="489" a="1"/>
  <c r="K382" i="489" s="1"/>
  <c r="V381" i="489"/>
  <c r="K381" i="489" a="1"/>
  <c r="K381" i="489" s="1"/>
  <c r="K380" i="489" a="1"/>
  <c r="K380" i="489" s="1"/>
  <c r="V379" i="489"/>
  <c r="K379" i="489" a="1"/>
  <c r="K379" i="489" s="1"/>
  <c r="K378" i="489" a="1"/>
  <c r="K378" i="489" s="1"/>
  <c r="V377" i="489"/>
  <c r="K377" i="489" a="1"/>
  <c r="K377" i="489" s="1"/>
  <c r="K376" i="489" a="1"/>
  <c r="K376" i="489" s="1"/>
  <c r="K375" i="489" a="1"/>
  <c r="K375" i="489" s="1"/>
  <c r="K374" i="489" a="1"/>
  <c r="K374" i="489" s="1"/>
  <c r="K373" i="489" a="1"/>
  <c r="K373" i="489" s="1"/>
  <c r="V372" i="489"/>
  <c r="K372" i="489" a="1"/>
  <c r="K372" i="489" s="1"/>
  <c r="K370" i="489" a="1"/>
  <c r="K370" i="489" s="1"/>
  <c r="H370" i="489"/>
  <c r="AA426" i="489"/>
  <c r="Y426" i="489"/>
  <c r="V369" i="489"/>
  <c r="T426" i="489"/>
  <c r="R426" i="489"/>
  <c r="P426" i="489"/>
  <c r="N369" i="489"/>
  <c r="G426" i="489"/>
  <c r="K367" i="489" a="1"/>
  <c r="K367" i="489" s="1"/>
  <c r="K366" i="489" a="1"/>
  <c r="K366" i="489" s="1"/>
  <c r="K365" i="489" a="1"/>
  <c r="K365" i="489" s="1"/>
  <c r="K364" i="489" a="1"/>
  <c r="K364" i="489" s="1"/>
  <c r="K363" i="489" a="1"/>
  <c r="K363" i="489" s="1"/>
  <c r="K362" i="489" a="1"/>
  <c r="K362" i="489" s="1"/>
  <c r="V361" i="489"/>
  <c r="W361" i="489" s="1"/>
  <c r="K361" i="489" a="1"/>
  <c r="K361" i="489" s="1"/>
  <c r="V360" i="489"/>
  <c r="K360" i="489" a="1"/>
  <c r="K360" i="489" s="1"/>
  <c r="N359" i="489"/>
  <c r="K359" i="489" a="1"/>
  <c r="K359" i="489" s="1"/>
  <c r="V356" i="489"/>
  <c r="K356" i="489" a="1"/>
  <c r="K356" i="489" s="1"/>
  <c r="K355" i="489" a="1"/>
  <c r="K355" i="489" s="1"/>
  <c r="V354" i="489"/>
  <c r="K354" i="489" a="1"/>
  <c r="K354" i="489" s="1"/>
  <c r="N353" i="489"/>
  <c r="K353" i="489" a="1"/>
  <c r="K353" i="489" s="1"/>
  <c r="K352" i="489" a="1"/>
  <c r="K352" i="489" s="1"/>
  <c r="K351" i="489" a="1"/>
  <c r="K351" i="489" s="1"/>
  <c r="K350" i="489" a="1"/>
  <c r="K350" i="489" s="1"/>
  <c r="K349" i="489"/>
  <c r="V348" i="489"/>
  <c r="K348" i="489"/>
  <c r="AA368" i="489"/>
  <c r="Y368" i="489"/>
  <c r="V347" i="489"/>
  <c r="T368" i="489"/>
  <c r="R368" i="489"/>
  <c r="P368" i="489"/>
  <c r="I368" i="489"/>
  <c r="E339" i="489"/>
  <c r="I338" i="489"/>
  <c r="E338" i="489"/>
  <c r="I337" i="489"/>
  <c r="E337" i="489"/>
  <c r="I336" i="489"/>
  <c r="E336" i="489"/>
  <c r="I335" i="489"/>
  <c r="E335" i="489"/>
  <c r="C339" i="489"/>
  <c r="AC330" i="489"/>
  <c r="AC328" i="489"/>
  <c r="H328" i="489"/>
  <c r="AC326" i="489"/>
  <c r="AC322" i="489"/>
  <c r="V318" i="489"/>
  <c r="T332" i="489"/>
  <c r="R332" i="489"/>
  <c r="P332" i="489"/>
  <c r="N318" i="489"/>
  <c r="V316" i="489"/>
  <c r="W316" i="489" s="1"/>
  <c r="V312" i="489"/>
  <c r="N312" i="489"/>
  <c r="V311" i="489"/>
  <c r="W311" i="489" s="1"/>
  <c r="V310" i="489"/>
  <c r="N310" i="489"/>
  <c r="AC304" i="489"/>
  <c r="AC303" i="489"/>
  <c r="N297" i="489"/>
  <c r="V296" i="489"/>
  <c r="N295" i="489"/>
  <c r="V292" i="489"/>
  <c r="R307" i="489"/>
  <c r="P307" i="489"/>
  <c r="I307" i="489"/>
  <c r="L521" i="489" s="1"/>
  <c r="AC292" i="489"/>
  <c r="H289" i="489"/>
  <c r="V276" i="489"/>
  <c r="X341" i="489"/>
  <c r="N261" i="489"/>
  <c r="H261" i="489"/>
  <c r="V260" i="489"/>
  <c r="M241" i="489"/>
  <c r="X340" i="489"/>
  <c r="X339" i="489"/>
  <c r="X338" i="489"/>
  <c r="X335" i="489"/>
  <c r="H195" i="489"/>
  <c r="U198" i="489"/>
  <c r="S198" i="489"/>
  <c r="Q198" i="489"/>
  <c r="O198" i="489"/>
  <c r="E169" i="489"/>
  <c r="I168" i="489"/>
  <c r="E168" i="489"/>
  <c r="I167" i="489"/>
  <c r="E167" i="489"/>
  <c r="I166" i="489"/>
  <c r="E166" i="489"/>
  <c r="E165" i="489"/>
  <c r="V158" i="489"/>
  <c r="D158" i="489"/>
  <c r="V154" i="489"/>
  <c r="AC152" i="489"/>
  <c r="AC150" i="489"/>
  <c r="V148" i="489"/>
  <c r="U162" i="489"/>
  <c r="S162" i="489"/>
  <c r="Q162" i="489"/>
  <c r="O162" i="489"/>
  <c r="Q147" i="489"/>
  <c r="O147" i="489"/>
  <c r="AC138" i="489"/>
  <c r="AC130" i="489"/>
  <c r="V129" i="489"/>
  <c r="V127" i="489"/>
  <c r="V125" i="489"/>
  <c r="AC125" i="489"/>
  <c r="V118" i="489"/>
  <c r="V114" i="489"/>
  <c r="V106" i="489"/>
  <c r="AC100" i="489"/>
  <c r="AA121" i="489"/>
  <c r="U121" i="489"/>
  <c r="S121" i="489"/>
  <c r="Q121" i="489"/>
  <c r="O121" i="489"/>
  <c r="V74" i="489"/>
  <c r="V72" i="489"/>
  <c r="V69" i="489"/>
  <c r="K67" i="489" a="1"/>
  <c r="K67" i="489" s="1"/>
  <c r="H67" i="489"/>
  <c r="V48" i="489"/>
  <c r="V47" i="489"/>
  <c r="V46" i="489"/>
  <c r="V45" i="489"/>
  <c r="V43" i="489"/>
  <c r="V41" i="489"/>
  <c r="V39" i="489"/>
  <c r="X170" i="489"/>
  <c r="X169" i="489"/>
  <c r="X168" i="489"/>
  <c r="K30" i="489" a="1"/>
  <c r="K30" i="489" s="1"/>
  <c r="H30" i="489"/>
  <c r="AA86" i="489"/>
  <c r="Z86" i="489"/>
  <c r="Y86" i="489"/>
  <c r="X86" i="489"/>
  <c r="U86" i="489"/>
  <c r="T86" i="489"/>
  <c r="S86" i="489"/>
  <c r="R86" i="489"/>
  <c r="Q86" i="489"/>
  <c r="O86" i="489"/>
  <c r="I86" i="489"/>
  <c r="X165" i="489"/>
  <c r="V22" i="489"/>
  <c r="V10" i="489"/>
  <c r="V8" i="489"/>
  <c r="AA28" i="489"/>
  <c r="Z28" i="489"/>
  <c r="Y28" i="489"/>
  <c r="X28" i="489"/>
  <c r="U28" i="489"/>
  <c r="T28" i="489"/>
  <c r="S28" i="489"/>
  <c r="R28" i="489"/>
  <c r="Q28" i="489"/>
  <c r="P28" i="489"/>
  <c r="O28" i="489"/>
  <c r="AC7" i="489"/>
  <c r="H374" i="434"/>
  <c r="H375" i="434"/>
  <c r="H376" i="434"/>
  <c r="H370" i="434"/>
  <c r="H371" i="434"/>
  <c r="K370" i="434" a="1"/>
  <c r="K370" i="434" s="1"/>
  <c r="K407" i="434" a="1"/>
  <c r="K407" i="434" s="1"/>
  <c r="H407" i="434"/>
  <c r="H67" i="434"/>
  <c r="H68" i="434"/>
  <c r="K67" i="434" a="1"/>
  <c r="K67" i="434" s="1"/>
  <c r="K30" i="434" a="1"/>
  <c r="K30" i="434" s="1"/>
  <c r="H30" i="434"/>
  <c r="H31" i="434"/>
  <c r="H36" i="434"/>
  <c r="H35" i="434"/>
  <c r="V489" i="489" l="1"/>
  <c r="W489" i="489" s="1"/>
  <c r="V62" i="489"/>
  <c r="V65" i="489"/>
  <c r="W65" i="489" s="1"/>
  <c r="W348" i="489"/>
  <c r="V491" i="489"/>
  <c r="N494" i="489"/>
  <c r="N260" i="489"/>
  <c r="I121" i="489"/>
  <c r="P121" i="489"/>
  <c r="R121" i="489"/>
  <c r="T121" i="489"/>
  <c r="X121" i="489"/>
  <c r="Z121" i="489"/>
  <c r="Y198" i="489"/>
  <c r="P256" i="489"/>
  <c r="R256" i="489"/>
  <c r="T256" i="489"/>
  <c r="X256" i="489"/>
  <c r="Z256" i="489"/>
  <c r="V209" i="489"/>
  <c r="V211" i="489"/>
  <c r="V213" i="489"/>
  <c r="V215" i="489"/>
  <c r="V217" i="489"/>
  <c r="I291" i="489"/>
  <c r="L520" i="489" s="1"/>
  <c r="P291" i="489"/>
  <c r="R291" i="489"/>
  <c r="T291" i="489"/>
  <c r="X291" i="489"/>
  <c r="Z291" i="489"/>
  <c r="N258" i="489"/>
  <c r="V259" i="489"/>
  <c r="W259" i="489" s="1"/>
  <c r="V261" i="489"/>
  <c r="W261" i="489" s="1"/>
  <c r="N262" i="489"/>
  <c r="V263" i="489"/>
  <c r="W263" i="489" s="1"/>
  <c r="N264" i="489"/>
  <c r="Y332" i="489"/>
  <c r="I137" i="489"/>
  <c r="V136" i="489"/>
  <c r="W136" i="489" s="1"/>
  <c r="P147" i="489"/>
  <c r="T147" i="489"/>
  <c r="X147" i="489"/>
  <c r="Z147" i="489"/>
  <c r="P162" i="489"/>
  <c r="R162" i="489"/>
  <c r="T162" i="489"/>
  <c r="Y162" i="489"/>
  <c r="AA162" i="489"/>
  <c r="V149" i="489"/>
  <c r="W149" i="489" s="1"/>
  <c r="V183" i="489"/>
  <c r="AA332" i="489"/>
  <c r="V495" i="489"/>
  <c r="W495" i="489" s="1"/>
  <c r="J478" i="489" a="1"/>
  <c r="J478" i="489" s="1"/>
  <c r="M480" i="489"/>
  <c r="V134" i="489"/>
  <c r="W134" i="489" s="1"/>
  <c r="S147" i="489"/>
  <c r="U147" i="489"/>
  <c r="Y147" i="489"/>
  <c r="AA147" i="489"/>
  <c r="V146" i="489"/>
  <c r="X162" i="489"/>
  <c r="Z162" i="489"/>
  <c r="M495" i="489"/>
  <c r="N390" i="489"/>
  <c r="M396" i="489"/>
  <c r="H478" i="489"/>
  <c r="M479" i="489"/>
  <c r="N479" i="489"/>
  <c r="V479" i="489"/>
  <c r="H480" i="489"/>
  <c r="J480" i="489" a="1"/>
  <c r="J480" i="489" s="1"/>
  <c r="M481" i="489"/>
  <c r="N481" i="489"/>
  <c r="V481" i="489"/>
  <c r="H482" i="489"/>
  <c r="N362" i="489"/>
  <c r="N275" i="489"/>
  <c r="V103" i="489"/>
  <c r="V120" i="489"/>
  <c r="W120" i="489" s="1"/>
  <c r="V64" i="489"/>
  <c r="V70" i="489"/>
  <c r="W70" i="489" s="1"/>
  <c r="V38" i="489"/>
  <c r="W38" i="489" s="1"/>
  <c r="V40" i="489"/>
  <c r="W40" i="489" s="1"/>
  <c r="V42" i="489"/>
  <c r="W42" i="489" s="1"/>
  <c r="V44" i="489"/>
  <c r="M498" i="489"/>
  <c r="J482" i="489" a="1"/>
  <c r="J482" i="489" s="1"/>
  <c r="M486" i="489"/>
  <c r="V371" i="489"/>
  <c r="W371" i="489" s="1"/>
  <c r="N372" i="489"/>
  <c r="V373" i="489"/>
  <c r="W373" i="489" s="1"/>
  <c r="N377" i="489"/>
  <c r="V378" i="489"/>
  <c r="W378" i="489" s="1"/>
  <c r="N379" i="489"/>
  <c r="N381" i="489"/>
  <c r="N383" i="489"/>
  <c r="N385" i="489"/>
  <c r="N387" i="489"/>
  <c r="N389" i="489"/>
  <c r="N391" i="489"/>
  <c r="H396" i="489"/>
  <c r="V397" i="489"/>
  <c r="V399" i="489"/>
  <c r="W399" i="489" s="1"/>
  <c r="V401" i="489"/>
  <c r="V403" i="489"/>
  <c r="W403" i="489" s="1"/>
  <c r="V405" i="489"/>
  <c r="H409" i="489"/>
  <c r="J409" i="489" a="1"/>
  <c r="J409" i="489" s="1"/>
  <c r="M410" i="489"/>
  <c r="N410" i="489"/>
  <c r="V410" i="489"/>
  <c r="W410" i="489" s="1"/>
  <c r="M412" i="489"/>
  <c r="M414" i="489"/>
  <c r="M416" i="489"/>
  <c r="M418" i="489"/>
  <c r="M420" i="489"/>
  <c r="N278" i="489"/>
  <c r="N280" i="489"/>
  <c r="N284" i="489"/>
  <c r="V288" i="489"/>
  <c r="V290" i="489"/>
  <c r="W290" i="489" s="1"/>
  <c r="V265" i="489"/>
  <c r="AA198" i="489"/>
  <c r="V124" i="489"/>
  <c r="V135" i="489"/>
  <c r="V140" i="489"/>
  <c r="V151" i="489"/>
  <c r="V153" i="489"/>
  <c r="V128" i="489"/>
  <c r="V119" i="489"/>
  <c r="V105" i="489"/>
  <c r="W105" i="489" s="1"/>
  <c r="V73" i="489"/>
  <c r="V9" i="489"/>
  <c r="V27" i="489"/>
  <c r="V14" i="489"/>
  <c r="W14" i="489" s="1"/>
  <c r="V267" i="489"/>
  <c r="V269" i="489"/>
  <c r="I198" i="489"/>
  <c r="P198" i="489"/>
  <c r="R198" i="489"/>
  <c r="T198" i="489"/>
  <c r="X198" i="489"/>
  <c r="Z198" i="489"/>
  <c r="V271" i="489"/>
  <c r="N279" i="489"/>
  <c r="V319" i="489"/>
  <c r="W319" i="489" s="1"/>
  <c r="V298" i="489"/>
  <c r="V300" i="489"/>
  <c r="W300" i="489" s="1"/>
  <c r="V302" i="489"/>
  <c r="N303" i="489"/>
  <c r="V304" i="489"/>
  <c r="W304" i="489" s="1"/>
  <c r="V306" i="489"/>
  <c r="W306" i="489" s="1"/>
  <c r="V273" i="489"/>
  <c r="N289" i="489"/>
  <c r="T307" i="489"/>
  <c r="Y307" i="489"/>
  <c r="AA307" i="489"/>
  <c r="V293" i="489"/>
  <c r="O256" i="489"/>
  <c r="Q256" i="489"/>
  <c r="S256" i="489"/>
  <c r="U256" i="489"/>
  <c r="Y256" i="489"/>
  <c r="AA256" i="489"/>
  <c r="V201" i="489"/>
  <c r="W201" i="489" s="1"/>
  <c r="V212" i="489"/>
  <c r="W212" i="489" s="1"/>
  <c r="V214" i="489"/>
  <c r="V218" i="489"/>
  <c r="N324" i="489"/>
  <c r="M421" i="489"/>
  <c r="M422" i="489"/>
  <c r="M423" i="489"/>
  <c r="M425" i="489"/>
  <c r="I461" i="489"/>
  <c r="P461" i="489"/>
  <c r="R461" i="489"/>
  <c r="T461" i="489"/>
  <c r="X461" i="489"/>
  <c r="Z461" i="489"/>
  <c r="M428" i="489"/>
  <c r="M430" i="489"/>
  <c r="M432" i="489"/>
  <c r="M434" i="489"/>
  <c r="N434" i="489"/>
  <c r="H435" i="489"/>
  <c r="J435" i="489" a="1"/>
  <c r="J435" i="489" s="1"/>
  <c r="M436" i="489"/>
  <c r="N436" i="489"/>
  <c r="V436" i="489"/>
  <c r="W436" i="489" s="1"/>
  <c r="H437" i="489"/>
  <c r="J437" i="489" a="1"/>
  <c r="J437" i="489" s="1"/>
  <c r="M438" i="489"/>
  <c r="N438" i="489"/>
  <c r="V438" i="489"/>
  <c r="H439" i="489"/>
  <c r="J439" i="489" a="1"/>
  <c r="J439" i="489" s="1"/>
  <c r="M440" i="489"/>
  <c r="N440" i="489"/>
  <c r="V440" i="489"/>
  <c r="W440" i="489" s="1"/>
  <c r="H441" i="489"/>
  <c r="J441" i="489" a="1"/>
  <c r="J441" i="489" s="1"/>
  <c r="M442" i="489"/>
  <c r="N442" i="489"/>
  <c r="V442" i="489"/>
  <c r="H443" i="489"/>
  <c r="J443" i="489" a="1"/>
  <c r="J443" i="489" s="1"/>
  <c r="M444" i="489"/>
  <c r="N444" i="489"/>
  <c r="V444" i="489"/>
  <c r="W444" i="489" s="1"/>
  <c r="H445" i="489"/>
  <c r="J445" i="489" a="1"/>
  <c r="J445" i="489" s="1"/>
  <c r="M446" i="489"/>
  <c r="N446" i="489"/>
  <c r="V446" i="489"/>
  <c r="H447" i="489"/>
  <c r="M448" i="489"/>
  <c r="N448" i="489"/>
  <c r="M459" i="489"/>
  <c r="N348" i="489"/>
  <c r="V380" i="489"/>
  <c r="V382" i="489"/>
  <c r="W382" i="489" s="1"/>
  <c r="V384" i="489"/>
  <c r="V386" i="489"/>
  <c r="W386" i="489" s="1"/>
  <c r="V388" i="489"/>
  <c r="W388" i="489" s="1"/>
  <c r="N392" i="489"/>
  <c r="M394" i="489"/>
  <c r="N397" i="489"/>
  <c r="N399" i="489"/>
  <c r="N401" i="489"/>
  <c r="N403" i="489"/>
  <c r="W482" i="489"/>
  <c r="W486" i="489"/>
  <c r="K199" i="489" a="1"/>
  <c r="K199" i="489" s="1"/>
  <c r="AC199" i="489"/>
  <c r="H200" i="489"/>
  <c r="AC200" i="489"/>
  <c r="K201" i="489" a="1"/>
  <c r="K201" i="489" s="1"/>
  <c r="AC201" i="489"/>
  <c r="K202" i="489" a="1"/>
  <c r="K202" i="489" s="1"/>
  <c r="M202" i="489" s="1"/>
  <c r="AC202" i="489"/>
  <c r="K203" i="489" a="1"/>
  <c r="K203" i="489" s="1"/>
  <c r="M203" i="489" s="1"/>
  <c r="AC203" i="489"/>
  <c r="AC204" i="489"/>
  <c r="AC205" i="489"/>
  <c r="AC206" i="489"/>
  <c r="K207" i="489" a="1"/>
  <c r="K207" i="489" s="1"/>
  <c r="AC207" i="489"/>
  <c r="K208" i="489" a="1"/>
  <c r="K208" i="489" s="1"/>
  <c r="AC208" i="489"/>
  <c r="K209" i="489" a="1"/>
  <c r="K209" i="489" s="1"/>
  <c r="AC209" i="489"/>
  <c r="K210" i="489" a="1"/>
  <c r="K210" i="489" s="1"/>
  <c r="AC210" i="489"/>
  <c r="K211" i="489" a="1"/>
  <c r="K211" i="489" s="1"/>
  <c r="AC211" i="489"/>
  <c r="K212" i="489" a="1"/>
  <c r="K212" i="489" s="1"/>
  <c r="AC212" i="489"/>
  <c r="K213" i="489" a="1"/>
  <c r="K213" i="489" s="1"/>
  <c r="AC213" i="489"/>
  <c r="K214" i="489" a="1"/>
  <c r="K214" i="489" s="1"/>
  <c r="AC214" i="489"/>
  <c r="K215" i="489" a="1"/>
  <c r="K215" i="489" s="1"/>
  <c r="AC215" i="489"/>
  <c r="K216" i="489" a="1"/>
  <c r="K216" i="489" s="1"/>
  <c r="AC216" i="489"/>
  <c r="K217" i="489" a="1"/>
  <c r="K217" i="489" s="1"/>
  <c r="AC217" i="489"/>
  <c r="K218" i="489" a="1"/>
  <c r="K218" i="489" s="1"/>
  <c r="AC218" i="489"/>
  <c r="K219" i="489" a="1"/>
  <c r="K219" i="489" s="1"/>
  <c r="AC219" i="489"/>
  <c r="K220" i="489" a="1"/>
  <c r="K220" i="489" s="1"/>
  <c r="AC220" i="489"/>
  <c r="K221" i="489" a="1"/>
  <c r="K221" i="489" s="1"/>
  <c r="AC221" i="489"/>
  <c r="K222" i="489" a="1"/>
  <c r="K222" i="489" s="1"/>
  <c r="AC222" i="489"/>
  <c r="K223" i="489" a="1"/>
  <c r="K223" i="489" s="1"/>
  <c r="AC223" i="489"/>
  <c r="K224" i="489" a="1"/>
  <c r="K224" i="489" s="1"/>
  <c r="AC224" i="489"/>
  <c r="K225" i="489" a="1"/>
  <c r="K225" i="489" s="1"/>
  <c r="AC225" i="489"/>
  <c r="K226" i="489" a="1"/>
  <c r="K226" i="489" s="1"/>
  <c r="AC226" i="489"/>
  <c r="K227" i="489" a="1"/>
  <c r="K227" i="489" s="1"/>
  <c r="AC227" i="489"/>
  <c r="K228" i="489" a="1"/>
  <c r="K228" i="489" s="1"/>
  <c r="AC228" i="489"/>
  <c r="K229" i="489" a="1"/>
  <c r="K229" i="489" s="1"/>
  <c r="AC229" i="489"/>
  <c r="K230" i="489" a="1"/>
  <c r="K230" i="489" s="1"/>
  <c r="AC230" i="489"/>
  <c r="K231" i="489" a="1"/>
  <c r="K231" i="489" s="1"/>
  <c r="AC231" i="489"/>
  <c r="K232" i="489" a="1"/>
  <c r="K232" i="489" s="1"/>
  <c r="AC232" i="489"/>
  <c r="K233" i="489" a="1"/>
  <c r="K233" i="489" s="1"/>
  <c r="AC233" i="489"/>
  <c r="K234" i="489" a="1"/>
  <c r="K234" i="489" s="1"/>
  <c r="AC234" i="489"/>
  <c r="K235" i="489" a="1"/>
  <c r="K235" i="489" s="1"/>
  <c r="AC235" i="489"/>
  <c r="K236" i="489" a="1"/>
  <c r="K236" i="489" s="1"/>
  <c r="AC236" i="489"/>
  <c r="H237" i="489"/>
  <c r="AC237" i="489"/>
  <c r="K238" i="489" a="1"/>
  <c r="K238" i="489" s="1"/>
  <c r="AC238" i="489"/>
  <c r="K239" i="489" a="1"/>
  <c r="K239" i="489" s="1"/>
  <c r="AC239" i="489"/>
  <c r="K240" i="489" a="1"/>
  <c r="K240" i="489" s="1"/>
  <c r="AC240" i="489"/>
  <c r="AC241" i="489"/>
  <c r="K242" i="489" a="1"/>
  <c r="K242" i="489" s="1"/>
  <c r="M242" i="489" s="1"/>
  <c r="AC242" i="489"/>
  <c r="K243" i="489" a="1"/>
  <c r="K243" i="489" s="1"/>
  <c r="AC243" i="489"/>
  <c r="K244" i="489" a="1"/>
  <c r="K244" i="489" s="1"/>
  <c r="AC244" i="489"/>
  <c r="K245" i="489" a="1"/>
  <c r="K245" i="489" s="1"/>
  <c r="M245" i="489" s="1"/>
  <c r="AC245" i="489"/>
  <c r="K246" i="489" a="1"/>
  <c r="K246" i="489" s="1"/>
  <c r="M246" i="489" s="1"/>
  <c r="AC246" i="489"/>
  <c r="K247" i="489" a="1"/>
  <c r="K247" i="489" s="1"/>
  <c r="AC247" i="489"/>
  <c r="K248" i="489" a="1"/>
  <c r="K248" i="489" s="1"/>
  <c r="AC248" i="489"/>
  <c r="AC254" i="489"/>
  <c r="G291" i="489"/>
  <c r="AC257" i="489"/>
  <c r="K259" i="489" a="1"/>
  <c r="K259" i="489" s="1"/>
  <c r="AC259" i="489"/>
  <c r="K261" i="489" a="1"/>
  <c r="K261" i="489" s="1"/>
  <c r="AC261" i="489"/>
  <c r="K263" i="489" a="1"/>
  <c r="K263" i="489" s="1"/>
  <c r="AC263" i="489"/>
  <c r="K265" i="489" a="1"/>
  <c r="K265" i="489" s="1"/>
  <c r="AC265" i="489"/>
  <c r="K267" i="489" a="1"/>
  <c r="K267" i="489" s="1"/>
  <c r="AC267" i="489"/>
  <c r="K269" i="489" a="1"/>
  <c r="K269" i="489" s="1"/>
  <c r="AC269" i="489"/>
  <c r="K271" i="489" a="1"/>
  <c r="K271" i="489" s="1"/>
  <c r="AC271" i="489"/>
  <c r="K273" i="489" a="1"/>
  <c r="K273" i="489" s="1"/>
  <c r="AC273" i="489"/>
  <c r="K275" i="489" a="1"/>
  <c r="K275" i="489" s="1"/>
  <c r="AC275" i="489"/>
  <c r="K276" i="489" a="1"/>
  <c r="K276" i="489" s="1"/>
  <c r="AC276" i="489"/>
  <c r="K277" i="489" a="1"/>
  <c r="K277" i="489" s="1"/>
  <c r="AC277" i="489"/>
  <c r="K282" i="489" a="1"/>
  <c r="K282" i="489" s="1"/>
  <c r="AC282" i="489"/>
  <c r="K284" i="489" a="1"/>
  <c r="K284" i="489" s="1"/>
  <c r="AC284" i="489"/>
  <c r="H285" i="489"/>
  <c r="AC285" i="489"/>
  <c r="H286" i="489"/>
  <c r="AC286" i="489"/>
  <c r="H287" i="489"/>
  <c r="AC287" i="489"/>
  <c r="K288" i="489" a="1"/>
  <c r="K288" i="489" s="1"/>
  <c r="AC288" i="489"/>
  <c r="K289" i="489" a="1"/>
  <c r="K289" i="489" s="1"/>
  <c r="AC289" i="489"/>
  <c r="K290" i="489" a="1"/>
  <c r="K290" i="489" s="1"/>
  <c r="AC290" i="489"/>
  <c r="K293" i="489" a="1"/>
  <c r="K293" i="489" s="1"/>
  <c r="AC293" i="489"/>
  <c r="K295" i="489" a="1"/>
  <c r="K295" i="489" s="1"/>
  <c r="AC295" i="489"/>
  <c r="K296" i="489" a="1"/>
  <c r="K296" i="489" s="1"/>
  <c r="AC296" i="489"/>
  <c r="K298" i="489" a="1"/>
  <c r="K298" i="489" s="1"/>
  <c r="AC298" i="489"/>
  <c r="K300" i="489" a="1"/>
  <c r="K300" i="489" s="1"/>
  <c r="AC300" i="489"/>
  <c r="K302" i="489" a="1"/>
  <c r="K302" i="489" s="1"/>
  <c r="AC302" i="489"/>
  <c r="K306" i="489" a="1"/>
  <c r="K306" i="489" s="1"/>
  <c r="AC306" i="489"/>
  <c r="K309" i="489" a="1"/>
  <c r="K309" i="489" s="1"/>
  <c r="AC309" i="489"/>
  <c r="K311" i="489" a="1"/>
  <c r="K311" i="489" s="1"/>
  <c r="AC311" i="489"/>
  <c r="K316" i="489" a="1"/>
  <c r="K316" i="489" s="1"/>
  <c r="AC316" i="489"/>
  <c r="K319" i="489" a="1"/>
  <c r="K319" i="489" s="1"/>
  <c r="AC319" i="489"/>
  <c r="K321" i="489" a="1"/>
  <c r="K321" i="489" s="1"/>
  <c r="M321" i="489" s="1"/>
  <c r="AC321" i="489"/>
  <c r="K323" i="489" a="1"/>
  <c r="K323" i="489" s="1"/>
  <c r="M323" i="489" s="1"/>
  <c r="AC323" i="489"/>
  <c r="V227" i="489"/>
  <c r="V233" i="489"/>
  <c r="V235" i="489"/>
  <c r="V236" i="489"/>
  <c r="W236" i="489" s="1"/>
  <c r="V239" i="489"/>
  <c r="V240" i="489"/>
  <c r="W240" i="489" s="1"/>
  <c r="V242" i="489"/>
  <c r="V243" i="489"/>
  <c r="W243" i="489" s="1"/>
  <c r="V244" i="489"/>
  <c r="V245" i="489"/>
  <c r="O291" i="489"/>
  <c r="Q291" i="489"/>
  <c r="S291" i="489"/>
  <c r="U291" i="489"/>
  <c r="Y291" i="489"/>
  <c r="AA291" i="489"/>
  <c r="V266" i="489"/>
  <c r="V268" i="489"/>
  <c r="W268" i="489" s="1"/>
  <c r="V270" i="489"/>
  <c r="V272" i="489"/>
  <c r="W272" i="489" s="1"/>
  <c r="N273" i="489"/>
  <c r="V274" i="489"/>
  <c r="W274" i="489" s="1"/>
  <c r="V275" i="489"/>
  <c r="N282" i="489"/>
  <c r="V283" i="489"/>
  <c r="V284" i="489"/>
  <c r="V294" i="489"/>
  <c r="V295" i="489"/>
  <c r="V297" i="489"/>
  <c r="V299" i="489"/>
  <c r="N300" i="489"/>
  <c r="V305" i="489"/>
  <c r="W305" i="489" s="1"/>
  <c r="P317" i="489"/>
  <c r="T317" i="489"/>
  <c r="V308" i="489"/>
  <c r="V320" i="489"/>
  <c r="K249" i="489" a="1"/>
  <c r="K249" i="489" s="1"/>
  <c r="AC249" i="489"/>
  <c r="AC250" i="489"/>
  <c r="AC251" i="489"/>
  <c r="AC252" i="489"/>
  <c r="AC253" i="489"/>
  <c r="AC255" i="489"/>
  <c r="K258" i="489" a="1"/>
  <c r="K258" i="489" s="1"/>
  <c r="M258" i="489" s="1"/>
  <c r="AC258" i="489"/>
  <c r="K260" i="489" a="1"/>
  <c r="K260" i="489" s="1"/>
  <c r="M260" i="489" s="1"/>
  <c r="AC260" i="489"/>
  <c r="K262" i="489" a="1"/>
  <c r="K262" i="489" s="1"/>
  <c r="M262" i="489" s="1"/>
  <c r="AC262" i="489"/>
  <c r="K264" i="489" a="1"/>
  <c r="K264" i="489" s="1"/>
  <c r="AC264" i="489"/>
  <c r="K266" i="489" a="1"/>
  <c r="K266" i="489" s="1"/>
  <c r="M266" i="489" s="1"/>
  <c r="AC266" i="489"/>
  <c r="K268" i="489" a="1"/>
  <c r="K268" i="489" s="1"/>
  <c r="M268" i="489" s="1"/>
  <c r="AC268" i="489"/>
  <c r="K270" i="489" a="1"/>
  <c r="K270" i="489" s="1"/>
  <c r="AC270" i="489"/>
  <c r="K272" i="489" a="1"/>
  <c r="K272" i="489" s="1"/>
  <c r="AC272" i="489"/>
  <c r="K274" i="489" a="1"/>
  <c r="K274" i="489" s="1"/>
  <c r="M274" i="489" s="1"/>
  <c r="AC274" i="489"/>
  <c r="K278" i="489" a="1"/>
  <c r="K278" i="489" s="1"/>
  <c r="AC278" i="489"/>
  <c r="K279" i="489" a="1"/>
  <c r="K279" i="489" s="1"/>
  <c r="M279" i="489" s="1"/>
  <c r="AC279" i="489"/>
  <c r="K280" i="489" a="1"/>
  <c r="K280" i="489" s="1"/>
  <c r="M280" i="489" s="1"/>
  <c r="AC280" i="489"/>
  <c r="K281" i="489" a="1"/>
  <c r="K281" i="489" s="1"/>
  <c r="M281" i="489" s="1"/>
  <c r="AC281" i="489"/>
  <c r="K283" i="489" a="1"/>
  <c r="K283" i="489" s="1"/>
  <c r="M283" i="489" s="1"/>
  <c r="AC283" i="489"/>
  <c r="K294" i="489" a="1"/>
  <c r="K294" i="489" s="1"/>
  <c r="M294" i="489" s="1"/>
  <c r="AC294" i="489"/>
  <c r="K297" i="489" a="1"/>
  <c r="K297" i="489" s="1"/>
  <c r="M297" i="489" s="1"/>
  <c r="AC297" i="489"/>
  <c r="K299" i="489" a="1"/>
  <c r="K299" i="489" s="1"/>
  <c r="AC299" i="489"/>
  <c r="K301" i="489" a="1"/>
  <c r="K301" i="489" s="1"/>
  <c r="M301" i="489" s="1"/>
  <c r="AC301" i="489"/>
  <c r="K305" i="489" a="1"/>
  <c r="K305" i="489" s="1"/>
  <c r="AC305" i="489"/>
  <c r="K308" i="489" a="1"/>
  <c r="K308" i="489" s="1"/>
  <c r="AC308" i="489"/>
  <c r="K310" i="489" a="1"/>
  <c r="K310" i="489" s="1"/>
  <c r="M310" i="489" s="1"/>
  <c r="AC310" i="489"/>
  <c r="K312" i="489" a="1"/>
  <c r="K312" i="489" s="1"/>
  <c r="M312" i="489" s="1"/>
  <c r="AC312" i="489"/>
  <c r="G332" i="489"/>
  <c r="AC318" i="489"/>
  <c r="K320" i="489" a="1"/>
  <c r="K320" i="489" s="1"/>
  <c r="M320" i="489" s="1"/>
  <c r="AC320" i="489"/>
  <c r="K324" i="489" a="1"/>
  <c r="K324" i="489" s="1"/>
  <c r="M324" i="489" s="1"/>
  <c r="AC324" i="489"/>
  <c r="AC329" i="489"/>
  <c r="AC331" i="489"/>
  <c r="V324" i="489"/>
  <c r="W324" i="489" s="1"/>
  <c r="K196" i="489" a="1"/>
  <c r="K196" i="489" s="1"/>
  <c r="AC196" i="489"/>
  <c r="K197" i="489" a="1"/>
  <c r="K197" i="489" s="1"/>
  <c r="AC197" i="489"/>
  <c r="K184" i="489" a="1"/>
  <c r="K184" i="489" s="1"/>
  <c r="AC184" i="489"/>
  <c r="K185" i="489" a="1"/>
  <c r="K185" i="489" s="1"/>
  <c r="AC185" i="489"/>
  <c r="K186" i="489" a="1"/>
  <c r="K186" i="489" s="1"/>
  <c r="AC186" i="489"/>
  <c r="K187" i="489" a="1"/>
  <c r="K187" i="489" s="1"/>
  <c r="AC187" i="489"/>
  <c r="K188" i="489" a="1"/>
  <c r="K188" i="489" s="1"/>
  <c r="AC188" i="489"/>
  <c r="K189" i="489" a="1"/>
  <c r="K189" i="489" s="1"/>
  <c r="AC189" i="489"/>
  <c r="K190" i="489" a="1"/>
  <c r="K190" i="489" s="1"/>
  <c r="AC190" i="489"/>
  <c r="K191" i="489" a="1"/>
  <c r="K191" i="489" s="1"/>
  <c r="AC191" i="489"/>
  <c r="K192" i="489" a="1"/>
  <c r="K192" i="489" s="1"/>
  <c r="AC192" i="489"/>
  <c r="K193" i="489" a="1"/>
  <c r="K193" i="489" s="1"/>
  <c r="AC193" i="489"/>
  <c r="K194" i="489" a="1"/>
  <c r="K194" i="489" s="1"/>
  <c r="AC194" i="489"/>
  <c r="K195" i="489" a="1"/>
  <c r="K195" i="489" s="1"/>
  <c r="AC195" i="489"/>
  <c r="V184" i="489"/>
  <c r="V185" i="489"/>
  <c r="W185" i="489" s="1"/>
  <c r="V186" i="489"/>
  <c r="V188" i="489"/>
  <c r="W188" i="489" s="1"/>
  <c r="G198" i="489"/>
  <c r="J518" i="489" s="1"/>
  <c r="AC177" i="489"/>
  <c r="K178" i="489" a="1"/>
  <c r="K178" i="489" s="1"/>
  <c r="AC178" i="489"/>
  <c r="K179" i="489" a="1"/>
  <c r="K179" i="489" s="1"/>
  <c r="AC179" i="489"/>
  <c r="K180" i="489" a="1"/>
  <c r="K180" i="489" s="1"/>
  <c r="M180" i="489" s="1"/>
  <c r="AC180" i="489"/>
  <c r="K181" i="489" a="1"/>
  <c r="K181" i="489" s="1"/>
  <c r="M181" i="489" s="1"/>
  <c r="AC181" i="489"/>
  <c r="K182" i="489" a="1"/>
  <c r="K182" i="489" s="1"/>
  <c r="AC182" i="489"/>
  <c r="V178" i="489"/>
  <c r="V179" i="489"/>
  <c r="W179" i="489" s="1"/>
  <c r="V180" i="489"/>
  <c r="V181" i="489"/>
  <c r="W181" i="489" s="1"/>
  <c r="V182" i="489"/>
  <c r="H81" i="489"/>
  <c r="AC81" i="489"/>
  <c r="H83" i="489"/>
  <c r="AC83" i="489"/>
  <c r="H84" i="489"/>
  <c r="AC84" i="489"/>
  <c r="H85" i="489"/>
  <c r="AC85" i="489"/>
  <c r="J87" i="489"/>
  <c r="AC87" i="489"/>
  <c r="J89" i="489" a="1"/>
  <c r="J89" i="489" s="1"/>
  <c r="AC89" i="489"/>
  <c r="J91" i="489" a="1"/>
  <c r="J91" i="489" s="1"/>
  <c r="AC91" i="489"/>
  <c r="J93" i="489" a="1"/>
  <c r="J93" i="489" s="1"/>
  <c r="AC93" i="489"/>
  <c r="K95" i="489" a="1"/>
  <c r="K95" i="489" s="1"/>
  <c r="M95" i="489" s="1"/>
  <c r="AC95" i="489"/>
  <c r="K97" i="489" a="1"/>
  <c r="K97" i="489" s="1"/>
  <c r="M97" i="489" s="1"/>
  <c r="AC97" i="489"/>
  <c r="K99" i="489" a="1"/>
  <c r="K99" i="489" s="1"/>
  <c r="M99" i="489" s="1"/>
  <c r="AC99" i="489"/>
  <c r="K101" i="489" a="1"/>
  <c r="K101" i="489" s="1"/>
  <c r="AC101" i="489"/>
  <c r="K103" i="489" a="1"/>
  <c r="K103" i="489" s="1"/>
  <c r="AC103" i="489"/>
  <c r="K105" i="489" a="1"/>
  <c r="K105" i="489" s="1"/>
  <c r="AC105" i="489"/>
  <c r="K108" i="489" a="1"/>
  <c r="K108" i="489" s="1"/>
  <c r="M108" i="489" s="1"/>
  <c r="AC108" i="489"/>
  <c r="K110" i="489" a="1"/>
  <c r="K110" i="489" s="1"/>
  <c r="AC110" i="489"/>
  <c r="K112" i="489" a="1"/>
  <c r="K112" i="489" s="1"/>
  <c r="M112" i="489" s="1"/>
  <c r="AC112" i="489"/>
  <c r="K114" i="489" a="1"/>
  <c r="K114" i="489" s="1"/>
  <c r="AC114" i="489"/>
  <c r="K116" i="489" a="1"/>
  <c r="K116" i="489" s="1"/>
  <c r="AC116" i="489"/>
  <c r="K118" i="489" a="1"/>
  <c r="K118" i="489" s="1"/>
  <c r="AC118" i="489"/>
  <c r="J123" i="489" a="1"/>
  <c r="J123" i="489" s="1"/>
  <c r="AC123" i="489"/>
  <c r="K127" i="489" a="1"/>
  <c r="K127" i="489" s="1"/>
  <c r="AC127" i="489"/>
  <c r="K129" i="489" a="1"/>
  <c r="K129" i="489" s="1"/>
  <c r="AC129" i="489"/>
  <c r="K131" i="489" a="1"/>
  <c r="K131" i="489" s="1"/>
  <c r="M131" i="489" s="1"/>
  <c r="AC131" i="489"/>
  <c r="K133" i="489" a="1"/>
  <c r="K133" i="489" s="1"/>
  <c r="M133" i="489" s="1"/>
  <c r="AC133" i="489"/>
  <c r="K135" i="489" a="1"/>
  <c r="K135" i="489" s="1"/>
  <c r="M135" i="489" s="1"/>
  <c r="AC135" i="489"/>
  <c r="K140" i="489" a="1"/>
  <c r="K140" i="489" s="1"/>
  <c r="M140" i="489" s="1"/>
  <c r="AC140" i="489"/>
  <c r="K142" i="489" a="1"/>
  <c r="K142" i="489" s="1"/>
  <c r="M142" i="489" s="1"/>
  <c r="AC142" i="489"/>
  <c r="K151" i="489" a="1"/>
  <c r="K151" i="489" s="1"/>
  <c r="AC151" i="489"/>
  <c r="K153" i="489" a="1"/>
  <c r="K153" i="489" s="1"/>
  <c r="M153" i="489" s="1"/>
  <c r="AC153" i="489"/>
  <c r="K154" i="489" a="1"/>
  <c r="K154" i="489" s="1"/>
  <c r="AC154" i="489"/>
  <c r="K160" i="489" a="1"/>
  <c r="K160" i="489" s="1"/>
  <c r="M160" i="489" s="1"/>
  <c r="AC160" i="489"/>
  <c r="V99" i="489"/>
  <c r="V100" i="489"/>
  <c r="V102" i="489"/>
  <c r="W102" i="489" s="1"/>
  <c r="V113" i="489"/>
  <c r="V126" i="489"/>
  <c r="W126" i="489" s="1"/>
  <c r="V139" i="489"/>
  <c r="V141" i="489"/>
  <c r="W141" i="489" s="1"/>
  <c r="V150" i="489"/>
  <c r="G86" i="489"/>
  <c r="AC29" i="489"/>
  <c r="K31" i="489" a="1"/>
  <c r="K31" i="489" s="1"/>
  <c r="AC31" i="489"/>
  <c r="K32" i="489" a="1"/>
  <c r="K32" i="489" s="1"/>
  <c r="AC32" i="489"/>
  <c r="K33" i="489" a="1"/>
  <c r="K33" i="489" s="1"/>
  <c r="M33" i="489" s="1"/>
  <c r="AC33" i="489"/>
  <c r="H34" i="489"/>
  <c r="AC34" i="489"/>
  <c r="H35" i="489"/>
  <c r="AC35" i="489"/>
  <c r="H36" i="489"/>
  <c r="AC36" i="489"/>
  <c r="K37" i="489" a="1"/>
  <c r="K37" i="489" s="1"/>
  <c r="M37" i="489" s="1"/>
  <c r="AC37" i="489"/>
  <c r="K38" i="489" a="1"/>
  <c r="K38" i="489" s="1"/>
  <c r="M38" i="489" s="1"/>
  <c r="AC38" i="489"/>
  <c r="K39" i="489" a="1"/>
  <c r="K39" i="489" s="1"/>
  <c r="M39" i="489" s="1"/>
  <c r="AC39" i="489"/>
  <c r="K40" i="489" a="1"/>
  <c r="K40" i="489" s="1"/>
  <c r="AC40" i="489"/>
  <c r="K41" i="489" a="1"/>
  <c r="K41" i="489" s="1"/>
  <c r="M41" i="489" s="1"/>
  <c r="AC41" i="489"/>
  <c r="K42" i="489" a="1"/>
  <c r="K42" i="489" s="1"/>
  <c r="M42" i="489" s="1"/>
  <c r="AC42" i="489"/>
  <c r="K43" i="489" a="1"/>
  <c r="K43" i="489" s="1"/>
  <c r="M43" i="489" s="1"/>
  <c r="AC43" i="489"/>
  <c r="K44" i="489" a="1"/>
  <c r="K44" i="489" s="1"/>
  <c r="M44" i="489" s="1"/>
  <c r="AC44" i="489"/>
  <c r="K45" i="489" a="1"/>
  <c r="K45" i="489" s="1"/>
  <c r="M45" i="489" s="1"/>
  <c r="AC45" i="489"/>
  <c r="K46" i="489" a="1"/>
  <c r="K46" i="489" s="1"/>
  <c r="M46" i="489" s="1"/>
  <c r="AC46" i="489"/>
  <c r="K47" i="489" a="1"/>
  <c r="K47" i="489" s="1"/>
  <c r="AC47" i="489"/>
  <c r="K48" i="489" a="1"/>
  <c r="K48" i="489" s="1"/>
  <c r="AC48" i="489"/>
  <c r="K49" i="489" a="1"/>
  <c r="K49" i="489" s="1"/>
  <c r="M49" i="489" s="1"/>
  <c r="AC49" i="489"/>
  <c r="K50" i="489" a="1"/>
  <c r="K50" i="489" s="1"/>
  <c r="M50" i="489" s="1"/>
  <c r="AC50" i="489"/>
  <c r="K51" i="489" a="1"/>
  <c r="K51" i="489" s="1"/>
  <c r="M51" i="489" s="1"/>
  <c r="AC51" i="489"/>
  <c r="K52" i="489" a="1"/>
  <c r="K52" i="489" s="1"/>
  <c r="AC52" i="489"/>
  <c r="K53" i="489" a="1"/>
  <c r="K53" i="489" s="1"/>
  <c r="M53" i="489" s="1"/>
  <c r="AC53" i="489"/>
  <c r="K54" i="489" a="1"/>
  <c r="K54" i="489" s="1"/>
  <c r="M54" i="489" s="1"/>
  <c r="AC54" i="489"/>
  <c r="K55" i="489" a="1"/>
  <c r="K55" i="489" s="1"/>
  <c r="M55" i="489" s="1"/>
  <c r="AC55" i="489"/>
  <c r="K56" i="489" a="1"/>
  <c r="K56" i="489" s="1"/>
  <c r="AC56" i="489"/>
  <c r="K57" i="489" a="1"/>
  <c r="K57" i="489" s="1"/>
  <c r="M57" i="489" s="1"/>
  <c r="AC57" i="489"/>
  <c r="K58" i="489" a="1"/>
  <c r="K58" i="489" s="1"/>
  <c r="M58" i="489" s="1"/>
  <c r="AC58" i="489"/>
  <c r="K59" i="489" a="1"/>
  <c r="K59" i="489" s="1"/>
  <c r="M59" i="489" s="1"/>
  <c r="AC59" i="489"/>
  <c r="K60" i="489" a="1"/>
  <c r="K60" i="489" s="1"/>
  <c r="AC60" i="489"/>
  <c r="K61" i="489" a="1"/>
  <c r="K61" i="489" s="1"/>
  <c r="M61" i="489" s="1"/>
  <c r="AC61" i="489"/>
  <c r="K62" i="489" a="1"/>
  <c r="K62" i="489" s="1"/>
  <c r="M62" i="489" s="1"/>
  <c r="AC62" i="489"/>
  <c r="K63" i="489" a="1"/>
  <c r="K63" i="489" s="1"/>
  <c r="M63" i="489" s="1"/>
  <c r="AC63" i="489"/>
  <c r="K64" i="489" a="1"/>
  <c r="K64" i="489" s="1"/>
  <c r="AC64" i="489"/>
  <c r="K65" i="489" a="1"/>
  <c r="K65" i="489" s="1"/>
  <c r="M65" i="489" s="1"/>
  <c r="AC65" i="489"/>
  <c r="K66" i="489" a="1"/>
  <c r="K66" i="489" s="1"/>
  <c r="M66" i="489" s="1"/>
  <c r="AC66" i="489"/>
  <c r="K68" i="489" a="1"/>
  <c r="K68" i="489" s="1"/>
  <c r="AC68" i="489"/>
  <c r="K69" i="489" a="1"/>
  <c r="K69" i="489" s="1"/>
  <c r="AC69" i="489"/>
  <c r="K70" i="489" a="1"/>
  <c r="K70" i="489" s="1"/>
  <c r="M70" i="489" s="1"/>
  <c r="AC70" i="489"/>
  <c r="H71" i="489"/>
  <c r="AC71" i="489"/>
  <c r="K72" i="489" a="1"/>
  <c r="K72" i="489" s="1"/>
  <c r="M72" i="489" s="1"/>
  <c r="AC72" i="489"/>
  <c r="K73" i="489" a="1"/>
  <c r="K73" i="489" s="1"/>
  <c r="AC73" i="489"/>
  <c r="K74" i="489" a="1"/>
  <c r="K74" i="489" s="1"/>
  <c r="M74" i="489" s="1"/>
  <c r="AC74" i="489"/>
  <c r="K75" i="489" a="1"/>
  <c r="K75" i="489" s="1"/>
  <c r="M75" i="489" s="1"/>
  <c r="AC75" i="489"/>
  <c r="K76" i="489" a="1"/>
  <c r="K76" i="489" s="1"/>
  <c r="M76" i="489" s="1"/>
  <c r="AC76" i="489"/>
  <c r="K77" i="489" a="1"/>
  <c r="K77" i="489" s="1"/>
  <c r="M77" i="489" s="1"/>
  <c r="AC77" i="489"/>
  <c r="K78" i="489" a="1"/>
  <c r="K78" i="489" s="1"/>
  <c r="M78" i="489" s="1"/>
  <c r="AC78" i="489"/>
  <c r="K79" i="489" a="1"/>
  <c r="K79" i="489" s="1"/>
  <c r="M79" i="489" s="1"/>
  <c r="AC79" i="489"/>
  <c r="H80" i="489"/>
  <c r="AC80" i="489"/>
  <c r="H82" i="489"/>
  <c r="AC82" i="489"/>
  <c r="K88" i="489" a="1"/>
  <c r="K88" i="489" s="1"/>
  <c r="M88" i="489" s="1"/>
  <c r="AC88" i="489"/>
  <c r="K90" i="489" a="1"/>
  <c r="K90" i="489" s="1"/>
  <c r="M90" i="489" s="1"/>
  <c r="AC90" i="489"/>
  <c r="K92" i="489" a="1"/>
  <c r="K92" i="489" s="1"/>
  <c r="M92" i="489" s="1"/>
  <c r="AC92" i="489"/>
  <c r="K94" i="489" a="1"/>
  <c r="K94" i="489" s="1"/>
  <c r="M94" i="489" s="1"/>
  <c r="AC94" i="489"/>
  <c r="J96" i="489" a="1"/>
  <c r="J96" i="489" s="1"/>
  <c r="AC96" i="489"/>
  <c r="J98" i="489" a="1"/>
  <c r="J98" i="489" s="1"/>
  <c r="AC98" i="489"/>
  <c r="K102" i="489" a="1"/>
  <c r="K102" i="489" s="1"/>
  <c r="M102" i="489" s="1"/>
  <c r="AC102" i="489"/>
  <c r="K104" i="489" a="1"/>
  <c r="K104" i="489" s="1"/>
  <c r="M104" i="489" s="1"/>
  <c r="AC104" i="489"/>
  <c r="K106" i="489" a="1"/>
  <c r="K106" i="489" s="1"/>
  <c r="M106" i="489" s="1"/>
  <c r="AC106" i="489"/>
  <c r="K107" i="489" a="1"/>
  <c r="K107" i="489" s="1"/>
  <c r="AC107" i="489"/>
  <c r="K109" i="489" a="1"/>
  <c r="K109" i="489" s="1"/>
  <c r="M109" i="489" s="1"/>
  <c r="AC109" i="489"/>
  <c r="K111" i="489" a="1"/>
  <c r="K111" i="489" s="1"/>
  <c r="M111" i="489" s="1"/>
  <c r="AC111" i="489"/>
  <c r="K113" i="489" a="1"/>
  <c r="K113" i="489" s="1"/>
  <c r="M113" i="489" s="1"/>
  <c r="AC113" i="489"/>
  <c r="K115" i="489" a="1"/>
  <c r="K115" i="489" s="1"/>
  <c r="AC115" i="489"/>
  <c r="K117" i="489" a="1"/>
  <c r="K117" i="489" s="1"/>
  <c r="AC117" i="489"/>
  <c r="K119" i="489" a="1"/>
  <c r="K119" i="489" s="1"/>
  <c r="M119" i="489" s="1"/>
  <c r="AC119" i="489"/>
  <c r="K120" i="489" a="1"/>
  <c r="K120" i="489" s="1"/>
  <c r="AC120" i="489"/>
  <c r="G137" i="489"/>
  <c r="J137" i="489" s="1" a="1"/>
  <c r="J137" i="489" s="1"/>
  <c r="AC122" i="489"/>
  <c r="K124" i="489" a="1"/>
  <c r="K124" i="489" s="1"/>
  <c r="M124" i="489" s="1"/>
  <c r="AC124" i="489"/>
  <c r="K126" i="489" a="1"/>
  <c r="K126" i="489" s="1"/>
  <c r="M126" i="489" s="1"/>
  <c r="AC126" i="489"/>
  <c r="K128" i="489" a="1"/>
  <c r="K128" i="489" s="1"/>
  <c r="M128" i="489" s="1"/>
  <c r="AC128" i="489"/>
  <c r="K132" i="489" a="1"/>
  <c r="K132" i="489" s="1"/>
  <c r="M132" i="489" s="1"/>
  <c r="AC132" i="489"/>
  <c r="K134" i="489" a="1"/>
  <c r="K134" i="489" s="1"/>
  <c r="AC134" i="489"/>
  <c r="K136" i="489" a="1"/>
  <c r="K136" i="489" s="1"/>
  <c r="M136" i="489" s="1"/>
  <c r="AC136" i="489"/>
  <c r="K139" i="489" a="1"/>
  <c r="K139" i="489" s="1"/>
  <c r="M139" i="489" s="1"/>
  <c r="AC139" i="489"/>
  <c r="K141" i="489" a="1"/>
  <c r="K141" i="489" s="1"/>
  <c r="AC141" i="489"/>
  <c r="K146" i="489" a="1"/>
  <c r="K146" i="489" s="1"/>
  <c r="M146" i="489" s="1"/>
  <c r="AC146" i="489"/>
  <c r="K148" i="489" a="1"/>
  <c r="K148" i="489" s="1"/>
  <c r="AC148" i="489"/>
  <c r="K149" i="489" a="1"/>
  <c r="K149" i="489" s="1"/>
  <c r="M149" i="489" s="1"/>
  <c r="AC149" i="489"/>
  <c r="K157" i="489" a="1"/>
  <c r="K157" i="489" s="1"/>
  <c r="M157" i="489" s="1"/>
  <c r="AC157" i="489"/>
  <c r="K158" i="489" a="1"/>
  <c r="K158" i="489" s="1"/>
  <c r="AC158" i="489"/>
  <c r="K159" i="489" a="1"/>
  <c r="K159" i="489" s="1"/>
  <c r="M159" i="489" s="1"/>
  <c r="AC159" i="489"/>
  <c r="V75" i="489"/>
  <c r="W75" i="489" s="1"/>
  <c r="V131" i="489"/>
  <c r="V133" i="489"/>
  <c r="W133" i="489" s="1"/>
  <c r="V157" i="489"/>
  <c r="K15" i="489" a="1"/>
  <c r="K15" i="489" s="1"/>
  <c r="AC15" i="489"/>
  <c r="K16" i="489" a="1"/>
  <c r="K16" i="489" s="1"/>
  <c r="M16" i="489" s="1"/>
  <c r="AC16" i="489"/>
  <c r="K17" i="489" a="1"/>
  <c r="K17" i="489" s="1"/>
  <c r="M17" i="489" s="1"/>
  <c r="AC17" i="489"/>
  <c r="K18" i="489" a="1"/>
  <c r="K18" i="489" s="1"/>
  <c r="M18" i="489" s="1"/>
  <c r="AC18" i="489"/>
  <c r="K19" i="489" a="1"/>
  <c r="K19" i="489" s="1"/>
  <c r="M19" i="489" s="1"/>
  <c r="AC19" i="489"/>
  <c r="K20" i="489" a="1"/>
  <c r="K20" i="489" s="1"/>
  <c r="M20" i="489" s="1"/>
  <c r="AC20" i="489"/>
  <c r="K21" i="489" a="1"/>
  <c r="K21" i="489" s="1"/>
  <c r="M21" i="489" s="1"/>
  <c r="AC21" i="489"/>
  <c r="K22" i="489" a="1"/>
  <c r="K22" i="489" s="1"/>
  <c r="M22" i="489" s="1"/>
  <c r="AC22" i="489"/>
  <c r="V16" i="489"/>
  <c r="W16" i="489" s="1"/>
  <c r="V17" i="489"/>
  <c r="V18" i="489"/>
  <c r="W18" i="489" s="1"/>
  <c r="V19" i="489"/>
  <c r="V20" i="489"/>
  <c r="W20" i="489" s="1"/>
  <c r="V21" i="489"/>
  <c r="K23" i="489" a="1"/>
  <c r="K23" i="489" s="1"/>
  <c r="M23" i="489" s="1"/>
  <c r="AC23" i="489"/>
  <c r="K24" i="489" a="1"/>
  <c r="K24" i="489" s="1"/>
  <c r="M24" i="489" s="1"/>
  <c r="AC24" i="489"/>
  <c r="K25" i="489" a="1"/>
  <c r="K25" i="489" s="1"/>
  <c r="M25" i="489" s="1"/>
  <c r="AC25" i="489"/>
  <c r="K26" i="489" a="1"/>
  <c r="K26" i="489" s="1"/>
  <c r="M26" i="489" s="1"/>
  <c r="AC26" i="489"/>
  <c r="K27" i="489" a="1"/>
  <c r="K27" i="489" s="1"/>
  <c r="M27" i="489" s="1"/>
  <c r="AC27" i="489"/>
  <c r="K8" i="489" a="1"/>
  <c r="K8" i="489" s="1"/>
  <c r="M8" i="489" s="1"/>
  <c r="AC8" i="489"/>
  <c r="K9" i="489" a="1"/>
  <c r="K9" i="489" s="1"/>
  <c r="M9" i="489" s="1"/>
  <c r="AC9" i="489"/>
  <c r="K10" i="489" a="1"/>
  <c r="K10" i="489" s="1"/>
  <c r="M10" i="489" s="1"/>
  <c r="AC10" i="489"/>
  <c r="K11" i="489" a="1"/>
  <c r="K11" i="489" s="1"/>
  <c r="M11" i="489" s="1"/>
  <c r="AC11" i="489"/>
  <c r="K12" i="489" a="1"/>
  <c r="K12" i="489" s="1"/>
  <c r="M12" i="489" s="1"/>
  <c r="AC12" i="489"/>
  <c r="K14" i="489" a="1"/>
  <c r="K14" i="489" s="1"/>
  <c r="M14" i="489" s="1"/>
  <c r="AC14" i="489"/>
  <c r="I28" i="489"/>
  <c r="K13" i="489" a="1"/>
  <c r="K13" i="489" s="1"/>
  <c r="M13" i="489" s="1"/>
  <c r="AC13" i="489"/>
  <c r="G28" i="489"/>
  <c r="K183" i="489" a="1"/>
  <c r="K183" i="489" s="1"/>
  <c r="M183" i="489" s="1"/>
  <c r="AC183" i="489"/>
  <c r="V12" i="489"/>
  <c r="W12" i="489" s="1"/>
  <c r="V13" i="489"/>
  <c r="M15" i="489"/>
  <c r="V25" i="489"/>
  <c r="V26" i="489"/>
  <c r="W26" i="489" s="1"/>
  <c r="V189" i="489"/>
  <c r="V190" i="489"/>
  <c r="W190" i="489" s="1"/>
  <c r="V191" i="489"/>
  <c r="V207" i="489"/>
  <c r="W207" i="489" s="1"/>
  <c r="V208" i="489"/>
  <c r="M210" i="489"/>
  <c r="N296" i="489"/>
  <c r="V301" i="489"/>
  <c r="W301" i="489" s="1"/>
  <c r="V303" i="489"/>
  <c r="Y317" i="489"/>
  <c r="AA317" i="489"/>
  <c r="V309" i="489"/>
  <c r="W309" i="489" s="1"/>
  <c r="N320" i="489"/>
  <c r="V321" i="489"/>
  <c r="W321" i="489" s="1"/>
  <c r="H348" i="489"/>
  <c r="N350" i="489"/>
  <c r="V350" i="489"/>
  <c r="W350" i="489" s="1"/>
  <c r="H351" i="489"/>
  <c r="J351" i="489" a="1"/>
  <c r="J351" i="489" s="1"/>
  <c r="N352" i="489"/>
  <c r="V353" i="489"/>
  <c r="W353" i="489" s="1"/>
  <c r="V355" i="489"/>
  <c r="W355" i="489" s="1"/>
  <c r="H372" i="489"/>
  <c r="H394" i="489"/>
  <c r="V398" i="489"/>
  <c r="W398" i="489" s="1"/>
  <c r="V400" i="489"/>
  <c r="W400" i="489" s="1"/>
  <c r="V402" i="489"/>
  <c r="W402" i="489" s="1"/>
  <c r="V404" i="489"/>
  <c r="W404" i="489" s="1"/>
  <c r="N405" i="489"/>
  <c r="V406" i="489"/>
  <c r="W406" i="489" s="1"/>
  <c r="H412" i="489"/>
  <c r="J412" i="489" a="1"/>
  <c r="J412" i="489" s="1"/>
  <c r="M413" i="489"/>
  <c r="N413" i="489"/>
  <c r="V413" i="489"/>
  <c r="W413" i="489" s="1"/>
  <c r="H414" i="489"/>
  <c r="J414" i="489" a="1"/>
  <c r="J414" i="489" s="1"/>
  <c r="M415" i="489"/>
  <c r="N415" i="489"/>
  <c r="M457" i="489"/>
  <c r="M458" i="489"/>
  <c r="N458" i="489"/>
  <c r="H459" i="489"/>
  <c r="V466" i="489"/>
  <c r="W466" i="489" s="1"/>
  <c r="G487" i="489"/>
  <c r="J487" i="489" s="1" a="1"/>
  <c r="J487" i="489" s="1"/>
  <c r="O487" i="489"/>
  <c r="Q487" i="489"/>
  <c r="S487" i="489"/>
  <c r="U487" i="489"/>
  <c r="Y487" i="489"/>
  <c r="AA487" i="489"/>
  <c r="P503" i="489"/>
  <c r="R503" i="489"/>
  <c r="T503" i="489"/>
  <c r="X503" i="489"/>
  <c r="Z503" i="489"/>
  <c r="V60" i="489"/>
  <c r="V61" i="489"/>
  <c r="W61" i="489" s="1"/>
  <c r="V228" i="489"/>
  <c r="W228" i="489" s="1"/>
  <c r="V229" i="489"/>
  <c r="W229" i="489" s="1"/>
  <c r="V231" i="489"/>
  <c r="W231" i="489" s="1"/>
  <c r="V232" i="489"/>
  <c r="W232" i="489" s="1"/>
  <c r="W265" i="489"/>
  <c r="W298" i="489"/>
  <c r="H449" i="489"/>
  <c r="M450" i="489"/>
  <c r="N450" i="489"/>
  <c r="V11" i="489"/>
  <c r="W11" i="489" s="1"/>
  <c r="V15" i="489"/>
  <c r="W15" i="489" s="1"/>
  <c r="V23" i="489"/>
  <c r="V24" i="489"/>
  <c r="V31" i="489"/>
  <c r="W31" i="489" s="1"/>
  <c r="V32" i="489"/>
  <c r="W32" i="489" s="1"/>
  <c r="V33" i="489"/>
  <c r="W33" i="489" s="1"/>
  <c r="V37" i="489"/>
  <c r="W37" i="489" s="1"/>
  <c r="W69" i="489"/>
  <c r="W72" i="489"/>
  <c r="W73" i="489"/>
  <c r="W74" i="489"/>
  <c r="V87" i="489"/>
  <c r="W87" i="489" s="1"/>
  <c r="V89" i="489"/>
  <c r="W89" i="489" s="1"/>
  <c r="V91" i="489"/>
  <c r="W91" i="489" s="1"/>
  <c r="V93" i="489"/>
  <c r="W93" i="489" s="1"/>
  <c r="V104" i="489"/>
  <c r="W104" i="489" s="1"/>
  <c r="W113" i="489"/>
  <c r="V122" i="489"/>
  <c r="W122" i="489" s="1"/>
  <c r="W127" i="489"/>
  <c r="W129" i="489"/>
  <c r="W131" i="489"/>
  <c r="W140" i="489"/>
  <c r="W178" i="489"/>
  <c r="W180" i="489"/>
  <c r="W182" i="489"/>
  <c r="W183" i="489"/>
  <c r="V187" i="489"/>
  <c r="W187" i="489" s="1"/>
  <c r="V202" i="489"/>
  <c r="W202" i="489" s="1"/>
  <c r="V203" i="489"/>
  <c r="W203" i="489" s="1"/>
  <c r="V210" i="489"/>
  <c r="W210" i="489" s="1"/>
  <c r="M212" i="489"/>
  <c r="W214" i="489"/>
  <c r="M216" i="489"/>
  <c r="W218" i="489"/>
  <c r="W239" i="489"/>
  <c r="W244" i="489"/>
  <c r="V258" i="489"/>
  <c r="W258" i="489" s="1"/>
  <c r="N259" i="489"/>
  <c r="V262" i="489"/>
  <c r="W262" i="489" s="1"/>
  <c r="N263" i="489"/>
  <c r="N265" i="489"/>
  <c r="H269" i="489"/>
  <c r="N269" i="489"/>
  <c r="W270" i="489"/>
  <c r="N271" i="489"/>
  <c r="H274" i="489"/>
  <c r="N274" i="489"/>
  <c r="W283" i="489"/>
  <c r="W288" i="489"/>
  <c r="W293" i="489"/>
  <c r="N294" i="489"/>
  <c r="W296" i="489"/>
  <c r="H299" i="489"/>
  <c r="N299" i="489"/>
  <c r="N301" i="489"/>
  <c r="W302" i="489"/>
  <c r="W308" i="489"/>
  <c r="J323" i="489" a="1"/>
  <c r="J323" i="489" s="1"/>
  <c r="W354" i="489"/>
  <c r="W356" i="489"/>
  <c r="N378" i="489"/>
  <c r="N380" i="489"/>
  <c r="N382" i="489"/>
  <c r="N384" i="489"/>
  <c r="N386" i="489"/>
  <c r="N388" i="489"/>
  <c r="N398" i="489"/>
  <c r="N400" i="489"/>
  <c r="N402" i="489"/>
  <c r="N404" i="489"/>
  <c r="N406" i="489"/>
  <c r="N409" i="489"/>
  <c r="V409" i="489"/>
  <c r="W409" i="489" s="1"/>
  <c r="H410" i="489"/>
  <c r="J410" i="489" a="1"/>
  <c r="J410" i="489" s="1"/>
  <c r="N412" i="489"/>
  <c r="V412" i="489"/>
  <c r="W412" i="489" s="1"/>
  <c r="H413" i="489"/>
  <c r="J413" i="489" a="1"/>
  <c r="J413" i="489" s="1"/>
  <c r="N414" i="489"/>
  <c r="V414" i="489"/>
  <c r="W414" i="489" s="1"/>
  <c r="H415" i="489"/>
  <c r="J415" i="489" a="1"/>
  <c r="J415" i="489" s="1"/>
  <c r="W438" i="489"/>
  <c r="W442" i="489"/>
  <c r="W446" i="489"/>
  <c r="H451" i="489"/>
  <c r="M452" i="489"/>
  <c r="N452" i="489"/>
  <c r="H453" i="489"/>
  <c r="J453" i="489" a="1"/>
  <c r="J453" i="489" s="1"/>
  <c r="N454" i="489"/>
  <c r="V454" i="489"/>
  <c r="W454" i="489" s="1"/>
  <c r="H455" i="489"/>
  <c r="H456" i="489"/>
  <c r="H457" i="489"/>
  <c r="H458" i="489"/>
  <c r="J458" i="489" a="1"/>
  <c r="J458" i="489" s="1"/>
  <c r="N459" i="489"/>
  <c r="V459" i="489"/>
  <c r="W459" i="489" s="1"/>
  <c r="H460" i="489"/>
  <c r="J460" i="489" a="1"/>
  <c r="J460" i="489" s="1"/>
  <c r="N464" i="489"/>
  <c r="N466" i="489"/>
  <c r="W467" i="489"/>
  <c r="W469" i="489"/>
  <c r="M471" i="489"/>
  <c r="W471" i="489"/>
  <c r="M473" i="489"/>
  <c r="W473" i="489"/>
  <c r="W475" i="489"/>
  <c r="W479" i="489"/>
  <c r="W481" i="489"/>
  <c r="W9" i="489"/>
  <c r="W13" i="489"/>
  <c r="W17" i="489"/>
  <c r="W21" i="489"/>
  <c r="W39" i="489"/>
  <c r="W41" i="489"/>
  <c r="W43" i="489"/>
  <c r="W44" i="489"/>
  <c r="W45" i="489"/>
  <c r="W46" i="489"/>
  <c r="W47" i="489"/>
  <c r="W48" i="489"/>
  <c r="V57" i="489"/>
  <c r="W57" i="489" s="1"/>
  <c r="V58" i="489"/>
  <c r="W58" i="489" s="1"/>
  <c r="V59" i="489"/>
  <c r="W59" i="489" s="1"/>
  <c r="V63" i="489"/>
  <c r="W63" i="489" s="1"/>
  <c r="V90" i="489"/>
  <c r="W90" i="489" s="1"/>
  <c r="V96" i="489"/>
  <c r="W96" i="489" s="1"/>
  <c r="V98" i="489"/>
  <c r="W98" i="489" s="1"/>
  <c r="W103" i="489"/>
  <c r="W114" i="489"/>
  <c r="W128" i="489"/>
  <c r="V130" i="489"/>
  <c r="W130" i="489" s="1"/>
  <c r="V132" i="489"/>
  <c r="W132" i="489" s="1"/>
  <c r="W139" i="489"/>
  <c r="V142" i="489"/>
  <c r="W142" i="489" s="1"/>
  <c r="V177" i="489"/>
  <c r="W189" i="489"/>
  <c r="W191" i="489"/>
  <c r="V192" i="489"/>
  <c r="W192" i="489" s="1"/>
  <c r="V193" i="489"/>
  <c r="W193" i="489" s="1"/>
  <c r="M199" i="489"/>
  <c r="W208" i="489"/>
  <c r="M214" i="489"/>
  <c r="V216" i="489"/>
  <c r="W216" i="489" s="1"/>
  <c r="M218" i="489"/>
  <c r="V230" i="489"/>
  <c r="W230" i="489" s="1"/>
  <c r="V234" i="489"/>
  <c r="W234" i="489" s="1"/>
  <c r="W242" i="489"/>
  <c r="W269" i="489"/>
  <c r="N270" i="489"/>
  <c r="W271" i="489"/>
  <c r="N272" i="489"/>
  <c r="W276" i="489"/>
  <c r="N281" i="489"/>
  <c r="N283" i="489"/>
  <c r="V289" i="489"/>
  <c r="W289" i="489" s="1"/>
  <c r="N293" i="489"/>
  <c r="H296" i="489"/>
  <c r="W299" i="489"/>
  <c r="N302" i="489"/>
  <c r="N309" i="489"/>
  <c r="N311" i="489"/>
  <c r="N316" i="489"/>
  <c r="N319" i="489"/>
  <c r="N321" i="489"/>
  <c r="N323" i="489"/>
  <c r="V323" i="489"/>
  <c r="W323" i="489" s="1"/>
  <c r="J324" i="489" a="1"/>
  <c r="J324" i="489" s="1"/>
  <c r="J328" i="489" a="1"/>
  <c r="J328" i="489" s="1"/>
  <c r="M328" i="489"/>
  <c r="V352" i="489"/>
  <c r="W352" i="489" s="1"/>
  <c r="H354" i="489"/>
  <c r="N354" i="489"/>
  <c r="H356" i="489"/>
  <c r="N356" i="489"/>
  <c r="V359" i="489"/>
  <c r="W359" i="489" s="1"/>
  <c r="N361" i="489"/>
  <c r="V362" i="489"/>
  <c r="W362" i="489" s="1"/>
  <c r="W372" i="489"/>
  <c r="W380" i="489"/>
  <c r="W384" i="489"/>
  <c r="V415" i="489"/>
  <c r="W415" i="489" s="1"/>
  <c r="H416" i="489"/>
  <c r="H418" i="489"/>
  <c r="H420" i="489"/>
  <c r="H421" i="489"/>
  <c r="H422" i="489"/>
  <c r="H423" i="489"/>
  <c r="H425" i="489"/>
  <c r="M429" i="489"/>
  <c r="M431" i="489"/>
  <c r="M433" i="489"/>
  <c r="N435" i="489"/>
  <c r="V435" i="489"/>
  <c r="W435" i="489" s="1"/>
  <c r="H436" i="489"/>
  <c r="J436" i="489" a="1"/>
  <c r="J436" i="489" s="1"/>
  <c r="N437" i="489"/>
  <c r="V437" i="489"/>
  <c r="W437" i="489" s="1"/>
  <c r="H438" i="489"/>
  <c r="J438" i="489" a="1"/>
  <c r="J438" i="489" s="1"/>
  <c r="N439" i="489"/>
  <c r="V439" i="489"/>
  <c r="W439" i="489" s="1"/>
  <c r="H440" i="489"/>
  <c r="J440" i="489" a="1"/>
  <c r="J440" i="489" s="1"/>
  <c r="N441" i="489"/>
  <c r="V441" i="489"/>
  <c r="W441" i="489" s="1"/>
  <c r="H442" i="489"/>
  <c r="J442" i="489" a="1"/>
  <c r="J442" i="489" s="1"/>
  <c r="N443" i="489"/>
  <c r="V443" i="489"/>
  <c r="W443" i="489" s="1"/>
  <c r="H444" i="489"/>
  <c r="J444" i="489" a="1"/>
  <c r="J444" i="489" s="1"/>
  <c r="N445" i="489"/>
  <c r="V445" i="489"/>
  <c r="W445" i="489" s="1"/>
  <c r="H446" i="489"/>
  <c r="J446" i="489" a="1"/>
  <c r="J446" i="489" s="1"/>
  <c r="W453" i="489"/>
  <c r="V458" i="489"/>
  <c r="W458" i="489" s="1"/>
  <c r="J459" i="489" a="1"/>
  <c r="J459" i="489" s="1"/>
  <c r="W460" i="489"/>
  <c r="W464" i="489"/>
  <c r="N467" i="489"/>
  <c r="N469" i="489"/>
  <c r="N471" i="489"/>
  <c r="N473" i="489"/>
  <c r="N475" i="489"/>
  <c r="H479" i="489"/>
  <c r="J479" i="489" a="1"/>
  <c r="J479" i="489" s="1"/>
  <c r="N480" i="489"/>
  <c r="V480" i="489"/>
  <c r="W480" i="489" s="1"/>
  <c r="H481" i="489"/>
  <c r="J481" i="489" a="1"/>
  <c r="J481" i="489" s="1"/>
  <c r="N486" i="489"/>
  <c r="N489" i="489"/>
  <c r="W491" i="489"/>
  <c r="N495" i="489"/>
  <c r="K304" i="489" a="1"/>
  <c r="K304" i="489" s="1"/>
  <c r="M304" i="489" s="1"/>
  <c r="H304" i="489"/>
  <c r="H7" i="489"/>
  <c r="J7" i="489"/>
  <c r="W8" i="489"/>
  <c r="W10" i="489"/>
  <c r="W27" i="489"/>
  <c r="V66" i="489"/>
  <c r="W66" i="489" s="1"/>
  <c r="J88" i="489" a="1"/>
  <c r="J88" i="489" s="1"/>
  <c r="K89" i="489" a="1"/>
  <c r="K89" i="489" s="1"/>
  <c r="M89" i="489" s="1"/>
  <c r="J90" i="489" a="1"/>
  <c r="J90" i="489" s="1"/>
  <c r="K91" i="489" a="1"/>
  <c r="K91" i="489" s="1"/>
  <c r="M91" i="489" s="1"/>
  <c r="J92" i="489" a="1"/>
  <c r="J92" i="489" s="1"/>
  <c r="K93" i="489" a="1"/>
  <c r="K93" i="489" s="1"/>
  <c r="M93" i="489" s="1"/>
  <c r="J95" i="489" a="1"/>
  <c r="J95" i="489" s="1"/>
  <c r="K96" i="489" a="1"/>
  <c r="K96" i="489" s="1"/>
  <c r="M96" i="489" s="1"/>
  <c r="J97" i="489" a="1"/>
  <c r="J97" i="489" s="1"/>
  <c r="K98" i="489" a="1"/>
  <c r="K98" i="489" s="1"/>
  <c r="M98" i="489" s="1"/>
  <c r="J99" i="489" a="1"/>
  <c r="J99" i="489" s="1"/>
  <c r="W100" i="489"/>
  <c r="W118" i="489"/>
  <c r="W119" i="489"/>
  <c r="J122" i="489" a="1"/>
  <c r="J122" i="489" s="1"/>
  <c r="K123" i="489" a="1"/>
  <c r="K123" i="489" s="1"/>
  <c r="M123" i="489" s="1"/>
  <c r="V123" i="489"/>
  <c r="W123" i="489" s="1"/>
  <c r="J124" i="489" a="1"/>
  <c r="J124" i="489" s="1"/>
  <c r="W125" i="489"/>
  <c r="W135" i="489"/>
  <c r="W146" i="489"/>
  <c r="W151" i="489"/>
  <c r="W158" i="489"/>
  <c r="C169" i="489"/>
  <c r="G169" i="489"/>
  <c r="W184" i="489"/>
  <c r="W186" i="489"/>
  <c r="M187" i="489"/>
  <c r="M189" i="489"/>
  <c r="M191" i="489"/>
  <c r="M196" i="489"/>
  <c r="M197" i="489"/>
  <c r="M208" i="489"/>
  <c r="W209" i="489"/>
  <c r="W211" i="489"/>
  <c r="W213" i="489"/>
  <c r="W215" i="489"/>
  <c r="W217" i="489"/>
  <c r="W227" i="489"/>
  <c r="M228" i="489"/>
  <c r="M230" i="489"/>
  <c r="M232" i="489"/>
  <c r="W233" i="489"/>
  <c r="M234" i="489"/>
  <c r="W235" i="489"/>
  <c r="M236" i="489"/>
  <c r="W260" i="489"/>
  <c r="H266" i="489"/>
  <c r="N266" i="489"/>
  <c r="N267" i="489"/>
  <c r="N268" i="489"/>
  <c r="M273" i="489"/>
  <c r="N276" i="489"/>
  <c r="N277" i="489"/>
  <c r="M278" i="489"/>
  <c r="M284" i="489"/>
  <c r="N288" i="489"/>
  <c r="H290" i="489"/>
  <c r="N290" i="489"/>
  <c r="G307" i="489"/>
  <c r="O307" i="489"/>
  <c r="Q307" i="489"/>
  <c r="W294" i="489"/>
  <c r="W295" i="489"/>
  <c r="W303" i="489"/>
  <c r="K303" i="489" a="1"/>
  <c r="K303" i="489" s="1"/>
  <c r="H303" i="489"/>
  <c r="M330" i="489"/>
  <c r="V7" i="489"/>
  <c r="M32" i="489"/>
  <c r="M47" i="489"/>
  <c r="M52" i="489"/>
  <c r="M56" i="489"/>
  <c r="W60" i="489"/>
  <c r="W62" i="489"/>
  <c r="W64" i="489"/>
  <c r="H70" i="489"/>
  <c r="V88" i="489"/>
  <c r="W88" i="489" s="1"/>
  <c r="V92" i="489"/>
  <c r="W92" i="489" s="1"/>
  <c r="V95" i="489"/>
  <c r="W95" i="489" s="1"/>
  <c r="V97" i="489"/>
  <c r="W97" i="489" s="1"/>
  <c r="W99" i="489"/>
  <c r="J100" i="489" a="1"/>
  <c r="J100" i="489" s="1"/>
  <c r="V101" i="489"/>
  <c r="W101" i="489" s="1"/>
  <c r="W106" i="489"/>
  <c r="K122" i="489" a="1"/>
  <c r="K122" i="489" s="1"/>
  <c r="M122" i="489" s="1"/>
  <c r="W124" i="489"/>
  <c r="J125" i="489" a="1"/>
  <c r="J125" i="489" s="1"/>
  <c r="V138" i="489"/>
  <c r="W150" i="489"/>
  <c r="W153" i="489"/>
  <c r="W154" i="489"/>
  <c r="W157" i="489"/>
  <c r="M178" i="489"/>
  <c r="M182" i="489"/>
  <c r="H192" i="489"/>
  <c r="H193" i="489"/>
  <c r="V199" i="489"/>
  <c r="W245" i="489"/>
  <c r="N257" i="489"/>
  <c r="V257" i="489"/>
  <c r="M265" i="489"/>
  <c r="W266" i="489"/>
  <c r="W267" i="489"/>
  <c r="W273" i="489"/>
  <c r="W275" i="489"/>
  <c r="W284" i="489"/>
  <c r="W297" i="489"/>
  <c r="W310" i="489"/>
  <c r="W312" i="489"/>
  <c r="W318" i="489"/>
  <c r="W320" i="489"/>
  <c r="S307" i="489"/>
  <c r="U307" i="489"/>
  <c r="X307" i="489"/>
  <c r="Z307" i="489"/>
  <c r="N298" i="489"/>
  <c r="N304" i="489"/>
  <c r="N305" i="489"/>
  <c r="N306" i="489"/>
  <c r="O317" i="489"/>
  <c r="Q317" i="489"/>
  <c r="S317" i="489"/>
  <c r="U317" i="489"/>
  <c r="X317" i="489"/>
  <c r="Z317" i="489"/>
  <c r="I332" i="489"/>
  <c r="L522" i="489" s="1"/>
  <c r="O332" i="489"/>
  <c r="Q332" i="489"/>
  <c r="S332" i="489"/>
  <c r="U332" i="489"/>
  <c r="X332" i="489"/>
  <c r="Z332" i="489"/>
  <c r="N328" i="489"/>
  <c r="V328" i="489"/>
  <c r="W328" i="489" s="1"/>
  <c r="G368" i="489"/>
  <c r="J368" i="489" s="1" a="1"/>
  <c r="J368" i="489" s="1"/>
  <c r="O368" i="489"/>
  <c r="Q368" i="489"/>
  <c r="S368" i="489"/>
  <c r="U368" i="489"/>
  <c r="X368" i="489"/>
  <c r="Z368" i="489"/>
  <c r="N349" i="489"/>
  <c r="V349" i="489"/>
  <c r="W349" i="489" s="1"/>
  <c r="H350" i="489"/>
  <c r="J350" i="489" a="1"/>
  <c r="J350" i="489" s="1"/>
  <c r="N351" i="489"/>
  <c r="V351" i="489"/>
  <c r="W351" i="489" s="1"/>
  <c r="H352" i="489"/>
  <c r="J352" i="489" a="1"/>
  <c r="J352" i="489" s="1"/>
  <c r="M353" i="489"/>
  <c r="H355" i="489"/>
  <c r="N355" i="489"/>
  <c r="M359" i="489"/>
  <c r="N360" i="489"/>
  <c r="H362" i="489"/>
  <c r="M363" i="489"/>
  <c r="M365" i="489"/>
  <c r="H367" i="489"/>
  <c r="N367" i="489"/>
  <c r="V367" i="489"/>
  <c r="W367" i="489" s="1"/>
  <c r="I426" i="489"/>
  <c r="L525" i="489" s="1"/>
  <c r="Q426" i="489"/>
  <c r="S426" i="489"/>
  <c r="U426" i="489"/>
  <c r="X426" i="489"/>
  <c r="Z426" i="489"/>
  <c r="H371" i="489"/>
  <c r="J371" i="489" a="1"/>
  <c r="J371" i="489" s="1"/>
  <c r="N373" i="489"/>
  <c r="M374" i="489"/>
  <c r="M375" i="489"/>
  <c r="M376" i="489"/>
  <c r="M377" i="489"/>
  <c r="M379" i="489"/>
  <c r="M381" i="489"/>
  <c r="M383" i="489"/>
  <c r="M385" i="489"/>
  <c r="M387" i="489"/>
  <c r="M389" i="489"/>
  <c r="M390" i="489"/>
  <c r="M391" i="489"/>
  <c r="M392" i="489"/>
  <c r="M393" i="489"/>
  <c r="M395" i="489"/>
  <c r="M397" i="489"/>
  <c r="M399" i="489"/>
  <c r="M401" i="489"/>
  <c r="M403" i="489"/>
  <c r="M405" i="489"/>
  <c r="M417" i="489"/>
  <c r="M419" i="489"/>
  <c r="M424" i="489"/>
  <c r="H427" i="489"/>
  <c r="J427" i="489" a="1"/>
  <c r="J427" i="489" s="1"/>
  <c r="O461" i="489"/>
  <c r="Q461" i="489"/>
  <c r="S461" i="489"/>
  <c r="U461" i="489"/>
  <c r="Y461" i="489"/>
  <c r="AA461" i="489"/>
  <c r="H428" i="489"/>
  <c r="J428" i="489" a="1"/>
  <c r="J428" i="489" s="1"/>
  <c r="N428" i="489"/>
  <c r="V428" i="489"/>
  <c r="W428" i="489" s="1"/>
  <c r="H429" i="489"/>
  <c r="J429" i="489" a="1"/>
  <c r="J429" i="489" s="1"/>
  <c r="N429" i="489"/>
  <c r="V429" i="489"/>
  <c r="W429" i="489" s="1"/>
  <c r="H430" i="489"/>
  <c r="J430" i="489" a="1"/>
  <c r="J430" i="489" s="1"/>
  <c r="N430" i="489"/>
  <c r="V430" i="489"/>
  <c r="W430" i="489" s="1"/>
  <c r="H431" i="489"/>
  <c r="J431" i="489" a="1"/>
  <c r="J431" i="489" s="1"/>
  <c r="V431" i="489"/>
  <c r="W431" i="489" s="1"/>
  <c r="H432" i="489"/>
  <c r="J432" i="489" a="1"/>
  <c r="J432" i="489" s="1"/>
  <c r="V432" i="489"/>
  <c r="W432" i="489" s="1"/>
  <c r="H433" i="489"/>
  <c r="J433" i="489" a="1"/>
  <c r="J433" i="489" s="1"/>
  <c r="N433" i="489"/>
  <c r="V433" i="489"/>
  <c r="W433" i="489" s="1"/>
  <c r="H434" i="489"/>
  <c r="N447" i="489"/>
  <c r="H448" i="489"/>
  <c r="N449" i="489"/>
  <c r="H450" i="489"/>
  <c r="N451" i="489"/>
  <c r="H452" i="489"/>
  <c r="G477" i="489"/>
  <c r="N462" i="489"/>
  <c r="P477" i="489"/>
  <c r="R477" i="489"/>
  <c r="R504" i="489" s="1"/>
  <c r="T477" i="489"/>
  <c r="V462" i="489"/>
  <c r="V477" i="489" s="1"/>
  <c r="Y477" i="489"/>
  <c r="AA477" i="489"/>
  <c r="K478" i="489" a="1"/>
  <c r="K478" i="489" s="1"/>
  <c r="M478" i="489" s="1"/>
  <c r="N482" i="489"/>
  <c r="V488" i="489"/>
  <c r="W488" i="489" s="1"/>
  <c r="N490" i="489"/>
  <c r="V490" i="489"/>
  <c r="W490" i="489" s="1"/>
  <c r="N491" i="489"/>
  <c r="N498" i="489"/>
  <c r="V498" i="489"/>
  <c r="W498" i="489" s="1"/>
  <c r="W360" i="489"/>
  <c r="W369" i="489"/>
  <c r="K371" i="489" a="1"/>
  <c r="K371" i="489" s="1"/>
  <c r="M371" i="489" s="1"/>
  <c r="W377" i="489"/>
  <c r="W379" i="489"/>
  <c r="W381" i="489"/>
  <c r="W383" i="489"/>
  <c r="W385" i="489"/>
  <c r="W387" i="489"/>
  <c r="W397" i="489"/>
  <c r="W401" i="489"/>
  <c r="W405" i="489"/>
  <c r="K427" i="489" a="1"/>
  <c r="K427" i="489" s="1"/>
  <c r="M427" i="489" s="1"/>
  <c r="W463" i="489"/>
  <c r="W465" i="489"/>
  <c r="W468" i="489"/>
  <c r="W470" i="489"/>
  <c r="W472" i="489"/>
  <c r="W474" i="489"/>
  <c r="W476" i="489"/>
  <c r="W494" i="489"/>
  <c r="K336" i="489"/>
  <c r="M336" i="489" s="1"/>
  <c r="K338" i="489"/>
  <c r="M338" i="489" s="1"/>
  <c r="K337" i="489"/>
  <c r="M337" i="489" s="1"/>
  <c r="K167" i="489"/>
  <c r="M167" i="489" s="1"/>
  <c r="K166" i="489"/>
  <c r="M166" i="489" s="1"/>
  <c r="K168" i="489"/>
  <c r="M168" i="489" s="1"/>
  <c r="R165" i="489"/>
  <c r="K7" i="489" a="1"/>
  <c r="K7" i="489" s="1"/>
  <c r="H8" i="489"/>
  <c r="J8" i="489" a="1"/>
  <c r="J8" i="489" s="1"/>
  <c r="H9" i="489"/>
  <c r="J9" i="489" a="1"/>
  <c r="J9" i="489" s="1"/>
  <c r="H10" i="489"/>
  <c r="J10" i="489" a="1"/>
  <c r="J10" i="489" s="1"/>
  <c r="H11" i="489"/>
  <c r="J11" i="489" a="1"/>
  <c r="J11" i="489" s="1"/>
  <c r="H12" i="489"/>
  <c r="J12" i="489" a="1"/>
  <c r="J12" i="489" s="1"/>
  <c r="H13" i="489"/>
  <c r="J13" i="489" a="1"/>
  <c r="J13" i="489" s="1"/>
  <c r="H14" i="489"/>
  <c r="J14" i="489" a="1"/>
  <c r="J14" i="489" s="1"/>
  <c r="H15" i="489"/>
  <c r="J15" i="489" a="1"/>
  <c r="J15" i="489" s="1"/>
  <c r="H16" i="489"/>
  <c r="J16" i="489" a="1"/>
  <c r="J16" i="489" s="1"/>
  <c r="H17" i="489"/>
  <c r="J17" i="489" a="1"/>
  <c r="J17" i="489" s="1"/>
  <c r="H18" i="489"/>
  <c r="J18" i="489" a="1"/>
  <c r="J18" i="489" s="1"/>
  <c r="H19" i="489"/>
  <c r="J19" i="489" a="1"/>
  <c r="J19" i="489" s="1"/>
  <c r="M31" i="489"/>
  <c r="M40" i="489"/>
  <c r="M48" i="489"/>
  <c r="M60" i="489"/>
  <c r="M64" i="489"/>
  <c r="M69" i="489"/>
  <c r="M73" i="489"/>
  <c r="R167" i="489"/>
  <c r="M103" i="489"/>
  <c r="M105" i="489"/>
  <c r="M107" i="489"/>
  <c r="M114" i="489"/>
  <c r="M141" i="489"/>
  <c r="V162" i="489"/>
  <c r="M154" i="489"/>
  <c r="M179" i="489"/>
  <c r="J86" i="489" a="1"/>
  <c r="J86" i="489" s="1"/>
  <c r="W19" i="489"/>
  <c r="M101" i="489"/>
  <c r="M110" i="489"/>
  <c r="M118" i="489"/>
  <c r="M120" i="489"/>
  <c r="M127" i="489"/>
  <c r="M129" i="489"/>
  <c r="M134" i="489"/>
  <c r="M148" i="489"/>
  <c r="M151" i="489"/>
  <c r="M158" i="489"/>
  <c r="M184" i="489"/>
  <c r="J198" i="489" a="1"/>
  <c r="J198" i="489" s="1"/>
  <c r="L518" i="489"/>
  <c r="X336" i="489"/>
  <c r="J521" i="489"/>
  <c r="M521" i="489" s="1"/>
  <c r="H23" i="489"/>
  <c r="H25" i="489"/>
  <c r="H29" i="489"/>
  <c r="J29" i="489" a="1"/>
  <c r="J29" i="489" s="1"/>
  <c r="K29" i="489" a="1"/>
  <c r="K29" i="489" s="1"/>
  <c r="H37" i="489"/>
  <c r="J37" i="489" a="1"/>
  <c r="J37" i="489" s="1"/>
  <c r="H38" i="489"/>
  <c r="J38" i="489" a="1"/>
  <c r="J38" i="489" s="1"/>
  <c r="H39" i="489"/>
  <c r="J39" i="489" a="1"/>
  <c r="J39" i="489" s="1"/>
  <c r="H40" i="489"/>
  <c r="J40" i="489" a="1"/>
  <c r="J40" i="489" s="1"/>
  <c r="H41" i="489"/>
  <c r="J41" i="489" a="1"/>
  <c r="J41" i="489" s="1"/>
  <c r="H42" i="489"/>
  <c r="J42" i="489" a="1"/>
  <c r="J42" i="489" s="1"/>
  <c r="H43" i="489"/>
  <c r="J43" i="489" a="1"/>
  <c r="J43" i="489" s="1"/>
  <c r="H44" i="489"/>
  <c r="J44" i="489" a="1"/>
  <c r="J44" i="489" s="1"/>
  <c r="H45" i="489"/>
  <c r="J45" i="489" a="1"/>
  <c r="J45" i="489" s="1"/>
  <c r="H46" i="489"/>
  <c r="J46" i="489" a="1"/>
  <c r="J46" i="489" s="1"/>
  <c r="H47" i="489"/>
  <c r="J47" i="489" a="1"/>
  <c r="J47" i="489" s="1"/>
  <c r="H48" i="489"/>
  <c r="J48" i="489" a="1"/>
  <c r="J48" i="489" s="1"/>
  <c r="H49" i="489"/>
  <c r="H50" i="489"/>
  <c r="H51" i="489"/>
  <c r="H52" i="489"/>
  <c r="H53" i="489"/>
  <c r="H54" i="489"/>
  <c r="H55" i="489"/>
  <c r="H56" i="489"/>
  <c r="H57" i="489"/>
  <c r="J57" i="489" a="1"/>
  <c r="J57" i="489" s="1"/>
  <c r="H58" i="489"/>
  <c r="J58" i="489" a="1"/>
  <c r="J58" i="489" s="1"/>
  <c r="H59" i="489"/>
  <c r="J59" i="489" a="1"/>
  <c r="J59" i="489" s="1"/>
  <c r="H60" i="489"/>
  <c r="J60" i="489" a="1"/>
  <c r="J60" i="489" s="1"/>
  <c r="H61" i="489"/>
  <c r="J61" i="489" a="1"/>
  <c r="J61" i="489" s="1"/>
  <c r="H62" i="489"/>
  <c r="J62" i="489" a="1"/>
  <c r="J62" i="489" s="1"/>
  <c r="H63" i="489"/>
  <c r="J63" i="489" a="1"/>
  <c r="J63" i="489" s="1"/>
  <c r="H64" i="489"/>
  <c r="J64" i="489" a="1"/>
  <c r="J64" i="489" s="1"/>
  <c r="H65" i="489"/>
  <c r="J65" i="489" a="1"/>
  <c r="J65" i="489" s="1"/>
  <c r="H66" i="489"/>
  <c r="J66" i="489" a="1"/>
  <c r="J66" i="489" s="1"/>
  <c r="H69" i="489"/>
  <c r="J69" i="489" a="1"/>
  <c r="J69" i="489" s="1"/>
  <c r="J70" i="489" a="1"/>
  <c r="J70" i="489" s="1"/>
  <c r="P86" i="489"/>
  <c r="R166" i="489" s="1"/>
  <c r="K87" i="489" a="1"/>
  <c r="K87" i="489" s="1"/>
  <c r="M87" i="489" s="1"/>
  <c r="K100" i="489" a="1"/>
  <c r="K100" i="489" s="1"/>
  <c r="M100" i="489" s="1"/>
  <c r="J101" i="489" a="1"/>
  <c r="J101" i="489" s="1"/>
  <c r="J102" i="489" a="1"/>
  <c r="J102" i="489" s="1"/>
  <c r="J103" i="489" a="1"/>
  <c r="J103" i="489" s="1"/>
  <c r="J104" i="489" a="1"/>
  <c r="J104" i="489" s="1"/>
  <c r="J105" i="489" a="1"/>
  <c r="J105" i="489" s="1"/>
  <c r="J106" i="489" a="1"/>
  <c r="J106" i="489" s="1"/>
  <c r="J113" i="489" a="1"/>
  <c r="J113" i="489" s="1"/>
  <c r="J114" i="489" a="1"/>
  <c r="J114" i="489" s="1"/>
  <c r="G121" i="489"/>
  <c r="Y121" i="489"/>
  <c r="K125" i="489" a="1"/>
  <c r="K125" i="489" s="1"/>
  <c r="M125" i="489" s="1"/>
  <c r="J126" i="489" a="1"/>
  <c r="J126" i="489" s="1"/>
  <c r="J127" i="489" a="1"/>
  <c r="J127" i="489" s="1"/>
  <c r="J128" i="489" a="1"/>
  <c r="J128" i="489" s="1"/>
  <c r="J129" i="489" a="1"/>
  <c r="J129" i="489" s="1"/>
  <c r="J130" i="489" a="1"/>
  <c r="J130" i="489" s="1"/>
  <c r="K130" i="489" a="1"/>
  <c r="K130" i="489" s="1"/>
  <c r="M130" i="489" s="1"/>
  <c r="J131" i="489" a="1"/>
  <c r="J131" i="489" s="1"/>
  <c r="J132" i="489" a="1"/>
  <c r="J132" i="489" s="1"/>
  <c r="J133" i="489" a="1"/>
  <c r="J133" i="489" s="1"/>
  <c r="J134" i="489" a="1"/>
  <c r="J134" i="489" s="1"/>
  <c r="J135" i="489" a="1"/>
  <c r="J135" i="489" s="1"/>
  <c r="J136" i="489" a="1"/>
  <c r="J136" i="489" s="1"/>
  <c r="G147" i="489"/>
  <c r="I147" i="489"/>
  <c r="J153" i="489" a="1"/>
  <c r="J153" i="489" s="1"/>
  <c r="J154" i="489" a="1"/>
  <c r="J154" i="489" s="1"/>
  <c r="J158" i="489" a="1"/>
  <c r="J158" i="489" s="1"/>
  <c r="G162" i="489"/>
  <c r="I162" i="489"/>
  <c r="L515" i="489" s="1"/>
  <c r="I165" i="489"/>
  <c r="M185" i="489"/>
  <c r="M192" i="489"/>
  <c r="M193" i="489"/>
  <c r="M195" i="489"/>
  <c r="M240" i="489"/>
  <c r="M243" i="489"/>
  <c r="M248" i="489"/>
  <c r="M249" i="489"/>
  <c r="M264" i="489"/>
  <c r="M269" i="489"/>
  <c r="M270" i="489"/>
  <c r="M271" i="489"/>
  <c r="M272" i="489"/>
  <c r="M275" i="489"/>
  <c r="M289" i="489"/>
  <c r="M295" i="489"/>
  <c r="M296" i="489"/>
  <c r="M299" i="489"/>
  <c r="M300" i="489"/>
  <c r="M302" i="489"/>
  <c r="O333" i="489"/>
  <c r="J520" i="489"/>
  <c r="M520" i="489" s="1"/>
  <c r="J291" i="489" a="1"/>
  <c r="J291" i="489" s="1"/>
  <c r="J522" i="489"/>
  <c r="M522" i="489" s="1"/>
  <c r="I339" i="489"/>
  <c r="K335" i="489"/>
  <c r="H20" i="489"/>
  <c r="J20" i="489" a="1"/>
  <c r="J20" i="489" s="1"/>
  <c r="H21" i="489"/>
  <c r="J21" i="489" a="1"/>
  <c r="J21" i="489" s="1"/>
  <c r="H22" i="489"/>
  <c r="H24" i="489"/>
  <c r="H26" i="489"/>
  <c r="J26" i="489" a="1"/>
  <c r="J26" i="489" s="1"/>
  <c r="H27" i="489"/>
  <c r="J27" i="489" a="1"/>
  <c r="J27" i="489" s="1"/>
  <c r="V29" i="489"/>
  <c r="H31" i="489"/>
  <c r="J31" i="489" a="1"/>
  <c r="J31" i="489" s="1"/>
  <c r="H32" i="489"/>
  <c r="J32" i="489" a="1"/>
  <c r="J32" i="489" s="1"/>
  <c r="H33" i="489"/>
  <c r="J33" i="489" a="1"/>
  <c r="J33" i="489" s="1"/>
  <c r="H68" i="489"/>
  <c r="H72" i="489"/>
  <c r="J72" i="489" a="1"/>
  <c r="J72" i="489" s="1"/>
  <c r="H73" i="489"/>
  <c r="J73" i="489" a="1"/>
  <c r="J73" i="489" s="1"/>
  <c r="H74" i="489"/>
  <c r="J74" i="489" a="1"/>
  <c r="J74" i="489" s="1"/>
  <c r="H75" i="489"/>
  <c r="J75" i="489" a="1"/>
  <c r="J75" i="489" s="1"/>
  <c r="H76" i="489"/>
  <c r="H77" i="489"/>
  <c r="H78" i="489"/>
  <c r="H79" i="489"/>
  <c r="J118" i="489" a="1"/>
  <c r="J118" i="489" s="1"/>
  <c r="J119" i="489" a="1"/>
  <c r="J119" i="489" s="1"/>
  <c r="J120" i="489" a="1"/>
  <c r="J120" i="489" s="1"/>
  <c r="J138" i="489" a="1"/>
  <c r="J138" i="489" s="1"/>
  <c r="K138" i="489" a="1"/>
  <c r="K138" i="489" s="1"/>
  <c r="J139" i="489" a="1"/>
  <c r="J139" i="489" s="1"/>
  <c r="J140" i="489" a="1"/>
  <c r="J140" i="489" s="1"/>
  <c r="J141" i="489" a="1"/>
  <c r="J141" i="489" s="1"/>
  <c r="J142" i="489" a="1"/>
  <c r="J142" i="489" s="1"/>
  <c r="J146" i="489" a="1"/>
  <c r="J146" i="489" s="1"/>
  <c r="J148" i="489" a="1"/>
  <c r="J148" i="489" s="1"/>
  <c r="W148" i="489"/>
  <c r="J149" i="489" a="1"/>
  <c r="J149" i="489" s="1"/>
  <c r="J150" i="489" a="1"/>
  <c r="J150" i="489" s="1"/>
  <c r="K150" i="489" a="1"/>
  <c r="K150" i="489" s="1"/>
  <c r="M150" i="489" s="1"/>
  <c r="J151" i="489" a="1"/>
  <c r="J151" i="489" s="1"/>
  <c r="J157" i="489" a="1"/>
  <c r="J157" i="489" s="1"/>
  <c r="H177" i="489"/>
  <c r="J177" i="489" a="1"/>
  <c r="J177" i="489" s="1"/>
  <c r="K177" i="489" a="1"/>
  <c r="K177" i="489" s="1"/>
  <c r="W177" i="489"/>
  <c r="H178" i="489"/>
  <c r="J178" i="489" a="1"/>
  <c r="J178" i="489" s="1"/>
  <c r="H179" i="489"/>
  <c r="J179" i="489" a="1"/>
  <c r="J179" i="489" s="1"/>
  <c r="H180" i="489"/>
  <c r="J180" i="489" a="1"/>
  <c r="J180" i="489" s="1"/>
  <c r="H181" i="489"/>
  <c r="J181" i="489" a="1"/>
  <c r="J181" i="489" s="1"/>
  <c r="H182" i="489"/>
  <c r="J182" i="489" a="1"/>
  <c r="J182" i="489" s="1"/>
  <c r="H183" i="489"/>
  <c r="J183" i="489" a="1"/>
  <c r="J183" i="489" s="1"/>
  <c r="H184" i="489"/>
  <c r="J184" i="489" a="1"/>
  <c r="J184" i="489" s="1"/>
  <c r="H185" i="489"/>
  <c r="J185" i="489" a="1"/>
  <c r="J185" i="489" s="1"/>
  <c r="M186" i="489"/>
  <c r="M188" i="489"/>
  <c r="M190" i="489"/>
  <c r="M194" i="489"/>
  <c r="M201" i="489"/>
  <c r="M207" i="489"/>
  <c r="M209" i="489"/>
  <c r="M211" i="489"/>
  <c r="M213" i="489"/>
  <c r="M215" i="489"/>
  <c r="M217" i="489"/>
  <c r="M219" i="489"/>
  <c r="M220" i="489"/>
  <c r="M221" i="489"/>
  <c r="M222" i="489"/>
  <c r="M223" i="489"/>
  <c r="M224" i="489"/>
  <c r="M225" i="489"/>
  <c r="M226" i="489"/>
  <c r="M227" i="489"/>
  <c r="M229" i="489"/>
  <c r="M231" i="489"/>
  <c r="M233" i="489"/>
  <c r="M235" i="489"/>
  <c r="M238" i="489"/>
  <c r="M239" i="489"/>
  <c r="M244" i="489"/>
  <c r="M247" i="489"/>
  <c r="M259" i="489"/>
  <c r="M261" i="489"/>
  <c r="M263" i="489"/>
  <c r="M267" i="489"/>
  <c r="M276" i="489"/>
  <c r="M277" i="489"/>
  <c r="M282" i="489"/>
  <c r="M288" i="489"/>
  <c r="M290" i="489"/>
  <c r="M293" i="489"/>
  <c r="M298" i="489"/>
  <c r="M303" i="489"/>
  <c r="M305" i="489"/>
  <c r="M306" i="489"/>
  <c r="M308" i="489"/>
  <c r="M309" i="489"/>
  <c r="M311" i="489"/>
  <c r="M316" i="489"/>
  <c r="M319" i="489"/>
  <c r="M331" i="489"/>
  <c r="H186" i="489"/>
  <c r="J186" i="489" a="1"/>
  <c r="J186" i="489" s="1"/>
  <c r="H187" i="489"/>
  <c r="J187" i="489" a="1"/>
  <c r="J187" i="489" s="1"/>
  <c r="H188" i="489"/>
  <c r="J188" i="489" a="1"/>
  <c r="J188" i="489" s="1"/>
  <c r="H189" i="489"/>
  <c r="J189" i="489" a="1"/>
  <c r="J189" i="489" s="1"/>
  <c r="H190" i="489"/>
  <c r="J190" i="489" a="1"/>
  <c r="J190" i="489" s="1"/>
  <c r="H191" i="489"/>
  <c r="J191" i="489" a="1"/>
  <c r="J191" i="489" s="1"/>
  <c r="J192" i="489" a="1"/>
  <c r="J192" i="489" s="1"/>
  <c r="J193" i="489" a="1"/>
  <c r="J193" i="489" s="1"/>
  <c r="H194" i="489"/>
  <c r="H196" i="489"/>
  <c r="H197" i="489"/>
  <c r="H201" i="489"/>
  <c r="J201" i="489" a="1"/>
  <c r="J201" i="489" s="1"/>
  <c r="H202" i="489"/>
  <c r="J202" i="489" a="1"/>
  <c r="J202" i="489" s="1"/>
  <c r="J203" i="489" a="1"/>
  <c r="J203" i="489" s="1"/>
  <c r="H238" i="489"/>
  <c r="J239" i="489" a="1"/>
  <c r="J239" i="489" s="1"/>
  <c r="J240" i="489" a="1"/>
  <c r="J240" i="489" s="1"/>
  <c r="J242" i="489" a="1"/>
  <c r="J242" i="489" s="1"/>
  <c r="J243" i="489" a="1"/>
  <c r="J243" i="489" s="1"/>
  <c r="J244" i="489" a="1"/>
  <c r="J244" i="489" s="1"/>
  <c r="J245" i="489" a="1"/>
  <c r="J245" i="489" s="1"/>
  <c r="G256" i="489"/>
  <c r="I256" i="489"/>
  <c r="L519" i="489" s="1"/>
  <c r="H257" i="489"/>
  <c r="J257" i="489" a="1"/>
  <c r="J257" i="489" s="1"/>
  <c r="K257" i="489" a="1"/>
  <c r="K257" i="489" s="1"/>
  <c r="H258" i="489"/>
  <c r="J258" i="489" a="1"/>
  <c r="J258" i="489" s="1"/>
  <c r="H259" i="489"/>
  <c r="J259" i="489" a="1"/>
  <c r="J259" i="489" s="1"/>
  <c r="H260" i="489"/>
  <c r="J260" i="489" a="1"/>
  <c r="J260" i="489" s="1"/>
  <c r="J261" i="489" a="1"/>
  <c r="J261" i="489" s="1"/>
  <c r="H262" i="489"/>
  <c r="J262" i="489" a="1"/>
  <c r="J262" i="489" s="1"/>
  <c r="H263" i="489"/>
  <c r="J263" i="489" a="1"/>
  <c r="J263" i="489" s="1"/>
  <c r="H264" i="489"/>
  <c r="H265" i="489"/>
  <c r="J265" i="489" a="1"/>
  <c r="J265" i="489" s="1"/>
  <c r="J266" i="489" a="1"/>
  <c r="J266" i="489" s="1"/>
  <c r="H267" i="489"/>
  <c r="J267" i="489" a="1"/>
  <c r="J267" i="489" s="1"/>
  <c r="H268" i="489"/>
  <c r="J268" i="489" a="1"/>
  <c r="J268" i="489" s="1"/>
  <c r="J269" i="489" a="1"/>
  <c r="J269" i="489" s="1"/>
  <c r="H270" i="489"/>
  <c r="J270" i="489" a="1"/>
  <c r="J270" i="489" s="1"/>
  <c r="H271" i="489"/>
  <c r="J271" i="489" a="1"/>
  <c r="J271" i="489" s="1"/>
  <c r="H272" i="489"/>
  <c r="J272" i="489" a="1"/>
  <c r="J272" i="489" s="1"/>
  <c r="H273" i="489"/>
  <c r="J273" i="489" a="1"/>
  <c r="J273" i="489" s="1"/>
  <c r="J274" i="489" a="1"/>
  <c r="J274" i="489" s="1"/>
  <c r="H275" i="489"/>
  <c r="J275" i="489" a="1"/>
  <c r="J275" i="489" s="1"/>
  <c r="H276" i="489"/>
  <c r="J276" i="489" a="1"/>
  <c r="J276" i="489" s="1"/>
  <c r="H277" i="489"/>
  <c r="H278" i="489"/>
  <c r="H279" i="489"/>
  <c r="H280" i="489"/>
  <c r="H281" i="489"/>
  <c r="H282" i="489"/>
  <c r="H283" i="489"/>
  <c r="J283" i="489" a="1"/>
  <c r="J283" i="489" s="1"/>
  <c r="H284" i="489"/>
  <c r="J284" i="489" a="1"/>
  <c r="J284" i="489" s="1"/>
  <c r="H292" i="489"/>
  <c r="J292" i="489" a="1"/>
  <c r="J292" i="489" s="1"/>
  <c r="K292" i="489" a="1"/>
  <c r="K292" i="489" s="1"/>
  <c r="W292" i="489"/>
  <c r="H293" i="489"/>
  <c r="J293" i="489" a="1"/>
  <c r="J293" i="489" s="1"/>
  <c r="H294" i="489"/>
  <c r="J294" i="489" a="1"/>
  <c r="J294" i="489" s="1"/>
  <c r="H295" i="489"/>
  <c r="J295" i="489" a="1"/>
  <c r="J295" i="489" s="1"/>
  <c r="J296" i="489" a="1"/>
  <c r="J296" i="489" s="1"/>
  <c r="H297" i="489"/>
  <c r="J297" i="489" a="1"/>
  <c r="J297" i="489" s="1"/>
  <c r="H298" i="489"/>
  <c r="J298" i="489" a="1"/>
  <c r="J298" i="489" s="1"/>
  <c r="J299" i="489" a="1"/>
  <c r="J299" i="489" s="1"/>
  <c r="H300" i="489"/>
  <c r="J300" i="489" a="1"/>
  <c r="J300" i="489" s="1"/>
  <c r="H301" i="489"/>
  <c r="J301" i="489" a="1"/>
  <c r="J301" i="489" s="1"/>
  <c r="H302" i="489"/>
  <c r="J302" i="489" a="1"/>
  <c r="J302" i="489" s="1"/>
  <c r="J303" i="489" a="1"/>
  <c r="J303" i="489" s="1"/>
  <c r="J304" i="489" a="1"/>
  <c r="J304" i="489" s="1"/>
  <c r="H305" i="489"/>
  <c r="J305" i="489" a="1"/>
  <c r="J305" i="489" s="1"/>
  <c r="H306" i="489"/>
  <c r="J306" i="489" a="1"/>
  <c r="J306" i="489" s="1"/>
  <c r="N308" i="489"/>
  <c r="G317" i="489"/>
  <c r="I317" i="489"/>
  <c r="V317" i="489"/>
  <c r="G339" i="489"/>
  <c r="M348" i="489"/>
  <c r="M351" i="489"/>
  <c r="M354" i="489"/>
  <c r="M356" i="489"/>
  <c r="M372" i="489"/>
  <c r="M463" i="489"/>
  <c r="M465" i="489"/>
  <c r="L524" i="489"/>
  <c r="J525" i="489"/>
  <c r="J426" i="489" a="1"/>
  <c r="J426" i="489" s="1"/>
  <c r="J526" i="489"/>
  <c r="L505" i="489"/>
  <c r="L526" i="489"/>
  <c r="H199" i="489"/>
  <c r="J199" i="489" a="1"/>
  <c r="J199" i="489" s="1"/>
  <c r="W199" i="489"/>
  <c r="J207" i="489" a="1"/>
  <c r="J207" i="489" s="1"/>
  <c r="J208" i="489" a="1"/>
  <c r="J208" i="489" s="1"/>
  <c r="J209" i="489" a="1"/>
  <c r="J209" i="489" s="1"/>
  <c r="H210" i="489"/>
  <c r="J210" i="489" a="1"/>
  <c r="J210" i="489" s="1"/>
  <c r="H211" i="489"/>
  <c r="J211" i="489" a="1"/>
  <c r="J211" i="489" s="1"/>
  <c r="H212" i="489"/>
  <c r="J212" i="489" a="1"/>
  <c r="J212" i="489" s="1"/>
  <c r="H213" i="489"/>
  <c r="J213" i="489" a="1"/>
  <c r="J213" i="489" s="1"/>
  <c r="H214" i="489"/>
  <c r="J214" i="489" a="1"/>
  <c r="J214" i="489" s="1"/>
  <c r="H215" i="489"/>
  <c r="J215" i="489" a="1"/>
  <c r="J215" i="489" s="1"/>
  <c r="H216" i="489"/>
  <c r="J216" i="489" a="1"/>
  <c r="J216" i="489" s="1"/>
  <c r="H217" i="489"/>
  <c r="J217" i="489" a="1"/>
  <c r="J217" i="489" s="1"/>
  <c r="H218" i="489"/>
  <c r="J218" i="489" a="1"/>
  <c r="J218" i="489" s="1"/>
  <c r="H219" i="489"/>
  <c r="H220" i="489"/>
  <c r="H221" i="489"/>
  <c r="H222" i="489"/>
  <c r="J227" i="489" a="1"/>
  <c r="J227" i="489" s="1"/>
  <c r="J228" i="489" a="1"/>
  <c r="J228" i="489" s="1"/>
  <c r="H229" i="489"/>
  <c r="J229" i="489" a="1"/>
  <c r="J229" i="489" s="1"/>
  <c r="H230" i="489"/>
  <c r="J230" i="489" a="1"/>
  <c r="J230" i="489" s="1"/>
  <c r="H231" i="489"/>
  <c r="J231" i="489" a="1"/>
  <c r="J231" i="489" s="1"/>
  <c r="H232" i="489"/>
  <c r="J232" i="489" a="1"/>
  <c r="J232" i="489" s="1"/>
  <c r="H233" i="489"/>
  <c r="J233" i="489" a="1"/>
  <c r="J233" i="489" s="1"/>
  <c r="H234" i="489"/>
  <c r="J234" i="489" a="1"/>
  <c r="J234" i="489" s="1"/>
  <c r="H235" i="489"/>
  <c r="J235" i="489" a="1"/>
  <c r="J235" i="489" s="1"/>
  <c r="H236" i="489"/>
  <c r="J236" i="489" a="1"/>
  <c r="J236" i="489" s="1"/>
  <c r="H288" i="489"/>
  <c r="J288" i="489" a="1"/>
  <c r="J288" i="489" s="1"/>
  <c r="J289" i="489" a="1"/>
  <c r="J289" i="489" s="1"/>
  <c r="J290" i="489" a="1"/>
  <c r="J290" i="489" s="1"/>
  <c r="N292" i="489"/>
  <c r="H308" i="489"/>
  <c r="J308" i="489" a="1"/>
  <c r="J308" i="489" s="1"/>
  <c r="H309" i="489"/>
  <c r="J309" i="489" a="1"/>
  <c r="J309" i="489" s="1"/>
  <c r="H310" i="489"/>
  <c r="J310" i="489" a="1"/>
  <c r="J310" i="489" s="1"/>
  <c r="H311" i="489"/>
  <c r="J311" i="489" a="1"/>
  <c r="J311" i="489" s="1"/>
  <c r="H312" i="489"/>
  <c r="J312" i="489" a="1"/>
  <c r="J312" i="489" s="1"/>
  <c r="H316" i="489"/>
  <c r="J316" i="489" a="1"/>
  <c r="J316" i="489" s="1"/>
  <c r="H318" i="489"/>
  <c r="J318" i="489" a="1"/>
  <c r="J318" i="489" s="1"/>
  <c r="K318" i="489" a="1"/>
  <c r="K318" i="489" s="1"/>
  <c r="H319" i="489"/>
  <c r="J319" i="489" a="1"/>
  <c r="J319" i="489" s="1"/>
  <c r="H320" i="489"/>
  <c r="J320" i="489" a="1"/>
  <c r="J320" i="489" s="1"/>
  <c r="H321" i="489"/>
  <c r="J321" i="489" a="1"/>
  <c r="J321" i="489" s="1"/>
  <c r="M349" i="489"/>
  <c r="M350" i="489"/>
  <c r="M352" i="489"/>
  <c r="M355" i="489"/>
  <c r="M360" i="489"/>
  <c r="M361" i="489"/>
  <c r="M362" i="489"/>
  <c r="M364" i="489"/>
  <c r="M366" i="489"/>
  <c r="M367" i="489"/>
  <c r="M373" i="489"/>
  <c r="M378" i="489"/>
  <c r="M380" i="489"/>
  <c r="M382" i="489"/>
  <c r="M384" i="489"/>
  <c r="M386" i="489"/>
  <c r="M388" i="489"/>
  <c r="M398" i="489"/>
  <c r="M400" i="489"/>
  <c r="M402" i="489"/>
  <c r="M404" i="489"/>
  <c r="M406" i="489"/>
  <c r="M464" i="489"/>
  <c r="M466" i="489"/>
  <c r="H347" i="489"/>
  <c r="J347" i="489" a="1"/>
  <c r="J347" i="489" s="1"/>
  <c r="K347" i="489" a="1"/>
  <c r="K347" i="489" s="1"/>
  <c r="K368" i="489" s="1"/>
  <c r="W347" i="489"/>
  <c r="J348" i="489" a="1"/>
  <c r="J348" i="489" s="1"/>
  <c r="H353" i="489"/>
  <c r="J353" i="489" a="1"/>
  <c r="J353" i="489" s="1"/>
  <c r="J354" i="489" a="1"/>
  <c r="J354" i="489" s="1"/>
  <c r="J355" i="489" a="1"/>
  <c r="J355" i="489" s="1"/>
  <c r="J356" i="489" a="1"/>
  <c r="J356" i="489" s="1"/>
  <c r="J359" i="489" a="1"/>
  <c r="J359" i="489" s="1"/>
  <c r="J360" i="489" a="1"/>
  <c r="J360" i="489" s="1"/>
  <c r="J361" i="489" a="1"/>
  <c r="J361" i="489" s="1"/>
  <c r="J362" i="489" a="1"/>
  <c r="J362" i="489" s="1"/>
  <c r="H363" i="489"/>
  <c r="H365" i="489"/>
  <c r="J367" i="489" a="1"/>
  <c r="J367" i="489" s="1"/>
  <c r="J372" i="489" a="1"/>
  <c r="J372" i="489" s="1"/>
  <c r="H373" i="489"/>
  <c r="J373" i="489" a="1"/>
  <c r="J373" i="489" s="1"/>
  <c r="H374" i="489"/>
  <c r="H375" i="489"/>
  <c r="H376" i="489"/>
  <c r="H377" i="489"/>
  <c r="J377" i="489" a="1"/>
  <c r="J377" i="489" s="1"/>
  <c r="H378" i="489"/>
  <c r="J378" i="489" a="1"/>
  <c r="J378" i="489" s="1"/>
  <c r="H379" i="489"/>
  <c r="J379" i="489" a="1"/>
  <c r="J379" i="489" s="1"/>
  <c r="H380" i="489"/>
  <c r="J380" i="489" a="1"/>
  <c r="J380" i="489" s="1"/>
  <c r="H381" i="489"/>
  <c r="J381" i="489" a="1"/>
  <c r="J381" i="489" s="1"/>
  <c r="H382" i="489"/>
  <c r="J382" i="489" a="1"/>
  <c r="J382" i="489" s="1"/>
  <c r="H383" i="489"/>
  <c r="J383" i="489" a="1"/>
  <c r="J383" i="489" s="1"/>
  <c r="H384" i="489"/>
  <c r="J384" i="489" a="1"/>
  <c r="J384" i="489" s="1"/>
  <c r="H385" i="489"/>
  <c r="J385" i="489" a="1"/>
  <c r="J385" i="489" s="1"/>
  <c r="H386" i="489"/>
  <c r="J386" i="489" a="1"/>
  <c r="J386" i="489" s="1"/>
  <c r="H387" i="489"/>
  <c r="J387" i="489" a="1"/>
  <c r="J387" i="489" s="1"/>
  <c r="H388" i="489"/>
  <c r="J388" i="489" a="1"/>
  <c r="J388" i="489" s="1"/>
  <c r="H389" i="489"/>
  <c r="H390" i="489"/>
  <c r="H391" i="489"/>
  <c r="H392" i="489"/>
  <c r="H393" i="489"/>
  <c r="H395" i="489"/>
  <c r="H397" i="489"/>
  <c r="J397" i="489" a="1"/>
  <c r="J397" i="489" s="1"/>
  <c r="H398" i="489"/>
  <c r="J398" i="489" a="1"/>
  <c r="J398" i="489" s="1"/>
  <c r="H399" i="489"/>
  <c r="J399" i="489" a="1"/>
  <c r="J399" i="489" s="1"/>
  <c r="H400" i="489"/>
  <c r="J400" i="489" a="1"/>
  <c r="J400" i="489" s="1"/>
  <c r="H401" i="489"/>
  <c r="J401" i="489" a="1"/>
  <c r="J401" i="489" s="1"/>
  <c r="H402" i="489"/>
  <c r="J402" i="489" a="1"/>
  <c r="J402" i="489" s="1"/>
  <c r="H403" i="489"/>
  <c r="J403" i="489" a="1"/>
  <c r="J403" i="489" s="1"/>
  <c r="H404" i="489"/>
  <c r="J404" i="489" a="1"/>
  <c r="J404" i="489" s="1"/>
  <c r="H405" i="489"/>
  <c r="J405" i="489" a="1"/>
  <c r="J405" i="489" s="1"/>
  <c r="H406" i="489"/>
  <c r="J406" i="489" a="1"/>
  <c r="J406" i="489" s="1"/>
  <c r="H417" i="489"/>
  <c r="H419" i="489"/>
  <c r="H424" i="489"/>
  <c r="V426" i="489"/>
  <c r="W426" i="489" s="1"/>
  <c r="N427" i="489"/>
  <c r="V427" i="489"/>
  <c r="N431" i="489"/>
  <c r="N432" i="489"/>
  <c r="H462" i="489"/>
  <c r="J462" i="489" a="1"/>
  <c r="J462" i="489" s="1"/>
  <c r="K462" i="489" a="1"/>
  <c r="K462" i="489" s="1"/>
  <c r="K477" i="489" s="1"/>
  <c r="H463" i="489"/>
  <c r="J463" i="489" a="1"/>
  <c r="J463" i="489" s="1"/>
  <c r="H464" i="489"/>
  <c r="J464" i="489" a="1"/>
  <c r="J464" i="489" s="1"/>
  <c r="H465" i="489"/>
  <c r="J465" i="489" a="1"/>
  <c r="J465" i="489" s="1"/>
  <c r="H466" i="489"/>
  <c r="J466" i="489" a="1"/>
  <c r="J466" i="489" s="1"/>
  <c r="M467" i="489"/>
  <c r="M468" i="489"/>
  <c r="M470" i="489"/>
  <c r="M472" i="489"/>
  <c r="M474" i="489"/>
  <c r="M476" i="489"/>
  <c r="M482" i="489"/>
  <c r="M488" i="489"/>
  <c r="M489" i="489"/>
  <c r="M494" i="489"/>
  <c r="J527" i="489"/>
  <c r="L527" i="489"/>
  <c r="N347" i="489"/>
  <c r="H349" i="489"/>
  <c r="J349" i="489" a="1"/>
  <c r="J349" i="489" s="1"/>
  <c r="H364" i="489"/>
  <c r="H366" i="489"/>
  <c r="H369" i="489"/>
  <c r="J369" i="489" a="1"/>
  <c r="J369" i="489" s="1"/>
  <c r="K369" i="489" a="1"/>
  <c r="K369" i="489" s="1"/>
  <c r="N371" i="489"/>
  <c r="O426" i="489"/>
  <c r="M490" i="489"/>
  <c r="H467" i="489"/>
  <c r="J467" i="489" a="1"/>
  <c r="J467" i="489" s="1"/>
  <c r="H468" i="489"/>
  <c r="J468" i="489" a="1"/>
  <c r="J468" i="489" s="1"/>
  <c r="H469" i="489"/>
  <c r="J469" i="489" a="1"/>
  <c r="J469" i="489" s="1"/>
  <c r="H470" i="489"/>
  <c r="J470" i="489" a="1"/>
  <c r="J470" i="489" s="1"/>
  <c r="H471" i="489"/>
  <c r="J471" i="489" a="1"/>
  <c r="J471" i="489" s="1"/>
  <c r="H472" i="489"/>
  <c r="J472" i="489" a="1"/>
  <c r="J472" i="489" s="1"/>
  <c r="H473" i="489"/>
  <c r="J473" i="489" a="1"/>
  <c r="J473" i="489" s="1"/>
  <c r="H474" i="489"/>
  <c r="J474" i="489" a="1"/>
  <c r="J474" i="489" s="1"/>
  <c r="H475" i="489"/>
  <c r="J475" i="489" a="1"/>
  <c r="J475" i="489" s="1"/>
  <c r="H476" i="489"/>
  <c r="J476" i="489" a="1"/>
  <c r="J476" i="489" s="1"/>
  <c r="N478" i="489"/>
  <c r="V478" i="489"/>
  <c r="N488" i="489"/>
  <c r="J498" i="489" a="1"/>
  <c r="J498" i="489" s="1"/>
  <c r="G503" i="489"/>
  <c r="I503" i="489"/>
  <c r="H486" i="489"/>
  <c r="J486" i="489" a="1"/>
  <c r="J486" i="489" s="1"/>
  <c r="H488" i="489"/>
  <c r="J488" i="489" a="1"/>
  <c r="J488" i="489" s="1"/>
  <c r="H489" i="489"/>
  <c r="J489" i="489" a="1"/>
  <c r="J489" i="489" s="1"/>
  <c r="J490" i="489" a="1"/>
  <c r="J490" i="489" s="1"/>
  <c r="J491" i="489" a="1"/>
  <c r="J491" i="489" s="1"/>
  <c r="K491" i="489" a="1"/>
  <c r="K491" i="489" s="1"/>
  <c r="M491" i="489" s="1"/>
  <c r="J494" i="489" a="1"/>
  <c r="J494" i="489" s="1"/>
  <c r="J495" i="489" a="1"/>
  <c r="J495" i="489" s="1"/>
  <c r="H237" i="434"/>
  <c r="H200" i="434"/>
  <c r="V28" i="489" l="1"/>
  <c r="V137" i="489"/>
  <c r="W137" i="489" s="1"/>
  <c r="R336" i="489"/>
  <c r="P333" i="489"/>
  <c r="X337" i="489" s="1"/>
  <c r="X342" i="489" s="1"/>
  <c r="Z341" i="489" s="1"/>
  <c r="R169" i="489"/>
  <c r="H487" i="489"/>
  <c r="K332" i="489"/>
  <c r="K291" i="489"/>
  <c r="K147" i="489"/>
  <c r="R335" i="489"/>
  <c r="M461" i="489"/>
  <c r="W7" i="489"/>
  <c r="W28" i="489" s="1"/>
  <c r="V291" i="489"/>
  <c r="W291" i="489" s="1"/>
  <c r="W317" i="489"/>
  <c r="V147" i="489"/>
  <c r="W147" i="489" s="1"/>
  <c r="K487" i="489"/>
  <c r="K461" i="489"/>
  <c r="J524" i="489"/>
  <c r="M524" i="489" s="1"/>
  <c r="K86" i="489"/>
  <c r="AC332" i="489"/>
  <c r="AA504" i="489"/>
  <c r="K426" i="489"/>
  <c r="J477" i="489" a="1"/>
  <c r="J477" i="489" s="1"/>
  <c r="N477" i="489"/>
  <c r="V307" i="489"/>
  <c r="W307" i="489" s="1"/>
  <c r="Y333" i="489"/>
  <c r="T333" i="489"/>
  <c r="R163" i="489"/>
  <c r="R333" i="489"/>
  <c r="W477" i="489"/>
  <c r="J505" i="489"/>
  <c r="M505" i="489" s="1"/>
  <c r="J28" i="489" a="1"/>
  <c r="J28" i="489" s="1"/>
  <c r="V198" i="489"/>
  <c r="J332" i="489" a="1"/>
  <c r="J332" i="489" s="1"/>
  <c r="K317" i="489"/>
  <c r="V332" i="489"/>
  <c r="W332" i="489" s="1"/>
  <c r="R337" i="489"/>
  <c r="N487" i="489"/>
  <c r="N426" i="489"/>
  <c r="N368" i="489"/>
  <c r="W462" i="489"/>
  <c r="V368" i="489"/>
  <c r="N307" i="489"/>
  <c r="J461" i="489" a="1"/>
  <c r="J461" i="489" s="1"/>
  <c r="N317" i="489"/>
  <c r="K307" i="489"/>
  <c r="W257" i="489"/>
  <c r="K198" i="489"/>
  <c r="J307" i="489" a="1"/>
  <c r="J307" i="489" s="1"/>
  <c r="K28" i="489"/>
  <c r="V121" i="489"/>
  <c r="W121" i="489" s="1"/>
  <c r="T504" i="489"/>
  <c r="P504" i="489"/>
  <c r="N332" i="489"/>
  <c r="V256" i="489"/>
  <c r="W256" i="489" s="1"/>
  <c r="AA333" i="489"/>
  <c r="W368" i="489"/>
  <c r="M525" i="489"/>
  <c r="M462" i="489"/>
  <c r="M477" i="489" s="1"/>
  <c r="M347" i="489"/>
  <c r="M368" i="489" s="1"/>
  <c r="R170" i="489"/>
  <c r="M29" i="489"/>
  <c r="M86" i="489" s="1"/>
  <c r="AC28" i="489"/>
  <c r="I163" i="489"/>
  <c r="B171" i="489" s="1"/>
  <c r="N503" i="489"/>
  <c r="AC147" i="489"/>
  <c r="M177" i="489"/>
  <c r="M198" i="489" s="1"/>
  <c r="AC198" i="489"/>
  <c r="R340" i="489"/>
  <c r="J317" i="489" a="1"/>
  <c r="J317" i="489" s="1"/>
  <c r="N291" i="489"/>
  <c r="AC307" i="489"/>
  <c r="M526" i="489"/>
  <c r="AC317" i="489"/>
  <c r="K256" i="489"/>
  <c r="AC291" i="489"/>
  <c r="AC256" i="489"/>
  <c r="AC162" i="489"/>
  <c r="AC137" i="489"/>
  <c r="AC86" i="489"/>
  <c r="AC121" i="489"/>
  <c r="Y504" i="489"/>
  <c r="Z333" i="489"/>
  <c r="U333" i="489"/>
  <c r="Q333" i="489"/>
  <c r="X333" i="489"/>
  <c r="S333" i="489"/>
  <c r="H426" i="489"/>
  <c r="K525" i="489" s="1"/>
  <c r="M256" i="489"/>
  <c r="V503" i="489"/>
  <c r="W503" i="489" s="1"/>
  <c r="Z504" i="489"/>
  <c r="U504" i="489"/>
  <c r="Q504" i="489"/>
  <c r="R338" i="489"/>
  <c r="W138" i="489"/>
  <c r="H28" i="489"/>
  <c r="H461" i="489"/>
  <c r="K526" i="489" s="1"/>
  <c r="X504" i="489"/>
  <c r="S504" i="489"/>
  <c r="R339" i="489"/>
  <c r="J503" i="489" a="1"/>
  <c r="J503" i="489" s="1"/>
  <c r="J528" i="489"/>
  <c r="V461" i="489"/>
  <c r="W461" i="489" s="1"/>
  <c r="W427" i="489"/>
  <c r="V86" i="489"/>
  <c r="W29" i="489"/>
  <c r="K165" i="489"/>
  <c r="I169" i="489"/>
  <c r="J515" i="489"/>
  <c r="M515" i="489" s="1"/>
  <c r="J162" i="489" a="1"/>
  <c r="J162" i="489" s="1"/>
  <c r="J121" i="489" a="1"/>
  <c r="J121" i="489" s="1"/>
  <c r="K503" i="489"/>
  <c r="M503" i="489"/>
  <c r="H368" i="489"/>
  <c r="M318" i="489"/>
  <c r="M332" i="489" s="1"/>
  <c r="M292" i="489"/>
  <c r="M307" i="489" s="1"/>
  <c r="M257" i="489"/>
  <c r="M291" i="489" s="1"/>
  <c r="G504" i="489"/>
  <c r="M121" i="489"/>
  <c r="I333" i="489"/>
  <c r="B341" i="489" s="1"/>
  <c r="M518" i="489"/>
  <c r="K162" i="489"/>
  <c r="K137" i="489"/>
  <c r="W162" i="489"/>
  <c r="M138" i="489"/>
  <c r="M147" i="489" s="1"/>
  <c r="G163" i="489"/>
  <c r="L528" i="489"/>
  <c r="W478" i="489"/>
  <c r="V487" i="489"/>
  <c r="W487" i="489" s="1"/>
  <c r="J519" i="489"/>
  <c r="M519" i="489" s="1"/>
  <c r="J256" i="489" a="1"/>
  <c r="J256" i="489" s="1"/>
  <c r="M335" i="489"/>
  <c r="K339" i="489"/>
  <c r="M339" i="489" s="1"/>
  <c r="J147" i="489" a="1"/>
  <c r="J147" i="489" s="1"/>
  <c r="H503" i="489"/>
  <c r="M369" i="489"/>
  <c r="M426" i="489" s="1"/>
  <c r="M527" i="489"/>
  <c r="H477" i="489"/>
  <c r="N461" i="489"/>
  <c r="M487" i="489"/>
  <c r="H332" i="489"/>
  <c r="K522" i="489" s="1"/>
  <c r="H317" i="489"/>
  <c r="H256" i="489"/>
  <c r="K519" i="489" s="1"/>
  <c r="I504" i="489"/>
  <c r="H307" i="489"/>
  <c r="K521" i="489" s="1"/>
  <c r="H291" i="489"/>
  <c r="O504" i="489"/>
  <c r="M317" i="489"/>
  <c r="W198" i="489"/>
  <c r="H198" i="489"/>
  <c r="K121" i="489"/>
  <c r="H86" i="489"/>
  <c r="Z336" i="489"/>
  <c r="G333" i="489"/>
  <c r="M162" i="489"/>
  <c r="M137" i="489"/>
  <c r="M7" i="489"/>
  <c r="M28" i="489" s="1"/>
  <c r="H285" i="434"/>
  <c r="H286" i="434"/>
  <c r="H287" i="434"/>
  <c r="K80" i="434" a="1"/>
  <c r="K80" i="434" s="1"/>
  <c r="K81" i="434" a="1"/>
  <c r="K81" i="434" s="1"/>
  <c r="K82" i="434" a="1"/>
  <c r="K82" i="434" s="1"/>
  <c r="K83" i="434" a="1"/>
  <c r="K83" i="434" s="1"/>
  <c r="K84" i="434" a="1"/>
  <c r="K84" i="434" s="1"/>
  <c r="K85" i="434" a="1"/>
  <c r="K85" i="434" s="1"/>
  <c r="Z335" i="489" l="1" a="1"/>
  <c r="Z335" i="489" s="1"/>
  <c r="Z340" i="489"/>
  <c r="Z338" i="489"/>
  <c r="K333" i="489"/>
  <c r="E341" i="489" s="1"/>
  <c r="I341" i="489" s="1"/>
  <c r="M341" i="489" s="1"/>
  <c r="V333" i="489"/>
  <c r="I342" i="489" s="1"/>
  <c r="Z337" i="489"/>
  <c r="Z339" i="489"/>
  <c r="G505" i="489"/>
  <c r="K504" i="489"/>
  <c r="L504" i="489" s="1"/>
  <c r="AC333" i="489"/>
  <c r="N504" i="489"/>
  <c r="R342" i="489"/>
  <c r="T341" i="489" s="1"/>
  <c r="AC163" i="489"/>
  <c r="M163" i="489"/>
  <c r="K163" i="489"/>
  <c r="E171" i="489" s="1"/>
  <c r="I171" i="489" s="1"/>
  <c r="M171" i="489" s="1"/>
  <c r="W333" i="489"/>
  <c r="M504" i="489"/>
  <c r="J333" i="489" a="1"/>
  <c r="J333" i="489" s="1"/>
  <c r="M340" i="489" s="1"/>
  <c r="B340" i="489"/>
  <c r="J523" i="489" s="1"/>
  <c r="K518" i="489"/>
  <c r="H333" i="489"/>
  <c r="E340" i="489" s="1"/>
  <c r="K520" i="489"/>
  <c r="T338" i="489"/>
  <c r="B170" i="489"/>
  <c r="J163" i="489" a="1"/>
  <c r="J163" i="489" s="1"/>
  <c r="M170" i="489" s="1"/>
  <c r="K524" i="489"/>
  <c r="H504" i="489"/>
  <c r="K169" i="489"/>
  <c r="M169" i="489" s="1"/>
  <c r="M165" i="489"/>
  <c r="W86" i="489"/>
  <c r="W163" i="489" s="1"/>
  <c r="V163" i="489"/>
  <c r="I172" i="489" s="1"/>
  <c r="M333" i="489"/>
  <c r="Z342" i="489"/>
  <c r="K527" i="489"/>
  <c r="K528" i="489"/>
  <c r="J529" i="489"/>
  <c r="J504" i="489" a="1"/>
  <c r="J504" i="489" s="1"/>
  <c r="V504" i="489"/>
  <c r="M528" i="489"/>
  <c r="L333" i="489" l="1"/>
  <c r="I340" i="489" s="1"/>
  <c r="AC505" i="489"/>
  <c r="M342" i="489" a="1"/>
  <c r="M342" i="489" s="1"/>
  <c r="T340" i="489"/>
  <c r="T335" i="489" a="1"/>
  <c r="T335" i="489" s="1"/>
  <c r="T336" i="489"/>
  <c r="L163" i="489"/>
  <c r="I170" i="489" s="1"/>
  <c r="T337" i="489"/>
  <c r="T339" i="489"/>
  <c r="W504" i="489"/>
  <c r="J516" i="489"/>
  <c r="M172" i="489" a="1"/>
  <c r="M172" i="489" s="1"/>
  <c r="T342" i="489" l="1"/>
  <c r="X512" i="434" l="1"/>
  <c r="X511" i="434"/>
  <c r="X510" i="434"/>
  <c r="X509" i="434"/>
  <c r="X508" i="434"/>
  <c r="X341" i="434"/>
  <c r="X340" i="434"/>
  <c r="X339" i="434"/>
  <c r="X338" i="434"/>
  <c r="X335" i="434"/>
  <c r="X165" i="434"/>
  <c r="X168" i="434"/>
  <c r="X169" i="434"/>
  <c r="X170" i="434"/>
  <c r="K455" i="434" a="1"/>
  <c r="K455" i="434" s="1"/>
  <c r="M455" i="434" s="1"/>
  <c r="K456" i="434" a="1"/>
  <c r="K456" i="434" s="1"/>
  <c r="M456" i="434" s="1"/>
  <c r="K457" i="434" a="1"/>
  <c r="K457" i="434" s="1"/>
  <c r="M457" i="434" s="1"/>
  <c r="K458" i="434" a="1"/>
  <c r="K458" i="434" s="1"/>
  <c r="M458" i="434" s="1"/>
  <c r="K459" i="434" a="1"/>
  <c r="K459" i="434" s="1"/>
  <c r="K425" i="434" a="1"/>
  <c r="K425" i="434" s="1"/>
  <c r="M425" i="434" s="1"/>
  <c r="K424" i="434" a="1"/>
  <c r="K424" i="434" s="1"/>
  <c r="M424" i="434" s="1"/>
  <c r="K423" i="434" a="1"/>
  <c r="K423" i="434" s="1"/>
  <c r="M423" i="434" s="1"/>
  <c r="K422" i="434" a="1"/>
  <c r="K422" i="434" s="1"/>
  <c r="M422" i="434" s="1"/>
  <c r="K421" i="434" a="1"/>
  <c r="K421" i="434" s="1"/>
  <c r="M421" i="434" s="1"/>
  <c r="K420" i="434" a="1"/>
  <c r="K420" i="434" s="1"/>
  <c r="M420" i="434" s="1"/>
  <c r="K419" i="434" a="1"/>
  <c r="K419" i="434" s="1"/>
  <c r="M419" i="434" s="1"/>
  <c r="K418" i="434" a="1"/>
  <c r="K418" i="434" s="1"/>
  <c r="M418" i="434" s="1"/>
  <c r="K417" i="434" a="1"/>
  <c r="K417" i="434" s="1"/>
  <c r="M417" i="434" s="1"/>
  <c r="K416" i="434" a="1"/>
  <c r="K416" i="434" s="1"/>
  <c r="M416" i="434" s="1"/>
  <c r="K393" i="434" a="1"/>
  <c r="K393" i="434" s="1"/>
  <c r="M393" i="434" s="1"/>
  <c r="K394" i="434" a="1"/>
  <c r="K394" i="434" s="1"/>
  <c r="M394" i="434" s="1"/>
  <c r="K395" i="434" a="1"/>
  <c r="K395" i="434" s="1"/>
  <c r="M395" i="434" s="1"/>
  <c r="K396" i="434" a="1"/>
  <c r="K396" i="434" s="1"/>
  <c r="M396" i="434" s="1"/>
  <c r="M241" i="434"/>
  <c r="K238" i="434" a="1"/>
  <c r="K238" i="434" s="1"/>
  <c r="M238" i="434" s="1"/>
  <c r="K239" i="434" a="1"/>
  <c r="K239" i="434" s="1"/>
  <c r="M239" i="434" s="1"/>
  <c r="N223" i="434"/>
  <c r="N224" i="434"/>
  <c r="N225" i="434"/>
  <c r="N226" i="434"/>
  <c r="N227" i="434"/>
  <c r="K223" i="434" a="1"/>
  <c r="K223" i="434" s="1"/>
  <c r="M223" i="434" s="1"/>
  <c r="K224" i="434" a="1"/>
  <c r="K224" i="434" s="1"/>
  <c r="M224" i="434" s="1"/>
  <c r="K225" i="434" a="1"/>
  <c r="K225" i="434" s="1"/>
  <c r="M225" i="434" s="1"/>
  <c r="K226" i="434" a="1"/>
  <c r="K226" i="434" s="1"/>
  <c r="M226" i="434" s="1"/>
  <c r="K115" i="434" a="1"/>
  <c r="K115" i="434" s="1"/>
  <c r="K116" i="434" a="1"/>
  <c r="K116" i="434" s="1"/>
  <c r="K117" i="434" a="1"/>
  <c r="K117" i="434" s="1"/>
  <c r="K68" i="434" a="1"/>
  <c r="K68" i="434" s="1"/>
  <c r="K79" i="434" a="1"/>
  <c r="K79" i="434" s="1"/>
  <c r="M79" i="434" s="1"/>
  <c r="K78" i="434" a="1"/>
  <c r="K78" i="434" s="1"/>
  <c r="M78" i="434" s="1"/>
  <c r="K77" i="434" a="1"/>
  <c r="K77" i="434" s="1"/>
  <c r="M77" i="434" s="1"/>
  <c r="K76" i="434" a="1"/>
  <c r="K76" i="434" s="1"/>
  <c r="M76" i="434" s="1"/>
  <c r="K249" i="434" a="1"/>
  <c r="K249" i="434" s="1"/>
  <c r="M249" i="434" s="1"/>
  <c r="K248" i="434" a="1"/>
  <c r="K248" i="434" s="1"/>
  <c r="M248" i="434" s="1"/>
  <c r="K247" i="434" a="1"/>
  <c r="K247" i="434" s="1"/>
  <c r="M247" i="434" s="1"/>
  <c r="K246" i="434" a="1"/>
  <c r="K246" i="434" s="1"/>
  <c r="M246" i="434" s="1"/>
  <c r="K374" i="434" a="1"/>
  <c r="K374" i="434" s="1"/>
  <c r="M374" i="434" s="1"/>
  <c r="K375" i="434" a="1"/>
  <c r="K375" i="434" s="1"/>
  <c r="M375" i="434" s="1"/>
  <c r="K376" i="434" a="1"/>
  <c r="K376" i="434" s="1"/>
  <c r="M376" i="434" s="1"/>
  <c r="H455" i="434"/>
  <c r="H456" i="434"/>
  <c r="H457" i="434"/>
  <c r="H458" i="434"/>
  <c r="H459" i="434"/>
  <c r="H34" i="434" l="1"/>
  <c r="H69" i="434" l="1"/>
  <c r="H70" i="434"/>
  <c r="H71" i="434"/>
  <c r="H72" i="434"/>
  <c r="H73" i="434"/>
  <c r="H74" i="434"/>
  <c r="H75" i="434"/>
  <c r="H76" i="434"/>
  <c r="H77" i="434"/>
  <c r="H78" i="434"/>
  <c r="H79" i="434"/>
  <c r="H80" i="434"/>
  <c r="H81" i="434"/>
  <c r="H82" i="434"/>
  <c r="H83" i="434"/>
  <c r="H84" i="434"/>
  <c r="H85" i="434"/>
  <c r="Q163" i="489" l="1"/>
  <c r="T163" i="489"/>
  <c r="X163" i="489"/>
  <c r="Z163" i="489"/>
  <c r="S163" i="489"/>
  <c r="U163" i="489"/>
  <c r="Y163" i="489"/>
  <c r="AA163" i="489"/>
  <c r="H121" i="489" l="1"/>
  <c r="K505" i="489" s="1"/>
  <c r="N147" i="489"/>
  <c r="H137" i="489"/>
  <c r="X166" i="489"/>
  <c r="P163" i="489"/>
  <c r="X167" i="489" s="1"/>
  <c r="O163" i="489"/>
  <c r="R168" i="489"/>
  <c r="N162" i="489"/>
  <c r="H162" i="489"/>
  <c r="H147" i="489"/>
  <c r="N137" i="489"/>
  <c r="N121" i="489"/>
  <c r="N86" i="489"/>
  <c r="N28" i="489"/>
  <c r="N256" i="489"/>
  <c r="N198" i="489"/>
  <c r="H163" i="489" l="1"/>
  <c r="E170" i="489" s="1"/>
  <c r="N163" i="489"/>
  <c r="B172" i="489" s="1"/>
  <c r="E172" i="489" s="1"/>
  <c r="X172" i="489"/>
  <c r="Z167" i="489" s="1"/>
  <c r="K515" i="489"/>
  <c r="R172" i="489"/>
  <c r="T168" i="489" s="1"/>
  <c r="N333" i="489"/>
  <c r="B342" i="489" s="1"/>
  <c r="T166" i="489" l="1"/>
  <c r="T169" i="489"/>
  <c r="T165" i="489" a="1"/>
  <c r="T165" i="489" s="1"/>
  <c r="T171" i="489"/>
  <c r="T170" i="489"/>
  <c r="T167" i="489"/>
  <c r="Z166" i="489"/>
  <c r="Z169" i="489"/>
  <c r="Z168" i="489"/>
  <c r="Z171" i="489"/>
  <c r="Z165" i="489" a="1"/>
  <c r="Z165" i="489" s="1"/>
  <c r="Z170" i="489"/>
  <c r="E342" i="489"/>
  <c r="T172" i="489" l="1"/>
  <c r="Z172" i="489"/>
  <c r="P533" i="434" l="1"/>
  <c r="O533" i="434"/>
  <c r="N533" i="434"/>
  <c r="M533" i="434"/>
  <c r="L533" i="434"/>
  <c r="K533" i="434"/>
  <c r="I533" i="434"/>
  <c r="H533" i="434"/>
  <c r="G533" i="434"/>
  <c r="F533" i="434"/>
  <c r="E533" i="434"/>
  <c r="D533" i="434"/>
  <c r="C532" i="434"/>
  <c r="T532" i="434" s="1" a="1"/>
  <c r="T532" i="434" s="1"/>
  <c r="C531" i="434"/>
  <c r="T531" i="434" s="1" a="1"/>
  <c r="T531" i="434" s="1"/>
  <c r="C530" i="434"/>
  <c r="G514" i="434"/>
  <c r="N514" i="434" s="1"/>
  <c r="G510" i="434"/>
  <c r="C510" i="434"/>
  <c r="I509" i="434"/>
  <c r="E509" i="434"/>
  <c r="I508" i="434"/>
  <c r="E508" i="434"/>
  <c r="I507" i="434"/>
  <c r="E507" i="434"/>
  <c r="I506" i="434"/>
  <c r="I510" i="434" s="1"/>
  <c r="E506" i="434"/>
  <c r="E510" i="434" s="1"/>
  <c r="AA503" i="434"/>
  <c r="Z503" i="434"/>
  <c r="Y503" i="434"/>
  <c r="X503" i="434"/>
  <c r="U503" i="434"/>
  <c r="T503" i="434"/>
  <c r="S503" i="434"/>
  <c r="R503" i="434"/>
  <c r="Q503" i="434"/>
  <c r="P503" i="434"/>
  <c r="O503" i="434"/>
  <c r="I503" i="434"/>
  <c r="G503" i="434"/>
  <c r="V498" i="434"/>
  <c r="W498" i="434" s="1"/>
  <c r="N498" i="434"/>
  <c r="K498" i="434" a="1"/>
  <c r="K498" i="434" s="1"/>
  <c r="M498" i="434" s="1"/>
  <c r="J498" i="434" a="1"/>
  <c r="J498" i="434" s="1"/>
  <c r="V495" i="434"/>
  <c r="W495" i="434" s="1"/>
  <c r="N495" i="434"/>
  <c r="K495" i="434" a="1"/>
  <c r="K495" i="434" s="1"/>
  <c r="M495" i="434" s="1"/>
  <c r="J495" i="434" a="1"/>
  <c r="J495" i="434" s="1"/>
  <c r="V494" i="434"/>
  <c r="W494" i="434" s="1"/>
  <c r="N494" i="434"/>
  <c r="K494" i="434" a="1"/>
  <c r="K494" i="434" s="1"/>
  <c r="M494" i="434" s="1"/>
  <c r="J494" i="434" a="1"/>
  <c r="J494" i="434" s="1"/>
  <c r="V491" i="434"/>
  <c r="W491" i="434" s="1"/>
  <c r="N491" i="434"/>
  <c r="K491" i="434" a="1"/>
  <c r="K491" i="434" s="1"/>
  <c r="M491" i="434" s="1"/>
  <c r="J491" i="434" a="1"/>
  <c r="J491" i="434" s="1"/>
  <c r="V490" i="434"/>
  <c r="W490" i="434" s="1"/>
  <c r="N490" i="434"/>
  <c r="K490" i="434" a="1"/>
  <c r="K490" i="434" s="1"/>
  <c r="M490" i="434" s="1"/>
  <c r="J490" i="434" a="1"/>
  <c r="J490" i="434" s="1"/>
  <c r="V489" i="434"/>
  <c r="W489" i="434" s="1"/>
  <c r="N489" i="434"/>
  <c r="K489" i="434" a="1"/>
  <c r="K489" i="434" s="1"/>
  <c r="M489" i="434" s="1"/>
  <c r="J489" i="434" a="1"/>
  <c r="J489" i="434" s="1"/>
  <c r="H489" i="434"/>
  <c r="V488" i="434"/>
  <c r="W488" i="434" s="1"/>
  <c r="N488" i="434"/>
  <c r="K488" i="434" a="1"/>
  <c r="K488" i="434" s="1"/>
  <c r="J488" i="434" a="1"/>
  <c r="J488" i="434" s="1"/>
  <c r="H488" i="434"/>
  <c r="AA487" i="434"/>
  <c r="Z487" i="434"/>
  <c r="Y487" i="434"/>
  <c r="X487" i="434"/>
  <c r="U487" i="434"/>
  <c r="T487" i="434"/>
  <c r="S487" i="434"/>
  <c r="Q487" i="434"/>
  <c r="P487" i="434"/>
  <c r="O487" i="434"/>
  <c r="I487" i="434"/>
  <c r="G487" i="434"/>
  <c r="V486" i="434"/>
  <c r="W486" i="434" s="1"/>
  <c r="N486" i="434"/>
  <c r="K486" i="434" a="1"/>
  <c r="K486" i="434" s="1"/>
  <c r="M486" i="434" s="1"/>
  <c r="J486" i="434" a="1"/>
  <c r="J486" i="434" s="1"/>
  <c r="H486" i="434"/>
  <c r="V482" i="434"/>
  <c r="W482" i="434" s="1"/>
  <c r="N482" i="434"/>
  <c r="K482" i="434" a="1"/>
  <c r="K482" i="434" s="1"/>
  <c r="M482" i="434" s="1"/>
  <c r="J482" i="434" a="1"/>
  <c r="J482" i="434" s="1"/>
  <c r="H482" i="434"/>
  <c r="V481" i="434"/>
  <c r="W481" i="434" s="1"/>
  <c r="N481" i="434"/>
  <c r="K481" i="434" a="1"/>
  <c r="K481" i="434" s="1"/>
  <c r="M481" i="434" s="1"/>
  <c r="J481" i="434" a="1"/>
  <c r="J481" i="434" s="1"/>
  <c r="H481" i="434"/>
  <c r="V480" i="434"/>
  <c r="W480" i="434" s="1"/>
  <c r="N480" i="434"/>
  <c r="K480" i="434" a="1"/>
  <c r="K480" i="434" s="1"/>
  <c r="M480" i="434" s="1"/>
  <c r="J480" i="434" a="1"/>
  <c r="J480" i="434" s="1"/>
  <c r="H480" i="434"/>
  <c r="V479" i="434"/>
  <c r="W479" i="434" s="1"/>
  <c r="N479" i="434"/>
  <c r="K479" i="434" a="1"/>
  <c r="K479" i="434" s="1"/>
  <c r="M479" i="434" s="1"/>
  <c r="J479" i="434" a="1"/>
  <c r="J479" i="434" s="1"/>
  <c r="H479" i="434"/>
  <c r="V478" i="434"/>
  <c r="N478" i="434"/>
  <c r="K478" i="434" a="1"/>
  <c r="K478" i="434" s="1"/>
  <c r="J478" i="434" a="1"/>
  <c r="J478" i="434" s="1"/>
  <c r="H478" i="434"/>
  <c r="AA477" i="434"/>
  <c r="Z477" i="434"/>
  <c r="Y477" i="434"/>
  <c r="X477" i="434"/>
  <c r="U477" i="434"/>
  <c r="T477" i="434"/>
  <c r="S477" i="434"/>
  <c r="Q477" i="434"/>
  <c r="P477" i="434"/>
  <c r="O477" i="434"/>
  <c r="I477" i="434"/>
  <c r="G477" i="434"/>
  <c r="V476" i="434"/>
  <c r="W476" i="434" s="1"/>
  <c r="N476" i="434"/>
  <c r="K476" i="434" a="1"/>
  <c r="K476" i="434" s="1"/>
  <c r="M476" i="434" s="1"/>
  <c r="J476" i="434" a="1"/>
  <c r="J476" i="434" s="1"/>
  <c r="H476" i="434"/>
  <c r="V475" i="434"/>
  <c r="W475" i="434" s="1"/>
  <c r="N475" i="434"/>
  <c r="K475" i="434" a="1"/>
  <c r="K475" i="434" s="1"/>
  <c r="M475" i="434" s="1"/>
  <c r="J475" i="434" a="1"/>
  <c r="J475" i="434" s="1"/>
  <c r="H475" i="434"/>
  <c r="V474" i="434"/>
  <c r="W474" i="434" s="1"/>
  <c r="N474" i="434"/>
  <c r="K474" i="434" a="1"/>
  <c r="K474" i="434" s="1"/>
  <c r="M474" i="434" s="1"/>
  <c r="J474" i="434" a="1"/>
  <c r="J474" i="434" s="1"/>
  <c r="H474" i="434"/>
  <c r="V473" i="434"/>
  <c r="W473" i="434" s="1"/>
  <c r="N473" i="434"/>
  <c r="K473" i="434" a="1"/>
  <c r="K473" i="434" s="1"/>
  <c r="M473" i="434" s="1"/>
  <c r="J473" i="434" a="1"/>
  <c r="J473" i="434" s="1"/>
  <c r="H473" i="434"/>
  <c r="V472" i="434"/>
  <c r="W472" i="434" s="1"/>
  <c r="N472" i="434"/>
  <c r="K472" i="434" a="1"/>
  <c r="K472" i="434" s="1"/>
  <c r="M472" i="434" s="1"/>
  <c r="J472" i="434" a="1"/>
  <c r="J472" i="434" s="1"/>
  <c r="H472" i="434"/>
  <c r="V471" i="434"/>
  <c r="W471" i="434" s="1"/>
  <c r="N471" i="434"/>
  <c r="K471" i="434" a="1"/>
  <c r="K471" i="434" s="1"/>
  <c r="M471" i="434" s="1"/>
  <c r="J471" i="434" a="1"/>
  <c r="J471" i="434" s="1"/>
  <c r="H471" i="434"/>
  <c r="V470" i="434"/>
  <c r="W470" i="434" s="1"/>
  <c r="N470" i="434"/>
  <c r="K470" i="434" a="1"/>
  <c r="K470" i="434" s="1"/>
  <c r="M470" i="434" s="1"/>
  <c r="J470" i="434" a="1"/>
  <c r="J470" i="434" s="1"/>
  <c r="H470" i="434"/>
  <c r="V469" i="434"/>
  <c r="W469" i="434" s="1"/>
  <c r="N469" i="434"/>
  <c r="K469" i="434" a="1"/>
  <c r="K469" i="434" s="1"/>
  <c r="M469" i="434" s="1"/>
  <c r="J469" i="434" a="1"/>
  <c r="J469" i="434" s="1"/>
  <c r="H469" i="434"/>
  <c r="V468" i="434"/>
  <c r="W468" i="434" s="1"/>
  <c r="N468" i="434"/>
  <c r="K468" i="434" a="1"/>
  <c r="K468" i="434" s="1"/>
  <c r="M468" i="434" s="1"/>
  <c r="J468" i="434" a="1"/>
  <c r="J468" i="434" s="1"/>
  <c r="H468" i="434"/>
  <c r="V467" i="434"/>
  <c r="W467" i="434" s="1"/>
  <c r="N467" i="434"/>
  <c r="K467" i="434" a="1"/>
  <c r="K467" i="434" s="1"/>
  <c r="M467" i="434" s="1"/>
  <c r="J467" i="434" a="1"/>
  <c r="J467" i="434" s="1"/>
  <c r="H467" i="434"/>
  <c r="V466" i="434"/>
  <c r="W466" i="434" s="1"/>
  <c r="N466" i="434"/>
  <c r="K466" i="434" a="1"/>
  <c r="K466" i="434" s="1"/>
  <c r="M466" i="434" s="1"/>
  <c r="J466" i="434" a="1"/>
  <c r="J466" i="434" s="1"/>
  <c r="H466" i="434"/>
  <c r="V465" i="434"/>
  <c r="W465" i="434" s="1"/>
  <c r="N465" i="434"/>
  <c r="K465" i="434" a="1"/>
  <c r="K465" i="434" s="1"/>
  <c r="M465" i="434" s="1"/>
  <c r="J465" i="434" a="1"/>
  <c r="J465" i="434" s="1"/>
  <c r="H465" i="434"/>
  <c r="V464" i="434"/>
  <c r="W464" i="434" s="1"/>
  <c r="N464" i="434"/>
  <c r="K464" i="434" a="1"/>
  <c r="K464" i="434" s="1"/>
  <c r="M464" i="434" s="1"/>
  <c r="J464" i="434" a="1"/>
  <c r="J464" i="434" s="1"/>
  <c r="H464" i="434"/>
  <c r="V463" i="434"/>
  <c r="W463" i="434" s="1"/>
  <c r="N463" i="434"/>
  <c r="K463" i="434" a="1"/>
  <c r="K463" i="434" s="1"/>
  <c r="M463" i="434" s="1"/>
  <c r="J463" i="434" a="1"/>
  <c r="J463" i="434" s="1"/>
  <c r="H463" i="434"/>
  <c r="V462" i="434"/>
  <c r="N462" i="434"/>
  <c r="K462" i="434" a="1"/>
  <c r="K462" i="434" s="1"/>
  <c r="M462" i="434" s="1"/>
  <c r="J462" i="434" a="1"/>
  <c r="J462" i="434" s="1"/>
  <c r="H462" i="434"/>
  <c r="AA461" i="434"/>
  <c r="Z461" i="434"/>
  <c r="Y461" i="434"/>
  <c r="X461" i="434"/>
  <c r="U461" i="434"/>
  <c r="T461" i="434"/>
  <c r="S461" i="434"/>
  <c r="R461" i="434"/>
  <c r="Q461" i="434"/>
  <c r="P461" i="434"/>
  <c r="O461" i="434"/>
  <c r="I461" i="434"/>
  <c r="G461" i="434"/>
  <c r="V460" i="434"/>
  <c r="W460" i="434" s="1"/>
  <c r="N460" i="434"/>
  <c r="K460" i="434" a="1"/>
  <c r="K460" i="434" s="1"/>
  <c r="M460" i="434" s="1"/>
  <c r="J460" i="434" a="1"/>
  <c r="J460" i="434" s="1"/>
  <c r="H460" i="434"/>
  <c r="V459" i="434"/>
  <c r="W459" i="434" s="1"/>
  <c r="N459" i="434"/>
  <c r="M459" i="434"/>
  <c r="J459" i="434" a="1"/>
  <c r="J459" i="434" s="1"/>
  <c r="V458" i="434"/>
  <c r="W458" i="434" s="1"/>
  <c r="N458" i="434"/>
  <c r="J458" i="434" a="1"/>
  <c r="J458" i="434" s="1"/>
  <c r="V454" i="434"/>
  <c r="W454" i="434" s="1"/>
  <c r="N454" i="434"/>
  <c r="K454" i="434" a="1"/>
  <c r="K454" i="434" s="1"/>
  <c r="M454" i="434" s="1"/>
  <c r="J454" i="434" a="1"/>
  <c r="J454" i="434" s="1"/>
  <c r="H454" i="434"/>
  <c r="V453" i="434"/>
  <c r="W453" i="434" s="1"/>
  <c r="N453" i="434"/>
  <c r="K453" i="434" a="1"/>
  <c r="K453" i="434" s="1"/>
  <c r="M453" i="434" s="1"/>
  <c r="J453" i="434" a="1"/>
  <c r="J453" i="434" s="1"/>
  <c r="H453" i="434"/>
  <c r="N452" i="434"/>
  <c r="K452" i="434" a="1"/>
  <c r="K452" i="434" s="1"/>
  <c r="M452" i="434" s="1"/>
  <c r="H452" i="434"/>
  <c r="N451" i="434"/>
  <c r="K451" i="434" a="1"/>
  <c r="K451" i="434" s="1"/>
  <c r="M451" i="434" s="1"/>
  <c r="H451" i="434"/>
  <c r="N450" i="434"/>
  <c r="K450" i="434" a="1"/>
  <c r="K450" i="434" s="1"/>
  <c r="M450" i="434" s="1"/>
  <c r="H450" i="434"/>
  <c r="N449" i="434"/>
  <c r="K449" i="434" a="1"/>
  <c r="K449" i="434" s="1"/>
  <c r="M449" i="434" s="1"/>
  <c r="H449" i="434"/>
  <c r="N448" i="434"/>
  <c r="K448" i="434" a="1"/>
  <c r="K448" i="434" s="1"/>
  <c r="M448" i="434" s="1"/>
  <c r="H448" i="434"/>
  <c r="N447" i="434"/>
  <c r="K447" i="434" a="1"/>
  <c r="K447" i="434" s="1"/>
  <c r="M447" i="434" s="1"/>
  <c r="H447" i="434"/>
  <c r="V446" i="434"/>
  <c r="W446" i="434" s="1"/>
  <c r="N446" i="434"/>
  <c r="K446" i="434" a="1"/>
  <c r="K446" i="434" s="1"/>
  <c r="M446" i="434" s="1"/>
  <c r="J446" i="434" a="1"/>
  <c r="J446" i="434" s="1"/>
  <c r="H446" i="434"/>
  <c r="V445" i="434"/>
  <c r="W445" i="434" s="1"/>
  <c r="N445" i="434"/>
  <c r="K445" i="434" a="1"/>
  <c r="K445" i="434" s="1"/>
  <c r="M445" i="434" s="1"/>
  <c r="J445" i="434" a="1"/>
  <c r="J445" i="434" s="1"/>
  <c r="H445" i="434"/>
  <c r="V444" i="434"/>
  <c r="W444" i="434" s="1"/>
  <c r="N444" i="434"/>
  <c r="K444" i="434" a="1"/>
  <c r="K444" i="434" s="1"/>
  <c r="M444" i="434" s="1"/>
  <c r="J444" i="434" a="1"/>
  <c r="J444" i="434" s="1"/>
  <c r="H444" i="434"/>
  <c r="V443" i="434"/>
  <c r="W443" i="434" s="1"/>
  <c r="N443" i="434"/>
  <c r="K443" i="434" a="1"/>
  <c r="K443" i="434" s="1"/>
  <c r="M443" i="434" s="1"/>
  <c r="J443" i="434" a="1"/>
  <c r="J443" i="434" s="1"/>
  <c r="H443" i="434"/>
  <c r="V442" i="434"/>
  <c r="W442" i="434" s="1"/>
  <c r="N442" i="434"/>
  <c r="K442" i="434" a="1"/>
  <c r="K442" i="434" s="1"/>
  <c r="M442" i="434" s="1"/>
  <c r="J442" i="434" a="1"/>
  <c r="J442" i="434" s="1"/>
  <c r="H442" i="434"/>
  <c r="V441" i="434"/>
  <c r="W441" i="434" s="1"/>
  <c r="N441" i="434"/>
  <c r="K441" i="434" a="1"/>
  <c r="K441" i="434" s="1"/>
  <c r="M441" i="434" s="1"/>
  <c r="J441" i="434" a="1"/>
  <c r="J441" i="434" s="1"/>
  <c r="H441" i="434"/>
  <c r="V440" i="434"/>
  <c r="W440" i="434" s="1"/>
  <c r="N440" i="434"/>
  <c r="K440" i="434" a="1"/>
  <c r="K440" i="434" s="1"/>
  <c r="M440" i="434" s="1"/>
  <c r="J440" i="434" a="1"/>
  <c r="J440" i="434" s="1"/>
  <c r="H440" i="434"/>
  <c r="V439" i="434"/>
  <c r="W439" i="434" s="1"/>
  <c r="N439" i="434"/>
  <c r="K439" i="434" a="1"/>
  <c r="K439" i="434" s="1"/>
  <c r="M439" i="434" s="1"/>
  <c r="J439" i="434" a="1"/>
  <c r="J439" i="434" s="1"/>
  <c r="H439" i="434"/>
  <c r="V438" i="434"/>
  <c r="W438" i="434" s="1"/>
  <c r="N438" i="434"/>
  <c r="K438" i="434" a="1"/>
  <c r="K438" i="434" s="1"/>
  <c r="M438" i="434" s="1"/>
  <c r="J438" i="434" a="1"/>
  <c r="J438" i="434" s="1"/>
  <c r="H438" i="434"/>
  <c r="V437" i="434"/>
  <c r="W437" i="434" s="1"/>
  <c r="N437" i="434"/>
  <c r="K437" i="434" a="1"/>
  <c r="K437" i="434" s="1"/>
  <c r="M437" i="434" s="1"/>
  <c r="J437" i="434" a="1"/>
  <c r="J437" i="434" s="1"/>
  <c r="H437" i="434"/>
  <c r="V436" i="434"/>
  <c r="W436" i="434" s="1"/>
  <c r="N436" i="434"/>
  <c r="K436" i="434" a="1"/>
  <c r="K436" i="434" s="1"/>
  <c r="M436" i="434" s="1"/>
  <c r="J436" i="434" a="1"/>
  <c r="J436" i="434" s="1"/>
  <c r="H436" i="434"/>
  <c r="V435" i="434"/>
  <c r="W435" i="434" s="1"/>
  <c r="N435" i="434"/>
  <c r="K435" i="434" a="1"/>
  <c r="K435" i="434" s="1"/>
  <c r="M435" i="434" s="1"/>
  <c r="J435" i="434" a="1"/>
  <c r="J435" i="434" s="1"/>
  <c r="H435" i="434"/>
  <c r="N434" i="434"/>
  <c r="K434" i="434" a="1"/>
  <c r="K434" i="434" s="1"/>
  <c r="M434" i="434" s="1"/>
  <c r="H434" i="434"/>
  <c r="V433" i="434"/>
  <c r="W433" i="434" s="1"/>
  <c r="N433" i="434"/>
  <c r="K433" i="434" a="1"/>
  <c r="K433" i="434" s="1"/>
  <c r="M433" i="434" s="1"/>
  <c r="J433" i="434" a="1"/>
  <c r="J433" i="434" s="1"/>
  <c r="H433" i="434"/>
  <c r="V432" i="434"/>
  <c r="W432" i="434" s="1"/>
  <c r="N432" i="434"/>
  <c r="K432" i="434" a="1"/>
  <c r="K432" i="434" s="1"/>
  <c r="M432" i="434" s="1"/>
  <c r="J432" i="434" a="1"/>
  <c r="J432" i="434" s="1"/>
  <c r="H432" i="434"/>
  <c r="V431" i="434"/>
  <c r="W431" i="434" s="1"/>
  <c r="N431" i="434"/>
  <c r="K431" i="434" a="1"/>
  <c r="K431" i="434" s="1"/>
  <c r="M431" i="434" s="1"/>
  <c r="J431" i="434" a="1"/>
  <c r="J431" i="434" s="1"/>
  <c r="H431" i="434"/>
  <c r="V430" i="434"/>
  <c r="W430" i="434" s="1"/>
  <c r="N430" i="434"/>
  <c r="K430" i="434" a="1"/>
  <c r="K430" i="434" s="1"/>
  <c r="M430" i="434" s="1"/>
  <c r="J430" i="434" a="1"/>
  <c r="J430" i="434" s="1"/>
  <c r="H430" i="434"/>
  <c r="V429" i="434"/>
  <c r="W429" i="434" s="1"/>
  <c r="N429" i="434"/>
  <c r="K429" i="434" a="1"/>
  <c r="K429" i="434" s="1"/>
  <c r="M429" i="434" s="1"/>
  <c r="J429" i="434" a="1"/>
  <c r="J429" i="434" s="1"/>
  <c r="H429" i="434"/>
  <c r="V428" i="434"/>
  <c r="W428" i="434" s="1"/>
  <c r="N428" i="434"/>
  <c r="K428" i="434" a="1"/>
  <c r="K428" i="434" s="1"/>
  <c r="M428" i="434" s="1"/>
  <c r="J428" i="434" a="1"/>
  <c r="J428" i="434" s="1"/>
  <c r="H428" i="434"/>
  <c r="V427" i="434"/>
  <c r="N427" i="434"/>
  <c r="K427" i="434" a="1"/>
  <c r="K427" i="434" s="1"/>
  <c r="J427" i="434" a="1"/>
  <c r="J427" i="434" s="1"/>
  <c r="H427" i="434"/>
  <c r="AA426" i="434"/>
  <c r="Z426" i="434"/>
  <c r="Y426" i="434"/>
  <c r="X426" i="434"/>
  <c r="U426" i="434"/>
  <c r="T426" i="434"/>
  <c r="S426" i="434"/>
  <c r="R426" i="434"/>
  <c r="Q426" i="434"/>
  <c r="P426" i="434"/>
  <c r="O426" i="434"/>
  <c r="I426" i="434"/>
  <c r="G426" i="434"/>
  <c r="H425" i="434"/>
  <c r="H424" i="434"/>
  <c r="H423" i="434"/>
  <c r="H422" i="434"/>
  <c r="H421" i="434"/>
  <c r="H420" i="434"/>
  <c r="H419" i="434"/>
  <c r="H418" i="434"/>
  <c r="H417" i="434"/>
  <c r="H416" i="434"/>
  <c r="V415" i="434"/>
  <c r="W415" i="434" s="1"/>
  <c r="N415" i="434"/>
  <c r="K415" i="434" a="1"/>
  <c r="K415" i="434" s="1"/>
  <c r="M415" i="434" s="1"/>
  <c r="J415" i="434" a="1"/>
  <c r="J415" i="434" s="1"/>
  <c r="H415" i="434"/>
  <c r="V414" i="434"/>
  <c r="W414" i="434" s="1"/>
  <c r="N414" i="434"/>
  <c r="K414" i="434" a="1"/>
  <c r="K414" i="434" s="1"/>
  <c r="M414" i="434" s="1"/>
  <c r="J414" i="434" a="1"/>
  <c r="J414" i="434" s="1"/>
  <c r="H414" i="434"/>
  <c r="V413" i="434"/>
  <c r="W413" i="434" s="1"/>
  <c r="N413" i="434"/>
  <c r="K413" i="434" a="1"/>
  <c r="K413" i="434" s="1"/>
  <c r="M413" i="434" s="1"/>
  <c r="J413" i="434" a="1"/>
  <c r="J413" i="434" s="1"/>
  <c r="H413" i="434"/>
  <c r="V412" i="434"/>
  <c r="W412" i="434" s="1"/>
  <c r="N412" i="434"/>
  <c r="K412" i="434" a="1"/>
  <c r="K412" i="434" s="1"/>
  <c r="M412" i="434" s="1"/>
  <c r="J412" i="434" a="1"/>
  <c r="J412" i="434" s="1"/>
  <c r="H412" i="434"/>
  <c r="H411" i="434"/>
  <c r="V410" i="434"/>
  <c r="W410" i="434" s="1"/>
  <c r="N410" i="434"/>
  <c r="K410" i="434" a="1"/>
  <c r="K410" i="434" s="1"/>
  <c r="M410" i="434" s="1"/>
  <c r="J410" i="434" a="1"/>
  <c r="J410" i="434" s="1"/>
  <c r="H410" i="434"/>
  <c r="V409" i="434"/>
  <c r="W409" i="434" s="1"/>
  <c r="N409" i="434"/>
  <c r="K409" i="434" a="1"/>
  <c r="K409" i="434" s="1"/>
  <c r="M409" i="434" s="1"/>
  <c r="J409" i="434" a="1"/>
  <c r="J409" i="434" s="1"/>
  <c r="H409" i="434"/>
  <c r="H408" i="434"/>
  <c r="V406" i="434"/>
  <c r="W406" i="434" s="1"/>
  <c r="N406" i="434"/>
  <c r="K406" i="434" a="1"/>
  <c r="K406" i="434" s="1"/>
  <c r="M406" i="434" s="1"/>
  <c r="J406" i="434" a="1"/>
  <c r="J406" i="434" s="1"/>
  <c r="H406" i="434"/>
  <c r="V405" i="434"/>
  <c r="W405" i="434" s="1"/>
  <c r="N405" i="434"/>
  <c r="K405" i="434" a="1"/>
  <c r="K405" i="434" s="1"/>
  <c r="M405" i="434" s="1"/>
  <c r="J405" i="434" a="1"/>
  <c r="J405" i="434" s="1"/>
  <c r="H405" i="434"/>
  <c r="V404" i="434"/>
  <c r="W404" i="434" s="1"/>
  <c r="N404" i="434"/>
  <c r="K404" i="434" a="1"/>
  <c r="K404" i="434" s="1"/>
  <c r="M404" i="434" s="1"/>
  <c r="J404" i="434" a="1"/>
  <c r="J404" i="434" s="1"/>
  <c r="H404" i="434"/>
  <c r="V403" i="434"/>
  <c r="W403" i="434" s="1"/>
  <c r="N403" i="434"/>
  <c r="K403" i="434" a="1"/>
  <c r="K403" i="434" s="1"/>
  <c r="M403" i="434" s="1"/>
  <c r="J403" i="434" a="1"/>
  <c r="J403" i="434" s="1"/>
  <c r="H403" i="434"/>
  <c r="V402" i="434"/>
  <c r="W402" i="434" s="1"/>
  <c r="N402" i="434"/>
  <c r="K402" i="434" a="1"/>
  <c r="K402" i="434" s="1"/>
  <c r="M402" i="434" s="1"/>
  <c r="J402" i="434" a="1"/>
  <c r="J402" i="434" s="1"/>
  <c r="H402" i="434"/>
  <c r="V401" i="434"/>
  <c r="W401" i="434" s="1"/>
  <c r="N401" i="434"/>
  <c r="K401" i="434" a="1"/>
  <c r="K401" i="434" s="1"/>
  <c r="M401" i="434" s="1"/>
  <c r="J401" i="434" a="1"/>
  <c r="J401" i="434" s="1"/>
  <c r="H401" i="434"/>
  <c r="V400" i="434"/>
  <c r="W400" i="434" s="1"/>
  <c r="N400" i="434"/>
  <c r="K400" i="434" a="1"/>
  <c r="K400" i="434" s="1"/>
  <c r="M400" i="434" s="1"/>
  <c r="J400" i="434" a="1"/>
  <c r="J400" i="434" s="1"/>
  <c r="H400" i="434"/>
  <c r="V399" i="434"/>
  <c r="W399" i="434" s="1"/>
  <c r="N399" i="434"/>
  <c r="K399" i="434" a="1"/>
  <c r="K399" i="434" s="1"/>
  <c r="M399" i="434" s="1"/>
  <c r="J399" i="434" a="1"/>
  <c r="J399" i="434" s="1"/>
  <c r="H399" i="434"/>
  <c r="V398" i="434"/>
  <c r="W398" i="434" s="1"/>
  <c r="N398" i="434"/>
  <c r="K398" i="434" a="1"/>
  <c r="K398" i="434" s="1"/>
  <c r="M398" i="434" s="1"/>
  <c r="J398" i="434" a="1"/>
  <c r="J398" i="434" s="1"/>
  <c r="H398" i="434"/>
  <c r="V397" i="434"/>
  <c r="W397" i="434" s="1"/>
  <c r="N397" i="434"/>
  <c r="K397" i="434" a="1"/>
  <c r="K397" i="434" s="1"/>
  <c r="M397" i="434" s="1"/>
  <c r="J397" i="434" a="1"/>
  <c r="J397" i="434" s="1"/>
  <c r="H397" i="434"/>
  <c r="H396" i="434"/>
  <c r="H395" i="434"/>
  <c r="H394" i="434"/>
  <c r="H393" i="434"/>
  <c r="N392" i="434"/>
  <c r="K392" i="434" a="1"/>
  <c r="K392" i="434" s="1"/>
  <c r="M392" i="434" s="1"/>
  <c r="H392" i="434"/>
  <c r="N391" i="434"/>
  <c r="K391" i="434" a="1"/>
  <c r="K391" i="434" s="1"/>
  <c r="M391" i="434" s="1"/>
  <c r="H391" i="434"/>
  <c r="N390" i="434"/>
  <c r="K390" i="434" a="1"/>
  <c r="K390" i="434" s="1"/>
  <c r="M390" i="434" s="1"/>
  <c r="H390" i="434"/>
  <c r="N389" i="434"/>
  <c r="K389" i="434" a="1"/>
  <c r="K389" i="434" s="1"/>
  <c r="M389" i="434" s="1"/>
  <c r="H389" i="434"/>
  <c r="V388" i="434"/>
  <c r="W388" i="434" s="1"/>
  <c r="N388" i="434"/>
  <c r="K388" i="434" a="1"/>
  <c r="K388" i="434" s="1"/>
  <c r="M388" i="434" s="1"/>
  <c r="J388" i="434" a="1"/>
  <c r="J388" i="434" s="1"/>
  <c r="H388" i="434"/>
  <c r="V387" i="434"/>
  <c r="W387" i="434" s="1"/>
  <c r="N387" i="434"/>
  <c r="K387" i="434" a="1"/>
  <c r="K387" i="434" s="1"/>
  <c r="M387" i="434" s="1"/>
  <c r="J387" i="434" a="1"/>
  <c r="J387" i="434" s="1"/>
  <c r="H387" i="434"/>
  <c r="V386" i="434"/>
  <c r="W386" i="434" s="1"/>
  <c r="N386" i="434"/>
  <c r="K386" i="434" a="1"/>
  <c r="K386" i="434" s="1"/>
  <c r="M386" i="434" s="1"/>
  <c r="J386" i="434" a="1"/>
  <c r="J386" i="434" s="1"/>
  <c r="H386" i="434"/>
  <c r="V385" i="434"/>
  <c r="W385" i="434" s="1"/>
  <c r="N385" i="434"/>
  <c r="K385" i="434" a="1"/>
  <c r="K385" i="434" s="1"/>
  <c r="M385" i="434" s="1"/>
  <c r="J385" i="434" a="1"/>
  <c r="J385" i="434" s="1"/>
  <c r="H385" i="434"/>
  <c r="V384" i="434"/>
  <c r="W384" i="434" s="1"/>
  <c r="N384" i="434"/>
  <c r="K384" i="434" a="1"/>
  <c r="K384" i="434" s="1"/>
  <c r="M384" i="434" s="1"/>
  <c r="J384" i="434" a="1"/>
  <c r="J384" i="434" s="1"/>
  <c r="H384" i="434"/>
  <c r="V383" i="434"/>
  <c r="W383" i="434" s="1"/>
  <c r="N383" i="434"/>
  <c r="K383" i="434" a="1"/>
  <c r="K383" i="434" s="1"/>
  <c r="M383" i="434" s="1"/>
  <c r="J383" i="434" a="1"/>
  <c r="J383" i="434" s="1"/>
  <c r="H383" i="434"/>
  <c r="V382" i="434"/>
  <c r="W382" i="434" s="1"/>
  <c r="N382" i="434"/>
  <c r="K382" i="434" a="1"/>
  <c r="K382" i="434" s="1"/>
  <c r="M382" i="434" s="1"/>
  <c r="J382" i="434" a="1"/>
  <c r="J382" i="434" s="1"/>
  <c r="H382" i="434"/>
  <c r="V381" i="434"/>
  <c r="W381" i="434" s="1"/>
  <c r="N381" i="434"/>
  <c r="K381" i="434" a="1"/>
  <c r="K381" i="434" s="1"/>
  <c r="M381" i="434" s="1"/>
  <c r="J381" i="434" a="1"/>
  <c r="J381" i="434" s="1"/>
  <c r="H381" i="434"/>
  <c r="V380" i="434"/>
  <c r="W380" i="434" s="1"/>
  <c r="N380" i="434"/>
  <c r="K380" i="434" a="1"/>
  <c r="K380" i="434" s="1"/>
  <c r="M380" i="434" s="1"/>
  <c r="J380" i="434" a="1"/>
  <c r="J380" i="434" s="1"/>
  <c r="H380" i="434"/>
  <c r="V379" i="434"/>
  <c r="W379" i="434" s="1"/>
  <c r="N379" i="434"/>
  <c r="K379" i="434" a="1"/>
  <c r="K379" i="434" s="1"/>
  <c r="M379" i="434" s="1"/>
  <c r="J379" i="434" a="1"/>
  <c r="J379" i="434" s="1"/>
  <c r="H379" i="434"/>
  <c r="V378" i="434"/>
  <c r="W378" i="434" s="1"/>
  <c r="N378" i="434"/>
  <c r="K378" i="434" a="1"/>
  <c r="K378" i="434" s="1"/>
  <c r="M378" i="434" s="1"/>
  <c r="J378" i="434" a="1"/>
  <c r="J378" i="434" s="1"/>
  <c r="H378" i="434"/>
  <c r="V377" i="434"/>
  <c r="W377" i="434" s="1"/>
  <c r="N377" i="434"/>
  <c r="K377" i="434" a="1"/>
  <c r="K377" i="434" s="1"/>
  <c r="M377" i="434" s="1"/>
  <c r="J377" i="434" a="1"/>
  <c r="J377" i="434" s="1"/>
  <c r="H377" i="434"/>
  <c r="V373" i="434"/>
  <c r="W373" i="434" s="1"/>
  <c r="N373" i="434"/>
  <c r="K373" i="434" a="1"/>
  <c r="K373" i="434" s="1"/>
  <c r="M373" i="434" s="1"/>
  <c r="J373" i="434" a="1"/>
  <c r="J373" i="434" s="1"/>
  <c r="H373" i="434"/>
  <c r="V372" i="434"/>
  <c r="W372" i="434" s="1"/>
  <c r="N372" i="434"/>
  <c r="K372" i="434" a="1"/>
  <c r="K372" i="434" s="1"/>
  <c r="M372" i="434" s="1"/>
  <c r="J372" i="434" a="1"/>
  <c r="J372" i="434" s="1"/>
  <c r="H372" i="434"/>
  <c r="V371" i="434"/>
  <c r="W371" i="434" s="1"/>
  <c r="N371" i="434"/>
  <c r="K371" i="434" a="1"/>
  <c r="K371" i="434" s="1"/>
  <c r="M371" i="434" s="1"/>
  <c r="J371" i="434" a="1"/>
  <c r="J371" i="434" s="1"/>
  <c r="V369" i="434"/>
  <c r="W369" i="434" s="1"/>
  <c r="N369" i="434"/>
  <c r="K369" i="434" a="1"/>
  <c r="K369" i="434" s="1"/>
  <c r="M369" i="434" s="1"/>
  <c r="J369" i="434" a="1"/>
  <c r="J369" i="434" s="1"/>
  <c r="H369" i="434"/>
  <c r="AA368" i="434"/>
  <c r="AA504" i="434" s="1"/>
  <c r="Z368" i="434"/>
  <c r="Z504" i="434" s="1"/>
  <c r="Y368" i="434"/>
  <c r="Y504" i="434" s="1"/>
  <c r="X368" i="434"/>
  <c r="X504" i="434" s="1"/>
  <c r="U368" i="434"/>
  <c r="U504" i="434" s="1"/>
  <c r="T368" i="434"/>
  <c r="T504" i="434" s="1"/>
  <c r="S368" i="434"/>
  <c r="S504" i="434" s="1"/>
  <c r="R368" i="434"/>
  <c r="R504" i="434" s="1"/>
  <c r="Q368" i="434"/>
  <c r="Q504" i="434" s="1"/>
  <c r="P368" i="434"/>
  <c r="P504" i="434" s="1"/>
  <c r="O368" i="434"/>
  <c r="I368" i="434"/>
  <c r="I504" i="434" s="1"/>
  <c r="G368" i="434"/>
  <c r="G504" i="434" s="1"/>
  <c r="V367" i="434"/>
  <c r="W367" i="434" s="1"/>
  <c r="N367" i="434"/>
  <c r="K367" i="434" a="1"/>
  <c r="K367" i="434" s="1"/>
  <c r="M367" i="434" s="1"/>
  <c r="J367" i="434" a="1"/>
  <c r="J367" i="434" s="1"/>
  <c r="H367" i="434"/>
  <c r="V366" i="434"/>
  <c r="W366" i="434" s="1"/>
  <c r="N366" i="434"/>
  <c r="K366" i="434" a="1"/>
  <c r="K366" i="434" s="1"/>
  <c r="M366" i="434" s="1"/>
  <c r="J366" i="434" a="1"/>
  <c r="J366" i="434" s="1"/>
  <c r="H366" i="434"/>
  <c r="K365" i="434" a="1"/>
  <c r="K365" i="434" s="1"/>
  <c r="M365" i="434" s="1"/>
  <c r="H365" i="434"/>
  <c r="K364" i="434" a="1"/>
  <c r="K364" i="434" s="1"/>
  <c r="M364" i="434" s="1"/>
  <c r="H364" i="434"/>
  <c r="K363" i="434" a="1"/>
  <c r="K363" i="434" s="1"/>
  <c r="M363" i="434" s="1"/>
  <c r="H363" i="434"/>
  <c r="K362" i="434" a="1"/>
  <c r="K362" i="434" s="1"/>
  <c r="M362" i="434" s="1"/>
  <c r="H362" i="434"/>
  <c r="V361" i="434"/>
  <c r="W361" i="434" s="1"/>
  <c r="N361" i="434"/>
  <c r="K361" i="434" a="1"/>
  <c r="K361" i="434" s="1"/>
  <c r="M361" i="434" s="1"/>
  <c r="J361" i="434" a="1"/>
  <c r="J361" i="434" s="1"/>
  <c r="V360" i="434"/>
  <c r="W360" i="434" s="1"/>
  <c r="N360" i="434"/>
  <c r="K360" i="434" a="1"/>
  <c r="K360" i="434" s="1"/>
  <c r="M360" i="434" s="1"/>
  <c r="J360" i="434" a="1"/>
  <c r="J360" i="434" s="1"/>
  <c r="V359" i="434"/>
  <c r="W359" i="434" s="1"/>
  <c r="N359" i="434"/>
  <c r="K359" i="434" a="1"/>
  <c r="K359" i="434" s="1"/>
  <c r="M359" i="434" s="1"/>
  <c r="J359" i="434" a="1"/>
  <c r="J359" i="434" s="1"/>
  <c r="V356" i="434"/>
  <c r="W356" i="434" s="1"/>
  <c r="N356" i="434"/>
  <c r="K356" i="434" a="1"/>
  <c r="K356" i="434" s="1"/>
  <c r="M356" i="434" s="1"/>
  <c r="J356" i="434" a="1"/>
  <c r="J356" i="434" s="1"/>
  <c r="H356" i="434"/>
  <c r="V355" i="434"/>
  <c r="W355" i="434" s="1"/>
  <c r="N355" i="434"/>
  <c r="K355" i="434" a="1"/>
  <c r="K355" i="434" s="1"/>
  <c r="M355" i="434" s="1"/>
  <c r="J355" i="434" a="1"/>
  <c r="J355" i="434" s="1"/>
  <c r="H355" i="434"/>
  <c r="K354" i="434" a="1"/>
  <c r="K354" i="434" s="1"/>
  <c r="M354" i="434" s="1"/>
  <c r="H354" i="434"/>
  <c r="K353" i="434" a="1"/>
  <c r="K353" i="434" s="1"/>
  <c r="M353" i="434" s="1"/>
  <c r="H353" i="434"/>
  <c r="V352" i="434"/>
  <c r="W352" i="434" s="1"/>
  <c r="N352" i="434"/>
  <c r="K352" i="434" a="1"/>
  <c r="K352" i="434" s="1"/>
  <c r="M352" i="434" s="1"/>
  <c r="J352" i="434" a="1"/>
  <c r="J352" i="434" s="1"/>
  <c r="H352" i="434"/>
  <c r="V351" i="434"/>
  <c r="W351" i="434" s="1"/>
  <c r="N351" i="434"/>
  <c r="K351" i="434" a="1"/>
  <c r="K351" i="434" s="1"/>
  <c r="M351" i="434" s="1"/>
  <c r="J351" i="434" a="1"/>
  <c r="J351" i="434" s="1"/>
  <c r="H351" i="434"/>
  <c r="V350" i="434"/>
  <c r="W350" i="434" s="1"/>
  <c r="N350" i="434"/>
  <c r="K350" i="434" a="1"/>
  <c r="K350" i="434" s="1"/>
  <c r="M350" i="434" s="1"/>
  <c r="J350" i="434" a="1"/>
  <c r="J350" i="434" s="1"/>
  <c r="H350" i="434"/>
  <c r="V349" i="434"/>
  <c r="W349" i="434" s="1"/>
  <c r="N349" i="434"/>
  <c r="K349" i="434" a="1"/>
  <c r="K349" i="434" s="1"/>
  <c r="M349" i="434" s="1"/>
  <c r="J349" i="434" a="1"/>
  <c r="J349" i="434" s="1"/>
  <c r="H349" i="434"/>
  <c r="V348" i="434"/>
  <c r="W348" i="434" s="1"/>
  <c r="N348" i="434"/>
  <c r="K348" i="434" a="1"/>
  <c r="K348" i="434" s="1"/>
  <c r="M348" i="434" s="1"/>
  <c r="J348" i="434" a="1"/>
  <c r="J348" i="434" s="1"/>
  <c r="H348" i="434"/>
  <c r="V347" i="434"/>
  <c r="N347" i="434"/>
  <c r="K347" i="434" a="1"/>
  <c r="K347" i="434" s="1"/>
  <c r="M347" i="434" s="1"/>
  <c r="J347" i="434" a="1"/>
  <c r="J347" i="434" s="1"/>
  <c r="H347" i="434"/>
  <c r="G339" i="434"/>
  <c r="C339" i="434"/>
  <c r="I338" i="434"/>
  <c r="E338" i="434"/>
  <c r="I337" i="434"/>
  <c r="E337" i="434"/>
  <c r="I336" i="434"/>
  <c r="E336" i="434"/>
  <c r="I335" i="434"/>
  <c r="I339" i="434" s="1"/>
  <c r="E335" i="434"/>
  <c r="E339" i="434" s="1"/>
  <c r="AA332" i="434"/>
  <c r="Z332" i="434"/>
  <c r="Y332" i="434"/>
  <c r="X332" i="434"/>
  <c r="U332" i="434"/>
  <c r="T332" i="434"/>
  <c r="S332" i="434"/>
  <c r="R332" i="434"/>
  <c r="Q332" i="434"/>
  <c r="P332" i="434"/>
  <c r="O332" i="434"/>
  <c r="I332" i="434"/>
  <c r="G332" i="434"/>
  <c r="V328" i="434"/>
  <c r="W328" i="434" s="1"/>
  <c r="N328" i="434"/>
  <c r="H328" i="434"/>
  <c r="V324" i="434"/>
  <c r="W324" i="434" s="1"/>
  <c r="N324" i="434"/>
  <c r="K324" i="434" a="1"/>
  <c r="K324" i="434" s="1"/>
  <c r="M324" i="434" s="1"/>
  <c r="J324" i="434" a="1"/>
  <c r="J324" i="434" s="1"/>
  <c r="V323" i="434"/>
  <c r="W323" i="434" s="1"/>
  <c r="N323" i="434"/>
  <c r="K323" i="434" a="1"/>
  <c r="K323" i="434" s="1"/>
  <c r="M323" i="434" s="1"/>
  <c r="J323" i="434" a="1"/>
  <c r="J323" i="434" s="1"/>
  <c r="V321" i="434"/>
  <c r="W321" i="434" s="1"/>
  <c r="N321" i="434"/>
  <c r="K321" i="434" a="1"/>
  <c r="K321" i="434" s="1"/>
  <c r="M321" i="434" s="1"/>
  <c r="J321" i="434" a="1"/>
  <c r="J321" i="434" s="1"/>
  <c r="H321" i="434"/>
  <c r="V320" i="434"/>
  <c r="W320" i="434" s="1"/>
  <c r="N320" i="434"/>
  <c r="K320" i="434" a="1"/>
  <c r="K320" i="434" s="1"/>
  <c r="M320" i="434" s="1"/>
  <c r="J320" i="434" a="1"/>
  <c r="J320" i="434" s="1"/>
  <c r="H320" i="434"/>
  <c r="V319" i="434"/>
  <c r="W319" i="434" s="1"/>
  <c r="N319" i="434"/>
  <c r="K319" i="434" a="1"/>
  <c r="K319" i="434" s="1"/>
  <c r="M319" i="434" s="1"/>
  <c r="J319" i="434" a="1"/>
  <c r="J319" i="434" s="1"/>
  <c r="H319" i="434"/>
  <c r="V318" i="434"/>
  <c r="N318" i="434"/>
  <c r="K318" i="434" a="1"/>
  <c r="K318" i="434" s="1"/>
  <c r="J318" i="434" a="1"/>
  <c r="J318" i="434" s="1"/>
  <c r="H318" i="434"/>
  <c r="AA317" i="434"/>
  <c r="Z317" i="434"/>
  <c r="Y317" i="434"/>
  <c r="X317" i="434"/>
  <c r="U317" i="434"/>
  <c r="T317" i="434"/>
  <c r="S317" i="434"/>
  <c r="Q317" i="434"/>
  <c r="P317" i="434"/>
  <c r="O317" i="434"/>
  <c r="I317" i="434"/>
  <c r="G317" i="434"/>
  <c r="V316" i="434"/>
  <c r="W316" i="434" s="1"/>
  <c r="N316" i="434"/>
  <c r="K316" i="434" a="1"/>
  <c r="K316" i="434" s="1"/>
  <c r="M316" i="434" s="1"/>
  <c r="J316" i="434" a="1"/>
  <c r="J316" i="434" s="1"/>
  <c r="H316" i="434"/>
  <c r="V312" i="434"/>
  <c r="W312" i="434" s="1"/>
  <c r="N312" i="434"/>
  <c r="K312" i="434" a="1"/>
  <c r="K312" i="434" s="1"/>
  <c r="M312" i="434" s="1"/>
  <c r="J312" i="434" a="1"/>
  <c r="J312" i="434" s="1"/>
  <c r="H312" i="434"/>
  <c r="V311" i="434"/>
  <c r="W311" i="434" s="1"/>
  <c r="N311" i="434"/>
  <c r="K311" i="434" a="1"/>
  <c r="K311" i="434" s="1"/>
  <c r="M311" i="434" s="1"/>
  <c r="J311" i="434" a="1"/>
  <c r="J311" i="434" s="1"/>
  <c r="H311" i="434"/>
  <c r="V310" i="434"/>
  <c r="W310" i="434" s="1"/>
  <c r="N310" i="434"/>
  <c r="K310" i="434" a="1"/>
  <c r="K310" i="434" s="1"/>
  <c r="M310" i="434" s="1"/>
  <c r="J310" i="434" a="1"/>
  <c r="J310" i="434" s="1"/>
  <c r="H310" i="434"/>
  <c r="V309" i="434"/>
  <c r="W309" i="434" s="1"/>
  <c r="N309" i="434"/>
  <c r="K309" i="434" a="1"/>
  <c r="K309" i="434" s="1"/>
  <c r="M309" i="434" s="1"/>
  <c r="J309" i="434" a="1"/>
  <c r="J309" i="434" s="1"/>
  <c r="H309" i="434"/>
  <c r="V308" i="434"/>
  <c r="N308" i="434"/>
  <c r="K308" i="434" a="1"/>
  <c r="K308" i="434" s="1"/>
  <c r="J308" i="434" a="1"/>
  <c r="J308" i="434" s="1"/>
  <c r="H308" i="434"/>
  <c r="AA307" i="434"/>
  <c r="Z307" i="434"/>
  <c r="Y307" i="434"/>
  <c r="X307" i="434"/>
  <c r="U307" i="434"/>
  <c r="T307" i="434"/>
  <c r="S307" i="434"/>
  <c r="Q307" i="434"/>
  <c r="P307" i="434"/>
  <c r="O307" i="434"/>
  <c r="I307" i="434"/>
  <c r="G307" i="434"/>
  <c r="V306" i="434"/>
  <c r="W306" i="434" s="1"/>
  <c r="N306" i="434"/>
  <c r="K306" i="434" a="1"/>
  <c r="K306" i="434" s="1"/>
  <c r="M306" i="434" s="1"/>
  <c r="J306" i="434" a="1"/>
  <c r="J306" i="434" s="1"/>
  <c r="H306" i="434"/>
  <c r="V305" i="434"/>
  <c r="W305" i="434" s="1"/>
  <c r="N305" i="434"/>
  <c r="K305" i="434" a="1"/>
  <c r="K305" i="434" s="1"/>
  <c r="M305" i="434" s="1"/>
  <c r="J305" i="434" a="1"/>
  <c r="J305" i="434" s="1"/>
  <c r="H305" i="434"/>
  <c r="V304" i="434"/>
  <c r="W304" i="434" s="1"/>
  <c r="N304" i="434"/>
  <c r="K304" i="434" a="1"/>
  <c r="K304" i="434" s="1"/>
  <c r="M304" i="434" s="1"/>
  <c r="J304" i="434" a="1"/>
  <c r="J304" i="434" s="1"/>
  <c r="H304" i="434"/>
  <c r="V303" i="434"/>
  <c r="W303" i="434" s="1"/>
  <c r="N303" i="434"/>
  <c r="K303" i="434" a="1"/>
  <c r="K303" i="434" s="1"/>
  <c r="M303" i="434" s="1"/>
  <c r="J303" i="434" a="1"/>
  <c r="J303" i="434" s="1"/>
  <c r="H303" i="434"/>
  <c r="V302" i="434"/>
  <c r="W302" i="434" s="1"/>
  <c r="N302" i="434"/>
  <c r="K302" i="434" a="1"/>
  <c r="K302" i="434" s="1"/>
  <c r="M302" i="434" s="1"/>
  <c r="J302" i="434" a="1"/>
  <c r="J302" i="434" s="1"/>
  <c r="H302" i="434"/>
  <c r="V301" i="434"/>
  <c r="W301" i="434" s="1"/>
  <c r="N301" i="434"/>
  <c r="K301" i="434" a="1"/>
  <c r="K301" i="434" s="1"/>
  <c r="M301" i="434" s="1"/>
  <c r="J301" i="434" a="1"/>
  <c r="J301" i="434" s="1"/>
  <c r="H301" i="434"/>
  <c r="V300" i="434"/>
  <c r="W300" i="434" s="1"/>
  <c r="N300" i="434"/>
  <c r="K300" i="434" a="1"/>
  <c r="K300" i="434" s="1"/>
  <c r="M300" i="434" s="1"/>
  <c r="J300" i="434" a="1"/>
  <c r="J300" i="434" s="1"/>
  <c r="H300" i="434"/>
  <c r="V299" i="434"/>
  <c r="W299" i="434" s="1"/>
  <c r="N299" i="434"/>
  <c r="K299" i="434" a="1"/>
  <c r="K299" i="434" s="1"/>
  <c r="M299" i="434" s="1"/>
  <c r="J299" i="434" a="1"/>
  <c r="J299" i="434" s="1"/>
  <c r="H299" i="434"/>
  <c r="V298" i="434"/>
  <c r="W298" i="434" s="1"/>
  <c r="N298" i="434"/>
  <c r="K298" i="434" a="1"/>
  <c r="K298" i="434" s="1"/>
  <c r="M298" i="434" s="1"/>
  <c r="J298" i="434" a="1"/>
  <c r="J298" i="434" s="1"/>
  <c r="H298" i="434"/>
  <c r="V297" i="434"/>
  <c r="W297" i="434" s="1"/>
  <c r="N297" i="434"/>
  <c r="K297" i="434" a="1"/>
  <c r="K297" i="434" s="1"/>
  <c r="M297" i="434" s="1"/>
  <c r="J297" i="434" a="1"/>
  <c r="J297" i="434" s="1"/>
  <c r="H297" i="434"/>
  <c r="V296" i="434"/>
  <c r="W296" i="434" s="1"/>
  <c r="N296" i="434"/>
  <c r="K296" i="434" a="1"/>
  <c r="K296" i="434" s="1"/>
  <c r="M296" i="434" s="1"/>
  <c r="J296" i="434" a="1"/>
  <c r="J296" i="434" s="1"/>
  <c r="H296" i="434"/>
  <c r="V295" i="434"/>
  <c r="W295" i="434" s="1"/>
  <c r="N295" i="434"/>
  <c r="K295" i="434" a="1"/>
  <c r="K295" i="434" s="1"/>
  <c r="M295" i="434" s="1"/>
  <c r="J295" i="434" a="1"/>
  <c r="J295" i="434" s="1"/>
  <c r="H295" i="434"/>
  <c r="V294" i="434"/>
  <c r="W294" i="434" s="1"/>
  <c r="N294" i="434"/>
  <c r="K294" i="434" a="1"/>
  <c r="K294" i="434" s="1"/>
  <c r="M294" i="434" s="1"/>
  <c r="J294" i="434" a="1"/>
  <c r="J294" i="434" s="1"/>
  <c r="H294" i="434"/>
  <c r="V293" i="434"/>
  <c r="W293" i="434" s="1"/>
  <c r="N293" i="434"/>
  <c r="K293" i="434" a="1"/>
  <c r="K293" i="434" s="1"/>
  <c r="M293" i="434" s="1"/>
  <c r="J293" i="434" a="1"/>
  <c r="J293" i="434" s="1"/>
  <c r="H293" i="434"/>
  <c r="V292" i="434"/>
  <c r="N292" i="434"/>
  <c r="K292" i="434" a="1"/>
  <c r="K292" i="434" s="1"/>
  <c r="J292" i="434" a="1"/>
  <c r="J292" i="434" s="1"/>
  <c r="H292" i="434"/>
  <c r="AA291" i="434"/>
  <c r="Z291" i="434"/>
  <c r="Y291" i="434"/>
  <c r="X291" i="434"/>
  <c r="U291" i="434"/>
  <c r="T291" i="434"/>
  <c r="S291" i="434"/>
  <c r="R291" i="434"/>
  <c r="Q291" i="434"/>
  <c r="P291" i="434"/>
  <c r="O291" i="434"/>
  <c r="I291" i="434"/>
  <c r="G291" i="434"/>
  <c r="V290" i="434"/>
  <c r="W290" i="434" s="1"/>
  <c r="N290" i="434"/>
  <c r="K290" i="434" a="1"/>
  <c r="K290" i="434" s="1"/>
  <c r="M290" i="434" s="1"/>
  <c r="J290" i="434" a="1"/>
  <c r="J290" i="434" s="1"/>
  <c r="H290" i="434"/>
  <c r="V289" i="434"/>
  <c r="W289" i="434" s="1"/>
  <c r="N289" i="434"/>
  <c r="K289" i="434" a="1"/>
  <c r="K289" i="434" s="1"/>
  <c r="M289" i="434" s="1"/>
  <c r="J289" i="434" a="1"/>
  <c r="J289" i="434" s="1"/>
  <c r="H289" i="434"/>
  <c r="V288" i="434"/>
  <c r="W288" i="434" s="1"/>
  <c r="N288" i="434"/>
  <c r="K288" i="434" a="1"/>
  <c r="K288" i="434" s="1"/>
  <c r="M288" i="434" s="1"/>
  <c r="J288" i="434" a="1"/>
  <c r="J288" i="434" s="1"/>
  <c r="H288" i="434"/>
  <c r="V284" i="434"/>
  <c r="W284" i="434" s="1"/>
  <c r="N284" i="434"/>
  <c r="K284" i="434" a="1"/>
  <c r="K284" i="434" s="1"/>
  <c r="M284" i="434" s="1"/>
  <c r="J284" i="434" a="1"/>
  <c r="J284" i="434" s="1"/>
  <c r="H284" i="434"/>
  <c r="V283" i="434"/>
  <c r="W283" i="434" s="1"/>
  <c r="N283" i="434"/>
  <c r="K283" i="434" a="1"/>
  <c r="K283" i="434" s="1"/>
  <c r="M283" i="434" s="1"/>
  <c r="J283" i="434" a="1"/>
  <c r="J283" i="434" s="1"/>
  <c r="H283" i="434"/>
  <c r="N282" i="434"/>
  <c r="K282" i="434" a="1"/>
  <c r="K282" i="434" s="1"/>
  <c r="M282" i="434" s="1"/>
  <c r="H282" i="434"/>
  <c r="N281" i="434"/>
  <c r="K281" i="434" a="1"/>
  <c r="K281" i="434" s="1"/>
  <c r="M281" i="434" s="1"/>
  <c r="H281" i="434"/>
  <c r="N280" i="434"/>
  <c r="K280" i="434" a="1"/>
  <c r="K280" i="434" s="1"/>
  <c r="M280" i="434" s="1"/>
  <c r="H280" i="434"/>
  <c r="N279" i="434"/>
  <c r="K279" i="434" a="1"/>
  <c r="K279" i="434" s="1"/>
  <c r="M279" i="434" s="1"/>
  <c r="H279" i="434"/>
  <c r="N278" i="434"/>
  <c r="K278" i="434" a="1"/>
  <c r="K278" i="434" s="1"/>
  <c r="M278" i="434" s="1"/>
  <c r="H278" i="434"/>
  <c r="N277" i="434"/>
  <c r="K277" i="434" a="1"/>
  <c r="K277" i="434" s="1"/>
  <c r="M277" i="434" s="1"/>
  <c r="H277" i="434"/>
  <c r="V276" i="434"/>
  <c r="W276" i="434" s="1"/>
  <c r="N276" i="434"/>
  <c r="K276" i="434" a="1"/>
  <c r="K276" i="434" s="1"/>
  <c r="M276" i="434" s="1"/>
  <c r="J276" i="434" a="1"/>
  <c r="J276" i="434" s="1"/>
  <c r="H276" i="434"/>
  <c r="V275" i="434"/>
  <c r="W275" i="434" s="1"/>
  <c r="N275" i="434"/>
  <c r="K275" i="434" a="1"/>
  <c r="K275" i="434" s="1"/>
  <c r="M275" i="434" s="1"/>
  <c r="J275" i="434" a="1"/>
  <c r="J275" i="434" s="1"/>
  <c r="H275" i="434"/>
  <c r="V274" i="434"/>
  <c r="W274" i="434" s="1"/>
  <c r="N274" i="434"/>
  <c r="K274" i="434" a="1"/>
  <c r="K274" i="434" s="1"/>
  <c r="M274" i="434" s="1"/>
  <c r="J274" i="434" a="1"/>
  <c r="J274" i="434" s="1"/>
  <c r="H274" i="434"/>
  <c r="V273" i="434"/>
  <c r="W273" i="434" s="1"/>
  <c r="N273" i="434"/>
  <c r="K273" i="434" a="1"/>
  <c r="K273" i="434" s="1"/>
  <c r="M273" i="434" s="1"/>
  <c r="J273" i="434" a="1"/>
  <c r="J273" i="434" s="1"/>
  <c r="H273" i="434"/>
  <c r="V272" i="434"/>
  <c r="W272" i="434" s="1"/>
  <c r="N272" i="434"/>
  <c r="K272" i="434" a="1"/>
  <c r="K272" i="434" s="1"/>
  <c r="M272" i="434" s="1"/>
  <c r="J272" i="434" a="1"/>
  <c r="J272" i="434" s="1"/>
  <c r="H272" i="434"/>
  <c r="V271" i="434"/>
  <c r="W271" i="434" s="1"/>
  <c r="N271" i="434"/>
  <c r="K271" i="434" a="1"/>
  <c r="K271" i="434" s="1"/>
  <c r="M271" i="434" s="1"/>
  <c r="J271" i="434" a="1"/>
  <c r="J271" i="434" s="1"/>
  <c r="H271" i="434"/>
  <c r="V270" i="434"/>
  <c r="W270" i="434" s="1"/>
  <c r="N270" i="434"/>
  <c r="K270" i="434" a="1"/>
  <c r="K270" i="434" s="1"/>
  <c r="M270" i="434" s="1"/>
  <c r="J270" i="434" a="1"/>
  <c r="J270" i="434" s="1"/>
  <c r="H270" i="434"/>
  <c r="V269" i="434"/>
  <c r="W269" i="434" s="1"/>
  <c r="N269" i="434"/>
  <c r="K269" i="434" a="1"/>
  <c r="K269" i="434" s="1"/>
  <c r="M269" i="434" s="1"/>
  <c r="J269" i="434" a="1"/>
  <c r="J269" i="434" s="1"/>
  <c r="H269" i="434"/>
  <c r="V268" i="434"/>
  <c r="W268" i="434" s="1"/>
  <c r="N268" i="434"/>
  <c r="K268" i="434" a="1"/>
  <c r="K268" i="434" s="1"/>
  <c r="M268" i="434" s="1"/>
  <c r="J268" i="434" a="1"/>
  <c r="J268" i="434" s="1"/>
  <c r="H268" i="434"/>
  <c r="V267" i="434"/>
  <c r="W267" i="434" s="1"/>
  <c r="N267" i="434"/>
  <c r="K267" i="434" a="1"/>
  <c r="K267" i="434" s="1"/>
  <c r="M267" i="434" s="1"/>
  <c r="J267" i="434" a="1"/>
  <c r="J267" i="434" s="1"/>
  <c r="H267" i="434"/>
  <c r="V266" i="434"/>
  <c r="W266" i="434" s="1"/>
  <c r="N266" i="434"/>
  <c r="K266" i="434" a="1"/>
  <c r="K266" i="434" s="1"/>
  <c r="M266" i="434" s="1"/>
  <c r="J266" i="434" a="1"/>
  <c r="J266" i="434" s="1"/>
  <c r="H266" i="434"/>
  <c r="V265" i="434"/>
  <c r="W265" i="434" s="1"/>
  <c r="N265" i="434"/>
  <c r="K265" i="434" a="1"/>
  <c r="K265" i="434" s="1"/>
  <c r="M265" i="434" s="1"/>
  <c r="J265" i="434" a="1"/>
  <c r="J265" i="434" s="1"/>
  <c r="H265" i="434"/>
  <c r="N264" i="434"/>
  <c r="K264" i="434" a="1"/>
  <c r="K264" i="434" s="1"/>
  <c r="M264" i="434" s="1"/>
  <c r="H264" i="434"/>
  <c r="V263" i="434"/>
  <c r="W263" i="434" s="1"/>
  <c r="N263" i="434"/>
  <c r="K263" i="434" a="1"/>
  <c r="K263" i="434" s="1"/>
  <c r="M263" i="434" s="1"/>
  <c r="J263" i="434" a="1"/>
  <c r="J263" i="434" s="1"/>
  <c r="H263" i="434"/>
  <c r="V262" i="434"/>
  <c r="W262" i="434" s="1"/>
  <c r="N262" i="434"/>
  <c r="K262" i="434" a="1"/>
  <c r="K262" i="434" s="1"/>
  <c r="M262" i="434" s="1"/>
  <c r="J262" i="434" a="1"/>
  <c r="J262" i="434" s="1"/>
  <c r="H262" i="434"/>
  <c r="V261" i="434"/>
  <c r="W261" i="434" s="1"/>
  <c r="N261" i="434"/>
  <c r="K261" i="434" a="1"/>
  <c r="K261" i="434" s="1"/>
  <c r="M261" i="434" s="1"/>
  <c r="J261" i="434" a="1"/>
  <c r="J261" i="434" s="1"/>
  <c r="H261" i="434"/>
  <c r="V260" i="434"/>
  <c r="W260" i="434" s="1"/>
  <c r="N260" i="434"/>
  <c r="K260" i="434" a="1"/>
  <c r="K260" i="434" s="1"/>
  <c r="M260" i="434" s="1"/>
  <c r="J260" i="434" a="1"/>
  <c r="J260" i="434" s="1"/>
  <c r="H260" i="434"/>
  <c r="V259" i="434"/>
  <c r="W259" i="434" s="1"/>
  <c r="N259" i="434"/>
  <c r="K259" i="434" a="1"/>
  <c r="K259" i="434" s="1"/>
  <c r="M259" i="434" s="1"/>
  <c r="J259" i="434" a="1"/>
  <c r="J259" i="434" s="1"/>
  <c r="H259" i="434"/>
  <c r="V258" i="434"/>
  <c r="W258" i="434" s="1"/>
  <c r="N258" i="434"/>
  <c r="K258" i="434" a="1"/>
  <c r="K258" i="434" s="1"/>
  <c r="M258" i="434" s="1"/>
  <c r="J258" i="434" a="1"/>
  <c r="J258" i="434" s="1"/>
  <c r="H258" i="434"/>
  <c r="V257" i="434"/>
  <c r="N257" i="434"/>
  <c r="K257" i="434" a="1"/>
  <c r="K257" i="434" s="1"/>
  <c r="J257" i="434" a="1"/>
  <c r="J257" i="434" s="1"/>
  <c r="H257" i="434"/>
  <c r="AA256" i="434"/>
  <c r="Z256" i="434"/>
  <c r="Y256" i="434"/>
  <c r="X256" i="434"/>
  <c r="U256" i="434"/>
  <c r="T256" i="434"/>
  <c r="S256" i="434"/>
  <c r="R256" i="434"/>
  <c r="Q256" i="434"/>
  <c r="P256" i="434"/>
  <c r="O256" i="434"/>
  <c r="I256" i="434"/>
  <c r="G256" i="434"/>
  <c r="V245" i="434"/>
  <c r="W245" i="434" s="1"/>
  <c r="N245" i="434"/>
  <c r="K245" i="434" a="1"/>
  <c r="K245" i="434" s="1"/>
  <c r="M245" i="434" s="1"/>
  <c r="J245" i="434" a="1"/>
  <c r="J245" i="434" s="1"/>
  <c r="V244" i="434"/>
  <c r="W244" i="434" s="1"/>
  <c r="N244" i="434"/>
  <c r="K244" i="434" a="1"/>
  <c r="K244" i="434" s="1"/>
  <c r="M244" i="434" s="1"/>
  <c r="J244" i="434" a="1"/>
  <c r="J244" i="434" s="1"/>
  <c r="V243" i="434"/>
  <c r="W243" i="434" s="1"/>
  <c r="N243" i="434"/>
  <c r="K243" i="434" a="1"/>
  <c r="K243" i="434" s="1"/>
  <c r="M243" i="434" s="1"/>
  <c r="J243" i="434" a="1"/>
  <c r="J243" i="434" s="1"/>
  <c r="V242" i="434"/>
  <c r="W242" i="434" s="1"/>
  <c r="N242" i="434"/>
  <c r="K242" i="434" a="1"/>
  <c r="K242" i="434" s="1"/>
  <c r="M242" i="434" s="1"/>
  <c r="J242" i="434" a="1"/>
  <c r="J242" i="434" s="1"/>
  <c r="V240" i="434"/>
  <c r="W240" i="434" s="1"/>
  <c r="N240" i="434"/>
  <c r="K240" i="434" a="1"/>
  <c r="K240" i="434" s="1"/>
  <c r="M240" i="434" s="1"/>
  <c r="J240" i="434" a="1"/>
  <c r="J240" i="434" s="1"/>
  <c r="V239" i="434"/>
  <c r="W239" i="434" s="1"/>
  <c r="N239" i="434"/>
  <c r="J239" i="434" a="1"/>
  <c r="J239" i="434" s="1"/>
  <c r="H238" i="434"/>
  <c r="V236" i="434"/>
  <c r="W236" i="434" s="1"/>
  <c r="N236" i="434"/>
  <c r="K236" i="434" a="1"/>
  <c r="K236" i="434" s="1"/>
  <c r="M236" i="434" s="1"/>
  <c r="J236" i="434" a="1"/>
  <c r="J236" i="434" s="1"/>
  <c r="H236" i="434"/>
  <c r="V235" i="434"/>
  <c r="W235" i="434" s="1"/>
  <c r="N235" i="434"/>
  <c r="K235" i="434" a="1"/>
  <c r="K235" i="434" s="1"/>
  <c r="M235" i="434" s="1"/>
  <c r="J235" i="434" a="1"/>
  <c r="J235" i="434" s="1"/>
  <c r="H235" i="434"/>
  <c r="V234" i="434"/>
  <c r="W234" i="434" s="1"/>
  <c r="N234" i="434"/>
  <c r="K234" i="434" a="1"/>
  <c r="K234" i="434" s="1"/>
  <c r="M234" i="434" s="1"/>
  <c r="J234" i="434" a="1"/>
  <c r="J234" i="434" s="1"/>
  <c r="H234" i="434"/>
  <c r="V233" i="434"/>
  <c r="W233" i="434" s="1"/>
  <c r="N233" i="434"/>
  <c r="K233" i="434" a="1"/>
  <c r="K233" i="434" s="1"/>
  <c r="M233" i="434" s="1"/>
  <c r="J233" i="434" a="1"/>
  <c r="J233" i="434" s="1"/>
  <c r="H233" i="434"/>
  <c r="V232" i="434"/>
  <c r="W232" i="434" s="1"/>
  <c r="N232" i="434"/>
  <c r="K232" i="434" a="1"/>
  <c r="K232" i="434" s="1"/>
  <c r="M232" i="434" s="1"/>
  <c r="J232" i="434" a="1"/>
  <c r="J232" i="434" s="1"/>
  <c r="H232" i="434"/>
  <c r="V231" i="434"/>
  <c r="W231" i="434" s="1"/>
  <c r="N231" i="434"/>
  <c r="K231" i="434" a="1"/>
  <c r="K231" i="434" s="1"/>
  <c r="M231" i="434" s="1"/>
  <c r="J231" i="434" a="1"/>
  <c r="J231" i="434" s="1"/>
  <c r="H231" i="434"/>
  <c r="V230" i="434"/>
  <c r="W230" i="434" s="1"/>
  <c r="N230" i="434"/>
  <c r="K230" i="434" a="1"/>
  <c r="K230" i="434" s="1"/>
  <c r="M230" i="434" s="1"/>
  <c r="J230" i="434" a="1"/>
  <c r="J230" i="434" s="1"/>
  <c r="H230" i="434"/>
  <c r="V229" i="434"/>
  <c r="W229" i="434" s="1"/>
  <c r="N229" i="434"/>
  <c r="K229" i="434" a="1"/>
  <c r="K229" i="434" s="1"/>
  <c r="M229" i="434" s="1"/>
  <c r="J229" i="434" a="1"/>
  <c r="J229" i="434" s="1"/>
  <c r="H229" i="434"/>
  <c r="V228" i="434"/>
  <c r="W228" i="434" s="1"/>
  <c r="N228" i="434"/>
  <c r="K228" i="434" a="1"/>
  <c r="K228" i="434" s="1"/>
  <c r="M228" i="434" s="1"/>
  <c r="J228" i="434" a="1"/>
  <c r="J228" i="434" s="1"/>
  <c r="V227" i="434"/>
  <c r="W227" i="434" s="1"/>
  <c r="K227" i="434" a="1"/>
  <c r="K227" i="434" s="1"/>
  <c r="M227" i="434" s="1"/>
  <c r="J227" i="434" a="1"/>
  <c r="J227" i="434" s="1"/>
  <c r="N222" i="434"/>
  <c r="K222" i="434" a="1"/>
  <c r="K222" i="434" s="1"/>
  <c r="M222" i="434" s="1"/>
  <c r="H222" i="434"/>
  <c r="N221" i="434"/>
  <c r="K221" i="434" a="1"/>
  <c r="K221" i="434" s="1"/>
  <c r="M221" i="434" s="1"/>
  <c r="H221" i="434"/>
  <c r="N220" i="434"/>
  <c r="K220" i="434" a="1"/>
  <c r="K220" i="434" s="1"/>
  <c r="M220" i="434" s="1"/>
  <c r="H220" i="434"/>
  <c r="N219" i="434"/>
  <c r="K219" i="434" a="1"/>
  <c r="K219" i="434" s="1"/>
  <c r="M219" i="434" s="1"/>
  <c r="H219" i="434"/>
  <c r="V218" i="434"/>
  <c r="W218" i="434" s="1"/>
  <c r="N218" i="434"/>
  <c r="K218" i="434" a="1"/>
  <c r="K218" i="434" s="1"/>
  <c r="M218" i="434" s="1"/>
  <c r="J218" i="434" a="1"/>
  <c r="J218" i="434" s="1"/>
  <c r="H218" i="434"/>
  <c r="V217" i="434"/>
  <c r="W217" i="434" s="1"/>
  <c r="N217" i="434"/>
  <c r="K217" i="434" a="1"/>
  <c r="K217" i="434" s="1"/>
  <c r="M217" i="434" s="1"/>
  <c r="J217" i="434" a="1"/>
  <c r="J217" i="434" s="1"/>
  <c r="H217" i="434"/>
  <c r="V216" i="434"/>
  <c r="W216" i="434" s="1"/>
  <c r="N216" i="434"/>
  <c r="K216" i="434" a="1"/>
  <c r="K216" i="434" s="1"/>
  <c r="M216" i="434" s="1"/>
  <c r="J216" i="434" a="1"/>
  <c r="J216" i="434" s="1"/>
  <c r="H216" i="434"/>
  <c r="V215" i="434"/>
  <c r="W215" i="434" s="1"/>
  <c r="N215" i="434"/>
  <c r="K215" i="434" a="1"/>
  <c r="K215" i="434" s="1"/>
  <c r="M215" i="434" s="1"/>
  <c r="J215" i="434" a="1"/>
  <c r="J215" i="434" s="1"/>
  <c r="H215" i="434"/>
  <c r="V214" i="434"/>
  <c r="W214" i="434" s="1"/>
  <c r="N214" i="434"/>
  <c r="K214" i="434" a="1"/>
  <c r="K214" i="434" s="1"/>
  <c r="M214" i="434" s="1"/>
  <c r="J214" i="434" a="1"/>
  <c r="J214" i="434" s="1"/>
  <c r="H214" i="434"/>
  <c r="V213" i="434"/>
  <c r="W213" i="434" s="1"/>
  <c r="N213" i="434"/>
  <c r="K213" i="434" a="1"/>
  <c r="K213" i="434" s="1"/>
  <c r="M213" i="434" s="1"/>
  <c r="J213" i="434" a="1"/>
  <c r="J213" i="434" s="1"/>
  <c r="H213" i="434"/>
  <c r="V212" i="434"/>
  <c r="W212" i="434" s="1"/>
  <c r="N212" i="434"/>
  <c r="K212" i="434" a="1"/>
  <c r="K212" i="434" s="1"/>
  <c r="M212" i="434" s="1"/>
  <c r="J212" i="434" a="1"/>
  <c r="J212" i="434" s="1"/>
  <c r="H212" i="434"/>
  <c r="V211" i="434"/>
  <c r="W211" i="434" s="1"/>
  <c r="N211" i="434"/>
  <c r="K211" i="434" a="1"/>
  <c r="K211" i="434" s="1"/>
  <c r="M211" i="434" s="1"/>
  <c r="J211" i="434" a="1"/>
  <c r="J211" i="434" s="1"/>
  <c r="H211" i="434"/>
  <c r="V210" i="434"/>
  <c r="W210" i="434" s="1"/>
  <c r="N210" i="434"/>
  <c r="K210" i="434" a="1"/>
  <c r="K210" i="434" s="1"/>
  <c r="M210" i="434" s="1"/>
  <c r="J210" i="434" a="1"/>
  <c r="J210" i="434" s="1"/>
  <c r="H210" i="434"/>
  <c r="V209" i="434"/>
  <c r="W209" i="434" s="1"/>
  <c r="N209" i="434"/>
  <c r="K209" i="434" a="1"/>
  <c r="K209" i="434" s="1"/>
  <c r="M209" i="434" s="1"/>
  <c r="J209" i="434" a="1"/>
  <c r="J209" i="434" s="1"/>
  <c r="V208" i="434"/>
  <c r="W208" i="434" s="1"/>
  <c r="N208" i="434"/>
  <c r="K208" i="434" a="1"/>
  <c r="K208" i="434" s="1"/>
  <c r="M208" i="434" s="1"/>
  <c r="J208" i="434" a="1"/>
  <c r="J208" i="434" s="1"/>
  <c r="V207" i="434"/>
  <c r="W207" i="434" s="1"/>
  <c r="N207" i="434"/>
  <c r="K207" i="434" a="1"/>
  <c r="K207" i="434" s="1"/>
  <c r="M207" i="434" s="1"/>
  <c r="J207" i="434" a="1"/>
  <c r="J207" i="434" s="1"/>
  <c r="V203" i="434"/>
  <c r="W203" i="434" s="1"/>
  <c r="N203" i="434"/>
  <c r="K203" i="434" a="1"/>
  <c r="K203" i="434" s="1"/>
  <c r="M203" i="434" s="1"/>
  <c r="J203" i="434" a="1"/>
  <c r="J203" i="434" s="1"/>
  <c r="V202" i="434"/>
  <c r="W202" i="434" s="1"/>
  <c r="N202" i="434"/>
  <c r="K202" i="434" a="1"/>
  <c r="K202" i="434" s="1"/>
  <c r="M202" i="434" s="1"/>
  <c r="J202" i="434" a="1"/>
  <c r="J202" i="434" s="1"/>
  <c r="H202" i="434"/>
  <c r="V201" i="434"/>
  <c r="W201" i="434" s="1"/>
  <c r="N201" i="434"/>
  <c r="K201" i="434" a="1"/>
  <c r="K201" i="434" s="1"/>
  <c r="M201" i="434" s="1"/>
  <c r="J201" i="434" a="1"/>
  <c r="J201" i="434" s="1"/>
  <c r="H201" i="434"/>
  <c r="V199" i="434"/>
  <c r="W199" i="434" s="1"/>
  <c r="N199" i="434"/>
  <c r="K199" i="434" a="1"/>
  <c r="K199" i="434" s="1"/>
  <c r="M199" i="434" s="1"/>
  <c r="J199" i="434" a="1"/>
  <c r="J199" i="434" s="1"/>
  <c r="H199" i="434"/>
  <c r="AA198" i="434"/>
  <c r="AA333" i="434" s="1"/>
  <c r="Z198" i="434"/>
  <c r="Z333" i="434" s="1"/>
  <c r="Y198" i="434"/>
  <c r="Y333" i="434" s="1"/>
  <c r="X198" i="434"/>
  <c r="X333" i="434" s="1"/>
  <c r="U198" i="434"/>
  <c r="U333" i="434" s="1"/>
  <c r="T198" i="434"/>
  <c r="T333" i="434" s="1"/>
  <c r="S198" i="434"/>
  <c r="S333" i="434" s="1"/>
  <c r="R198" i="434"/>
  <c r="R333" i="434" s="1"/>
  <c r="Q198" i="434"/>
  <c r="Q333" i="434" s="1"/>
  <c r="P198" i="434"/>
  <c r="O198" i="434"/>
  <c r="O333" i="434" s="1"/>
  <c r="I198" i="434"/>
  <c r="I333" i="434" s="1"/>
  <c r="G198" i="434"/>
  <c r="G333" i="434" s="1"/>
  <c r="V197" i="434"/>
  <c r="W197" i="434" s="1"/>
  <c r="N197" i="434"/>
  <c r="K197" i="434" a="1"/>
  <c r="K197" i="434" s="1"/>
  <c r="M197" i="434" s="1"/>
  <c r="J197" i="434" a="1"/>
  <c r="J197" i="434" s="1"/>
  <c r="H197" i="434"/>
  <c r="V196" i="434"/>
  <c r="W196" i="434" s="1"/>
  <c r="N196" i="434"/>
  <c r="K196" i="434" a="1"/>
  <c r="K196" i="434" s="1"/>
  <c r="M196" i="434" s="1"/>
  <c r="J196" i="434" a="1"/>
  <c r="J196" i="434" s="1"/>
  <c r="H196" i="434"/>
  <c r="K195" i="434" a="1"/>
  <c r="K195" i="434" s="1"/>
  <c r="M195" i="434" s="1"/>
  <c r="H195" i="434"/>
  <c r="K194" i="434" a="1"/>
  <c r="K194" i="434" s="1"/>
  <c r="M194" i="434" s="1"/>
  <c r="H194" i="434"/>
  <c r="K193" i="434" a="1"/>
  <c r="K193" i="434" s="1"/>
  <c r="M193" i="434" s="1"/>
  <c r="H193" i="434"/>
  <c r="K192" i="434" a="1"/>
  <c r="K192" i="434" s="1"/>
  <c r="M192" i="434" s="1"/>
  <c r="H192" i="434"/>
  <c r="V191" i="434"/>
  <c r="W191" i="434" s="1"/>
  <c r="N191" i="434"/>
  <c r="K191" i="434" a="1"/>
  <c r="K191" i="434" s="1"/>
  <c r="M191" i="434" s="1"/>
  <c r="J191" i="434" a="1"/>
  <c r="J191" i="434" s="1"/>
  <c r="H191" i="434"/>
  <c r="V190" i="434"/>
  <c r="W190" i="434" s="1"/>
  <c r="N190" i="434"/>
  <c r="K190" i="434" a="1"/>
  <c r="K190" i="434" s="1"/>
  <c r="M190" i="434" s="1"/>
  <c r="J190" i="434" a="1"/>
  <c r="J190" i="434" s="1"/>
  <c r="H190" i="434"/>
  <c r="V189" i="434"/>
  <c r="W189" i="434" s="1"/>
  <c r="N189" i="434"/>
  <c r="K189" i="434" a="1"/>
  <c r="K189" i="434" s="1"/>
  <c r="M189" i="434" s="1"/>
  <c r="J189" i="434" a="1"/>
  <c r="J189" i="434" s="1"/>
  <c r="H189" i="434"/>
  <c r="N188" i="434"/>
  <c r="K188" i="434" a="1"/>
  <c r="K188" i="434" s="1"/>
  <c r="M188" i="434" s="1"/>
  <c r="J188" i="434" a="1"/>
  <c r="J188" i="434" s="1"/>
  <c r="H188" i="434"/>
  <c r="N187" i="434"/>
  <c r="K187" i="434" a="1"/>
  <c r="K187" i="434" s="1"/>
  <c r="M187" i="434" s="1"/>
  <c r="J187" i="434" a="1"/>
  <c r="J187" i="434" s="1"/>
  <c r="H187" i="434"/>
  <c r="V186" i="434"/>
  <c r="W186" i="434" s="1"/>
  <c r="N186" i="434"/>
  <c r="K186" i="434" a="1"/>
  <c r="K186" i="434" s="1"/>
  <c r="M186" i="434" s="1"/>
  <c r="J186" i="434" a="1"/>
  <c r="J186" i="434" s="1"/>
  <c r="H186" i="434"/>
  <c r="V185" i="434"/>
  <c r="W185" i="434" s="1"/>
  <c r="N185" i="434"/>
  <c r="K185" i="434" a="1"/>
  <c r="K185" i="434" s="1"/>
  <c r="M185" i="434" s="1"/>
  <c r="J185" i="434" a="1"/>
  <c r="J185" i="434" s="1"/>
  <c r="H185" i="434"/>
  <c r="N184" i="434"/>
  <c r="K184" i="434" a="1"/>
  <c r="K184" i="434" s="1"/>
  <c r="M184" i="434" s="1"/>
  <c r="H184" i="434"/>
  <c r="N183" i="434"/>
  <c r="K183" i="434" a="1"/>
  <c r="K183" i="434" s="1"/>
  <c r="M183" i="434" s="1"/>
  <c r="H183" i="434"/>
  <c r="V182" i="434"/>
  <c r="W182" i="434" s="1"/>
  <c r="N182" i="434"/>
  <c r="K182" i="434" a="1"/>
  <c r="K182" i="434" s="1"/>
  <c r="M182" i="434" s="1"/>
  <c r="J182" i="434" a="1"/>
  <c r="J182" i="434" s="1"/>
  <c r="H182" i="434"/>
  <c r="V181" i="434"/>
  <c r="W181" i="434" s="1"/>
  <c r="N181" i="434"/>
  <c r="K181" i="434" a="1"/>
  <c r="K181" i="434" s="1"/>
  <c r="M181" i="434" s="1"/>
  <c r="J181" i="434" a="1"/>
  <c r="J181" i="434" s="1"/>
  <c r="H181" i="434"/>
  <c r="V180" i="434"/>
  <c r="W180" i="434" s="1"/>
  <c r="N180" i="434"/>
  <c r="K180" i="434" a="1"/>
  <c r="K180" i="434" s="1"/>
  <c r="M180" i="434" s="1"/>
  <c r="J180" i="434" a="1"/>
  <c r="J180" i="434" s="1"/>
  <c r="H180" i="434"/>
  <c r="V179" i="434"/>
  <c r="W179" i="434" s="1"/>
  <c r="N179" i="434"/>
  <c r="K179" i="434" a="1"/>
  <c r="K179" i="434" s="1"/>
  <c r="M179" i="434" s="1"/>
  <c r="J179" i="434" a="1"/>
  <c r="J179" i="434" s="1"/>
  <c r="H179" i="434"/>
  <c r="V178" i="434"/>
  <c r="W178" i="434" s="1"/>
  <c r="N178" i="434"/>
  <c r="K178" i="434" a="1"/>
  <c r="K178" i="434" s="1"/>
  <c r="M178" i="434" s="1"/>
  <c r="J178" i="434" a="1"/>
  <c r="J178" i="434" s="1"/>
  <c r="H178" i="434"/>
  <c r="V177" i="434"/>
  <c r="W177" i="434" s="1"/>
  <c r="N177" i="434"/>
  <c r="K177" i="434" a="1"/>
  <c r="K177" i="434" s="1"/>
  <c r="M177" i="434" s="1"/>
  <c r="J177" i="434" a="1"/>
  <c r="J177" i="434" s="1"/>
  <c r="H177" i="434"/>
  <c r="G169" i="434"/>
  <c r="C169" i="434"/>
  <c r="I168" i="434"/>
  <c r="E168" i="434"/>
  <c r="I167" i="434"/>
  <c r="E167" i="434"/>
  <c r="I166" i="434"/>
  <c r="E166" i="434"/>
  <c r="I165" i="434"/>
  <c r="I169" i="434" s="1"/>
  <c r="E165" i="434"/>
  <c r="E169" i="434" s="1"/>
  <c r="AA162" i="434"/>
  <c r="Z162" i="434"/>
  <c r="Y162" i="434"/>
  <c r="X162" i="434"/>
  <c r="U162" i="434"/>
  <c r="T162" i="434"/>
  <c r="S162" i="434"/>
  <c r="R162" i="434"/>
  <c r="Q162" i="434"/>
  <c r="P162" i="434"/>
  <c r="O162" i="434"/>
  <c r="I162" i="434"/>
  <c r="G162" i="434"/>
  <c r="V158" i="434"/>
  <c r="W158" i="434" s="1"/>
  <c r="N158" i="434"/>
  <c r="K158" i="434" a="1"/>
  <c r="K158" i="434" s="1"/>
  <c r="J158" i="434" a="1"/>
  <c r="J158" i="434" s="1"/>
  <c r="D158" i="434"/>
  <c r="V157" i="434"/>
  <c r="W157" i="434" s="1"/>
  <c r="N157" i="434"/>
  <c r="K157" i="434" a="1"/>
  <c r="K157" i="434" s="1"/>
  <c r="M157" i="434" s="1"/>
  <c r="J157" i="434" a="1"/>
  <c r="J157" i="434" s="1"/>
  <c r="V154" i="434"/>
  <c r="W154" i="434" s="1"/>
  <c r="N154" i="434"/>
  <c r="K154" i="434" a="1"/>
  <c r="K154" i="434" s="1"/>
  <c r="M154" i="434" s="1"/>
  <c r="J154" i="434" a="1"/>
  <c r="J154" i="434" s="1"/>
  <c r="V153" i="434"/>
  <c r="W153" i="434" s="1"/>
  <c r="N153" i="434"/>
  <c r="K153" i="434" a="1"/>
  <c r="K153" i="434" s="1"/>
  <c r="M153" i="434" s="1"/>
  <c r="J153" i="434" a="1"/>
  <c r="J153" i="434" s="1"/>
  <c r="V151" i="434"/>
  <c r="W151" i="434" s="1"/>
  <c r="N151" i="434"/>
  <c r="K151" i="434" a="1"/>
  <c r="K151" i="434" s="1"/>
  <c r="M151" i="434" s="1"/>
  <c r="J151" i="434" a="1"/>
  <c r="J151" i="434" s="1"/>
  <c r="V150" i="434"/>
  <c r="W150" i="434" s="1"/>
  <c r="N150" i="434"/>
  <c r="K150" i="434" a="1"/>
  <c r="K150" i="434" s="1"/>
  <c r="M150" i="434" s="1"/>
  <c r="J150" i="434" a="1"/>
  <c r="J150" i="434" s="1"/>
  <c r="H150" i="434"/>
  <c r="V149" i="434"/>
  <c r="W149" i="434" s="1"/>
  <c r="N149" i="434"/>
  <c r="K149" i="434" a="1"/>
  <c r="K149" i="434" s="1"/>
  <c r="M149" i="434" s="1"/>
  <c r="J149" i="434" a="1"/>
  <c r="J149" i="434" s="1"/>
  <c r="H149" i="434"/>
  <c r="V148" i="434"/>
  <c r="W148" i="434" s="1"/>
  <c r="N148" i="434"/>
  <c r="K148" i="434" a="1"/>
  <c r="K148" i="434" s="1"/>
  <c r="J148" i="434" a="1"/>
  <c r="J148" i="434" s="1"/>
  <c r="H148" i="434"/>
  <c r="AA147" i="434"/>
  <c r="Z147" i="434"/>
  <c r="Y147" i="434"/>
  <c r="X147" i="434"/>
  <c r="U147" i="434"/>
  <c r="T147" i="434"/>
  <c r="S147" i="434"/>
  <c r="Q147" i="434"/>
  <c r="P147" i="434"/>
  <c r="O147" i="434"/>
  <c r="I147" i="434"/>
  <c r="G147" i="434"/>
  <c r="C525" i="434" s="1"/>
  <c r="V146" i="434"/>
  <c r="W146" i="434" s="1"/>
  <c r="N146" i="434"/>
  <c r="K146" i="434" a="1"/>
  <c r="K146" i="434" s="1"/>
  <c r="M146" i="434" s="1"/>
  <c r="J146" i="434" a="1"/>
  <c r="J146" i="434" s="1"/>
  <c r="H146" i="434"/>
  <c r="V142" i="434"/>
  <c r="W142" i="434" s="1"/>
  <c r="N142" i="434"/>
  <c r="K142" i="434" a="1"/>
  <c r="K142" i="434" s="1"/>
  <c r="M142" i="434" s="1"/>
  <c r="J142" i="434" a="1"/>
  <c r="J142" i="434" s="1"/>
  <c r="H142" i="434"/>
  <c r="V141" i="434"/>
  <c r="W141" i="434" s="1"/>
  <c r="N141" i="434"/>
  <c r="K141" i="434" a="1"/>
  <c r="K141" i="434" s="1"/>
  <c r="M141" i="434" s="1"/>
  <c r="J141" i="434" a="1"/>
  <c r="J141" i="434" s="1"/>
  <c r="H141" i="434"/>
  <c r="V140" i="434"/>
  <c r="W140" i="434" s="1"/>
  <c r="N140" i="434"/>
  <c r="K140" i="434" a="1"/>
  <c r="K140" i="434" s="1"/>
  <c r="M140" i="434" s="1"/>
  <c r="J140" i="434" a="1"/>
  <c r="J140" i="434" s="1"/>
  <c r="H140" i="434"/>
  <c r="V139" i="434"/>
  <c r="W139" i="434" s="1"/>
  <c r="N139" i="434"/>
  <c r="K139" i="434" a="1"/>
  <c r="K139" i="434" s="1"/>
  <c r="M139" i="434" s="1"/>
  <c r="J139" i="434" a="1"/>
  <c r="J139" i="434" s="1"/>
  <c r="H139" i="434"/>
  <c r="V138" i="434"/>
  <c r="N138" i="434"/>
  <c r="K138" i="434" a="1"/>
  <c r="K138" i="434" s="1"/>
  <c r="J138" i="434" a="1"/>
  <c r="J138" i="434" s="1"/>
  <c r="H138" i="434"/>
  <c r="AA137" i="434"/>
  <c r="Z137" i="434"/>
  <c r="Y137" i="434"/>
  <c r="X137" i="434"/>
  <c r="U137" i="434"/>
  <c r="T137" i="434"/>
  <c r="S137" i="434"/>
  <c r="Q137" i="434"/>
  <c r="P137" i="434"/>
  <c r="O137" i="434"/>
  <c r="I137" i="434"/>
  <c r="G137" i="434"/>
  <c r="V136" i="434"/>
  <c r="W136" i="434" s="1"/>
  <c r="N136" i="434"/>
  <c r="K136" i="434" a="1"/>
  <c r="K136" i="434" s="1"/>
  <c r="M136" i="434" s="1"/>
  <c r="J136" i="434" a="1"/>
  <c r="J136" i="434" s="1"/>
  <c r="H136" i="434"/>
  <c r="V135" i="434"/>
  <c r="W135" i="434" s="1"/>
  <c r="N135" i="434"/>
  <c r="K135" i="434" a="1"/>
  <c r="K135" i="434" s="1"/>
  <c r="M135" i="434" s="1"/>
  <c r="J135" i="434" a="1"/>
  <c r="J135" i="434" s="1"/>
  <c r="H135" i="434"/>
  <c r="V134" i="434"/>
  <c r="W134" i="434" s="1"/>
  <c r="N134" i="434"/>
  <c r="K134" i="434" a="1"/>
  <c r="K134" i="434" s="1"/>
  <c r="M134" i="434" s="1"/>
  <c r="J134" i="434" a="1"/>
  <c r="J134" i="434" s="1"/>
  <c r="H134" i="434"/>
  <c r="V133" i="434"/>
  <c r="W133" i="434" s="1"/>
  <c r="N133" i="434"/>
  <c r="K133" i="434" a="1"/>
  <c r="K133" i="434" s="1"/>
  <c r="M133" i="434" s="1"/>
  <c r="J133" i="434" a="1"/>
  <c r="J133" i="434" s="1"/>
  <c r="H133" i="434"/>
  <c r="V132" i="434"/>
  <c r="W132" i="434" s="1"/>
  <c r="N132" i="434"/>
  <c r="K132" i="434" a="1"/>
  <c r="K132" i="434" s="1"/>
  <c r="M132" i="434" s="1"/>
  <c r="J132" i="434" a="1"/>
  <c r="J132" i="434" s="1"/>
  <c r="H132" i="434"/>
  <c r="V131" i="434"/>
  <c r="W131" i="434" s="1"/>
  <c r="N131" i="434"/>
  <c r="K131" i="434" a="1"/>
  <c r="K131" i="434" s="1"/>
  <c r="M131" i="434" s="1"/>
  <c r="J131" i="434" a="1"/>
  <c r="J131" i="434" s="1"/>
  <c r="H131" i="434"/>
  <c r="V130" i="434"/>
  <c r="W130" i="434" s="1"/>
  <c r="N130" i="434"/>
  <c r="K130" i="434" a="1"/>
  <c r="K130" i="434" s="1"/>
  <c r="M130" i="434" s="1"/>
  <c r="J130" i="434" a="1"/>
  <c r="J130" i="434" s="1"/>
  <c r="H130" i="434"/>
  <c r="V129" i="434"/>
  <c r="W129" i="434" s="1"/>
  <c r="N129" i="434"/>
  <c r="K129" i="434" a="1"/>
  <c r="K129" i="434" s="1"/>
  <c r="M129" i="434" s="1"/>
  <c r="J129" i="434" a="1"/>
  <c r="J129" i="434" s="1"/>
  <c r="H129" i="434"/>
  <c r="V128" i="434"/>
  <c r="W128" i="434" s="1"/>
  <c r="N128" i="434"/>
  <c r="K128" i="434" a="1"/>
  <c r="K128" i="434" s="1"/>
  <c r="M128" i="434" s="1"/>
  <c r="J128" i="434" a="1"/>
  <c r="J128" i="434" s="1"/>
  <c r="H128" i="434"/>
  <c r="V127" i="434"/>
  <c r="W127" i="434" s="1"/>
  <c r="N127" i="434"/>
  <c r="K127" i="434" a="1"/>
  <c r="K127" i="434" s="1"/>
  <c r="M127" i="434" s="1"/>
  <c r="J127" i="434" a="1"/>
  <c r="J127" i="434" s="1"/>
  <c r="H127" i="434"/>
  <c r="V126" i="434"/>
  <c r="W126" i="434" s="1"/>
  <c r="N126" i="434"/>
  <c r="K126" i="434" a="1"/>
  <c r="K126" i="434" s="1"/>
  <c r="M126" i="434" s="1"/>
  <c r="J126" i="434" a="1"/>
  <c r="J126" i="434" s="1"/>
  <c r="H126" i="434"/>
  <c r="V125" i="434"/>
  <c r="W125" i="434" s="1"/>
  <c r="N125" i="434"/>
  <c r="K125" i="434" a="1"/>
  <c r="K125" i="434" s="1"/>
  <c r="M125" i="434" s="1"/>
  <c r="J125" i="434" a="1"/>
  <c r="J125" i="434" s="1"/>
  <c r="H125" i="434"/>
  <c r="V124" i="434"/>
  <c r="W124" i="434" s="1"/>
  <c r="N124" i="434"/>
  <c r="K124" i="434" a="1"/>
  <c r="K124" i="434" s="1"/>
  <c r="M124" i="434" s="1"/>
  <c r="J124" i="434" a="1"/>
  <c r="J124" i="434" s="1"/>
  <c r="H124" i="434"/>
  <c r="V123" i="434"/>
  <c r="W123" i="434" s="1"/>
  <c r="N123" i="434"/>
  <c r="K123" i="434" a="1"/>
  <c r="K123" i="434" s="1"/>
  <c r="M123" i="434" s="1"/>
  <c r="J123" i="434" a="1"/>
  <c r="J123" i="434" s="1"/>
  <c r="H123" i="434"/>
  <c r="V122" i="434"/>
  <c r="W122" i="434" s="1"/>
  <c r="N122" i="434"/>
  <c r="K122" i="434" a="1"/>
  <c r="K122" i="434" s="1"/>
  <c r="M122" i="434" s="1"/>
  <c r="J122" i="434" a="1"/>
  <c r="J122" i="434" s="1"/>
  <c r="H122" i="434"/>
  <c r="AA121" i="434"/>
  <c r="Z121" i="434"/>
  <c r="Y121" i="434"/>
  <c r="X121" i="434"/>
  <c r="U121" i="434"/>
  <c r="T121" i="434"/>
  <c r="S121" i="434"/>
  <c r="R121" i="434"/>
  <c r="Q121" i="434"/>
  <c r="P121" i="434"/>
  <c r="O121" i="434"/>
  <c r="I121" i="434"/>
  <c r="G121" i="434"/>
  <c r="C523" i="434" s="1"/>
  <c r="V120" i="434"/>
  <c r="W120" i="434" s="1"/>
  <c r="N120" i="434"/>
  <c r="K120" i="434" a="1"/>
  <c r="K120" i="434" s="1"/>
  <c r="M120" i="434" s="1"/>
  <c r="J120" i="434" a="1"/>
  <c r="J120" i="434" s="1"/>
  <c r="H120" i="434"/>
  <c r="V119" i="434"/>
  <c r="W119" i="434" s="1"/>
  <c r="N119" i="434"/>
  <c r="K119" i="434" a="1"/>
  <c r="K119" i="434" s="1"/>
  <c r="M119" i="434" s="1"/>
  <c r="J119" i="434" a="1"/>
  <c r="J119" i="434" s="1"/>
  <c r="H119" i="434"/>
  <c r="V118" i="434"/>
  <c r="W118" i="434" s="1"/>
  <c r="N118" i="434"/>
  <c r="K118" i="434" a="1"/>
  <c r="K118" i="434" s="1"/>
  <c r="M118" i="434" s="1"/>
  <c r="J118" i="434" a="1"/>
  <c r="J118" i="434" s="1"/>
  <c r="H118" i="434"/>
  <c r="H117" i="434"/>
  <c r="H116" i="434"/>
  <c r="H115" i="434"/>
  <c r="V114" i="434"/>
  <c r="W114" i="434" s="1"/>
  <c r="N114" i="434"/>
  <c r="K114" i="434" a="1"/>
  <c r="K114" i="434" s="1"/>
  <c r="M114" i="434" s="1"/>
  <c r="J114" i="434" a="1"/>
  <c r="J114" i="434" s="1"/>
  <c r="H114" i="434"/>
  <c r="V113" i="434"/>
  <c r="W113" i="434" s="1"/>
  <c r="N113" i="434"/>
  <c r="K113" i="434" a="1"/>
  <c r="K113" i="434" s="1"/>
  <c r="M113" i="434" s="1"/>
  <c r="J113" i="434" a="1"/>
  <c r="J113" i="434" s="1"/>
  <c r="H113" i="434"/>
  <c r="N112" i="434"/>
  <c r="K112" i="434" a="1"/>
  <c r="K112" i="434" s="1"/>
  <c r="M112" i="434" s="1"/>
  <c r="H112" i="434"/>
  <c r="N111" i="434"/>
  <c r="K111" i="434" a="1"/>
  <c r="K111" i="434" s="1"/>
  <c r="M111" i="434" s="1"/>
  <c r="H111" i="434"/>
  <c r="N110" i="434"/>
  <c r="K110" i="434" a="1"/>
  <c r="K110" i="434" s="1"/>
  <c r="M110" i="434" s="1"/>
  <c r="H110" i="434"/>
  <c r="N109" i="434"/>
  <c r="K109" i="434" a="1"/>
  <c r="K109" i="434" s="1"/>
  <c r="M109" i="434" s="1"/>
  <c r="H109" i="434"/>
  <c r="N108" i="434"/>
  <c r="K108" i="434" a="1"/>
  <c r="K108" i="434" s="1"/>
  <c r="M108" i="434" s="1"/>
  <c r="H108" i="434"/>
  <c r="N107" i="434"/>
  <c r="K107" i="434" a="1"/>
  <c r="K107" i="434" s="1"/>
  <c r="M107" i="434" s="1"/>
  <c r="H107" i="434"/>
  <c r="V106" i="434"/>
  <c r="W106" i="434" s="1"/>
  <c r="N106" i="434"/>
  <c r="K106" i="434" a="1"/>
  <c r="K106" i="434" s="1"/>
  <c r="M106" i="434" s="1"/>
  <c r="J106" i="434" a="1"/>
  <c r="J106" i="434" s="1"/>
  <c r="H106" i="434"/>
  <c r="V105" i="434"/>
  <c r="W105" i="434" s="1"/>
  <c r="N105" i="434"/>
  <c r="K105" i="434" a="1"/>
  <c r="K105" i="434" s="1"/>
  <c r="M105" i="434" s="1"/>
  <c r="J105" i="434" a="1"/>
  <c r="J105" i="434" s="1"/>
  <c r="H105" i="434"/>
  <c r="V104" i="434"/>
  <c r="W104" i="434" s="1"/>
  <c r="N104" i="434"/>
  <c r="K104" i="434" a="1"/>
  <c r="K104" i="434" s="1"/>
  <c r="M104" i="434" s="1"/>
  <c r="J104" i="434" a="1"/>
  <c r="J104" i="434" s="1"/>
  <c r="H104" i="434"/>
  <c r="V103" i="434"/>
  <c r="W103" i="434" s="1"/>
  <c r="N103" i="434"/>
  <c r="K103" i="434" a="1"/>
  <c r="K103" i="434" s="1"/>
  <c r="M103" i="434" s="1"/>
  <c r="J103" i="434" a="1"/>
  <c r="J103" i="434" s="1"/>
  <c r="H103" i="434"/>
  <c r="V102" i="434"/>
  <c r="W102" i="434" s="1"/>
  <c r="N102" i="434"/>
  <c r="K102" i="434" a="1"/>
  <c r="K102" i="434" s="1"/>
  <c r="M102" i="434" s="1"/>
  <c r="J102" i="434" a="1"/>
  <c r="J102" i="434" s="1"/>
  <c r="H102" i="434"/>
  <c r="V101" i="434"/>
  <c r="W101" i="434" s="1"/>
  <c r="N101" i="434"/>
  <c r="K101" i="434" a="1"/>
  <c r="K101" i="434" s="1"/>
  <c r="M101" i="434" s="1"/>
  <c r="J101" i="434" a="1"/>
  <c r="J101" i="434" s="1"/>
  <c r="H101" i="434"/>
  <c r="V100" i="434"/>
  <c r="W100" i="434" s="1"/>
  <c r="N100" i="434"/>
  <c r="K100" i="434" a="1"/>
  <c r="K100" i="434" s="1"/>
  <c r="M100" i="434" s="1"/>
  <c r="J100" i="434" a="1"/>
  <c r="J100" i="434" s="1"/>
  <c r="H100" i="434"/>
  <c r="V99" i="434"/>
  <c r="W99" i="434" s="1"/>
  <c r="N99" i="434"/>
  <c r="K99" i="434" a="1"/>
  <c r="K99" i="434" s="1"/>
  <c r="M99" i="434" s="1"/>
  <c r="J99" i="434" a="1"/>
  <c r="J99" i="434" s="1"/>
  <c r="H99" i="434"/>
  <c r="V98" i="434"/>
  <c r="W98" i="434" s="1"/>
  <c r="N98" i="434"/>
  <c r="K98" i="434" a="1"/>
  <c r="K98" i="434" s="1"/>
  <c r="M98" i="434" s="1"/>
  <c r="J98" i="434" a="1"/>
  <c r="J98" i="434" s="1"/>
  <c r="H98" i="434"/>
  <c r="V97" i="434"/>
  <c r="W97" i="434" s="1"/>
  <c r="N97" i="434"/>
  <c r="K97" i="434" a="1"/>
  <c r="K97" i="434" s="1"/>
  <c r="M97" i="434" s="1"/>
  <c r="J97" i="434" a="1"/>
  <c r="J97" i="434" s="1"/>
  <c r="H97" i="434"/>
  <c r="V96" i="434"/>
  <c r="W96" i="434" s="1"/>
  <c r="N96" i="434"/>
  <c r="K96" i="434" a="1"/>
  <c r="K96" i="434" s="1"/>
  <c r="M96" i="434" s="1"/>
  <c r="J96" i="434" a="1"/>
  <c r="J96" i="434" s="1"/>
  <c r="H96" i="434"/>
  <c r="V95" i="434"/>
  <c r="W95" i="434" s="1"/>
  <c r="N95" i="434"/>
  <c r="K95" i="434" a="1"/>
  <c r="K95" i="434" s="1"/>
  <c r="M95" i="434" s="1"/>
  <c r="J95" i="434" a="1"/>
  <c r="J95" i="434" s="1"/>
  <c r="H95" i="434"/>
  <c r="K94" i="434" a="1"/>
  <c r="K94" i="434" s="1"/>
  <c r="M94" i="434" s="1"/>
  <c r="H94" i="434"/>
  <c r="V93" i="434"/>
  <c r="W93" i="434" s="1"/>
  <c r="N93" i="434"/>
  <c r="K93" i="434" a="1"/>
  <c r="K93" i="434" s="1"/>
  <c r="M93" i="434" s="1"/>
  <c r="J93" i="434" a="1"/>
  <c r="J93" i="434" s="1"/>
  <c r="H93" i="434"/>
  <c r="V92" i="434"/>
  <c r="W92" i="434" s="1"/>
  <c r="N92" i="434"/>
  <c r="K92" i="434" a="1"/>
  <c r="K92" i="434" s="1"/>
  <c r="M92" i="434" s="1"/>
  <c r="J92" i="434" a="1"/>
  <c r="J92" i="434" s="1"/>
  <c r="H92" i="434"/>
  <c r="V91" i="434"/>
  <c r="W91" i="434" s="1"/>
  <c r="N91" i="434"/>
  <c r="K91" i="434" a="1"/>
  <c r="K91" i="434" s="1"/>
  <c r="M91" i="434" s="1"/>
  <c r="J91" i="434" a="1"/>
  <c r="J91" i="434" s="1"/>
  <c r="H91" i="434"/>
  <c r="V90" i="434"/>
  <c r="W90" i="434" s="1"/>
  <c r="N90" i="434"/>
  <c r="K90" i="434" a="1"/>
  <c r="K90" i="434" s="1"/>
  <c r="M90" i="434" s="1"/>
  <c r="J90" i="434" a="1"/>
  <c r="J90" i="434" s="1"/>
  <c r="H90" i="434"/>
  <c r="V89" i="434"/>
  <c r="W89" i="434" s="1"/>
  <c r="N89" i="434"/>
  <c r="K89" i="434" a="1"/>
  <c r="K89" i="434" s="1"/>
  <c r="M89" i="434" s="1"/>
  <c r="J89" i="434" a="1"/>
  <c r="J89" i="434" s="1"/>
  <c r="H89" i="434"/>
  <c r="V88" i="434"/>
  <c r="W88" i="434" s="1"/>
  <c r="N88" i="434"/>
  <c r="K88" i="434" a="1"/>
  <c r="K88" i="434" s="1"/>
  <c r="M88" i="434" s="1"/>
  <c r="J88" i="434" a="1"/>
  <c r="J88" i="434" s="1"/>
  <c r="H88" i="434"/>
  <c r="V87" i="434"/>
  <c r="W87" i="434" s="1"/>
  <c r="N87" i="434"/>
  <c r="K87" i="434" a="1"/>
  <c r="K87" i="434" s="1"/>
  <c r="J87" i="434" a="1"/>
  <c r="J87" i="434" s="1"/>
  <c r="H87" i="434"/>
  <c r="AA86" i="434"/>
  <c r="Z86" i="434"/>
  <c r="Y86" i="434"/>
  <c r="X86" i="434"/>
  <c r="U86" i="434"/>
  <c r="T86" i="434"/>
  <c r="S86" i="434"/>
  <c r="R86" i="434"/>
  <c r="Q86" i="434"/>
  <c r="P86" i="434"/>
  <c r="O86" i="434"/>
  <c r="I86" i="434"/>
  <c r="G86" i="434"/>
  <c r="V75" i="434"/>
  <c r="W75" i="434" s="1"/>
  <c r="N75" i="434"/>
  <c r="K75" i="434" a="1"/>
  <c r="K75" i="434" s="1"/>
  <c r="M75" i="434" s="1"/>
  <c r="J75" i="434" a="1"/>
  <c r="J75" i="434" s="1"/>
  <c r="V74" i="434"/>
  <c r="W74" i="434" s="1"/>
  <c r="N74" i="434"/>
  <c r="K74" i="434" a="1"/>
  <c r="K74" i="434" s="1"/>
  <c r="M74" i="434" s="1"/>
  <c r="J74" i="434" a="1"/>
  <c r="J74" i="434" s="1"/>
  <c r="V73" i="434"/>
  <c r="W73" i="434" s="1"/>
  <c r="N73" i="434"/>
  <c r="K73" i="434" a="1"/>
  <c r="K73" i="434" s="1"/>
  <c r="M73" i="434" s="1"/>
  <c r="J73" i="434" a="1"/>
  <c r="J73" i="434" s="1"/>
  <c r="V72" i="434"/>
  <c r="W72" i="434" s="1"/>
  <c r="N72" i="434"/>
  <c r="K72" i="434" a="1"/>
  <c r="K72" i="434" s="1"/>
  <c r="M72" i="434" s="1"/>
  <c r="J72" i="434" a="1"/>
  <c r="J72" i="434" s="1"/>
  <c r="V70" i="434"/>
  <c r="W70" i="434" s="1"/>
  <c r="N70" i="434"/>
  <c r="K70" i="434" a="1"/>
  <c r="K70" i="434" s="1"/>
  <c r="M70" i="434" s="1"/>
  <c r="J70" i="434" a="1"/>
  <c r="J70" i="434" s="1"/>
  <c r="V69" i="434"/>
  <c r="W69" i="434" s="1"/>
  <c r="N69" i="434"/>
  <c r="K69" i="434" a="1"/>
  <c r="K69" i="434" s="1"/>
  <c r="M69" i="434" s="1"/>
  <c r="J69" i="434" a="1"/>
  <c r="J69" i="434" s="1"/>
  <c r="V66" i="434"/>
  <c r="W66" i="434" s="1"/>
  <c r="N66" i="434"/>
  <c r="K66" i="434" a="1"/>
  <c r="K66" i="434" s="1"/>
  <c r="M66" i="434" s="1"/>
  <c r="J66" i="434" a="1"/>
  <c r="J66" i="434" s="1"/>
  <c r="H66" i="434"/>
  <c r="V65" i="434"/>
  <c r="W65" i="434" s="1"/>
  <c r="N65" i="434"/>
  <c r="K65" i="434" a="1"/>
  <c r="K65" i="434" s="1"/>
  <c r="M65" i="434" s="1"/>
  <c r="J65" i="434" a="1"/>
  <c r="J65" i="434" s="1"/>
  <c r="H65" i="434"/>
  <c r="V64" i="434"/>
  <c r="W64" i="434" s="1"/>
  <c r="N64" i="434"/>
  <c r="K64" i="434" a="1"/>
  <c r="K64" i="434" s="1"/>
  <c r="M64" i="434" s="1"/>
  <c r="J64" i="434" a="1"/>
  <c r="J64" i="434" s="1"/>
  <c r="H64" i="434"/>
  <c r="V63" i="434"/>
  <c r="W63" i="434" s="1"/>
  <c r="N63" i="434"/>
  <c r="K63" i="434" a="1"/>
  <c r="K63" i="434" s="1"/>
  <c r="M63" i="434" s="1"/>
  <c r="J63" i="434" a="1"/>
  <c r="J63" i="434" s="1"/>
  <c r="H63" i="434"/>
  <c r="V62" i="434"/>
  <c r="W62" i="434" s="1"/>
  <c r="N62" i="434"/>
  <c r="K62" i="434" a="1"/>
  <c r="K62" i="434" s="1"/>
  <c r="M62" i="434" s="1"/>
  <c r="J62" i="434" a="1"/>
  <c r="J62" i="434" s="1"/>
  <c r="H62" i="434"/>
  <c r="V61" i="434"/>
  <c r="W61" i="434" s="1"/>
  <c r="N61" i="434"/>
  <c r="K61" i="434" a="1"/>
  <c r="K61" i="434" s="1"/>
  <c r="M61" i="434" s="1"/>
  <c r="J61" i="434" a="1"/>
  <c r="J61" i="434" s="1"/>
  <c r="H61" i="434"/>
  <c r="V60" i="434"/>
  <c r="W60" i="434" s="1"/>
  <c r="N60" i="434"/>
  <c r="K60" i="434" a="1"/>
  <c r="K60" i="434" s="1"/>
  <c r="M60" i="434" s="1"/>
  <c r="J60" i="434" a="1"/>
  <c r="J60" i="434" s="1"/>
  <c r="H60" i="434"/>
  <c r="V59" i="434"/>
  <c r="W59" i="434" s="1"/>
  <c r="N59" i="434"/>
  <c r="K59" i="434" a="1"/>
  <c r="K59" i="434" s="1"/>
  <c r="M59" i="434" s="1"/>
  <c r="J59" i="434" a="1"/>
  <c r="J59" i="434" s="1"/>
  <c r="H59" i="434"/>
  <c r="V58" i="434"/>
  <c r="W58" i="434" s="1"/>
  <c r="N58" i="434"/>
  <c r="K58" i="434" a="1"/>
  <c r="K58" i="434" s="1"/>
  <c r="M58" i="434" s="1"/>
  <c r="J58" i="434" a="1"/>
  <c r="J58" i="434" s="1"/>
  <c r="H58" i="434"/>
  <c r="V57" i="434"/>
  <c r="W57" i="434" s="1"/>
  <c r="N57" i="434"/>
  <c r="K57" i="434" a="1"/>
  <c r="K57" i="434" s="1"/>
  <c r="M57" i="434" s="1"/>
  <c r="J57" i="434" a="1"/>
  <c r="J57" i="434" s="1"/>
  <c r="H57" i="434"/>
  <c r="K56" i="434" a="1"/>
  <c r="K56" i="434" s="1"/>
  <c r="M56" i="434" s="1"/>
  <c r="H56" i="434"/>
  <c r="K55" i="434" a="1"/>
  <c r="K55" i="434" s="1"/>
  <c r="M55" i="434" s="1"/>
  <c r="H55" i="434"/>
  <c r="K54" i="434" a="1"/>
  <c r="K54" i="434" s="1"/>
  <c r="M54" i="434" s="1"/>
  <c r="H54" i="434"/>
  <c r="K53" i="434" a="1"/>
  <c r="K53" i="434" s="1"/>
  <c r="M53" i="434" s="1"/>
  <c r="H53" i="434"/>
  <c r="N52" i="434"/>
  <c r="K52" i="434" a="1"/>
  <c r="K52" i="434" s="1"/>
  <c r="M52" i="434" s="1"/>
  <c r="H52" i="434"/>
  <c r="N51" i="434"/>
  <c r="K51" i="434" a="1"/>
  <c r="K51" i="434" s="1"/>
  <c r="M51" i="434" s="1"/>
  <c r="H51" i="434"/>
  <c r="N50" i="434"/>
  <c r="K50" i="434" a="1"/>
  <c r="K50" i="434" s="1"/>
  <c r="M50" i="434" s="1"/>
  <c r="H50" i="434"/>
  <c r="N49" i="434"/>
  <c r="K49" i="434" a="1"/>
  <c r="K49" i="434" s="1"/>
  <c r="M49" i="434" s="1"/>
  <c r="H49" i="434"/>
  <c r="V48" i="434"/>
  <c r="W48" i="434" s="1"/>
  <c r="N48" i="434"/>
  <c r="K48" i="434" a="1"/>
  <c r="K48" i="434" s="1"/>
  <c r="M48" i="434" s="1"/>
  <c r="J48" i="434" a="1"/>
  <c r="J48" i="434" s="1"/>
  <c r="H48" i="434"/>
  <c r="V47" i="434"/>
  <c r="W47" i="434" s="1"/>
  <c r="N47" i="434"/>
  <c r="K47" i="434" a="1"/>
  <c r="K47" i="434" s="1"/>
  <c r="M47" i="434" s="1"/>
  <c r="J47" i="434" a="1"/>
  <c r="J47" i="434" s="1"/>
  <c r="H47" i="434"/>
  <c r="V46" i="434"/>
  <c r="W46" i="434" s="1"/>
  <c r="N46" i="434"/>
  <c r="K46" i="434" a="1"/>
  <c r="K46" i="434" s="1"/>
  <c r="M46" i="434" s="1"/>
  <c r="J46" i="434" a="1"/>
  <c r="J46" i="434" s="1"/>
  <c r="H46" i="434"/>
  <c r="V45" i="434"/>
  <c r="W45" i="434" s="1"/>
  <c r="N45" i="434"/>
  <c r="K45" i="434" a="1"/>
  <c r="K45" i="434" s="1"/>
  <c r="M45" i="434" s="1"/>
  <c r="J45" i="434" a="1"/>
  <c r="J45" i="434" s="1"/>
  <c r="H45" i="434"/>
  <c r="V44" i="434"/>
  <c r="W44" i="434" s="1"/>
  <c r="N44" i="434"/>
  <c r="K44" i="434" a="1"/>
  <c r="K44" i="434" s="1"/>
  <c r="M44" i="434" s="1"/>
  <c r="J44" i="434" a="1"/>
  <c r="J44" i="434" s="1"/>
  <c r="H44" i="434"/>
  <c r="V43" i="434"/>
  <c r="W43" i="434" s="1"/>
  <c r="N43" i="434"/>
  <c r="K43" i="434" a="1"/>
  <c r="K43" i="434" s="1"/>
  <c r="M43" i="434" s="1"/>
  <c r="J43" i="434" a="1"/>
  <c r="J43" i="434" s="1"/>
  <c r="H43" i="434"/>
  <c r="V42" i="434"/>
  <c r="W42" i="434" s="1"/>
  <c r="N42" i="434"/>
  <c r="K42" i="434" a="1"/>
  <c r="K42" i="434" s="1"/>
  <c r="M42" i="434" s="1"/>
  <c r="J42" i="434" a="1"/>
  <c r="J42" i="434" s="1"/>
  <c r="H42" i="434"/>
  <c r="V41" i="434"/>
  <c r="W41" i="434" s="1"/>
  <c r="N41" i="434"/>
  <c r="K41" i="434" a="1"/>
  <c r="K41" i="434" s="1"/>
  <c r="M41" i="434" s="1"/>
  <c r="J41" i="434" a="1"/>
  <c r="J41" i="434" s="1"/>
  <c r="H41" i="434"/>
  <c r="V40" i="434"/>
  <c r="W40" i="434" s="1"/>
  <c r="N40" i="434"/>
  <c r="K40" i="434" a="1"/>
  <c r="K40" i="434" s="1"/>
  <c r="M40" i="434" s="1"/>
  <c r="J40" i="434" a="1"/>
  <c r="J40" i="434" s="1"/>
  <c r="H40" i="434"/>
  <c r="V39" i="434"/>
  <c r="W39" i="434" s="1"/>
  <c r="N39" i="434"/>
  <c r="K39" i="434" a="1"/>
  <c r="K39" i="434" s="1"/>
  <c r="M39" i="434" s="1"/>
  <c r="J39" i="434" a="1"/>
  <c r="J39" i="434" s="1"/>
  <c r="H39" i="434"/>
  <c r="V38" i="434"/>
  <c r="W38" i="434" s="1"/>
  <c r="N38" i="434"/>
  <c r="K38" i="434" a="1"/>
  <c r="K38" i="434" s="1"/>
  <c r="M38" i="434" s="1"/>
  <c r="J38" i="434" a="1"/>
  <c r="J38" i="434" s="1"/>
  <c r="H38" i="434"/>
  <c r="V37" i="434"/>
  <c r="W37" i="434" s="1"/>
  <c r="N37" i="434"/>
  <c r="K37" i="434" a="1"/>
  <c r="K37" i="434" s="1"/>
  <c r="M37" i="434" s="1"/>
  <c r="J37" i="434" a="1"/>
  <c r="J37" i="434" s="1"/>
  <c r="H37" i="434"/>
  <c r="V33" i="434"/>
  <c r="W33" i="434" s="1"/>
  <c r="N33" i="434"/>
  <c r="K33" i="434" a="1"/>
  <c r="K33" i="434" s="1"/>
  <c r="M33" i="434" s="1"/>
  <c r="J33" i="434" a="1"/>
  <c r="J33" i="434" s="1"/>
  <c r="H33" i="434"/>
  <c r="V32" i="434"/>
  <c r="W32" i="434" s="1"/>
  <c r="N32" i="434"/>
  <c r="K32" i="434" a="1"/>
  <c r="K32" i="434" s="1"/>
  <c r="M32" i="434" s="1"/>
  <c r="J32" i="434" a="1"/>
  <c r="J32" i="434" s="1"/>
  <c r="H32" i="434"/>
  <c r="V31" i="434"/>
  <c r="W31" i="434" s="1"/>
  <c r="N31" i="434"/>
  <c r="K31" i="434" a="1"/>
  <c r="K31" i="434" s="1"/>
  <c r="M31" i="434" s="1"/>
  <c r="J31" i="434" a="1"/>
  <c r="J31" i="434" s="1"/>
  <c r="V29" i="434"/>
  <c r="W29" i="434" s="1"/>
  <c r="N29" i="434"/>
  <c r="K29" i="434" a="1"/>
  <c r="K29" i="434" s="1"/>
  <c r="M29" i="434" s="1"/>
  <c r="J29" i="434" a="1"/>
  <c r="J29" i="434" s="1"/>
  <c r="H29" i="434"/>
  <c r="AA28" i="434"/>
  <c r="Z28" i="434"/>
  <c r="Z163" i="434" s="1"/>
  <c r="Y28" i="434"/>
  <c r="X28" i="434"/>
  <c r="X163" i="434" s="1"/>
  <c r="U28" i="434"/>
  <c r="T28" i="434"/>
  <c r="S28" i="434"/>
  <c r="R28" i="434"/>
  <c r="Q28" i="434"/>
  <c r="Q163" i="434" s="1"/>
  <c r="P28" i="434"/>
  <c r="O28" i="434"/>
  <c r="O163" i="434" s="1"/>
  <c r="I28" i="434"/>
  <c r="G28" i="434"/>
  <c r="G163" i="434" s="1"/>
  <c r="V27" i="434"/>
  <c r="W27" i="434" s="1"/>
  <c r="N27" i="434"/>
  <c r="K27" i="434" a="1"/>
  <c r="K27" i="434" s="1"/>
  <c r="M27" i="434" s="1"/>
  <c r="J27" i="434" a="1"/>
  <c r="J27" i="434" s="1"/>
  <c r="H27" i="434"/>
  <c r="V26" i="434"/>
  <c r="W26" i="434" s="1"/>
  <c r="N26" i="434"/>
  <c r="K26" i="434" a="1"/>
  <c r="K26" i="434" s="1"/>
  <c r="M26" i="434" s="1"/>
  <c r="J26" i="434" a="1"/>
  <c r="J26" i="434" s="1"/>
  <c r="H26" i="434"/>
  <c r="K25" i="434" a="1"/>
  <c r="K25" i="434" s="1"/>
  <c r="M25" i="434" s="1"/>
  <c r="J25" i="434" a="1"/>
  <c r="J25" i="434" s="1"/>
  <c r="H25" i="434"/>
  <c r="K24" i="434" a="1"/>
  <c r="K24" i="434" s="1"/>
  <c r="M24" i="434" s="1"/>
  <c r="J24" i="434" a="1"/>
  <c r="J24" i="434" s="1"/>
  <c r="H24" i="434"/>
  <c r="K23" i="434" a="1"/>
  <c r="K23" i="434" s="1"/>
  <c r="M23" i="434" s="1"/>
  <c r="J23" i="434" a="1"/>
  <c r="J23" i="434" s="1"/>
  <c r="H23" i="434"/>
  <c r="K22" i="434" a="1"/>
  <c r="K22" i="434" s="1"/>
  <c r="M22" i="434" s="1"/>
  <c r="J22" i="434" a="1"/>
  <c r="J22" i="434" s="1"/>
  <c r="H22" i="434"/>
  <c r="V21" i="434"/>
  <c r="W21" i="434" s="1"/>
  <c r="N21" i="434"/>
  <c r="K21" i="434" a="1"/>
  <c r="K21" i="434" s="1"/>
  <c r="M21" i="434" s="1"/>
  <c r="J21" i="434" a="1"/>
  <c r="J21" i="434" s="1"/>
  <c r="H21" i="434"/>
  <c r="V20" i="434"/>
  <c r="W20" i="434" s="1"/>
  <c r="N20" i="434"/>
  <c r="K20" i="434" a="1"/>
  <c r="K20" i="434" s="1"/>
  <c r="M20" i="434" s="1"/>
  <c r="J20" i="434" a="1"/>
  <c r="J20" i="434" s="1"/>
  <c r="H20" i="434"/>
  <c r="V19" i="434"/>
  <c r="W19" i="434" s="1"/>
  <c r="N19" i="434"/>
  <c r="K19" i="434" a="1"/>
  <c r="K19" i="434" s="1"/>
  <c r="M19" i="434" s="1"/>
  <c r="J19" i="434" a="1"/>
  <c r="J19" i="434" s="1"/>
  <c r="H19" i="434"/>
  <c r="N18" i="434"/>
  <c r="K18" i="434" a="1"/>
  <c r="K18" i="434" s="1"/>
  <c r="M18" i="434" s="1"/>
  <c r="J18" i="434" a="1"/>
  <c r="J18" i="434" s="1"/>
  <c r="H18" i="434"/>
  <c r="N17" i="434"/>
  <c r="K17" i="434" a="1"/>
  <c r="K17" i="434" s="1"/>
  <c r="M17" i="434" s="1"/>
  <c r="J17" i="434" a="1"/>
  <c r="J17" i="434" s="1"/>
  <c r="H17" i="434"/>
  <c r="V16" i="434"/>
  <c r="W16" i="434" s="1"/>
  <c r="N16" i="434"/>
  <c r="K16" i="434" a="1"/>
  <c r="K16" i="434" s="1"/>
  <c r="M16" i="434" s="1"/>
  <c r="J16" i="434" a="1"/>
  <c r="J16" i="434" s="1"/>
  <c r="H16" i="434"/>
  <c r="V15" i="434"/>
  <c r="W15" i="434" s="1"/>
  <c r="N15" i="434"/>
  <c r="K15" i="434" a="1"/>
  <c r="K15" i="434" s="1"/>
  <c r="M15" i="434" s="1"/>
  <c r="J15" i="434" a="1"/>
  <c r="J15" i="434" s="1"/>
  <c r="H15" i="434"/>
  <c r="N14" i="434"/>
  <c r="K14" i="434" a="1"/>
  <c r="K14" i="434" s="1"/>
  <c r="M14" i="434" s="1"/>
  <c r="H14" i="434"/>
  <c r="N13" i="434"/>
  <c r="K13" i="434" a="1"/>
  <c r="K13" i="434" s="1"/>
  <c r="M13" i="434" s="1"/>
  <c r="H13" i="434"/>
  <c r="V12" i="434"/>
  <c r="W12" i="434" s="1"/>
  <c r="N12" i="434"/>
  <c r="K12" i="434" a="1"/>
  <c r="K12" i="434" s="1"/>
  <c r="M12" i="434" s="1"/>
  <c r="J12" i="434" a="1"/>
  <c r="J12" i="434" s="1"/>
  <c r="H12" i="434"/>
  <c r="V11" i="434"/>
  <c r="W11" i="434" s="1"/>
  <c r="N11" i="434"/>
  <c r="K11" i="434" a="1"/>
  <c r="K11" i="434" s="1"/>
  <c r="M11" i="434" s="1"/>
  <c r="J11" i="434" a="1"/>
  <c r="J11" i="434" s="1"/>
  <c r="H11" i="434"/>
  <c r="V10" i="434"/>
  <c r="W10" i="434" s="1"/>
  <c r="N10" i="434"/>
  <c r="K10" i="434" a="1"/>
  <c r="K10" i="434" s="1"/>
  <c r="M10" i="434" s="1"/>
  <c r="J10" i="434" a="1"/>
  <c r="J10" i="434" s="1"/>
  <c r="H10" i="434"/>
  <c r="V9" i="434"/>
  <c r="W9" i="434" s="1"/>
  <c r="N9" i="434"/>
  <c r="K9" i="434" a="1"/>
  <c r="K9" i="434" s="1"/>
  <c r="M9" i="434" s="1"/>
  <c r="J9" i="434" a="1"/>
  <c r="J9" i="434" s="1"/>
  <c r="H9" i="434"/>
  <c r="V8" i="434"/>
  <c r="W8" i="434" s="1"/>
  <c r="N8" i="434"/>
  <c r="K8" i="434" a="1"/>
  <c r="K8" i="434" s="1"/>
  <c r="M8" i="434" s="1"/>
  <c r="J8" i="434" a="1"/>
  <c r="J8" i="434" s="1"/>
  <c r="H8" i="434"/>
  <c r="V7" i="434"/>
  <c r="N7" i="434"/>
  <c r="K7" i="434" a="1"/>
  <c r="K7" i="434" s="1"/>
  <c r="M7" i="434" s="1"/>
  <c r="J7" i="434" a="1"/>
  <c r="J7" i="434" s="1"/>
  <c r="H7" i="434"/>
  <c r="X166" i="434" l="1"/>
  <c r="O504" i="434"/>
  <c r="X507" i="434" s="1"/>
  <c r="X506" i="434"/>
  <c r="P333" i="434"/>
  <c r="X337" i="434" s="1"/>
  <c r="X336" i="434"/>
  <c r="B512" i="434"/>
  <c r="S163" i="434"/>
  <c r="U163" i="434"/>
  <c r="Y163" i="434"/>
  <c r="AA163" i="434"/>
  <c r="C522" i="434"/>
  <c r="K507" i="434"/>
  <c r="M507" i="434" s="1"/>
  <c r="K508" i="434"/>
  <c r="M508" i="434" s="1"/>
  <c r="K509" i="434"/>
  <c r="M509" i="434" s="1"/>
  <c r="R166" i="434"/>
  <c r="J256" i="434" a="1"/>
  <c r="J256" i="434" s="1"/>
  <c r="C533" i="434"/>
  <c r="I163" i="434"/>
  <c r="B171" i="434" s="1"/>
  <c r="P163" i="434"/>
  <c r="X167" i="434" s="1"/>
  <c r="R163" i="434"/>
  <c r="T163" i="434"/>
  <c r="N256" i="434"/>
  <c r="N121" i="434"/>
  <c r="J291" i="434" a="1"/>
  <c r="J291" i="434" s="1"/>
  <c r="R337" i="434"/>
  <c r="N198" i="434"/>
  <c r="N28" i="434"/>
  <c r="R167" i="434"/>
  <c r="N137" i="434"/>
  <c r="N147" i="434"/>
  <c r="J307" i="434" a="1"/>
  <c r="J307" i="434" s="1"/>
  <c r="N332" i="434"/>
  <c r="K336" i="434"/>
  <c r="M336" i="434" s="1"/>
  <c r="K337" i="434"/>
  <c r="M337" i="434" s="1"/>
  <c r="K338" i="434"/>
  <c r="M338" i="434" s="1"/>
  <c r="N368" i="434"/>
  <c r="V477" i="434"/>
  <c r="W477" i="434" s="1"/>
  <c r="H28" i="434"/>
  <c r="H477" i="434"/>
  <c r="C521" i="434"/>
  <c r="N86" i="434"/>
  <c r="H137" i="434"/>
  <c r="V137" i="434"/>
  <c r="W137" i="434" s="1"/>
  <c r="C524" i="434"/>
  <c r="N162" i="434"/>
  <c r="C526" i="434"/>
  <c r="B341" i="434"/>
  <c r="H291" i="434"/>
  <c r="V291" i="434"/>
  <c r="W291" i="434" s="1"/>
  <c r="V307" i="434"/>
  <c r="W307" i="434" s="1"/>
  <c r="N317" i="434"/>
  <c r="J317" i="434" a="1"/>
  <c r="J317" i="434" s="1"/>
  <c r="N426" i="434"/>
  <c r="H461" i="434"/>
  <c r="V461" i="434"/>
  <c r="W461" i="434" s="1"/>
  <c r="J477" i="434" a="1"/>
  <c r="J477" i="434" s="1"/>
  <c r="R509" i="434"/>
  <c r="H487" i="434"/>
  <c r="V487" i="434"/>
  <c r="W487" i="434" s="1"/>
  <c r="J487" i="434" a="1"/>
  <c r="J487" i="434" s="1"/>
  <c r="R510" i="434"/>
  <c r="K121" i="434"/>
  <c r="M137" i="434"/>
  <c r="V28" i="434"/>
  <c r="H86" i="434"/>
  <c r="V86" i="434"/>
  <c r="W86" i="434" s="1"/>
  <c r="H121" i="434"/>
  <c r="V121" i="434"/>
  <c r="W121" i="434" s="1"/>
  <c r="R168" i="434"/>
  <c r="H147" i="434"/>
  <c r="V147" i="434"/>
  <c r="W147" i="434" s="1"/>
  <c r="R169" i="434"/>
  <c r="H162" i="434"/>
  <c r="R170" i="434"/>
  <c r="K526" i="434" s="1"/>
  <c r="K166" i="434"/>
  <c r="M166" i="434" s="1"/>
  <c r="K167" i="434"/>
  <c r="M167" i="434" s="1"/>
  <c r="K168" i="434"/>
  <c r="M168" i="434" s="1"/>
  <c r="H198" i="434"/>
  <c r="K291" i="434"/>
  <c r="R338" i="434"/>
  <c r="H317" i="434"/>
  <c r="V317" i="434"/>
  <c r="W317" i="434" s="1"/>
  <c r="R339" i="434"/>
  <c r="H332" i="434"/>
  <c r="V332" i="434"/>
  <c r="R340" i="434"/>
  <c r="H368" i="434"/>
  <c r="V368" i="434"/>
  <c r="J368" i="434" a="1"/>
  <c r="J368" i="434" s="1"/>
  <c r="H426" i="434"/>
  <c r="J426" i="434" a="1"/>
  <c r="J426" i="434" s="1"/>
  <c r="R507" i="434"/>
  <c r="N461" i="434"/>
  <c r="W427" i="434"/>
  <c r="R508" i="434"/>
  <c r="N477" i="434"/>
  <c r="W462" i="434"/>
  <c r="N487" i="434"/>
  <c r="N503" i="434"/>
  <c r="R511" i="434"/>
  <c r="J137" i="434" a="1"/>
  <c r="J137" i="434" s="1"/>
  <c r="J147" i="434" a="1"/>
  <c r="J147" i="434" s="1"/>
  <c r="J198" i="434" a="1"/>
  <c r="J198" i="434" s="1"/>
  <c r="H256" i="434"/>
  <c r="V256" i="434"/>
  <c r="W256" i="434" s="1"/>
  <c r="N291" i="434"/>
  <c r="W257" i="434"/>
  <c r="K461" i="434"/>
  <c r="J461" i="434" a="1"/>
  <c r="J461" i="434" s="1"/>
  <c r="J503" i="434" a="1"/>
  <c r="J503" i="434" s="1"/>
  <c r="M28" i="434"/>
  <c r="Q522" i="434"/>
  <c r="Q524" i="434"/>
  <c r="Q526" i="434"/>
  <c r="K86" i="434"/>
  <c r="M86" i="434"/>
  <c r="K524" i="434"/>
  <c r="K147" i="434"/>
  <c r="M138" i="434"/>
  <c r="M147" i="434" s="1"/>
  <c r="K525" i="434"/>
  <c r="K162" i="434"/>
  <c r="M148" i="434"/>
  <c r="M162" i="434" s="1"/>
  <c r="W7" i="434"/>
  <c r="M198" i="434"/>
  <c r="W198" i="434"/>
  <c r="W28" i="434"/>
  <c r="Q521" i="434"/>
  <c r="Q525" i="434"/>
  <c r="K522" i="434"/>
  <c r="K523" i="434"/>
  <c r="K307" i="434"/>
  <c r="M292" i="434"/>
  <c r="M307" i="434" s="1"/>
  <c r="K28" i="434"/>
  <c r="M256" i="434"/>
  <c r="C527" i="434"/>
  <c r="E521" i="434" s="1"/>
  <c r="K317" i="434"/>
  <c r="M308" i="434"/>
  <c r="M317" i="434" s="1"/>
  <c r="K332" i="434"/>
  <c r="M318" i="434"/>
  <c r="M332" i="434" s="1"/>
  <c r="M87" i="434"/>
  <c r="M121" i="434" s="1"/>
  <c r="J121" i="434" a="1"/>
  <c r="J121" i="434" s="1"/>
  <c r="K137" i="434"/>
  <c r="J162" i="434" a="1"/>
  <c r="J162" i="434" s="1"/>
  <c r="V162" i="434"/>
  <c r="W162" i="434" s="1"/>
  <c r="K165" i="434"/>
  <c r="R165" i="434"/>
  <c r="K198" i="434"/>
  <c r="V198" i="434"/>
  <c r="V333" i="434" s="1"/>
  <c r="K256" i="434"/>
  <c r="M426" i="434"/>
  <c r="J333" i="434" a="1"/>
  <c r="J333" i="434" s="1"/>
  <c r="M340" i="434" s="1"/>
  <c r="B340" i="434"/>
  <c r="R335" i="434"/>
  <c r="K368" i="434"/>
  <c r="M368" i="434"/>
  <c r="J28" i="434" a="1"/>
  <c r="J28" i="434" s="1"/>
  <c r="J86" i="434" a="1"/>
  <c r="J86" i="434" s="1"/>
  <c r="W138" i="434"/>
  <c r="R336" i="434"/>
  <c r="M257" i="434"/>
  <c r="M291" i="434" s="1"/>
  <c r="H307" i="434"/>
  <c r="N307" i="434"/>
  <c r="W292" i="434"/>
  <c r="B511" i="434"/>
  <c r="J504" i="434" a="1"/>
  <c r="J504" i="434" s="1"/>
  <c r="M511" i="434" s="1"/>
  <c r="R506" i="434"/>
  <c r="K487" i="434"/>
  <c r="M478" i="434"/>
  <c r="M487" i="434" s="1"/>
  <c r="K503" i="434"/>
  <c r="M488" i="434"/>
  <c r="M503" i="434" s="1"/>
  <c r="W308" i="434"/>
  <c r="W318" i="434"/>
  <c r="W332" i="434" s="1"/>
  <c r="K335" i="434"/>
  <c r="W347" i="434"/>
  <c r="W368" i="434" s="1"/>
  <c r="V426" i="434"/>
  <c r="W426" i="434" s="1"/>
  <c r="M477" i="434"/>
  <c r="H503" i="434"/>
  <c r="W503" i="434"/>
  <c r="K426" i="434"/>
  <c r="T533" i="434" a="1"/>
  <c r="T533" i="434" s="1"/>
  <c r="M427" i="434"/>
  <c r="M461" i="434" s="1"/>
  <c r="K477" i="434"/>
  <c r="V503" i="434"/>
  <c r="J530" i="434"/>
  <c r="J531" i="434"/>
  <c r="Q531" i="434" s="1"/>
  <c r="J532" i="434"/>
  <c r="Q532" i="434" s="1"/>
  <c r="W478" i="434"/>
  <c r="K506" i="434"/>
  <c r="T530" i="434" a="1"/>
  <c r="T530" i="434" s="1"/>
  <c r="K504" i="434" l="1"/>
  <c r="V504" i="434"/>
  <c r="N504" i="434"/>
  <c r="M504" i="434"/>
  <c r="H504" i="434"/>
  <c r="E511" i="434" s="1"/>
  <c r="E526" i="434"/>
  <c r="E523" i="434"/>
  <c r="B513" i="434"/>
  <c r="E513" i="434" s="1"/>
  <c r="K333" i="434"/>
  <c r="M333" i="434"/>
  <c r="H333" i="434"/>
  <c r="E340" i="434" s="1"/>
  <c r="N333" i="434"/>
  <c r="B342" i="434" s="1"/>
  <c r="E342" i="434" s="1"/>
  <c r="W333" i="434"/>
  <c r="C517" i="434"/>
  <c r="M163" i="434"/>
  <c r="N163" i="434"/>
  <c r="B172" i="434" s="1"/>
  <c r="E172" i="434" s="1"/>
  <c r="K163" i="434"/>
  <c r="E171" i="434" s="1"/>
  <c r="W163" i="434"/>
  <c r="V163" i="434"/>
  <c r="H163" i="434"/>
  <c r="E170" i="434" s="1"/>
  <c r="X172" i="434"/>
  <c r="Z165" i="434" s="1" a="1"/>
  <c r="Z165" i="434" s="1"/>
  <c r="E525" i="434"/>
  <c r="E524" i="434"/>
  <c r="E522" i="434"/>
  <c r="K510" i="434"/>
  <c r="M510" i="434" s="1"/>
  <c r="M506" i="434"/>
  <c r="S531" i="434" a="1"/>
  <c r="S531" i="434" s="1"/>
  <c r="R531" i="434"/>
  <c r="X513" i="434"/>
  <c r="Z506" i="434" s="1" a="1"/>
  <c r="Z506" i="434" s="1"/>
  <c r="R342" i="434"/>
  <c r="T335" i="434" s="1" a="1"/>
  <c r="T335" i="434" s="1"/>
  <c r="X342" i="434"/>
  <c r="Z335" i="434" s="1" a="1"/>
  <c r="Z335" i="434" s="1"/>
  <c r="K521" i="434"/>
  <c r="R172" i="434"/>
  <c r="T165" i="434" s="1" a="1"/>
  <c r="T165" i="434" s="1"/>
  <c r="S532" i="434" a="1"/>
  <c r="S532" i="434" s="1"/>
  <c r="R532" i="434"/>
  <c r="Q530" i="434"/>
  <c r="J533" i="434"/>
  <c r="K339" i="434"/>
  <c r="M339" i="434" s="1"/>
  <c r="M335" i="434"/>
  <c r="R513" i="434"/>
  <c r="T506" i="434" s="1" a="1"/>
  <c r="T506" i="434" s="1"/>
  <c r="I342" i="434"/>
  <c r="M342" i="434" s="1" a="1"/>
  <c r="M342" i="434" s="1"/>
  <c r="Q523" i="434"/>
  <c r="Q527" i="434" s="1"/>
  <c r="K169" i="434"/>
  <c r="M169" i="434" s="1"/>
  <c r="M165" i="434"/>
  <c r="J163" i="434" a="1"/>
  <c r="J163" i="434" s="1"/>
  <c r="M170" i="434" s="1"/>
  <c r="B170" i="434"/>
  <c r="C516" i="434" s="1"/>
  <c r="Z509" i="434" l="1"/>
  <c r="T336" i="434"/>
  <c r="Z339" i="434"/>
  <c r="Z169" i="434"/>
  <c r="Z336" i="434"/>
  <c r="Z340" i="434"/>
  <c r="Z337" i="434"/>
  <c r="Z170" i="434"/>
  <c r="Z166" i="434"/>
  <c r="C518" i="434"/>
  <c r="G518" i="434" s="1"/>
  <c r="Z510" i="434"/>
  <c r="S526" i="434"/>
  <c r="G516" i="434"/>
  <c r="Z341" i="434"/>
  <c r="Z507" i="434"/>
  <c r="Z511" i="434"/>
  <c r="Z167" i="434"/>
  <c r="Z338" i="434"/>
  <c r="Z508" i="434"/>
  <c r="Z512" i="434"/>
  <c r="Z168" i="434"/>
  <c r="Z171" i="434"/>
  <c r="E527" i="434"/>
  <c r="S522" i="434"/>
  <c r="S524" i="434"/>
  <c r="I172" i="434"/>
  <c r="I513" i="434"/>
  <c r="M513" i="434" s="1" a="1"/>
  <c r="M513" i="434" s="1"/>
  <c r="W504" i="434"/>
  <c r="O516" i="434" a="1"/>
  <c r="O516" i="434" s="1"/>
  <c r="E341" i="434"/>
  <c r="I341" i="434" s="1"/>
  <c r="M341" i="434" s="1"/>
  <c r="L333" i="434"/>
  <c r="I340" i="434" s="1"/>
  <c r="K527" i="434"/>
  <c r="T166" i="434"/>
  <c r="T167" i="434"/>
  <c r="T171" i="434"/>
  <c r="T168" i="434"/>
  <c r="T169" i="434"/>
  <c r="T170" i="434"/>
  <c r="S525" i="434"/>
  <c r="I171" i="434"/>
  <c r="M171" i="434" s="1"/>
  <c r="E512" i="434"/>
  <c r="I512" i="434" s="1"/>
  <c r="M512" i="434" s="1"/>
  <c r="L504" i="434"/>
  <c r="I511" i="434" s="1"/>
  <c r="T507" i="434"/>
  <c r="T509" i="434"/>
  <c r="T511" i="434"/>
  <c r="T510" i="434"/>
  <c r="T512" i="434"/>
  <c r="T508" i="434"/>
  <c r="Q533" i="434"/>
  <c r="S533" i="434" s="1" a="1"/>
  <c r="S533" i="434" s="1"/>
  <c r="S530" i="434" a="1"/>
  <c r="S530" i="434" s="1"/>
  <c r="R530" i="434"/>
  <c r="R533" i="434" s="1"/>
  <c r="T337" i="434"/>
  <c r="T339" i="434"/>
  <c r="T341" i="434"/>
  <c r="T338" i="434"/>
  <c r="T340" i="434"/>
  <c r="S521" i="434" a="1"/>
  <c r="S521" i="434" s="1"/>
  <c r="L163" i="434"/>
  <c r="I170" i="434" s="1"/>
  <c r="S523" i="434"/>
  <c r="M521" i="434" a="1"/>
  <c r="M521" i="434" s="1"/>
  <c r="M523" i="434" l="1"/>
  <c r="M526" i="434"/>
  <c r="M524" i="434"/>
  <c r="M522" i="434"/>
  <c r="M525" i="434"/>
  <c r="S527" i="434"/>
  <c r="G517" i="434"/>
  <c r="K518" i="434"/>
  <c r="O518" i="434" s="1" a="1"/>
  <c r="O518" i="434" s="1"/>
  <c r="M172" i="434" a="1"/>
  <c r="M172" i="434" s="1"/>
  <c r="K517" i="434" l="1"/>
  <c r="O517" i="434" s="1"/>
  <c r="K516" i="434"/>
</calcChain>
</file>

<file path=xl/comments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278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90返工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<sst xmlns="http://schemas.openxmlformats.org/spreadsheetml/2006/main" count="30547" uniqueCount="556">
  <si>
    <t>充气乐园背包</t>
  </si>
  <si>
    <t>顽仔背包</t>
  </si>
  <si>
    <t>小翠花手提袋果冻</t>
  </si>
  <si>
    <t xml:space="preserve">新进 </t>
  </si>
  <si>
    <t xml:space="preserve">调入 </t>
  </si>
  <si>
    <t xml:space="preserve">调出 </t>
  </si>
  <si>
    <t xml:space="preserve">工休 </t>
  </si>
  <si>
    <t xml:space="preserve">借调 </t>
  </si>
  <si>
    <t xml:space="preserve">请假 </t>
  </si>
  <si>
    <t xml:space="preserve">旷工 </t>
  </si>
  <si>
    <t xml:space="preserve">早退 </t>
  </si>
  <si>
    <t xml:space="preserve">合计 </t>
  </si>
  <si>
    <t>物料编码</t>
    <phoneticPr fontId="4" type="noConversion"/>
  </si>
  <si>
    <t>封口不良/不严/旋盖不紧</t>
  </si>
  <si>
    <t>异常工时</t>
  </si>
  <si>
    <t>果肉类产品</t>
  </si>
  <si>
    <t>果味类产品</t>
  </si>
  <si>
    <t>吸吸类产品</t>
  </si>
  <si>
    <t>层层类产品</t>
  </si>
  <si>
    <t>自立袋类产品</t>
  </si>
  <si>
    <t>礼包类产品</t>
  </si>
  <si>
    <t>批号不清晰/打印错误</t>
  </si>
  <si>
    <t xml:space="preserve">            南京来一口食品有限公司</t>
    <phoneticPr fontId="4" type="noConversion"/>
  </si>
  <si>
    <t>包装车间生产日报表</t>
    <phoneticPr fontId="4" type="noConversion"/>
  </si>
  <si>
    <t>一、包装A班生产日报表</t>
    <phoneticPr fontId="4" type="noConversion"/>
  </si>
  <si>
    <t>产品名称</t>
    <phoneticPr fontId="4" type="noConversion"/>
  </si>
  <si>
    <t>品种</t>
    <phoneticPr fontId="4" type="noConversion"/>
  </si>
  <si>
    <t>规格</t>
    <phoneticPr fontId="4" type="noConversion"/>
  </si>
  <si>
    <t>生产订单号</t>
    <phoneticPr fontId="4" type="noConversion"/>
  </si>
  <si>
    <t>生产批号</t>
    <phoneticPr fontId="4" type="noConversion"/>
  </si>
  <si>
    <t>当班产量</t>
    <phoneticPr fontId="4" type="noConversion"/>
  </si>
  <si>
    <t>生产工时</t>
    <phoneticPr fontId="4" type="noConversion"/>
  </si>
  <si>
    <t>实际产能</t>
    <phoneticPr fontId="4" type="noConversion"/>
  </si>
  <si>
    <t>标准生产工时</t>
    <phoneticPr fontId="4" type="noConversion"/>
  </si>
  <si>
    <t>标准产能</t>
    <phoneticPr fontId="4" type="noConversion"/>
  </si>
  <si>
    <t>工时差异</t>
    <phoneticPr fontId="4" type="noConversion"/>
  </si>
  <si>
    <t>异常工时</t>
    <phoneticPr fontId="4" type="noConversion"/>
  </si>
  <si>
    <t>生产异常工时</t>
    <phoneticPr fontId="4" type="noConversion"/>
  </si>
  <si>
    <t>制程返箱（件）</t>
    <phoneticPr fontId="4" type="noConversion"/>
  </si>
  <si>
    <t>当班返箱率（%）</t>
    <phoneticPr fontId="4" type="noConversion"/>
  </si>
  <si>
    <t>返箱原因</t>
    <phoneticPr fontId="4" type="noConversion"/>
  </si>
  <si>
    <t>新工培训</t>
    <phoneticPr fontId="4" type="noConversion"/>
  </si>
  <si>
    <t>半成品不良处理</t>
    <phoneticPr fontId="4" type="noConversion"/>
  </si>
  <si>
    <t>材料异常处理</t>
    <phoneticPr fontId="4" type="noConversion"/>
  </si>
  <si>
    <t>批号不清晰/打印错误</t>
    <phoneticPr fontId="4" type="noConversion"/>
  </si>
  <si>
    <t>成品返箱</t>
    <phoneticPr fontId="4" type="noConversion"/>
  </si>
  <si>
    <t>设备故障</t>
    <phoneticPr fontId="4" type="noConversion"/>
  </si>
  <si>
    <t>其它</t>
    <phoneticPr fontId="4" type="noConversion"/>
  </si>
  <si>
    <t>果肉挂杯</t>
    <phoneticPr fontId="4" type="noConversion"/>
  </si>
  <si>
    <t>恶性异物</t>
    <phoneticPr fontId="4" type="noConversion"/>
  </si>
  <si>
    <t>箱/班</t>
    <phoneticPr fontId="4" type="noConversion"/>
  </si>
  <si>
    <t>kg/班</t>
    <phoneticPr fontId="4" type="noConversion"/>
  </si>
  <si>
    <t>30g果肉果冻</t>
    <phoneticPr fontId="4" type="noConversion"/>
  </si>
  <si>
    <t>香橙</t>
    <phoneticPr fontId="4" type="noConversion"/>
  </si>
  <si>
    <t>36g情人心语果肉果冻</t>
    <phoneticPr fontId="4" type="noConversion"/>
  </si>
  <si>
    <t>菠萝</t>
    <phoneticPr fontId="4" type="noConversion"/>
  </si>
  <si>
    <t>45g果肉果冻</t>
    <phoneticPr fontId="4" type="noConversion"/>
  </si>
  <si>
    <t>青提</t>
    <phoneticPr fontId="4" type="noConversion"/>
  </si>
  <si>
    <t>80g情人心语果冻</t>
    <phoneticPr fontId="4" type="noConversion"/>
  </si>
  <si>
    <t>92g果肉粒布甸果冻</t>
    <phoneticPr fontId="4" type="noConversion"/>
  </si>
  <si>
    <t>草莓</t>
    <phoneticPr fontId="4" type="noConversion"/>
  </si>
  <si>
    <t>芒果</t>
    <phoneticPr fontId="4" type="noConversion"/>
  </si>
  <si>
    <t>95g果肉果冻</t>
    <phoneticPr fontId="4" type="noConversion"/>
  </si>
  <si>
    <t>杂果</t>
    <phoneticPr fontId="4" type="noConversion"/>
  </si>
  <si>
    <t>黄桃</t>
    <phoneticPr fontId="4" type="noConversion"/>
  </si>
  <si>
    <t>荔枝</t>
    <phoneticPr fontId="4" type="noConversion"/>
  </si>
  <si>
    <t>苹果</t>
    <phoneticPr fontId="4" type="noConversion"/>
  </si>
  <si>
    <t>125g果肉果冻</t>
    <phoneticPr fontId="4" type="noConversion"/>
  </si>
  <si>
    <t>185g什锦果冻</t>
    <phoneticPr fontId="4" type="noConversion"/>
  </si>
  <si>
    <t>200g什锦果冻</t>
    <phoneticPr fontId="4" type="noConversion"/>
  </si>
  <si>
    <t>果肉类产品</t>
    <phoneticPr fontId="4" type="noConversion"/>
  </si>
  <si>
    <t>小计：</t>
    <phoneticPr fontId="4" type="noConversion"/>
  </si>
  <si>
    <t>玉米</t>
    <phoneticPr fontId="4" type="noConversion"/>
  </si>
  <si>
    <t>酸奶</t>
    <phoneticPr fontId="4" type="noConversion"/>
  </si>
  <si>
    <t>哈密瓜</t>
    <phoneticPr fontId="4" type="noConversion"/>
  </si>
  <si>
    <t>红苹果</t>
    <phoneticPr fontId="4" type="noConversion"/>
  </si>
  <si>
    <t>25g乳酸果冻</t>
    <phoneticPr fontId="4" type="noConversion"/>
  </si>
  <si>
    <t>香芋</t>
    <phoneticPr fontId="4" type="noConversion"/>
  </si>
  <si>
    <t>30g果冻条</t>
    <phoneticPr fontId="4" type="noConversion"/>
  </si>
  <si>
    <t>30g果味果冻</t>
    <phoneticPr fontId="4" type="noConversion"/>
  </si>
  <si>
    <t>30g椰果果冻</t>
    <phoneticPr fontId="4" type="noConversion"/>
  </si>
  <si>
    <t>42g布甸果冻</t>
    <phoneticPr fontId="4" type="noConversion"/>
  </si>
  <si>
    <t>鸡蛋</t>
    <phoneticPr fontId="4" type="noConversion"/>
  </si>
  <si>
    <t>45g奶香酪果冻</t>
    <phoneticPr fontId="4" type="noConversion"/>
  </si>
  <si>
    <t>60g果味果冻</t>
    <phoneticPr fontId="4" type="noConversion"/>
  </si>
  <si>
    <t>92g布甸果冻</t>
    <phoneticPr fontId="4" type="noConversion"/>
  </si>
  <si>
    <t>果味类产品</t>
    <phoneticPr fontId="4" type="noConversion"/>
  </si>
  <si>
    <t>50g兵器吸之冻</t>
    <phoneticPr fontId="4" type="noConversion"/>
  </si>
  <si>
    <t>65g可吸果冻</t>
    <phoneticPr fontId="4" type="noConversion"/>
  </si>
  <si>
    <t>乳酸</t>
    <phoneticPr fontId="4" type="noConversion"/>
  </si>
  <si>
    <t>78ml棒冰冰果味饮料</t>
    <phoneticPr fontId="4" type="noConversion"/>
  </si>
  <si>
    <t>130g可吸果冻爽</t>
    <phoneticPr fontId="4" type="noConversion"/>
  </si>
  <si>
    <t>吸吸类产品</t>
    <phoneticPr fontId="4" type="noConversion"/>
  </si>
  <si>
    <t>36g情人心语层层果冻</t>
    <phoneticPr fontId="4" type="noConversion"/>
  </si>
  <si>
    <t>红毛丹</t>
    <phoneticPr fontId="4" type="noConversion"/>
  </si>
  <si>
    <t>90g布甸果冻</t>
    <phoneticPr fontId="4" type="noConversion"/>
  </si>
  <si>
    <t>巧克力</t>
    <phoneticPr fontId="4" type="noConversion"/>
  </si>
  <si>
    <t>90g双层布甸果冻</t>
    <phoneticPr fontId="4" type="noConversion"/>
  </si>
  <si>
    <t>125g果味果司果冻</t>
    <phoneticPr fontId="4" type="noConversion"/>
  </si>
  <si>
    <t>层层类产品</t>
    <phoneticPr fontId="4" type="noConversion"/>
  </si>
  <si>
    <t>85g雪人吸吸果冻</t>
    <phoneticPr fontId="4" type="noConversion"/>
  </si>
  <si>
    <t>葡萄</t>
    <phoneticPr fontId="4" type="noConversion"/>
  </si>
  <si>
    <t>自立袋类产品</t>
    <phoneticPr fontId="4" type="noConversion"/>
  </si>
  <si>
    <t>卡通猫玩具</t>
    <phoneticPr fontId="4" type="noConversion"/>
  </si>
  <si>
    <t>6粒袋喜庆果冻</t>
    <phoneticPr fontId="4" type="noConversion"/>
  </si>
  <si>
    <t>624ml棒冰冰风味饮料</t>
    <phoneticPr fontId="4" type="noConversion"/>
  </si>
  <si>
    <t>礼包类产品</t>
    <phoneticPr fontId="4" type="noConversion"/>
  </si>
  <si>
    <t>其他类产品</t>
    <phoneticPr fontId="4" type="noConversion"/>
  </si>
  <si>
    <t>合计：</t>
    <phoneticPr fontId="4" type="noConversion"/>
  </si>
  <si>
    <t>当班辅助岗位</t>
    <phoneticPr fontId="4" type="noConversion"/>
  </si>
  <si>
    <t>岗位</t>
    <phoneticPr fontId="4" type="noConversion"/>
  </si>
  <si>
    <t>实际人力配置</t>
    <phoneticPr fontId="4" type="noConversion"/>
  </si>
  <si>
    <t>实际生产工时</t>
    <phoneticPr fontId="4" type="noConversion"/>
  </si>
  <si>
    <t>标准人力配置</t>
    <phoneticPr fontId="4" type="noConversion"/>
  </si>
  <si>
    <t>标准工时</t>
    <phoneticPr fontId="4" type="noConversion"/>
  </si>
  <si>
    <t>异常工时占比</t>
    <phoneticPr fontId="4" type="noConversion"/>
  </si>
  <si>
    <t>生产异常工时分析</t>
    <phoneticPr fontId="4" type="noConversion"/>
  </si>
  <si>
    <t>按产品结构分类</t>
    <phoneticPr fontId="4" type="noConversion"/>
  </si>
  <si>
    <t>占比</t>
    <phoneticPr fontId="4" type="noConversion"/>
  </si>
  <si>
    <t>按异常类别分析</t>
    <phoneticPr fontId="4" type="noConversion"/>
  </si>
  <si>
    <t>转接产品</t>
    <phoneticPr fontId="4" type="noConversion"/>
  </si>
  <si>
    <t>打码喷码</t>
    <phoneticPr fontId="4" type="noConversion"/>
  </si>
  <si>
    <t>打扫卫生</t>
    <phoneticPr fontId="4" type="noConversion"/>
  </si>
  <si>
    <t>合计</t>
    <phoneticPr fontId="4" type="noConversion"/>
  </si>
  <si>
    <t>当班产量(kg/班)</t>
    <phoneticPr fontId="4" type="noConversion"/>
  </si>
  <si>
    <t>当班生产工时</t>
    <phoneticPr fontId="4" type="noConversion"/>
  </si>
  <si>
    <t>当班返箱数</t>
    <phoneticPr fontId="4" type="noConversion"/>
  </si>
  <si>
    <t>当班返箱率</t>
    <phoneticPr fontId="4" type="noConversion"/>
  </si>
  <si>
    <t>二、包装B班生产日报表</t>
    <phoneticPr fontId="4" type="noConversion"/>
  </si>
  <si>
    <t>三、包装C班生产日报表</t>
    <phoneticPr fontId="4" type="noConversion"/>
  </si>
  <si>
    <t>类别</t>
    <phoneticPr fontId="4" type="noConversion"/>
  </si>
  <si>
    <t>当天产量</t>
    <phoneticPr fontId="4" type="noConversion"/>
  </si>
  <si>
    <t>班别</t>
    <phoneticPr fontId="4" type="noConversion"/>
  </si>
  <si>
    <t xml:space="preserve">在编人数 </t>
    <phoneticPr fontId="4" type="noConversion"/>
  </si>
  <si>
    <t xml:space="preserve">昨天人数 </t>
    <phoneticPr fontId="4" type="noConversion"/>
  </si>
  <si>
    <t xml:space="preserve">应出勤人数 </t>
    <phoneticPr fontId="4" type="noConversion"/>
  </si>
  <si>
    <t>迟到</t>
    <phoneticPr fontId="4" type="noConversion"/>
  </si>
  <si>
    <t xml:space="preserve">已辞职 </t>
    <phoneticPr fontId="4" type="noConversion"/>
  </si>
  <si>
    <t>已自离</t>
    <phoneticPr fontId="4" type="noConversion"/>
  </si>
  <si>
    <t xml:space="preserve">实际出勤人数 </t>
    <phoneticPr fontId="4" type="noConversion"/>
  </si>
  <si>
    <t>实际出勤工时</t>
    <phoneticPr fontId="4" type="noConversion"/>
  </si>
  <si>
    <t xml:space="preserve">人员出勤率 </t>
    <phoneticPr fontId="4" type="noConversion"/>
  </si>
  <si>
    <t>人员流失率</t>
    <phoneticPr fontId="4" type="noConversion"/>
  </si>
  <si>
    <t>包装A班</t>
    <phoneticPr fontId="4" type="noConversion"/>
  </si>
  <si>
    <t>包装B班</t>
    <phoneticPr fontId="4" type="noConversion"/>
  </si>
  <si>
    <t>包装C班</t>
    <phoneticPr fontId="4" type="noConversion"/>
  </si>
  <si>
    <t>批准：</t>
    <phoneticPr fontId="4" type="noConversion"/>
  </si>
  <si>
    <t>审核：</t>
    <phoneticPr fontId="4" type="noConversion"/>
  </si>
  <si>
    <t>当班异常工时</t>
  </si>
  <si>
    <t>异常工时占比</t>
  </si>
  <si>
    <t>生产工时与标准差异</t>
    <phoneticPr fontId="4" type="noConversion"/>
  </si>
  <si>
    <t>生产工时差异占比</t>
    <phoneticPr fontId="4" type="noConversion"/>
  </si>
  <si>
    <t>当月产量(箱/班)</t>
    <phoneticPr fontId="4" type="noConversion"/>
  </si>
  <si>
    <t>当月生产工时</t>
    <phoneticPr fontId="4" type="noConversion"/>
  </si>
  <si>
    <t>当月异常工时</t>
    <phoneticPr fontId="12" type="noConversion"/>
  </si>
  <si>
    <t>当月产量(kg/班)</t>
    <phoneticPr fontId="4" type="noConversion"/>
  </si>
  <si>
    <t>当月返箱率</t>
    <phoneticPr fontId="4" type="noConversion"/>
  </si>
  <si>
    <t>当班产量(箱/班)</t>
    <phoneticPr fontId="4" type="noConversion"/>
  </si>
  <si>
    <t>当月返箱数</t>
    <phoneticPr fontId="4" type="noConversion"/>
  </si>
  <si>
    <t>乳酸果冻（粉色猪卡通罐）</t>
    <phoneticPr fontId="4" type="noConversion"/>
  </si>
  <si>
    <t>乳酸果冻（白色熊卡通罐）</t>
    <phoneticPr fontId="4" type="noConversion"/>
  </si>
  <si>
    <t>160g果肉</t>
    <phoneticPr fontId="4" type="noConversion"/>
  </si>
  <si>
    <t>50ml棒冰冰风味饮料</t>
    <phoneticPr fontId="4" type="noConversion"/>
  </si>
  <si>
    <t>果肉：指标18件/人/h</t>
  </si>
  <si>
    <t>果味：指标35件/人/h</t>
  </si>
  <si>
    <t>吸吸：指标10.5件/人/h</t>
  </si>
  <si>
    <t>层层：指标23件/人/h</t>
  </si>
  <si>
    <t>礼包：指标5.5件/人/h</t>
  </si>
  <si>
    <t>A</t>
    <phoneticPr fontId="12" type="noConversion"/>
  </si>
  <si>
    <t>B</t>
    <phoneticPr fontId="12" type="noConversion"/>
  </si>
  <si>
    <t>C</t>
    <phoneticPr fontId="12" type="noConversion"/>
  </si>
  <si>
    <t>95g鲜果</t>
    <phoneticPr fontId="15" type="noConversion"/>
  </si>
  <si>
    <t>苹果</t>
    <phoneticPr fontId="15" type="noConversion"/>
  </si>
  <si>
    <t>雪梨</t>
    <phoneticPr fontId="15" type="noConversion"/>
  </si>
  <si>
    <t>产量</t>
    <phoneticPr fontId="12" type="noConversion"/>
  </si>
  <si>
    <t>工时</t>
    <phoneticPr fontId="12" type="noConversion"/>
  </si>
  <si>
    <t>重量</t>
    <phoneticPr fontId="12" type="noConversion"/>
  </si>
  <si>
    <t>香橙</t>
    <phoneticPr fontId="17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</si>
  <si>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</si>
  <si>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</si>
  <si>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</si>
  <si>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rPr>
        <sz val="11"/>
        <rFont val="楷体_GB2312"/>
        <family val="3"/>
        <charset val="134"/>
      </rPr>
      <t>菠萝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</si>
  <si>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</si>
  <si>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青提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</si>
  <si>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</si>
  <si>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</si>
  <si>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</si>
  <si>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</si>
  <si>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</si>
  <si>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杂果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</si>
  <si>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</si>
  <si>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</si>
  <si>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rPr>
        <sz val="11"/>
        <rFont val="楷体_GB2312"/>
        <family val="3"/>
        <charset val="134"/>
      </rPr>
      <t>苹果</t>
    </r>
    <phoneticPr fontId="15" type="noConversion"/>
  </si>
  <si>
    <r>
      <rPr>
        <sz val="11"/>
        <rFont val="楷体_GB2312"/>
        <family val="3"/>
        <charset val="134"/>
      </rPr>
      <t>雪梨</t>
    </r>
    <phoneticPr fontId="15" type="noConversion"/>
  </si>
  <si>
    <r>
      <rPr>
        <sz val="11"/>
        <rFont val="楷体_GB2312"/>
        <family val="3"/>
        <charset val="134"/>
      </rPr>
      <t>荔枝</t>
    </r>
    <phoneticPr fontId="4" type="noConversion"/>
  </si>
  <si>
    <r>
      <rPr>
        <sz val="11"/>
        <rFont val="楷体_GB2312"/>
        <family val="3"/>
        <charset val="134"/>
      </rPr>
      <t>苹果</t>
    </r>
    <phoneticPr fontId="4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</si>
  <si>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</si>
  <si>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</si>
  <si>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</si>
  <si>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</si>
  <si>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t>200g</t>
    </r>
    <r>
      <rPr>
        <sz val="11"/>
        <rFont val="楷体_GB2312"/>
        <family val="3"/>
        <charset val="134"/>
      </rPr>
      <t>什锦果冻</t>
    </r>
    <phoneticPr fontId="4" type="noConversion"/>
  </si>
  <si>
    <r>
      <rPr>
        <sz val="11"/>
        <rFont val="楷体_GB2312"/>
        <family val="3"/>
        <charset val="134"/>
      </rPr>
      <t>果肉类产品</t>
    </r>
    <phoneticPr fontId="4" type="noConversion"/>
  </si>
  <si>
    <r>
      <rPr>
        <sz val="11"/>
        <rFont val="楷体_GB2312"/>
        <family val="3"/>
        <charset val="134"/>
      </rPr>
      <t>小计：</t>
    </r>
    <phoneticPr fontId="4" type="noConversion"/>
  </si>
  <si>
    <r>
      <rPr>
        <sz val="11"/>
        <rFont val="楷体_GB2312"/>
        <family val="3"/>
        <charset val="134"/>
      </rPr>
      <t>玉米</t>
    </r>
    <phoneticPr fontId="4" type="noConversion"/>
  </si>
  <si>
    <r>
      <rPr>
        <sz val="11"/>
        <rFont val="楷体_GB2312"/>
        <family val="3"/>
        <charset val="134"/>
      </rPr>
      <t>哈密瓜</t>
    </r>
    <phoneticPr fontId="4" type="noConversion"/>
  </si>
  <si>
    <r>
      <rPr>
        <sz val="11"/>
        <rFont val="楷体_GB2312"/>
        <family val="3"/>
        <charset val="134"/>
      </rPr>
      <t>红苹果</t>
    </r>
    <phoneticPr fontId="4" type="noConversion"/>
  </si>
  <si>
    <r>
      <t>25g</t>
    </r>
    <r>
      <rPr>
        <sz val="11"/>
        <rFont val="楷体_GB2312"/>
        <family val="3"/>
        <charset val="134"/>
      </rPr>
      <t>乳酸果冻</t>
    </r>
    <phoneticPr fontId="4" type="noConversion"/>
  </si>
  <si>
    <r>
      <rPr>
        <sz val="11"/>
        <rFont val="楷体_GB2312"/>
        <family val="3"/>
        <charset val="134"/>
      </rPr>
      <t>香芋</t>
    </r>
    <phoneticPr fontId="4" type="noConversion"/>
  </si>
  <si>
    <r>
      <t>30g</t>
    </r>
    <r>
      <rPr>
        <sz val="11"/>
        <rFont val="楷体_GB2312"/>
        <family val="3"/>
        <charset val="134"/>
      </rPr>
      <t>果冻条</t>
    </r>
    <phoneticPr fontId="4" type="noConversion"/>
  </si>
  <si>
    <r>
      <t>30g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</si>
  <si>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30g</t>
    </r>
    <r>
      <rPr>
        <sz val="11"/>
        <rFont val="楷体_GB2312"/>
        <family val="3"/>
        <charset val="134"/>
      </rPr>
      <t>椰果果冻</t>
    </r>
    <phoneticPr fontId="4" type="noConversion"/>
  </si>
  <si>
    <r>
      <t>42g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</si>
  <si>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鸡蛋</t>
    </r>
    <phoneticPr fontId="4" type="noConversion"/>
  </si>
  <si>
    <r>
      <t>45g</t>
    </r>
    <r>
      <rPr>
        <sz val="11"/>
        <rFont val="楷体_GB2312"/>
        <family val="3"/>
        <charset val="134"/>
      </rPr>
      <t>奶香酪果冻</t>
    </r>
    <phoneticPr fontId="4" type="noConversion"/>
  </si>
  <si>
    <r>
      <t>60g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</si>
  <si>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</si>
  <si>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果味类产品</t>
    </r>
    <phoneticPr fontId="4" type="noConversion"/>
  </si>
  <si>
    <r>
      <t>50g</t>
    </r>
    <r>
      <rPr>
        <sz val="11"/>
        <rFont val="楷体_GB2312"/>
        <family val="3"/>
        <charset val="134"/>
      </rPr>
      <t>兵器吸之冻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</si>
  <si>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17" type="noConversion"/>
  </si>
  <si>
    <r>
      <t>50ml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</si>
  <si>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</si>
  <si>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rPr>
        <sz val="11"/>
        <rFont val="楷体_GB2312"/>
        <family val="3"/>
        <charset val="134"/>
      </rPr>
      <t>乳酸</t>
    </r>
    <phoneticPr fontId="4" type="noConversion"/>
  </si>
  <si>
    <r>
      <t>78ml</t>
    </r>
    <r>
      <rPr>
        <sz val="11"/>
        <rFont val="楷体_GB2312"/>
        <family val="3"/>
        <charset val="134"/>
      </rPr>
      <t>棒冰冰果味饮料</t>
    </r>
    <phoneticPr fontId="4" type="noConversion"/>
  </si>
  <si>
    <r>
      <t>130g</t>
    </r>
    <r>
      <rPr>
        <sz val="11"/>
        <rFont val="楷体_GB2312"/>
        <family val="3"/>
        <charset val="134"/>
      </rPr>
      <t>可吸果冻爽</t>
    </r>
    <phoneticPr fontId="4" type="noConversion"/>
  </si>
  <si>
    <r>
      <rPr>
        <sz val="11"/>
        <rFont val="楷体_GB2312"/>
        <family val="3"/>
        <charset val="134"/>
      </rPr>
      <t>吸吸类产品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</si>
  <si>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情人心语层层果冻</t>
    </r>
    <phoneticPr fontId="4" type="noConversion"/>
  </si>
  <si>
    <r>
      <rPr>
        <sz val="11"/>
        <rFont val="楷体_GB2312"/>
        <family val="3"/>
        <charset val="134"/>
      </rPr>
      <t>红毛丹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</si>
  <si>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</si>
  <si>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巧克力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</si>
  <si>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</si>
  <si>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125g</t>
    </r>
    <r>
      <rPr>
        <sz val="11"/>
        <rFont val="楷体_GB2312"/>
        <family val="3"/>
        <charset val="134"/>
      </rPr>
      <t>果味果司果冻</t>
    </r>
    <phoneticPr fontId="4" type="noConversion"/>
  </si>
  <si>
    <r>
      <rPr>
        <sz val="11"/>
        <rFont val="楷体_GB2312"/>
        <family val="3"/>
        <charset val="134"/>
      </rPr>
      <t>层层类产品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</si>
  <si>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</si>
  <si>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rPr>
        <sz val="11"/>
        <rFont val="楷体_GB2312"/>
        <family val="3"/>
        <charset val="134"/>
      </rPr>
      <t>葡萄</t>
    </r>
    <phoneticPr fontId="4" type="noConversion"/>
  </si>
  <si>
    <r>
      <rPr>
        <sz val="11"/>
        <rFont val="楷体_GB2312"/>
        <family val="3"/>
        <charset val="134"/>
      </rPr>
      <t>自立袋类产品</t>
    </r>
    <phoneticPr fontId="4" type="noConversion"/>
  </si>
  <si>
    <r>
      <rPr>
        <sz val="11"/>
        <rFont val="楷体_GB2312"/>
        <family val="3"/>
        <charset val="134"/>
      </rPr>
      <t>卡通猫玩具</t>
    </r>
    <phoneticPr fontId="4" type="noConversion"/>
  </si>
  <si>
    <r>
      <rPr>
        <sz val="11"/>
        <rFont val="楷体_GB2312"/>
        <family val="3"/>
        <charset val="134"/>
      </rPr>
      <t>充气乐园背包</t>
    </r>
  </si>
  <si>
    <r>
      <rPr>
        <sz val="11"/>
        <rFont val="楷体_GB2312"/>
        <family val="3"/>
        <charset val="134"/>
      </rPr>
      <t>顽仔背包</t>
    </r>
  </si>
  <si>
    <r>
      <rPr>
        <sz val="11"/>
        <rFont val="楷体_GB2312"/>
        <family val="3"/>
        <charset val="134"/>
      </rPr>
      <t>小翠花手提袋果冻</t>
    </r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</si>
  <si>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</si>
  <si>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rPr>
        <sz val="11"/>
        <rFont val="楷体_GB2312"/>
        <family val="3"/>
        <charset val="134"/>
      </rPr>
      <t>乳酸果冻（小鸟卡通罐）</t>
    </r>
    <phoneticPr fontId="4" type="noConversion"/>
  </si>
  <si>
    <r>
      <t>624ml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</si>
  <si>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rPr>
        <sz val="11"/>
        <rFont val="楷体_GB2312"/>
        <family val="3"/>
        <charset val="134"/>
      </rPr>
      <t>乳酸果冻（粉色猪卡通罐）</t>
    </r>
    <phoneticPr fontId="4" type="noConversion"/>
  </si>
  <si>
    <r>
      <rPr>
        <sz val="11"/>
        <rFont val="楷体_GB2312"/>
        <family val="3"/>
        <charset val="134"/>
      </rPr>
      <t>乳酸果冻（白色熊卡通罐）</t>
    </r>
    <phoneticPr fontId="4" type="noConversion"/>
  </si>
  <si>
    <r>
      <rPr>
        <sz val="11"/>
        <rFont val="楷体_GB2312"/>
        <family val="3"/>
        <charset val="134"/>
      </rPr>
      <t>礼包类产品</t>
    </r>
    <phoneticPr fontId="4" type="noConversion"/>
  </si>
  <si>
    <r>
      <rPr>
        <sz val="11"/>
        <rFont val="楷体_GB2312"/>
        <family val="3"/>
        <charset val="134"/>
      </rPr>
      <t>其他类产品</t>
    </r>
    <phoneticPr fontId="4" type="noConversion"/>
  </si>
  <si>
    <r>
      <rPr>
        <sz val="11"/>
        <rFont val="楷体_GB2312"/>
        <family val="3"/>
        <charset val="134"/>
      </rPr>
      <t>合计：</t>
    </r>
    <phoneticPr fontId="4" type="noConversion"/>
  </si>
  <si>
    <r>
      <rPr>
        <sz val="11"/>
        <rFont val="楷体_GB2312"/>
        <family val="3"/>
        <charset val="134"/>
      </rPr>
      <t>岗位</t>
    </r>
    <phoneticPr fontId="4" type="noConversion"/>
  </si>
  <si>
    <r>
      <rPr>
        <sz val="11"/>
        <rFont val="楷体_GB2312"/>
        <family val="3"/>
        <charset val="134"/>
      </rPr>
      <t>实际人力配置</t>
    </r>
    <phoneticPr fontId="4" type="noConversion"/>
  </si>
  <si>
    <r>
      <rPr>
        <sz val="11"/>
        <rFont val="楷体_GB2312"/>
        <family val="3"/>
        <charset val="134"/>
      </rPr>
      <t>实际生产工时</t>
    </r>
    <phoneticPr fontId="4" type="noConversion"/>
  </si>
  <si>
    <r>
      <rPr>
        <sz val="11"/>
        <rFont val="楷体_GB2312"/>
        <family val="3"/>
        <charset val="134"/>
      </rPr>
      <t>标准人力配置</t>
    </r>
    <phoneticPr fontId="4" type="noConversion"/>
  </si>
  <si>
    <r>
      <rPr>
        <sz val="11"/>
        <rFont val="楷体_GB2312"/>
        <family val="3"/>
        <charset val="134"/>
      </rPr>
      <t>标准工时</t>
    </r>
    <phoneticPr fontId="4" type="noConversion"/>
  </si>
  <si>
    <r>
      <rPr>
        <sz val="11"/>
        <rFont val="楷体_GB2312"/>
        <family val="3"/>
        <charset val="134"/>
      </rPr>
      <t>异常工时</t>
    </r>
    <phoneticPr fontId="4" type="noConversion"/>
  </si>
  <si>
    <r>
      <rPr>
        <sz val="11"/>
        <rFont val="楷体_GB2312"/>
        <family val="3"/>
        <charset val="134"/>
      </rPr>
      <t>异常工时占比</t>
    </r>
    <phoneticPr fontId="4" type="noConversion"/>
  </si>
  <si>
    <r>
      <rPr>
        <sz val="11"/>
        <rFont val="楷体_GB2312"/>
        <family val="3"/>
        <charset val="134"/>
      </rPr>
      <t>生产异常工时分析</t>
    </r>
    <phoneticPr fontId="4" type="noConversion"/>
  </si>
  <si>
    <r>
      <rPr>
        <sz val="11"/>
        <rFont val="楷体_GB2312"/>
        <family val="3"/>
        <charset val="134"/>
      </rPr>
      <t>按产品结构分类</t>
    </r>
    <phoneticPr fontId="4" type="noConversion"/>
  </si>
  <si>
    <r>
      <rPr>
        <sz val="11"/>
        <rFont val="楷体_GB2312"/>
        <family val="3"/>
        <charset val="134"/>
      </rPr>
      <t>占比</t>
    </r>
    <phoneticPr fontId="4" type="noConversion"/>
  </si>
  <si>
    <r>
      <rPr>
        <sz val="11"/>
        <rFont val="楷体_GB2312"/>
        <family val="3"/>
        <charset val="134"/>
      </rPr>
      <t>按异常类别分析</t>
    </r>
    <phoneticPr fontId="4" type="noConversion"/>
  </si>
  <si>
    <r>
      <rPr>
        <sz val="11"/>
        <rFont val="楷体_GB2312"/>
        <family val="3"/>
        <charset val="134"/>
      </rPr>
      <t>转接产品</t>
    </r>
    <phoneticPr fontId="4" type="noConversion"/>
  </si>
  <si>
    <r>
      <rPr>
        <sz val="11"/>
        <rFont val="楷体_GB2312"/>
        <family val="3"/>
        <charset val="134"/>
      </rPr>
      <t>新工培训</t>
    </r>
    <phoneticPr fontId="4" type="noConversion"/>
  </si>
  <si>
    <r>
      <rPr>
        <sz val="11"/>
        <rFont val="楷体_GB2312"/>
        <family val="3"/>
        <charset val="134"/>
      </rPr>
      <t>打码喷码</t>
    </r>
    <phoneticPr fontId="4" type="noConversion"/>
  </si>
  <si>
    <r>
      <rPr>
        <sz val="11"/>
        <rFont val="楷体_GB2312"/>
        <family val="3"/>
        <charset val="134"/>
      </rPr>
      <t>半成品不良处理</t>
    </r>
    <phoneticPr fontId="4" type="noConversion"/>
  </si>
  <si>
    <r>
      <rPr>
        <sz val="11"/>
        <rFont val="楷体_GB2312"/>
        <family val="3"/>
        <charset val="134"/>
      </rPr>
      <t>打扫卫生</t>
    </r>
    <phoneticPr fontId="4" type="noConversion"/>
  </si>
  <si>
    <r>
      <rPr>
        <sz val="11"/>
        <rFont val="楷体_GB2312"/>
        <family val="3"/>
        <charset val="134"/>
      </rPr>
      <t>材料异常处理</t>
    </r>
    <phoneticPr fontId="4" type="noConversion"/>
  </si>
  <si>
    <r>
      <rPr>
        <sz val="11"/>
        <rFont val="楷体_GB2312"/>
        <family val="3"/>
        <charset val="134"/>
      </rPr>
      <t>其它</t>
    </r>
    <phoneticPr fontId="4" type="noConversion"/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</si>
  <si>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  <phoneticPr fontId="4" type="noConversion"/>
  </si>
  <si>
    <r>
      <rPr>
        <sz val="11"/>
        <rFont val="楷体_GB2312"/>
        <family val="3"/>
        <charset val="134"/>
      </rPr>
      <t>合计</t>
    </r>
    <phoneticPr fontId="4" type="noConversion"/>
  </si>
  <si>
    <r>
      <rPr>
        <sz val="11"/>
        <rFont val="楷体_GB2312"/>
        <family val="3"/>
        <charset val="134"/>
      </rPr>
      <t>成品返箱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</si>
  <si>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</t>
    </r>
    <r>
      <rPr>
        <sz val="11"/>
        <rFont val="楷体_GB2312"/>
        <family val="3"/>
        <charset val="134"/>
      </rPr>
      <t>箱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</si>
  <si>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(kg/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</si>
  <si>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标准产能</t>
    </r>
    <phoneticPr fontId="4" type="noConversion"/>
  </si>
  <si>
    <r>
      <rPr>
        <sz val="11"/>
        <rFont val="楷体_GB2312"/>
        <family val="3"/>
        <charset val="134"/>
      </rPr>
      <t>实际产能</t>
    </r>
    <phoneticPr fontId="4" type="noConversion"/>
  </si>
  <si>
    <r>
      <rPr>
        <sz val="11"/>
        <rFont val="楷体_GB2312"/>
        <family val="3"/>
        <charset val="134"/>
      </rPr>
      <t>设备故障</t>
    </r>
    <phoneticPr fontId="4" type="noConversion"/>
  </si>
  <si>
    <r>
      <rPr>
        <sz val="11"/>
        <rFont val="楷体_GB2312"/>
        <family val="3"/>
        <charset val="134"/>
      </rPr>
      <t>当班生产工时</t>
    </r>
    <phoneticPr fontId="4" type="noConversion"/>
  </si>
  <si>
    <r>
      <rPr>
        <sz val="11"/>
        <rFont val="楷体_GB2312"/>
        <family val="3"/>
        <charset val="134"/>
      </rPr>
      <t>生产工时与标准差异</t>
    </r>
    <phoneticPr fontId="4" type="noConversion"/>
  </si>
  <si>
    <r>
      <rPr>
        <sz val="11"/>
        <rFont val="楷体_GB2312"/>
        <family val="3"/>
        <charset val="134"/>
      </rPr>
      <t>生产工时差异占比</t>
    </r>
    <phoneticPr fontId="4" type="noConversion"/>
  </si>
  <si>
    <r>
      <rPr>
        <sz val="11"/>
        <rFont val="楷体_GB2312"/>
        <family val="3"/>
        <charset val="134"/>
      </rPr>
      <t>当班异常工时</t>
    </r>
  </si>
  <si>
    <r>
      <rPr>
        <sz val="11"/>
        <rFont val="楷体_GB2312"/>
        <family val="3"/>
        <charset val="134"/>
      </rPr>
      <t>异常工时占比</t>
    </r>
  </si>
  <si>
    <r>
      <rPr>
        <sz val="11"/>
        <rFont val="楷体_GB2312"/>
        <family val="3"/>
        <charset val="134"/>
      </rPr>
      <t>当班返箱数</t>
    </r>
    <phoneticPr fontId="4" type="noConversion"/>
  </si>
  <si>
    <r>
      <rPr>
        <sz val="11"/>
        <rFont val="楷体_GB2312"/>
        <family val="3"/>
        <charset val="134"/>
      </rPr>
      <t>当班返箱率</t>
    </r>
    <phoneticPr fontId="4" type="noConversion"/>
  </si>
  <si>
    <r>
      <rPr>
        <sz val="11"/>
        <rFont val="楷体_GB2312"/>
        <family val="3"/>
        <charset val="134"/>
      </rPr>
      <t>产品名称</t>
    </r>
    <phoneticPr fontId="4" type="noConversion"/>
  </si>
  <si>
    <r>
      <rPr>
        <sz val="11"/>
        <rFont val="楷体_GB2312"/>
        <family val="3"/>
        <charset val="134"/>
      </rPr>
      <t>品种</t>
    </r>
    <phoneticPr fontId="4" type="noConversion"/>
  </si>
  <si>
    <r>
      <rPr>
        <sz val="11"/>
        <rFont val="楷体_GB2312"/>
        <family val="3"/>
        <charset val="134"/>
      </rPr>
      <t>规格</t>
    </r>
    <phoneticPr fontId="4" type="noConversion"/>
  </si>
  <si>
    <r>
      <rPr>
        <sz val="11"/>
        <rFont val="楷体_GB2312"/>
        <family val="3"/>
        <charset val="134"/>
      </rPr>
      <t>生产订单号</t>
    </r>
    <phoneticPr fontId="4" type="noConversion"/>
  </si>
  <si>
    <r>
      <rPr>
        <sz val="11"/>
        <rFont val="楷体_GB2312"/>
        <family val="3"/>
        <charset val="134"/>
      </rPr>
      <t>生产批号</t>
    </r>
    <phoneticPr fontId="4" type="noConversion"/>
  </si>
  <si>
    <r>
      <rPr>
        <sz val="11"/>
        <rFont val="楷体_GB2312"/>
        <family val="3"/>
        <charset val="134"/>
      </rPr>
      <t>当班产量</t>
    </r>
    <phoneticPr fontId="4" type="noConversion"/>
  </si>
  <si>
    <r>
      <rPr>
        <sz val="11"/>
        <rFont val="楷体_GB2312"/>
        <family val="3"/>
        <charset val="134"/>
      </rPr>
      <t>生产工时</t>
    </r>
    <phoneticPr fontId="4" type="noConversion"/>
  </si>
  <si>
    <r>
      <rPr>
        <sz val="11"/>
        <rFont val="楷体_GB2312"/>
        <family val="3"/>
        <charset val="134"/>
      </rPr>
      <t>标准生产工时</t>
    </r>
    <phoneticPr fontId="4" type="noConversion"/>
  </si>
  <si>
    <r>
      <rPr>
        <sz val="11"/>
        <rFont val="楷体_GB2312"/>
        <family val="3"/>
        <charset val="134"/>
      </rPr>
      <t>工时差异</t>
    </r>
    <phoneticPr fontId="4" type="noConversion"/>
  </si>
  <si>
    <r>
      <rPr>
        <sz val="11"/>
        <rFont val="楷体_GB2312"/>
        <family val="3"/>
        <charset val="134"/>
      </rPr>
      <t>生产异常工时</t>
    </r>
    <phoneticPr fontId="4" type="noConversion"/>
  </si>
  <si>
    <r>
      <rPr>
        <sz val="11"/>
        <rFont val="楷体_GB2312"/>
        <family val="3"/>
        <charset val="134"/>
      </rPr>
      <t>制程返箱（件）</t>
    </r>
    <phoneticPr fontId="4" type="noConversion"/>
  </si>
  <si>
    <r>
      <rPr>
        <sz val="11"/>
        <rFont val="楷体_GB2312"/>
        <family val="3"/>
        <charset val="134"/>
      </rPr>
      <t>当班返箱率（</t>
    </r>
    <r>
      <rPr>
        <sz val="11"/>
        <rFont val="Times New Roman"/>
        <family val="1"/>
      </rPr>
      <t>%</t>
    </r>
    <r>
      <rPr>
        <sz val="11"/>
        <rFont val="楷体_GB2312"/>
        <family val="3"/>
        <charset val="134"/>
      </rPr>
      <t>）</t>
    </r>
    <phoneticPr fontId="4" type="noConversion"/>
  </si>
  <si>
    <r>
      <rPr>
        <sz val="11"/>
        <rFont val="楷体_GB2312"/>
        <family val="3"/>
        <charset val="134"/>
      </rPr>
      <t>返箱原因</t>
    </r>
    <phoneticPr fontId="4" type="noConversion"/>
  </si>
  <si>
    <r>
      <rPr>
        <sz val="11"/>
        <rFont val="楷体_GB2312"/>
        <family val="3"/>
        <charset val="134"/>
      </rPr>
      <t>封口不良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不严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旋盖不紧</t>
    </r>
  </si>
  <si>
    <r>
      <rPr>
        <sz val="11"/>
        <rFont val="楷体_GB2312"/>
        <family val="3"/>
        <charset val="134"/>
      </rPr>
      <t>果肉挂杯</t>
    </r>
    <phoneticPr fontId="4" type="noConversion"/>
  </si>
  <si>
    <r>
      <rPr>
        <sz val="11"/>
        <rFont val="楷体_GB2312"/>
        <family val="3"/>
        <charset val="134"/>
      </rPr>
      <t>恶性异物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</si>
  <si>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</si>
  <si>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t>kg/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</si>
  <si>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类别</t>
    </r>
    <phoneticPr fontId="4" type="noConversion"/>
  </si>
  <si>
    <r>
      <rPr>
        <sz val="11"/>
        <rFont val="楷体_GB2312"/>
        <family val="3"/>
        <charset val="134"/>
      </rPr>
      <t>当天产量</t>
    </r>
    <phoneticPr fontId="4" type="noConversion"/>
  </si>
  <si>
    <r>
      <rPr>
        <sz val="11"/>
        <rFont val="楷体_GB2312"/>
        <family val="3"/>
        <charset val="134"/>
      </rPr>
      <t>异常工时</t>
    </r>
  </si>
  <si>
    <r>
      <rPr>
        <sz val="11"/>
        <rFont val="楷体_GB2312"/>
        <family val="3"/>
        <charset val="134"/>
      </rPr>
      <t>果肉类产品</t>
    </r>
  </si>
  <si>
    <r>
      <rPr>
        <sz val="11"/>
        <rFont val="楷体_GB2312"/>
        <family val="3"/>
        <charset val="134"/>
      </rPr>
      <t>果味类产品</t>
    </r>
  </si>
  <si>
    <r>
      <rPr>
        <sz val="11"/>
        <rFont val="楷体_GB2312"/>
        <family val="3"/>
        <charset val="134"/>
      </rPr>
      <t>吸吸类产品</t>
    </r>
  </si>
  <si>
    <r>
      <rPr>
        <sz val="11"/>
        <rFont val="楷体_GB2312"/>
        <family val="3"/>
        <charset val="134"/>
      </rPr>
      <t>层层类产品</t>
    </r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</si>
  <si>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</si>
  <si>
    <r>
      <rPr>
        <sz val="11"/>
        <rFont val="楷体_GB2312"/>
        <family val="3"/>
        <charset val="134"/>
      </rPr>
      <t>自立袋类产品</t>
    </r>
  </si>
  <si>
    <r>
      <rPr>
        <sz val="11"/>
        <rFont val="楷体_GB2312"/>
        <family val="3"/>
        <charset val="134"/>
      </rPr>
      <t>礼包类产品</t>
    </r>
  </si>
  <si>
    <r>
      <rPr>
        <sz val="11"/>
        <rFont val="楷体_GB2312"/>
        <family val="3"/>
        <charset val="134"/>
      </rPr>
      <t>班别</t>
    </r>
    <phoneticPr fontId="4" type="noConversion"/>
  </si>
  <si>
    <r>
      <rPr>
        <sz val="11"/>
        <rFont val="楷体_GB2312"/>
        <family val="3"/>
        <charset val="134"/>
      </rPr>
      <t>在编人数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</si>
  <si>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昨天人数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</si>
  <si>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新进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</si>
  <si>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调入</t>
    </r>
    <r>
      <rPr>
        <sz val="11"/>
        <rFont val="Times New Roman"/>
        <family val="1"/>
      </rPr>
      <t xml:space="preserve"> </t>
    </r>
  </si>
  <si>
    <r>
      <rPr>
        <sz val="11"/>
        <color theme="1"/>
        <rFont val="楷体_GB2312"/>
        <family val="3"/>
        <charset val="134"/>
      </rPr>
      <t>调出</t>
    </r>
    <r>
      <rPr>
        <sz val="11"/>
        <color theme="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</si>
  <si>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工休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</si>
  <si>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借调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</si>
  <si>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应出勤人数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</si>
  <si>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请假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</si>
  <si>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旷工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</si>
  <si>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迟到</t>
    </r>
    <phoneticPr fontId="4" type="noConversion"/>
  </si>
  <si>
    <r>
      <rPr>
        <sz val="11"/>
        <rFont val="楷体_GB2312"/>
        <family val="3"/>
        <charset val="134"/>
      </rPr>
      <t>早退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</si>
  <si>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已辞职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</si>
  <si>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已自离</t>
    </r>
    <phoneticPr fontId="4" type="noConversion"/>
  </si>
  <si>
    <r>
      <rPr>
        <sz val="11"/>
        <rFont val="楷体_GB2312"/>
        <family val="3"/>
        <charset val="134"/>
      </rPr>
      <t>实际出勤人数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</si>
  <si>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实际出勤工时</t>
    </r>
    <phoneticPr fontId="4" type="noConversion"/>
  </si>
  <si>
    <r>
      <rPr>
        <sz val="11"/>
        <rFont val="楷体_GB2312"/>
        <family val="3"/>
        <charset val="134"/>
      </rPr>
      <t>人员出勤率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</si>
  <si>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人员流失率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</si>
  <si>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A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</si>
  <si>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B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</si>
  <si>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C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</si>
  <si>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合计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</si>
  <si>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批准：</t>
    </r>
    <phoneticPr fontId="4" type="noConversion"/>
  </si>
  <si>
    <r>
      <rPr>
        <sz val="11"/>
        <rFont val="楷体_GB2312"/>
        <family val="3"/>
        <charset val="134"/>
      </rPr>
      <t>审核：</t>
    </r>
    <phoneticPr fontId="4" type="noConversion"/>
  </si>
  <si>
    <r>
      <rPr>
        <sz val="11"/>
        <rFont val="楷体_GB2312"/>
        <family val="3"/>
        <charset val="134"/>
      </rPr>
      <t>制表：</t>
    </r>
    <phoneticPr fontId="4" type="noConversion"/>
  </si>
  <si>
    <r>
      <rPr>
        <b/>
        <sz val="12"/>
        <rFont val="楷体_GB2312"/>
        <family val="3"/>
        <charset val="134"/>
      </rPr>
      <t>四、生产数据汇总</t>
    </r>
    <phoneticPr fontId="4" type="noConversion"/>
  </si>
  <si>
    <r>
      <rPr>
        <b/>
        <sz val="12"/>
        <rFont val="楷体_GB2312"/>
        <family val="3"/>
        <charset val="134"/>
      </rPr>
      <t>三、包装</t>
    </r>
    <r>
      <rPr>
        <b/>
        <sz val="12"/>
        <rFont val="Times New Roman"/>
        <family val="1"/>
      </rPr>
      <t>C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</si>
  <si>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b/>
        <sz val="12"/>
        <rFont val="楷体_GB2312"/>
        <family val="3"/>
        <charset val="134"/>
      </rPr>
      <t>二、包装</t>
    </r>
    <r>
      <rPr>
        <b/>
        <sz val="12"/>
        <rFont val="Times New Roman"/>
        <family val="1"/>
      </rPr>
      <t>B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</si>
  <si>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t>草莓</t>
    <phoneticPr fontId="17" type="noConversion"/>
  </si>
  <si>
    <t>草莓</t>
    <phoneticPr fontId="17" type="noConversion"/>
  </si>
  <si>
    <t>菠萝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</si>
  <si>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</si>
  <si>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</si>
  <si>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</si>
  <si>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</si>
  <si>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冰糖葫芦</t>
    <phoneticPr fontId="17" type="noConversion"/>
  </si>
  <si>
    <t>山楂</t>
    <phoneticPr fontId="17" type="noConversion"/>
  </si>
  <si>
    <t>山楂</t>
    <phoneticPr fontId="17" type="noConversion"/>
  </si>
  <si>
    <t>雪梨</t>
    <phoneticPr fontId="17" type="noConversion"/>
  </si>
  <si>
    <t>么么蛋</t>
    <phoneticPr fontId="17" type="noConversion"/>
  </si>
  <si>
    <t>草莓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</si>
  <si>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</si>
  <si>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</si>
  <si>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</si>
  <si>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</si>
  <si>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山楂</t>
    <phoneticPr fontId="17" type="noConversion"/>
  </si>
  <si>
    <t>雪梨</t>
    <phoneticPr fontId="17" type="noConversion"/>
  </si>
  <si>
    <t>香蕉</t>
    <phoneticPr fontId="17" type="noConversion"/>
  </si>
  <si>
    <t>雪梨</t>
    <phoneticPr fontId="17" type="noConversion"/>
  </si>
  <si>
    <t>么么蛋</t>
    <phoneticPr fontId="17" type="noConversion"/>
  </si>
  <si>
    <r>
      <t>120g</t>
    </r>
    <r>
      <rPr>
        <sz val="11"/>
        <rFont val="宋体"/>
        <family val="3"/>
        <charset val="134"/>
      </rPr>
      <t>果味果冻小卡通罐</t>
    </r>
    <phoneticPr fontId="4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</si>
  <si>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</si>
  <si>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t>鸡蛋</t>
    <phoneticPr fontId="30" type="noConversion"/>
  </si>
  <si>
    <t>160g优酪果冻</t>
    <phoneticPr fontId="17" type="noConversion"/>
  </si>
  <si>
    <r>
      <t>160g</t>
    </r>
    <r>
      <rPr>
        <sz val="11"/>
        <rFont val="宋体"/>
        <family val="3"/>
        <charset val="134"/>
      </rPr>
      <t>优酪果冻</t>
    </r>
    <phoneticPr fontId="17" type="noConversion"/>
  </si>
  <si>
    <t>蜂蜜柚子</t>
    <phoneticPr fontId="12" type="noConversion"/>
  </si>
  <si>
    <t>冰糖雪梨</t>
    <phoneticPr fontId="12" type="noConversion"/>
  </si>
  <si>
    <t>柠檬</t>
    <phoneticPr fontId="12" type="noConversion"/>
  </si>
  <si>
    <t>香橙</t>
    <phoneticPr fontId="12" type="noConversion"/>
  </si>
  <si>
    <t>么么冰</t>
    <phoneticPr fontId="31" type="noConversion"/>
  </si>
  <si>
    <t>香蕉</t>
    <phoneticPr fontId="31" type="noConversion"/>
  </si>
  <si>
    <t>蓝莓</t>
    <phoneticPr fontId="31" type="noConversion"/>
  </si>
  <si>
    <t>草莓</t>
    <phoneticPr fontId="31" type="noConversion"/>
  </si>
  <si>
    <t>乳酸</t>
    <phoneticPr fontId="17" type="noConversion"/>
  </si>
  <si>
    <t>乳酸</t>
    <phoneticPr fontId="17" type="noConversion"/>
  </si>
  <si>
    <t>香草</t>
    <phoneticPr fontId="31" type="noConversion"/>
  </si>
  <si>
    <t>香草</t>
    <phoneticPr fontId="31" type="noConversion"/>
  </si>
  <si>
    <t>乳酸</t>
    <phoneticPr fontId="32" type="noConversion"/>
  </si>
  <si>
    <t>120g么么冰</t>
    <phoneticPr fontId="31" type="noConversion"/>
  </si>
  <si>
    <t>120g么么冰</t>
    <phoneticPr fontId="31" type="noConversion"/>
  </si>
  <si>
    <t>苹果</t>
    <phoneticPr fontId="15" type="noConversion"/>
  </si>
  <si>
    <t>雪梨</t>
    <phoneticPr fontId="15" type="noConversion"/>
  </si>
  <si>
    <t>杂果</t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</si>
  <si>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</si>
  <si>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蔓越莓味</t>
    <phoneticPr fontId="35" type="noConversion"/>
  </si>
  <si>
    <t>柠檬味</t>
    <phoneticPr fontId="35" type="noConversion"/>
  </si>
  <si>
    <t>30g钙铁锌果冻</t>
    <phoneticPr fontId="12" type="noConversion"/>
  </si>
  <si>
    <t>蔓越莓味</t>
    <phoneticPr fontId="12" type="noConversion"/>
  </si>
  <si>
    <t>柠檬味</t>
    <phoneticPr fontId="12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</si>
  <si>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</si>
  <si>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奇异果味</t>
    <phoneticPr fontId="35" type="noConversion"/>
  </si>
  <si>
    <t>奇异果味</t>
    <phoneticPr fontId="35" type="noConversion"/>
  </si>
  <si>
    <t>百香果味</t>
    <phoneticPr fontId="35" type="noConversion"/>
  </si>
  <si>
    <t>百香果味</t>
    <phoneticPr fontId="35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</si>
  <si>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</si>
  <si>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</si>
  <si>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t>酸奶</t>
    <phoneticPr fontId="37" type="noConversion"/>
  </si>
  <si>
    <t>酸奶</t>
    <phoneticPr fontId="37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</si>
  <si>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</si>
  <si>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t>黄桃</t>
    <phoneticPr fontId="37" type="noConversion"/>
  </si>
  <si>
    <t>黄桃</t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</si>
  <si>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</si>
  <si>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</si>
  <si>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t>香蕉牛奶</t>
    <phoneticPr fontId="38" type="noConversion"/>
  </si>
  <si>
    <t>香蕉牛奶</t>
    <phoneticPr fontId="38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</si>
  <si>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</si>
  <si>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t>蔓越莓</t>
    <phoneticPr fontId="38" type="noConversion"/>
  </si>
  <si>
    <t>蔓越莓</t>
    <phoneticPr fontId="38" type="noConversion"/>
  </si>
  <si>
    <t>100g优酪</t>
    <phoneticPr fontId="34" type="noConversion"/>
  </si>
  <si>
    <t>草莓</t>
    <phoneticPr fontId="34" type="noConversion"/>
  </si>
  <si>
    <t>菠萝</t>
    <phoneticPr fontId="34" type="noConversion"/>
  </si>
  <si>
    <t>香蕉</t>
    <phoneticPr fontId="34" type="noConversion"/>
  </si>
  <si>
    <t>香蕉</t>
    <phoneticPr fontId="34" type="noConversion"/>
  </si>
  <si>
    <t>童波</t>
    <phoneticPr fontId="11" type="noConversion"/>
  </si>
  <si>
    <r>
      <t xml:space="preserve">            </t>
    </r>
    <r>
      <rPr>
        <sz val="24"/>
        <rFont val="楷体_GB2312"/>
        <family val="3"/>
        <charset val="134"/>
      </rPr>
      <t>南京来一口食品有限公司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</si>
  <si>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</si>
  <si>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t>水蜜桃</t>
    <phoneticPr fontId="4" type="noConversion"/>
  </si>
  <si>
    <t>香蕉</t>
    <phoneticPr fontId="4" type="noConversion"/>
  </si>
  <si>
    <t>芒果</t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</si>
  <si>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</si>
  <si>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</si>
  <si>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t>酸奶</t>
    <phoneticPr fontId="4" type="noConversion"/>
  </si>
  <si>
    <t>草莓</t>
    <phoneticPr fontId="4" type="noConversion"/>
  </si>
  <si>
    <t>香蕉牛奶</t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</si>
  <si>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</si>
  <si>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</si>
  <si>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</si>
  <si>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</si>
  <si>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</si>
  <si>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</si>
  <si>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</si>
  <si>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</si>
  <si>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</si>
  <si>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</si>
  <si>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</si>
  <si>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总直接包装人工总成本</t>
    </r>
    <r>
      <rPr>
        <b/>
        <sz val="9"/>
        <color indexed="10"/>
        <rFont val="Times New Roman"/>
        <family val="1"/>
      </rPr>
      <t>(</t>
    </r>
    <r>
      <rPr>
        <b/>
        <sz val="9"/>
        <color indexed="10"/>
        <rFont val="宋体"/>
        <family val="3"/>
        <charset val="134"/>
      </rPr>
      <t>元</t>
    </r>
    <r>
      <rPr>
        <b/>
        <sz val="9"/>
        <color indexed="10"/>
        <rFont val="Times New Roman"/>
        <family val="1"/>
      </rPr>
      <t>/</t>
    </r>
    <r>
      <rPr>
        <b/>
        <sz val="9"/>
        <color indexed="10"/>
        <rFont val="宋体"/>
        <family val="3"/>
        <charset val="134"/>
      </rPr>
      <t>箱</t>
    </r>
    <r>
      <rPr>
        <b/>
        <sz val="9"/>
        <color indexed="10"/>
        <rFont val="Times New Roman"/>
        <family val="1"/>
      </rPr>
      <t>)</t>
    </r>
    <phoneticPr fontId="43" type="noConversion"/>
  </si>
  <si>
    <t>直接人工成本</t>
    <phoneticPr fontId="4" type="noConversion"/>
  </si>
  <si>
    <t>福利糖</t>
    <phoneticPr fontId="42" type="noConversion"/>
  </si>
  <si>
    <t>福利糖</t>
    <phoneticPr fontId="42" type="noConversion"/>
  </si>
  <si>
    <t>福利糖</t>
    <phoneticPr fontId="4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</si>
  <si>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</si>
  <si>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</si>
  <si>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t>草莓</t>
    <phoneticPr fontId="41" type="noConversion"/>
  </si>
  <si>
    <t>草莓</t>
    <phoneticPr fontId="41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</si>
  <si>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</si>
  <si>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</si>
  <si>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t>草莓</t>
    <phoneticPr fontId="4" type="noConversion"/>
  </si>
  <si>
    <t>草莓</t>
    <phoneticPr fontId="4" type="noConversion"/>
  </si>
  <si>
    <t>顾恩塘</t>
    <phoneticPr fontId="11" type="noConversion"/>
  </si>
  <si>
    <t>顾恩塘</t>
    <phoneticPr fontId="11" type="noConversion"/>
  </si>
  <si>
    <t>顾恩塘</t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</si>
  <si>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</si>
  <si>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rPr>
        <sz val="10"/>
        <rFont val="华文中宋"/>
        <family val="3"/>
        <charset val="134"/>
      </rPr>
      <t>哈密瓜</t>
    </r>
    <phoneticPr fontId="4" type="noConversion"/>
  </si>
  <si>
    <t>哈密瓜</t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</si>
  <si>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</si>
  <si>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</si>
  <si>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</si>
  <si>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</si>
  <si>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</si>
  <si>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</si>
  <si>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</si>
  <si>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</si>
  <si>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</si>
  <si>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</si>
  <si>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</si>
  <si>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</si>
  <si>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</si>
  <si>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</si>
  <si>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</si>
  <si>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</si>
  <si>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</si>
  <si>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</si>
  <si>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</si>
  <si>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</si>
  <si>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</si>
  <si>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</si>
  <si>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t>卡通猫玩具</t>
    <phoneticPr fontId="4" type="noConversion"/>
  </si>
  <si>
    <r>
      <rPr>
        <sz val="12"/>
        <rFont val="楷体_GB2312"/>
        <family val="3"/>
        <charset val="134"/>
      </rPr>
      <t>当班辅助岗位</t>
    </r>
    <phoneticPr fontId="4" type="noConversion"/>
  </si>
  <si>
    <r>
      <rPr>
        <sz val="12"/>
        <rFont val="楷体_GB2312"/>
        <family val="3"/>
        <charset val="134"/>
      </rPr>
      <t>当班产量</t>
    </r>
    <r>
      <rPr>
        <sz val="12"/>
        <rFont val="Times New Roman"/>
        <family val="1"/>
      </rPr>
      <t>(</t>
    </r>
    <r>
      <rPr>
        <sz val="12"/>
        <rFont val="楷体_GB2312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楷体_GB2312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</si>
  <si>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楷体_GB2312"/>
        <family val="3"/>
        <charset val="134"/>
      </rPr>
      <t>当班生产工时</t>
    </r>
    <phoneticPr fontId="4" type="noConversion"/>
  </si>
  <si>
    <r>
      <rPr>
        <sz val="12"/>
        <rFont val="楷体_GB2312"/>
        <family val="3"/>
        <charset val="134"/>
      </rPr>
      <t>当班异常工时</t>
    </r>
  </si>
  <si>
    <r>
      <rPr>
        <sz val="12"/>
        <rFont val="楷体_GB2312"/>
        <family val="3"/>
        <charset val="134"/>
      </rPr>
      <t>物料编码</t>
    </r>
    <phoneticPr fontId="4" type="noConversion"/>
  </si>
  <si>
    <r>
      <t>4.1</t>
    </r>
    <r>
      <rPr>
        <sz val="12"/>
        <rFont val="楷体_GB2312"/>
        <family val="3"/>
        <charset val="134"/>
      </rPr>
      <t>、关键管理指标</t>
    </r>
    <phoneticPr fontId="4" type="noConversion"/>
  </si>
  <si>
    <r>
      <t>4.2</t>
    </r>
    <r>
      <rPr>
        <sz val="12"/>
        <rFont val="楷体_GB2312"/>
        <family val="3"/>
        <charset val="134"/>
      </rPr>
      <t>、产品结构与异常工时分析</t>
    </r>
    <phoneticPr fontId="4" type="noConversion"/>
  </si>
  <si>
    <r>
      <rPr>
        <sz val="12"/>
        <rFont val="楷体_GB2312"/>
        <family val="3"/>
        <charset val="134"/>
      </rPr>
      <t>五、人员出勤情况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</si>
  <si>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</si>
  <si>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</si>
  <si>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</si>
  <si>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</si>
  <si>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</si>
  <si>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</si>
  <si>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</si>
  <si>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</si>
  <si>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</si>
  <si>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</si>
  <si>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</si>
  <si>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</si>
  <si>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</si>
  <si>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</si>
  <si>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</si>
  <si>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</si>
  <si>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 xml:space="preserve">            </t>
    </r>
    <r>
      <rPr>
        <b/>
        <sz val="12"/>
        <rFont val="华文楷体"/>
        <family val="3"/>
        <charset val="134"/>
      </rPr>
      <t>南京来一口食品有限公司</t>
    </r>
    <phoneticPr fontId="4" type="noConversion"/>
  </si>
  <si>
    <r>
      <rPr>
        <b/>
        <sz val="12"/>
        <rFont val="华文中宋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华文中宋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</si>
  <si>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物料编码</t>
    </r>
    <phoneticPr fontId="4" type="noConversion"/>
  </si>
  <si>
    <r>
      <rPr>
        <sz val="12"/>
        <rFont val="华文中宋"/>
        <family val="3"/>
        <charset val="134"/>
      </rPr>
      <t>当班辅助岗位</t>
    </r>
    <phoneticPr fontId="4" type="noConversion"/>
  </si>
  <si>
    <r>
      <rPr>
        <sz val="12"/>
        <rFont val="华文中宋"/>
        <family val="3"/>
        <charset val="134"/>
      </rPr>
      <t>当月产量</t>
    </r>
    <r>
      <rPr>
        <sz val="12"/>
        <rFont val="Times New Roman"/>
        <family val="1"/>
      </rPr>
      <t>(</t>
    </r>
    <r>
      <rPr>
        <sz val="12"/>
        <rFont val="华文中宋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华文中宋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</si>
  <si>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华文中宋"/>
        <family val="3"/>
        <charset val="134"/>
      </rPr>
      <t>当月生产工时</t>
    </r>
    <phoneticPr fontId="4" type="noConversion"/>
  </si>
  <si>
    <r>
      <rPr>
        <b/>
        <sz val="12"/>
        <rFont val="楷体_GB2312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</si>
  <si>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当月异常工时</t>
    </r>
    <phoneticPr fontId="12" type="noConversion"/>
  </si>
  <si>
    <r>
      <rPr>
        <b/>
        <sz val="12"/>
        <rFont val="华文中宋"/>
        <family val="3"/>
        <charset val="134"/>
      </rPr>
      <t>四、生产数据汇总</t>
    </r>
    <phoneticPr fontId="4" type="noConversion"/>
  </si>
  <si>
    <r>
      <t>4.1</t>
    </r>
    <r>
      <rPr>
        <sz val="12"/>
        <rFont val="华文中宋"/>
        <family val="3"/>
        <charset val="134"/>
      </rPr>
      <t>、关键管理指标</t>
    </r>
    <phoneticPr fontId="4" type="noConversion"/>
  </si>
  <si>
    <r>
      <t>4.2</t>
    </r>
    <r>
      <rPr>
        <sz val="12"/>
        <rFont val="华文中宋"/>
        <family val="3"/>
        <charset val="134"/>
      </rPr>
      <t>、产品结构与异常工时分析</t>
    </r>
    <phoneticPr fontId="4" type="noConversion"/>
  </si>
  <si>
    <r>
      <rPr>
        <b/>
        <sz val="12"/>
        <rFont val="华文中宋"/>
        <family val="3"/>
        <charset val="134"/>
      </rPr>
      <t>五、人员出勤情况</t>
    </r>
    <phoneticPr fontId="4" type="noConversion"/>
  </si>
  <si>
    <t>50g动物园可吸果冻</t>
  </si>
  <si>
    <t>50g果蔬园可吸果冻</t>
  </si>
  <si>
    <t>120g果蔬园可吸果冻</t>
  </si>
  <si>
    <t>箱/班</t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</si>
  <si>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</si>
  <si>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</si>
  <si>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</si>
  <si>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</si>
  <si>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</si>
  <si>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</si>
  <si>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</si>
  <si>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t>哈密瓜</t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</si>
  <si>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</si>
  <si>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t>香橙</t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</si>
  <si>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</si>
  <si>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</si>
  <si>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t>哈密瓜</t>
    <phoneticPr fontId="4" type="noConversion"/>
  </si>
  <si>
    <r>
      <rPr>
        <sz val="11"/>
        <color theme="1"/>
        <rFont val="楷体_GB2312"/>
        <family val="3"/>
        <charset val="134"/>
      </rPr>
      <t>规格</t>
    </r>
    <phoneticPr fontId="4" type="noConversion"/>
  </si>
  <si>
    <r>
      <rPr>
        <sz val="11"/>
        <color theme="1"/>
        <rFont val="楷体_GB2312"/>
        <family val="3"/>
        <charset val="134"/>
      </rPr>
      <t>昨天人数</t>
    </r>
    <r>
      <rPr>
        <sz val="11"/>
        <color theme="1"/>
        <rFont val="Times New Roman"/>
        <family val="1"/>
      </rPr>
      <t xml:space="preserve"> 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</si>
  <si>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</si>
  <si>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</si>
  <si>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t>项目</t>
    <phoneticPr fontId="4" type="noConversion"/>
  </si>
  <si>
    <t>A班</t>
    <phoneticPr fontId="4" type="noConversion"/>
  </si>
  <si>
    <t>B班</t>
    <phoneticPr fontId="4" type="noConversion"/>
  </si>
  <si>
    <t>C班</t>
    <phoneticPr fontId="52" type="noConversion"/>
  </si>
  <si>
    <t>类别</t>
    <phoneticPr fontId="4" type="noConversion"/>
  </si>
  <si>
    <t>当班产量（箱）</t>
    <phoneticPr fontId="4" type="noConversion"/>
  </si>
  <si>
    <t>生产工时（H）</t>
    <phoneticPr fontId="52" type="noConversion"/>
  </si>
  <si>
    <t>产能</t>
    <phoneticPr fontId="52" type="noConversion"/>
  </si>
  <si>
    <t>果肉类</t>
    <phoneticPr fontId="4" type="noConversion"/>
  </si>
  <si>
    <t>果味类</t>
    <phoneticPr fontId="4" type="noConversion"/>
  </si>
  <si>
    <t>吸吸类</t>
    <phoneticPr fontId="4" type="noConversion"/>
  </si>
  <si>
    <t>层层类</t>
    <phoneticPr fontId="4" type="noConversion"/>
  </si>
  <si>
    <t>自立袋</t>
    <phoneticPr fontId="4" type="noConversion"/>
  </si>
  <si>
    <t>礼包类</t>
    <phoneticPr fontId="4" type="noConversion"/>
  </si>
  <si>
    <t>其他类</t>
    <phoneticPr fontId="4" type="noConversion"/>
  </si>
  <si>
    <t>合计：</t>
    <phoneticPr fontId="4" type="noConversion"/>
  </si>
  <si>
    <t>当班总计（箱）：</t>
    <phoneticPr fontId="4" type="noConversion"/>
  </si>
  <si>
    <t>汇总</t>
    <phoneticPr fontId="4" type="noConversion"/>
  </si>
  <si>
    <t>包装产品日报表日期：2016-12</t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</si>
  <si>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</si>
  <si>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t>果味类产品</t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</si>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</sst>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_);[Red]\(0.0\)"/>
    <numFmt numFmtId="177" formatCode="0.0_ "/>
    <numFmt numFmtId="178" formatCode="0.00_ ;[Red]\-0.00\ "/>
    <numFmt numFmtId="179" formatCode="0_);[Red]\(0\)"/>
    <numFmt numFmtId="180" formatCode="0_ ;[Red]\-0\ "/>
    <numFmt numFmtId="181" formatCode="0.00_ "/>
    <numFmt numFmtId="182" formatCode="0.0_ ;[Red]\-0.0\ "/>
    <numFmt numFmtId="183" formatCode="0.00_);[Red]\(0.00\)"/>
  </numFmts>
  <fonts count="54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1"/>
      <name val="华文中宋"/>
      <family val="3"/>
      <charset val="134"/>
    </font>
    <font>
      <b/>
      <sz val="14"/>
      <name val="华文中宋"/>
      <family val="3"/>
      <charset val="134"/>
    </font>
    <font>
      <b/>
      <sz val="11"/>
      <name val="华文中宋"/>
      <family val="3"/>
      <charset val="134"/>
    </font>
    <font>
      <b/>
      <sz val="12"/>
      <name val="华文楷体"/>
      <family val="3"/>
      <charset val="134"/>
    </font>
    <font>
      <sz val="11"/>
      <color rgb="FFFF0000"/>
      <name val="华文中宋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9"/>
      <name val="宋体"/>
      <family val="3"/>
      <charset val="134"/>
    </font>
    <font>
      <sz val="11"/>
      <name val="楷体_GB2312"/>
      <family val="3"/>
      <charset val="134"/>
    </font>
    <font>
      <sz val="11"/>
      <color theme="1"/>
      <name val="楷体_GB2312"/>
      <family val="3"/>
      <charset val="134"/>
    </font>
    <font>
      <b/>
      <sz val="12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1"/>
      <name val="Times New Roman"/>
      <family val="1"/>
    </font>
    <font>
      <sz val="11"/>
      <color theme="1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Times New Roman"/>
      <family val="1"/>
    </font>
    <font>
      <sz val="10"/>
      <name val="Times New Roman"/>
      <family val="1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24"/>
      <name val="Times New Roman"/>
      <family val="1"/>
    </font>
    <font>
      <sz val="24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9"/>
      <color rgb="FFFF0000"/>
      <name val="宋体"/>
      <family val="3"/>
      <charset val="134"/>
    </font>
    <font>
      <b/>
      <sz val="9"/>
      <color indexed="10"/>
      <name val="Times New Roman"/>
      <family val="1"/>
    </font>
    <font>
      <b/>
      <sz val="9"/>
      <color indexed="10"/>
      <name val="宋体"/>
      <family val="3"/>
      <charset val="134"/>
    </font>
    <font>
      <sz val="10"/>
      <name val="华文中宋"/>
      <family val="3"/>
      <charset val="134"/>
    </font>
    <font>
      <sz val="12"/>
      <name val="楷体_GB2312"/>
      <family val="3"/>
      <charset val="134"/>
    </font>
    <font>
      <b/>
      <sz val="12"/>
      <name val="华文中宋"/>
      <family val="3"/>
      <charset val="134"/>
    </font>
    <font>
      <sz val="12"/>
      <name val="华文中宋"/>
      <family val="3"/>
      <charset val="134"/>
    </font>
    <font>
      <sz val="9"/>
      <name val="宋体"/>
      <family val="2"/>
      <charset val="134"/>
      <scheme val="minor"/>
    </font>
    <font>
      <sz val="18"/>
      <name val="华文中宋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4C5F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6">
    <xf numFmtId="0" fontId="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44" fillId="0" borderId="0"/>
  </cellStyleXfs>
  <cellXfs count="798">
    <xf numFmtId="0" fontId="0" fillId="0" borderId="0" xfId="0"/>
    <xf numFmtId="0" fontId="6" fillId="0" borderId="5" xfId="0" applyFont="1" applyFill="1" applyBorder="1" applyAlignment="1"/>
    <xf numFmtId="178" fontId="6" fillId="0" borderId="5" xfId="0" applyNumberFormat="1" applyFont="1" applyFill="1" applyBorder="1" applyAlignment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178" fontId="6" fillId="0" borderId="0" xfId="0" applyNumberFormat="1" applyFont="1" applyFill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top"/>
    </xf>
    <xf numFmtId="178" fontId="6" fillId="0" borderId="0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179" fontId="6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vertical="center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6" fillId="4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vertical="center"/>
    </xf>
    <xf numFmtId="178" fontId="9" fillId="0" borderId="0" xfId="0" applyNumberFormat="1" applyFont="1" applyFill="1" applyAlignment="1">
      <alignment vertical="center"/>
    </xf>
    <xf numFmtId="178" fontId="6" fillId="0" borderId="0" xfId="0" applyNumberFormat="1" applyFont="1" applyFill="1" applyBorder="1" applyAlignment="1"/>
    <xf numFmtId="178" fontId="6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178" fontId="6" fillId="0" borderId="5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center"/>
    </xf>
    <xf numFmtId="178" fontId="6" fillId="4" borderId="1" xfId="0" applyNumberFormat="1" applyFont="1" applyFill="1" applyBorder="1" applyAlignment="1">
      <alignment horizontal="center" vertical="center"/>
    </xf>
    <xf numFmtId="178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/>
    </xf>
    <xf numFmtId="10" fontId="6" fillId="4" borderId="1" xfId="0" applyNumberFormat="1" applyFont="1" applyFill="1" applyBorder="1" applyAlignment="1">
      <alignment horizontal="center" vertical="center"/>
    </xf>
    <xf numFmtId="182" fontId="6" fillId="4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 vertical="center" wrapText="1"/>
    </xf>
    <xf numFmtId="179" fontId="6" fillId="3" borderId="1" xfId="0" applyNumberFormat="1" applyFont="1" applyFill="1" applyBorder="1" applyAlignment="1">
      <alignment horizontal="center" vertical="center" wrapText="1"/>
    </xf>
    <xf numFmtId="10" fontId="8" fillId="3" borderId="1" xfId="0" applyNumberFormat="1" applyFont="1" applyFill="1" applyBorder="1" applyAlignment="1">
      <alignment horizontal="center" vertical="center" wrapText="1"/>
    </xf>
    <xf numFmtId="10" fontId="6" fillId="3" borderId="1" xfId="0" applyNumberFormat="1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0" fillId="3" borderId="0" xfId="0" applyFill="1"/>
    <xf numFmtId="178" fontId="6" fillId="0" borderId="0" xfId="0" applyNumberFormat="1" applyFont="1" applyFill="1" applyAlignment="1">
      <alignment horizontal="center"/>
    </xf>
    <xf numFmtId="178" fontId="8" fillId="0" borderId="0" xfId="0" applyNumberFormat="1" applyFont="1" applyFill="1" applyBorder="1" applyAlignment="1">
      <alignment vertical="center"/>
    </xf>
    <xf numFmtId="178" fontId="6" fillId="3" borderId="1" xfId="0" applyNumberFormat="1" applyFont="1" applyFill="1" applyBorder="1" applyAlignment="1">
      <alignment horizontal="center" vertical="center" wrapText="1"/>
    </xf>
    <xf numFmtId="178" fontId="0" fillId="0" borderId="0" xfId="0" applyNumberFormat="1"/>
    <xf numFmtId="182" fontId="6" fillId="0" borderId="0" xfId="0" applyNumberFormat="1" applyFont="1" applyFill="1" applyBorder="1" applyAlignment="1">
      <alignment vertical="center"/>
    </xf>
    <xf numFmtId="182" fontId="8" fillId="0" borderId="0" xfId="0" applyNumberFormat="1" applyFont="1" applyFill="1" applyBorder="1" applyAlignment="1">
      <alignment vertical="center"/>
    </xf>
    <xf numFmtId="182" fontId="6" fillId="0" borderId="5" xfId="0" applyNumberFormat="1" applyFont="1" applyFill="1" applyBorder="1" applyAlignment="1"/>
    <xf numFmtId="182" fontId="0" fillId="0" borderId="0" xfId="0" applyNumberFormat="1"/>
    <xf numFmtId="0" fontId="0" fillId="0" borderId="0" xfId="0" applyBorder="1"/>
    <xf numFmtId="178" fontId="6" fillId="3" borderId="6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178" fontId="9" fillId="0" borderId="0" xfId="0" applyNumberFormat="1" applyFont="1" applyFill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4" applyFont="1" applyFill="1" applyBorder="1" applyAlignment="1">
      <alignment horizontal="left" vertical="center"/>
    </xf>
    <xf numFmtId="0" fontId="6" fillId="0" borderId="1" xfId="10" applyFont="1" applyFill="1" applyBorder="1" applyAlignment="1">
      <alignment horizontal="left" vertical="center"/>
    </xf>
    <xf numFmtId="0" fontId="6" fillId="0" borderId="1" xfId="9" applyFont="1" applyFill="1" applyBorder="1" applyAlignment="1">
      <alignment horizontal="left" vertical="center"/>
    </xf>
    <xf numFmtId="0" fontId="6" fillId="0" borderId="1" xfId="6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/>
    </xf>
    <xf numFmtId="0" fontId="7" fillId="0" borderId="0" xfId="0" applyFont="1" applyFill="1" applyAlignment="1"/>
    <xf numFmtId="178" fontId="6" fillId="0" borderId="0" xfId="0" applyNumberFormat="1" applyFont="1" applyFill="1" applyBorder="1" applyAlignment="1">
      <alignment horizontal="center" vertical="center" wrapText="1"/>
    </xf>
    <xf numFmtId="182" fontId="6" fillId="4" borderId="0" xfId="0" applyNumberFormat="1" applyFont="1" applyFill="1" applyBorder="1" applyAlignment="1">
      <alignment horizontal="center" vertical="center"/>
    </xf>
    <xf numFmtId="178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/>
    <xf numFmtId="182" fontId="6" fillId="3" borderId="0" xfId="0" applyNumberFormat="1" applyFont="1" applyFill="1" applyBorder="1" applyAlignment="1">
      <alignment vertical="center" wrapText="1"/>
    </xf>
    <xf numFmtId="10" fontId="6" fillId="3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>
      <alignment horizontal="left" vertical="center"/>
    </xf>
    <xf numFmtId="14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0" fillId="2" borderId="0" xfId="0" applyFill="1"/>
    <xf numFmtId="178" fontId="6" fillId="0" borderId="1" xfId="0" applyNumberFormat="1" applyFont="1" applyFill="1" applyBorder="1" applyAlignment="1">
      <alignment horizontal="center" vertical="center" wrapText="1"/>
    </xf>
    <xf numFmtId="182" fontId="6" fillId="3" borderId="1" xfId="0" applyNumberFormat="1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vertical="center" wrapText="1"/>
    </xf>
    <xf numFmtId="176" fontId="6" fillId="4" borderId="1" xfId="0" applyNumberFormat="1" applyFont="1" applyFill="1" applyBorder="1" applyAlignment="1">
      <alignment horizontal="center" vertical="center"/>
    </xf>
    <xf numFmtId="179" fontId="6" fillId="4" borderId="1" xfId="0" applyNumberFormat="1" applyFont="1" applyFill="1" applyBorder="1" applyAlignment="1">
      <alignment horizontal="center" vertical="center"/>
    </xf>
    <xf numFmtId="180" fontId="10" fillId="0" borderId="1" xfId="0" applyNumberFormat="1" applyFont="1" applyFill="1" applyBorder="1" applyAlignment="1">
      <alignment horizontal="center"/>
    </xf>
    <xf numFmtId="180" fontId="6" fillId="4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/>
    </xf>
    <xf numFmtId="178" fontId="6" fillId="2" borderId="2" xfId="0" applyNumberFormat="1" applyFont="1" applyFill="1" applyBorder="1" applyAlignment="1">
      <alignment horizontal="center" vertical="center" wrapText="1"/>
    </xf>
    <xf numFmtId="178" fontId="6" fillId="5" borderId="1" xfId="0" applyNumberFormat="1" applyFont="1" applyFill="1" applyBorder="1" applyAlignment="1">
      <alignment horizontal="center" vertical="center"/>
    </xf>
    <xf numFmtId="180" fontId="10" fillId="6" borderId="1" xfId="0" applyNumberFormat="1" applyFont="1" applyFill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180" fontId="0" fillId="0" borderId="0" xfId="0" applyNumberFormat="1"/>
    <xf numFmtId="177" fontId="0" fillId="0" borderId="0" xfId="0" applyNumberFormat="1"/>
    <xf numFmtId="180" fontId="10" fillId="4" borderId="1" xfId="0" applyNumberFormat="1" applyFont="1" applyFill="1" applyBorder="1" applyAlignment="1">
      <alignment horizontal="center"/>
    </xf>
    <xf numFmtId="0" fontId="20" fillId="0" borderId="0" xfId="0" applyFont="1"/>
    <xf numFmtId="0" fontId="21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/>
    </xf>
    <xf numFmtId="0" fontId="22" fillId="3" borderId="1" xfId="0" applyNumberFormat="1" applyFont="1" applyFill="1" applyBorder="1" applyAlignment="1">
      <alignment horizontal="center" vertical="center" wrapText="1"/>
    </xf>
    <xf numFmtId="0" fontId="23" fillId="3" borderId="1" xfId="0" applyNumberFormat="1" applyFont="1" applyFill="1" applyBorder="1" applyAlignment="1">
      <alignment horizontal="center" vertical="center" wrapText="1"/>
    </xf>
    <xf numFmtId="179" fontId="22" fillId="3" borderId="1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178" fontId="22" fillId="0" borderId="0" xfId="0" applyNumberFormat="1" applyFont="1" applyFill="1" applyAlignment="1">
      <alignment horizontal="center"/>
    </xf>
    <xf numFmtId="182" fontId="22" fillId="0" borderId="0" xfId="0" applyNumberFormat="1" applyFont="1" applyFill="1" applyAlignment="1">
      <alignment horizontal="center"/>
    </xf>
    <xf numFmtId="0" fontId="24" fillId="0" borderId="0" xfId="0" applyFont="1"/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center"/>
    </xf>
    <xf numFmtId="0" fontId="22" fillId="0" borderId="1" xfId="0" applyFont="1" applyFill="1" applyBorder="1" applyAlignment="1" applyProtection="1">
      <alignment horizontal="center" vertical="center"/>
      <protection locked="0"/>
    </xf>
    <xf numFmtId="14" fontId="22" fillId="0" borderId="1" xfId="0" applyNumberFormat="1" applyFont="1" applyFill="1" applyBorder="1" applyAlignment="1">
      <alignment horizontal="center" vertical="center"/>
    </xf>
    <xf numFmtId="0" fontId="23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 wrapText="1"/>
    </xf>
    <xf numFmtId="178" fontId="22" fillId="4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/>
    </xf>
    <xf numFmtId="180" fontId="22" fillId="0" borderId="1" xfId="0" applyNumberFormat="1" applyFont="1" applyFill="1" applyBorder="1" applyAlignment="1">
      <alignment horizontal="center" vertical="center"/>
    </xf>
    <xf numFmtId="10" fontId="22" fillId="4" borderId="1" xfId="0" applyNumberFormat="1" applyFont="1" applyFill="1" applyBorder="1" applyAlignment="1">
      <alignment horizontal="center" vertical="center"/>
    </xf>
    <xf numFmtId="0" fontId="22" fillId="0" borderId="1" xfId="4" applyFont="1" applyFill="1" applyBorder="1" applyAlignment="1">
      <alignment horizontal="center" vertical="center"/>
    </xf>
    <xf numFmtId="182" fontId="23" fillId="0" borderId="1" xfId="0" applyNumberFormat="1" applyFont="1" applyFill="1" applyBorder="1" applyAlignment="1">
      <alignment horizontal="center" vertical="center" wrapText="1"/>
    </xf>
    <xf numFmtId="14" fontId="24" fillId="0" borderId="1" xfId="0" applyNumberFormat="1" applyFont="1" applyFill="1" applyBorder="1" applyAlignment="1">
      <alignment vertical="center" wrapText="1"/>
    </xf>
    <xf numFmtId="0" fontId="27" fillId="0" borderId="1" xfId="0" applyFont="1" applyFill="1" applyBorder="1" applyAlignment="1">
      <alignment horizontal="center" vertical="center" wrapText="1"/>
    </xf>
    <xf numFmtId="178" fontId="24" fillId="0" borderId="1" xfId="0" applyNumberFormat="1" applyFont="1" applyFill="1" applyBorder="1" applyAlignment="1">
      <alignment horizontal="center" vertical="center" wrapText="1"/>
    </xf>
    <xf numFmtId="14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2" fillId="0" borderId="1" xfId="10" applyFont="1" applyFill="1" applyBorder="1" applyAlignment="1">
      <alignment horizontal="center" vertical="center"/>
    </xf>
    <xf numFmtId="0" fontId="22" fillId="0" borderId="1" xfId="9" applyFont="1" applyFill="1" applyBorder="1" applyAlignment="1">
      <alignment horizontal="center" vertical="center"/>
    </xf>
    <xf numFmtId="179" fontId="22" fillId="0" borderId="1" xfId="0" applyNumberFormat="1" applyFont="1" applyFill="1" applyBorder="1" applyAlignment="1">
      <alignment horizontal="center" vertical="center"/>
    </xf>
    <xf numFmtId="0" fontId="22" fillId="4" borderId="1" xfId="0" applyNumberFormat="1" applyFont="1" applyFill="1" applyBorder="1" applyAlignment="1">
      <alignment horizontal="center" vertical="center"/>
    </xf>
    <xf numFmtId="14" fontId="22" fillId="4" borderId="1" xfId="0" applyNumberFormat="1" applyFont="1" applyFill="1" applyBorder="1" applyAlignment="1">
      <alignment horizontal="center" vertical="center"/>
    </xf>
    <xf numFmtId="0" fontId="23" fillId="4" borderId="1" xfId="0" applyNumberFormat="1" applyFont="1" applyFill="1" applyBorder="1" applyAlignment="1">
      <alignment horizontal="center" vertical="center"/>
    </xf>
    <xf numFmtId="178" fontId="22" fillId="4" borderId="1" xfId="0" applyNumberFormat="1" applyFont="1" applyFill="1" applyBorder="1" applyAlignment="1">
      <alignment horizontal="center" vertical="center"/>
    </xf>
    <xf numFmtId="178" fontId="22" fillId="5" borderId="1" xfId="0" applyNumberFormat="1" applyFont="1" applyFill="1" applyBorder="1" applyAlignment="1">
      <alignment horizontal="center" vertical="center"/>
    </xf>
    <xf numFmtId="182" fontId="22" fillId="4" borderId="1" xfId="0" applyNumberFormat="1" applyFont="1" applyFill="1" applyBorder="1" applyAlignment="1">
      <alignment horizontal="center" vertical="center"/>
    </xf>
    <xf numFmtId="180" fontId="22" fillId="4" borderId="1" xfId="0" applyNumberFormat="1" applyFont="1" applyFill="1" applyBorder="1" applyAlignment="1">
      <alignment horizontal="center" vertical="center"/>
    </xf>
    <xf numFmtId="178" fontId="22" fillId="4" borderId="2" xfId="0" applyNumberFormat="1" applyFont="1" applyFill="1" applyBorder="1" applyAlignment="1">
      <alignment horizontal="center" vertical="center"/>
    </xf>
    <xf numFmtId="0" fontId="22" fillId="0" borderId="1" xfId="6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/>
    </xf>
    <xf numFmtId="14" fontId="22" fillId="0" borderId="1" xfId="0" applyNumberFormat="1" applyFont="1" applyFill="1" applyBorder="1" applyAlignment="1">
      <alignment horizontal="center" vertical="center" wrapText="1"/>
    </xf>
    <xf numFmtId="0" fontId="23" fillId="3" borderId="6" xfId="0" applyFont="1" applyFill="1" applyBorder="1" applyAlignment="1">
      <alignment horizontal="center" vertical="center"/>
    </xf>
    <xf numFmtId="178" fontId="22" fillId="3" borderId="6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vertical="center" wrapText="1"/>
    </xf>
    <xf numFmtId="0" fontId="22" fillId="0" borderId="0" xfId="0" applyFont="1" applyFill="1" applyAlignment="1">
      <alignment vertical="center"/>
    </xf>
    <xf numFmtId="182" fontId="22" fillId="0" borderId="0" xfId="0" applyNumberFormat="1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top"/>
    </xf>
    <xf numFmtId="178" fontId="22" fillId="0" borderId="0" xfId="0" applyNumberFormat="1" applyFont="1" applyFill="1" applyBorder="1" applyAlignment="1">
      <alignment horizontal="center" vertical="top"/>
    </xf>
    <xf numFmtId="0" fontId="23" fillId="0" borderId="0" xfId="0" applyFont="1" applyFill="1" applyBorder="1" applyAlignment="1">
      <alignment horizontal="center" vertical="center"/>
    </xf>
    <xf numFmtId="178" fontId="22" fillId="0" borderId="0" xfId="0" applyNumberFormat="1" applyFont="1" applyFill="1" applyAlignment="1">
      <alignment vertical="center"/>
    </xf>
    <xf numFmtId="176" fontId="22" fillId="0" borderId="0" xfId="0" applyNumberFormat="1" applyFont="1" applyFill="1" applyBorder="1" applyAlignment="1">
      <alignment horizontal="center" vertical="center"/>
    </xf>
    <xf numFmtId="178" fontId="22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vertical="center"/>
    </xf>
    <xf numFmtId="182" fontId="22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2" fillId="0" borderId="5" xfId="0" applyFont="1" applyFill="1" applyBorder="1" applyAlignment="1">
      <alignment horizontal="center"/>
    </xf>
    <xf numFmtId="0" fontId="22" fillId="0" borderId="5" xfId="0" applyFont="1" applyFill="1" applyBorder="1" applyAlignment="1"/>
    <xf numFmtId="178" fontId="23" fillId="0" borderId="5" xfId="0" applyNumberFormat="1" applyFont="1" applyFill="1" applyBorder="1" applyAlignment="1">
      <alignment horizontal="center" vertical="center"/>
    </xf>
    <xf numFmtId="178" fontId="22" fillId="0" borderId="5" xfId="0" applyNumberFormat="1" applyFont="1" applyFill="1" applyBorder="1" applyAlignment="1"/>
    <xf numFmtId="178" fontId="22" fillId="0" borderId="5" xfId="0" applyNumberFormat="1" applyFont="1" applyFill="1" applyBorder="1" applyAlignment="1">
      <alignment horizontal="center" vertical="center"/>
    </xf>
    <xf numFmtId="182" fontId="22" fillId="0" borderId="5" xfId="0" applyNumberFormat="1" applyFont="1" applyFill="1" applyBorder="1" applyAlignment="1"/>
    <xf numFmtId="178" fontId="22" fillId="0" borderId="0" xfId="0" applyNumberFormat="1" applyFont="1" applyFill="1" applyBorder="1" applyAlignment="1"/>
    <xf numFmtId="178" fontId="22" fillId="0" borderId="0" xfId="0" applyNumberFormat="1" applyFont="1" applyFill="1" applyAlignment="1">
      <alignment horizontal="center" vertical="center"/>
    </xf>
    <xf numFmtId="0" fontId="24" fillId="0" borderId="0" xfId="0" applyFont="1" applyBorder="1"/>
    <xf numFmtId="0" fontId="24" fillId="3" borderId="0" xfId="0" applyFont="1" applyFill="1"/>
    <xf numFmtId="0" fontId="22" fillId="3" borderId="0" xfId="0" applyFont="1" applyFill="1" applyAlignment="1">
      <alignment horizontal="center"/>
    </xf>
    <xf numFmtId="0" fontId="22" fillId="3" borderId="0" xfId="0" applyFont="1" applyFill="1" applyAlignment="1">
      <alignment vertical="center"/>
    </xf>
    <xf numFmtId="0" fontId="24" fillId="0" borderId="0" xfId="0" applyFont="1" applyAlignment="1">
      <alignment horizontal="center"/>
    </xf>
    <xf numFmtId="0" fontId="27" fillId="0" borderId="0" xfId="0" applyFont="1"/>
    <xf numFmtId="0" fontId="26" fillId="7" borderId="0" xfId="0" applyFont="1" applyFill="1" applyBorder="1" applyAlignment="1">
      <alignment vertical="center"/>
    </xf>
    <xf numFmtId="0" fontId="26" fillId="7" borderId="0" xfId="0" applyFont="1" applyFill="1" applyBorder="1" applyAlignment="1">
      <alignment horizontal="center" vertical="center"/>
    </xf>
    <xf numFmtId="0" fontId="16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>
      <alignment horizontal="center" vertical="center" wrapText="1"/>
    </xf>
    <xf numFmtId="0" fontId="22" fillId="0" borderId="1" xfId="1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14" fontId="22" fillId="0" borderId="1" xfId="0" applyNumberFormat="1" applyFont="1" applyFill="1" applyBorder="1" applyAlignment="1">
      <alignment horizontal="left" vertical="center"/>
    </xf>
    <xf numFmtId="0" fontId="22" fillId="0" borderId="1" xfId="4" applyFont="1" applyFill="1" applyBorder="1" applyAlignment="1">
      <alignment horizontal="left" vertical="center"/>
    </xf>
    <xf numFmtId="180" fontId="6" fillId="3" borderId="6" xfId="0" applyNumberFormat="1" applyFont="1" applyFill="1" applyBorder="1" applyAlignment="1">
      <alignment horizontal="center" vertical="center"/>
    </xf>
    <xf numFmtId="10" fontId="10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10" applyFont="1" applyFill="1" applyBorder="1" applyAlignment="1">
      <alignment horizontal="center" vertical="center"/>
    </xf>
    <xf numFmtId="0" fontId="16" fillId="0" borderId="1" xfId="10" applyFont="1" applyFill="1" applyBorder="1" applyAlignment="1">
      <alignment horizontal="left" vertical="center"/>
    </xf>
    <xf numFmtId="178" fontId="18" fillId="0" borderId="0" xfId="0" applyNumberFormat="1" applyFont="1" applyFill="1" applyAlignment="1">
      <alignment horizontal="center"/>
    </xf>
    <xf numFmtId="0" fontId="16" fillId="0" borderId="1" xfId="0" applyFont="1" applyFill="1" applyBorder="1" applyAlignment="1">
      <alignment horizontal="center" vertical="center"/>
    </xf>
    <xf numFmtId="10" fontId="10" fillId="2" borderId="1" xfId="0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/>
    </xf>
    <xf numFmtId="0" fontId="6" fillId="0" borderId="1" xfId="4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/>
    </xf>
    <xf numFmtId="0" fontId="8" fillId="8" borderId="0" xfId="0" applyFont="1" applyFill="1" applyBorder="1" applyAlignment="1">
      <alignment vertical="center"/>
    </xf>
    <xf numFmtId="180" fontId="10" fillId="8" borderId="1" xfId="0" applyNumberFormat="1" applyFont="1" applyFill="1" applyBorder="1" applyAlignment="1">
      <alignment horizontal="center"/>
    </xf>
    <xf numFmtId="179" fontId="6" fillId="8" borderId="1" xfId="0" applyNumberFormat="1" applyFont="1" applyFill="1" applyBorder="1" applyAlignment="1">
      <alignment horizontal="center" vertical="center"/>
    </xf>
    <xf numFmtId="180" fontId="6" fillId="8" borderId="1" xfId="0" applyNumberFormat="1" applyFont="1" applyFill="1" applyBorder="1" applyAlignment="1">
      <alignment horizontal="center" vertical="center"/>
    </xf>
    <xf numFmtId="178" fontId="6" fillId="8" borderId="1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>
      <alignment vertical="center"/>
    </xf>
    <xf numFmtId="178" fontId="6" fillId="8" borderId="0" xfId="0" applyNumberFormat="1" applyFont="1" applyFill="1" applyAlignment="1">
      <alignment vertical="center"/>
    </xf>
    <xf numFmtId="178" fontId="6" fillId="8" borderId="0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/>
    <xf numFmtId="0" fontId="0" fillId="8" borderId="0" xfId="0" applyFill="1" applyBorder="1"/>
    <xf numFmtId="0" fontId="0" fillId="8" borderId="0" xfId="0" applyFill="1"/>
    <xf numFmtId="0" fontId="22" fillId="0" borderId="1" xfId="6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177" fontId="22" fillId="0" borderId="0" xfId="0" applyNumberFormat="1" applyFont="1" applyFill="1" applyBorder="1" applyAlignment="1">
      <alignment horizontal="center" vertical="center" wrapText="1"/>
    </xf>
    <xf numFmtId="58" fontId="0" fillId="0" borderId="0" xfId="0" applyNumberFormat="1" applyBorder="1" applyAlignment="1"/>
    <xf numFmtId="0" fontId="22" fillId="0" borderId="0" xfId="0" applyFont="1" applyFill="1" applyBorder="1" applyAlignment="1" applyProtection="1">
      <alignment horizontal="center" vertical="center"/>
      <protection locked="0"/>
    </xf>
    <xf numFmtId="182" fontId="22" fillId="0" borderId="1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left" vertical="center"/>
    </xf>
    <xf numFmtId="0" fontId="16" fillId="8" borderId="1" xfId="10" applyFont="1" applyFill="1" applyBorder="1" applyAlignment="1">
      <alignment horizontal="left" vertical="center"/>
    </xf>
    <xf numFmtId="0" fontId="6" fillId="2" borderId="1" xfId="4" applyFont="1" applyFill="1" applyBorder="1" applyAlignment="1">
      <alignment horizontal="left" vertical="center"/>
    </xf>
    <xf numFmtId="176" fontId="6" fillId="0" borderId="0" xfId="0" applyNumberFormat="1" applyFont="1" applyFill="1" applyAlignment="1">
      <alignment horizontal="center"/>
    </xf>
    <xf numFmtId="176" fontId="7" fillId="0" borderId="0" xfId="0" applyNumberFormat="1" applyFont="1" applyFill="1" applyAlignment="1">
      <alignment horizontal="center"/>
    </xf>
    <xf numFmtId="176" fontId="8" fillId="0" borderId="0" xfId="0" applyNumberFormat="1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 wrapText="1"/>
    </xf>
    <xf numFmtId="176" fontId="10" fillId="6" borderId="1" xfId="0" applyNumberFormat="1" applyFont="1" applyFill="1" applyBorder="1" applyAlignment="1">
      <alignment horizontal="center"/>
    </xf>
    <xf numFmtId="176" fontId="6" fillId="3" borderId="6" xfId="0" applyNumberFormat="1" applyFont="1" applyFill="1" applyBorder="1" applyAlignment="1">
      <alignment horizontal="center" vertical="center"/>
    </xf>
    <xf numFmtId="176" fontId="0" fillId="0" borderId="0" xfId="0" applyNumberFormat="1" applyAlignment="1">
      <alignment horizontal="center"/>
    </xf>
    <xf numFmtId="176" fontId="6" fillId="4" borderId="0" xfId="0" applyNumberFormat="1" applyFont="1" applyFill="1" applyBorder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/>
    </xf>
    <xf numFmtId="179" fontId="5" fillId="0" borderId="0" xfId="0" applyNumberFormat="1" applyFont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 applyProtection="1">
      <alignment horizontal="center" vertical="center"/>
      <protection locked="0"/>
    </xf>
    <xf numFmtId="0" fontId="18" fillId="0" borderId="1" xfId="9" applyFont="1" applyFill="1" applyBorder="1" applyAlignment="1">
      <alignment horizontal="center" vertical="center"/>
    </xf>
    <xf numFmtId="0" fontId="24" fillId="0" borderId="1" xfId="0" applyFont="1" applyFill="1" applyBorder="1" applyAlignment="1" applyProtection="1">
      <alignment horizontal="center" vertical="center"/>
      <protection locked="0"/>
    </xf>
    <xf numFmtId="0" fontId="24" fillId="0" borderId="1" xfId="5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24" fillId="0" borderId="1" xfId="11" applyFont="1" applyFill="1" applyBorder="1" applyAlignment="1">
      <alignment horizontal="center" vertical="center"/>
    </xf>
    <xf numFmtId="0" fontId="24" fillId="0" borderId="1" xfId="8" applyFont="1" applyFill="1" applyBorder="1" applyAlignment="1">
      <alignment horizontal="center" vertical="center"/>
    </xf>
    <xf numFmtId="0" fontId="24" fillId="0" borderId="1" xfId="7" applyFont="1" applyFill="1" applyBorder="1" applyAlignment="1">
      <alignment horizontal="center" vertical="center"/>
    </xf>
    <xf numFmtId="0" fontId="24" fillId="0" borderId="1" xfId="13" applyFont="1" applyFill="1" applyBorder="1" applyAlignment="1" applyProtection="1">
      <alignment horizontal="center" vertical="center"/>
      <protection locked="0"/>
    </xf>
    <xf numFmtId="0" fontId="24" fillId="0" borderId="2" xfId="0" applyFont="1" applyFill="1" applyBorder="1" applyAlignment="1" applyProtection="1">
      <alignment horizontal="center" vertical="center"/>
      <protection locked="0"/>
    </xf>
    <xf numFmtId="178" fontId="24" fillId="0" borderId="2" xfId="0" applyNumberFormat="1" applyFont="1" applyFill="1" applyBorder="1" applyAlignment="1">
      <alignment vertical="center" wrapText="1"/>
    </xf>
    <xf numFmtId="0" fontId="24" fillId="0" borderId="2" xfId="0" applyFont="1" applyFill="1" applyBorder="1" applyAlignment="1">
      <alignment vertical="center" wrapText="1"/>
    </xf>
    <xf numFmtId="178" fontId="24" fillId="0" borderId="2" xfId="0" applyNumberFormat="1" applyFont="1" applyFill="1" applyBorder="1" applyAlignment="1">
      <alignment vertical="center"/>
    </xf>
    <xf numFmtId="0" fontId="24" fillId="0" borderId="2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left" vertical="center"/>
    </xf>
    <xf numFmtId="0" fontId="24" fillId="0" borderId="5" xfId="0" applyFont="1" applyFill="1" applyBorder="1" applyAlignment="1">
      <alignment vertical="center"/>
    </xf>
    <xf numFmtId="0" fontId="24" fillId="0" borderId="0" xfId="0" applyFont="1" applyFill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24" fillId="2" borderId="1" xfId="0" applyFont="1" applyFill="1" applyBorder="1" applyAlignment="1" applyProtection="1">
      <alignment horizontal="center" vertical="center"/>
      <protection locked="0"/>
    </xf>
    <xf numFmtId="0" fontId="51" fillId="0" borderId="1" xfId="5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51" fillId="0" borderId="1" xfId="11" applyFont="1" applyFill="1" applyBorder="1" applyAlignment="1">
      <alignment horizontal="center" vertical="center"/>
    </xf>
    <xf numFmtId="0" fontId="51" fillId="0" borderId="1" xfId="8" applyFont="1" applyFill="1" applyBorder="1" applyAlignment="1">
      <alignment horizontal="center" vertical="center"/>
    </xf>
    <xf numFmtId="0" fontId="51" fillId="0" borderId="1" xfId="0" applyFont="1" applyFill="1" applyBorder="1" applyAlignment="1" applyProtection="1">
      <alignment horizontal="center" vertical="center"/>
      <protection locked="0"/>
    </xf>
    <xf numFmtId="0" fontId="51" fillId="0" borderId="1" xfId="7" applyFont="1" applyFill="1" applyBorder="1" applyAlignment="1">
      <alignment horizontal="center" vertical="center"/>
    </xf>
    <xf numFmtId="0" fontId="51" fillId="0" borderId="1" xfId="13" applyFont="1" applyFill="1" applyBorder="1" applyAlignment="1" applyProtection="1">
      <alignment horizontal="center" vertical="center"/>
      <protection locked="0"/>
    </xf>
    <xf numFmtId="0" fontId="51" fillId="0" borderId="2" xfId="0" applyFont="1" applyFill="1" applyBorder="1" applyAlignment="1" applyProtection="1">
      <alignment horizontal="center" vertical="center"/>
      <protection locked="0"/>
    </xf>
    <xf numFmtId="178" fontId="51" fillId="0" borderId="2" xfId="0" applyNumberFormat="1" applyFont="1" applyFill="1" applyBorder="1" applyAlignment="1">
      <alignment vertical="center"/>
    </xf>
    <xf numFmtId="0" fontId="51" fillId="0" borderId="2" xfId="0" applyFont="1" applyFill="1" applyBorder="1" applyAlignment="1">
      <alignment vertical="center"/>
    </xf>
    <xf numFmtId="0" fontId="51" fillId="2" borderId="1" xfId="0" applyFont="1" applyFill="1" applyBorder="1" applyAlignment="1" applyProtection="1">
      <alignment horizontal="center" vertical="center"/>
      <protection locked="0"/>
    </xf>
    <xf numFmtId="0" fontId="24" fillId="0" borderId="0" xfId="10" applyFont="1" applyFill="1" applyBorder="1" applyAlignment="1">
      <alignment vertical="center"/>
    </xf>
    <xf numFmtId="178" fontId="26" fillId="0" borderId="0" xfId="0" applyNumberFormat="1" applyFont="1" applyFill="1" applyAlignment="1">
      <alignment vertical="center"/>
    </xf>
    <xf numFmtId="0" fontId="26" fillId="0" borderId="0" xfId="0" applyFont="1" applyFill="1" applyBorder="1" applyAlignment="1">
      <alignment vertical="center"/>
    </xf>
    <xf numFmtId="0" fontId="26" fillId="0" borderId="5" xfId="0" applyFont="1" applyFill="1" applyBorder="1" applyAlignment="1">
      <alignment vertical="center"/>
    </xf>
    <xf numFmtId="0" fontId="24" fillId="0" borderId="0" xfId="0" applyFont="1" applyBorder="1" applyAlignment="1"/>
    <xf numFmtId="0" fontId="5" fillId="2" borderId="0" xfId="0" applyFont="1" applyFill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182" fontId="23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4" fillId="0" borderId="0" xfId="0" applyFont="1" applyFill="1"/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3" fillId="8" borderId="1" xfId="0" applyNumberFormat="1" applyFont="1" applyFill="1" applyBorder="1" applyAlignment="1">
      <alignment horizontal="center" vertical="center"/>
    </xf>
    <xf numFmtId="0" fontId="23" fillId="9" borderId="1" xfId="0" applyNumberFormat="1" applyFont="1" applyFill="1" applyBorder="1" applyAlignment="1">
      <alignment horizontal="center" vertical="center"/>
    </xf>
    <xf numFmtId="0" fontId="23" fillId="2" borderId="1" xfId="0" applyNumberFormat="1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 wrapText="1"/>
    </xf>
    <xf numFmtId="176" fontId="23" fillId="0" borderId="0" xfId="0" applyNumberFormat="1" applyFont="1" applyFill="1" applyBorder="1" applyAlignment="1">
      <alignment horizontal="center" vertical="center"/>
    </xf>
    <xf numFmtId="0" fontId="23" fillId="0" borderId="5" xfId="0" applyFont="1" applyFill="1" applyBorder="1" applyAlignment="1"/>
    <xf numFmtId="0" fontId="23" fillId="0" borderId="0" xfId="0" applyFont="1" applyFill="1" applyAlignment="1">
      <alignment horizont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81" fontId="6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39" fillId="0" borderId="0" xfId="0" applyNumberFormat="1" applyFont="1" applyFill="1" applyAlignment="1">
      <alignment horizontal="center" vertical="center"/>
    </xf>
    <xf numFmtId="0" fontId="25" fillId="0" borderId="0" xfId="0" applyFont="1" applyFill="1" applyAlignment="1">
      <alignment horizontal="center"/>
    </xf>
    <xf numFmtId="0" fontId="20" fillId="0" borderId="6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176" fontId="20" fillId="0" borderId="6" xfId="0" applyNumberFormat="1" applyFont="1" applyFill="1" applyBorder="1" applyAlignment="1">
      <alignment horizontal="center" vertical="center" wrapText="1"/>
    </xf>
    <xf numFmtId="176" fontId="20" fillId="0" borderId="7" xfId="0" applyNumberFormat="1" applyFont="1" applyFill="1" applyBorder="1" applyAlignment="1">
      <alignment horizontal="center" vertical="center" wrapText="1"/>
    </xf>
    <xf numFmtId="176" fontId="20" fillId="0" borderId="8" xfId="0" applyNumberFormat="1" applyFont="1" applyFill="1" applyBorder="1" applyAlignment="1">
      <alignment horizontal="center" vertical="center" wrapText="1"/>
    </xf>
    <xf numFmtId="0" fontId="20" fillId="0" borderId="6" xfId="0" applyNumberFormat="1" applyFont="1" applyFill="1" applyBorder="1" applyAlignment="1">
      <alignment horizontal="center" vertical="center" wrapText="1"/>
    </xf>
    <xf numFmtId="0" fontId="20" fillId="0" borderId="7" xfId="0" applyNumberFormat="1" applyFont="1" applyFill="1" applyBorder="1" applyAlignment="1">
      <alignment horizontal="center" vertical="center" wrapText="1"/>
    </xf>
    <xf numFmtId="0" fontId="20" fillId="0" borderId="8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81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178" fontId="20" fillId="4" borderId="6" xfId="0" applyNumberFormat="1" applyFont="1" applyFill="1" applyBorder="1" applyAlignment="1">
      <alignment horizontal="center" vertical="center" wrapText="1"/>
    </xf>
    <xf numFmtId="178" fontId="20" fillId="4" borderId="7" xfId="0" applyNumberFormat="1" applyFont="1" applyFill="1" applyBorder="1" applyAlignment="1">
      <alignment horizontal="center" vertical="center" wrapText="1"/>
    </xf>
    <xf numFmtId="178" fontId="20" fillId="4" borderId="8" xfId="0" applyNumberFormat="1" applyFont="1" applyFill="1" applyBorder="1" applyAlignment="1">
      <alignment horizontal="center" vertical="center" wrapText="1"/>
    </xf>
    <xf numFmtId="182" fontId="20" fillId="0" borderId="6" xfId="0" applyNumberFormat="1" applyFont="1" applyFill="1" applyBorder="1" applyAlignment="1">
      <alignment horizontal="center" vertical="center" wrapText="1"/>
    </xf>
    <xf numFmtId="182" fontId="20" fillId="0" borderId="7" xfId="0" applyNumberFormat="1" applyFont="1" applyFill="1" applyBorder="1" applyAlignment="1">
      <alignment horizontal="center" vertical="center" wrapText="1"/>
    </xf>
    <xf numFmtId="182" fontId="20" fillId="0" borderId="8" xfId="0" applyNumberFormat="1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 wrapText="1"/>
    </xf>
    <xf numFmtId="0" fontId="22" fillId="4" borderId="2" xfId="0" applyFont="1" applyFill="1" applyBorder="1" applyAlignment="1" applyProtection="1">
      <alignment horizontal="left" vertical="center"/>
      <protection locked="0"/>
    </xf>
    <xf numFmtId="0" fontId="22" fillId="4" borderId="4" xfId="0" applyFont="1" applyFill="1" applyBorder="1" applyAlignment="1" applyProtection="1">
      <alignment horizontal="left" vertical="center"/>
      <protection locked="0"/>
    </xf>
    <xf numFmtId="0" fontId="22" fillId="3" borderId="2" xfId="0" applyFont="1" applyFill="1" applyBorder="1" applyAlignment="1" applyProtection="1">
      <alignment horizontal="center" vertical="center"/>
      <protection locked="0"/>
    </xf>
    <xf numFmtId="0" fontId="22" fillId="3" borderId="3" xfId="0" applyFont="1" applyFill="1" applyBorder="1" applyAlignment="1" applyProtection="1">
      <alignment horizontal="center" vertical="center"/>
      <protection locked="0"/>
    </xf>
    <xf numFmtId="0" fontId="22" fillId="3" borderId="4" xfId="0" applyFont="1" applyFill="1" applyBorder="1" applyAlignment="1" applyProtection="1">
      <alignment horizontal="center" vertical="center"/>
      <protection locked="0"/>
    </xf>
    <xf numFmtId="0" fontId="24" fillId="0" borderId="9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/>
    </xf>
    <xf numFmtId="176" fontId="22" fillId="0" borderId="4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 applyProtection="1">
      <alignment horizontal="left" vertical="center"/>
      <protection locked="0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6" fontId="22" fillId="0" borderId="2" xfId="0" applyNumberFormat="1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178" fontId="22" fillId="0" borderId="2" xfId="0" applyNumberFormat="1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0" fontId="24" fillId="0" borderId="6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176" fontId="22" fillId="0" borderId="6" xfId="0" applyNumberFormat="1" applyFont="1" applyFill="1" applyBorder="1" applyAlignment="1">
      <alignment horizontal="center" vertical="center" wrapText="1"/>
    </xf>
    <xf numFmtId="176" fontId="22" fillId="0" borderId="7" xfId="0" applyNumberFormat="1" applyFont="1" applyFill="1" applyBorder="1" applyAlignment="1">
      <alignment horizontal="center" vertical="center" wrapText="1"/>
    </xf>
    <xf numFmtId="176" fontId="22" fillId="0" borderId="8" xfId="0" applyNumberFormat="1" applyFont="1" applyFill="1" applyBorder="1" applyAlignment="1">
      <alignment horizontal="center" vertical="center" wrapText="1"/>
    </xf>
    <xf numFmtId="178" fontId="22" fillId="4" borderId="6" xfId="0" applyNumberFormat="1" applyFont="1" applyFill="1" applyBorder="1" applyAlignment="1">
      <alignment horizontal="center" vertical="center" wrapText="1"/>
    </xf>
    <xf numFmtId="178" fontId="22" fillId="4" borderId="7" xfId="0" applyNumberFormat="1" applyFont="1" applyFill="1" applyBorder="1" applyAlignment="1">
      <alignment horizontal="center" vertical="center" wrapText="1"/>
    </xf>
    <xf numFmtId="178" fontId="22" fillId="4" borderId="8" xfId="0" applyNumberFormat="1" applyFont="1" applyFill="1" applyBorder="1" applyAlignment="1">
      <alignment horizontal="center" vertical="center" wrapText="1"/>
    </xf>
    <xf numFmtId="182" fontId="22" fillId="0" borderId="6" xfId="0" applyNumberFormat="1" applyFont="1" applyFill="1" applyBorder="1" applyAlignment="1">
      <alignment horizontal="center" vertical="center" wrapText="1"/>
    </xf>
    <xf numFmtId="182" fontId="22" fillId="0" borderId="7" xfId="0" applyNumberFormat="1" applyFont="1" applyFill="1" applyBorder="1" applyAlignment="1">
      <alignment horizontal="center" vertical="center" wrapText="1"/>
    </xf>
    <xf numFmtId="182" fontId="22" fillId="0" borderId="8" xfId="0" applyNumberFormat="1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81" fontId="22" fillId="0" borderId="1" xfId="0" applyNumberFormat="1" applyFont="1" applyFill="1" applyBorder="1" applyAlignment="1">
      <alignment horizontal="center" vertical="center" wrapText="1"/>
    </xf>
    <xf numFmtId="0" fontId="22" fillId="0" borderId="6" xfId="0" applyNumberFormat="1" applyFont="1" applyFill="1" applyBorder="1" applyAlignment="1">
      <alignment horizontal="center" vertical="center" wrapText="1"/>
    </xf>
    <xf numFmtId="0" fontId="22" fillId="0" borderId="7" xfId="0" applyNumberFormat="1" applyFont="1" applyFill="1" applyBorder="1" applyAlignment="1">
      <alignment horizontal="center" vertical="center" wrapText="1"/>
    </xf>
    <xf numFmtId="0" fontId="22" fillId="0" borderId="8" xfId="0" applyNumberFormat="1" applyFont="1" applyFill="1" applyBorder="1" applyAlignment="1">
      <alignment horizontal="center" vertical="center" wrapText="1"/>
    </xf>
    <xf numFmtId="176" fontId="23" fillId="0" borderId="2" xfId="0" applyNumberFormat="1" applyFont="1" applyFill="1" applyBorder="1" applyAlignment="1">
      <alignment horizontal="center" vertical="center"/>
    </xf>
    <xf numFmtId="176" fontId="23" fillId="0" borderId="4" xfId="0" applyNumberFormat="1" applyFont="1" applyFill="1" applyBorder="1" applyAlignment="1">
      <alignment horizontal="center" vertical="center"/>
    </xf>
    <xf numFmtId="182" fontId="22" fillId="0" borderId="2" xfId="0" applyNumberFormat="1" applyFont="1" applyFill="1" applyBorder="1" applyAlignment="1">
      <alignment horizontal="center" vertical="center"/>
    </xf>
    <xf numFmtId="182" fontId="22" fillId="0" borderId="4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 wrapText="1"/>
    </xf>
    <xf numFmtId="10" fontId="22" fillId="0" borderId="4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9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/>
    </xf>
    <xf numFmtId="10" fontId="22" fillId="0" borderId="4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178" fontId="22" fillId="0" borderId="4" xfId="0" applyNumberFormat="1" applyFont="1" applyFill="1" applyBorder="1" applyAlignment="1">
      <alignment horizontal="center" vertical="center" wrapText="1"/>
    </xf>
    <xf numFmtId="178" fontId="22" fillId="0" borderId="2" xfId="0" applyNumberFormat="1" applyFont="1" applyFill="1" applyBorder="1" applyAlignment="1">
      <alignment horizontal="center" vertical="top"/>
    </xf>
    <xf numFmtId="178" fontId="22" fillId="0" borderId="4" xfId="0" applyNumberFormat="1" applyFont="1" applyFill="1" applyBorder="1" applyAlignment="1">
      <alignment horizontal="center" vertical="top"/>
    </xf>
    <xf numFmtId="0" fontId="22" fillId="3" borderId="2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 wrapText="1"/>
    </xf>
    <xf numFmtId="0" fontId="23" fillId="0" borderId="6" xfId="0" applyFont="1" applyFill="1" applyBorder="1" applyAlignment="1">
      <alignment horizontal="center" vertical="center" wrapText="1"/>
    </xf>
    <xf numFmtId="0" fontId="23" fillId="0" borderId="7" xfId="0" applyFont="1" applyFill="1" applyBorder="1" applyAlignment="1">
      <alignment horizontal="center" vertical="center" wrapText="1"/>
    </xf>
    <xf numFmtId="0" fontId="23" fillId="0" borderId="8" xfId="0" applyFont="1" applyFill="1" applyBorder="1" applyAlignment="1">
      <alignment horizontal="center" vertical="center" wrapText="1"/>
    </xf>
    <xf numFmtId="0" fontId="21" fillId="0" borderId="6" xfId="0" applyFont="1" applyFill="1" applyBorder="1" applyAlignment="1">
      <alignment horizontal="center" vertical="center" wrapText="1"/>
    </xf>
    <xf numFmtId="0" fontId="21" fillId="0" borderId="7" xfId="0" applyFont="1" applyFill="1" applyBorder="1" applyAlignment="1">
      <alignment horizontal="center" vertical="center" wrapText="1"/>
    </xf>
    <xf numFmtId="0" fontId="21" fillId="0" borderId="8" xfId="0" applyFont="1" applyFill="1" applyBorder="1" applyAlignment="1">
      <alignment horizontal="center" vertical="center" wrapText="1"/>
    </xf>
    <xf numFmtId="0" fontId="18" fillId="4" borderId="1" xfId="0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Alignment="1">
      <alignment horizontal="center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176" fontId="6" fillId="0" borderId="6" xfId="0" applyNumberFormat="1" applyFont="1" applyFill="1" applyBorder="1" applyAlignment="1">
      <alignment horizontal="center" vertical="center" wrapText="1"/>
    </xf>
    <xf numFmtId="176" fontId="6" fillId="0" borderId="7" xfId="0" applyNumberFormat="1" applyFont="1" applyFill="1" applyBorder="1" applyAlignment="1">
      <alignment horizontal="center" vertical="center" wrapText="1"/>
    </xf>
    <xf numFmtId="176" fontId="6" fillId="0" borderId="8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 wrapText="1"/>
    </xf>
    <xf numFmtId="0" fontId="6" fillId="0" borderId="7" xfId="0" applyNumberFormat="1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8" fontId="6" fillId="4" borderId="6" xfId="0" applyNumberFormat="1" applyFont="1" applyFill="1" applyBorder="1" applyAlignment="1">
      <alignment horizontal="center" vertical="center" wrapText="1"/>
    </xf>
    <xf numFmtId="178" fontId="6" fillId="4" borderId="7" xfId="0" applyNumberFormat="1" applyFont="1" applyFill="1" applyBorder="1" applyAlignment="1">
      <alignment horizontal="center" vertical="center" wrapText="1"/>
    </xf>
    <xf numFmtId="178" fontId="6" fillId="4" borderId="8" xfId="0" applyNumberFormat="1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 applyProtection="1">
      <alignment horizontal="left" vertical="center"/>
      <protection locked="0"/>
    </xf>
    <xf numFmtId="178" fontId="6" fillId="4" borderId="4" xfId="0" applyNumberFormat="1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 applyProtection="1">
      <alignment horizontal="left" vertical="center"/>
      <protection locked="0"/>
    </xf>
    <xf numFmtId="0" fontId="6" fillId="4" borderId="2" xfId="0" applyFont="1" applyFill="1" applyBorder="1" applyAlignment="1" applyProtection="1">
      <alignment horizontal="left" vertical="center"/>
      <protection locked="0"/>
    </xf>
    <xf numFmtId="0" fontId="6" fillId="4" borderId="4" xfId="0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82" fontId="6" fillId="0" borderId="6" xfId="0" applyNumberFormat="1" applyFont="1" applyFill="1" applyBorder="1" applyAlignment="1">
      <alignment horizontal="center" vertical="center" wrapText="1"/>
    </xf>
    <xf numFmtId="182" fontId="6" fillId="0" borderId="7" xfId="0" applyNumberFormat="1" applyFont="1" applyFill="1" applyBorder="1" applyAlignment="1">
      <alignment horizontal="center" vertical="center" wrapText="1"/>
    </xf>
    <xf numFmtId="182" fontId="6" fillId="0" borderId="8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 applyProtection="1">
      <alignment horizontal="center" vertical="center"/>
      <protection locked="0"/>
    </xf>
    <xf numFmtId="0" fontId="6" fillId="3" borderId="4" xfId="0" applyFont="1" applyFill="1" applyBorder="1" applyAlignment="1" applyProtection="1">
      <alignment horizontal="center" vertical="center"/>
      <protection locked="0"/>
    </xf>
    <xf numFmtId="176" fontId="6" fillId="0" borderId="1" xfId="0" applyNumberFormat="1" applyFont="1" applyFill="1" applyBorder="1" applyAlignment="1">
      <alignment horizontal="center" vertical="center"/>
    </xf>
    <xf numFmtId="180" fontId="10" fillId="0" borderId="2" xfId="0" applyNumberFormat="1" applyFont="1" applyFill="1" applyBorder="1" applyAlignment="1">
      <alignment horizontal="center"/>
    </xf>
    <xf numFmtId="180" fontId="10" fillId="0" borderId="4" xfId="0" applyNumberFormat="1" applyFont="1" applyFill="1" applyBorder="1" applyAlignment="1">
      <alignment horizontal="center"/>
    </xf>
    <xf numFmtId="182" fontId="6" fillId="0" borderId="1" xfId="0" applyNumberFormat="1" applyFont="1" applyFill="1" applyBorder="1" applyAlignment="1">
      <alignment horizontal="center" vertical="center" wrapText="1"/>
    </xf>
    <xf numFmtId="10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178" fontId="8" fillId="0" borderId="0" xfId="0" applyNumberFormat="1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176" fontId="6" fillId="0" borderId="4" xfId="0" applyNumberFormat="1" applyFont="1" applyFill="1" applyBorder="1" applyAlignment="1">
      <alignment horizontal="center" vertical="center"/>
    </xf>
    <xf numFmtId="182" fontId="6" fillId="0" borderId="2" xfId="0" applyNumberFormat="1" applyFont="1" applyFill="1" applyBorder="1" applyAlignment="1">
      <alignment horizontal="center" vertical="center"/>
    </xf>
    <xf numFmtId="182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 wrapText="1"/>
    </xf>
    <xf numFmtId="10" fontId="6" fillId="0" borderId="4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0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181" fontId="6" fillId="0" borderId="2" xfId="0" applyNumberFormat="1" applyFont="1" applyFill="1" applyBorder="1" applyAlignment="1">
      <alignment horizontal="center" vertical="center"/>
    </xf>
    <xf numFmtId="181" fontId="6" fillId="0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top"/>
    </xf>
    <xf numFmtId="178" fontId="6" fillId="0" borderId="4" xfId="0" applyNumberFormat="1" applyFont="1" applyFill="1" applyBorder="1" applyAlignment="1">
      <alignment horizontal="center" vertical="top"/>
    </xf>
    <xf numFmtId="0" fontId="6" fillId="3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183" fontId="45" fillId="2" borderId="9" xfId="25" applyNumberFormat="1" applyFont="1" applyFill="1" applyBorder="1" applyAlignment="1">
      <alignment horizontal="center" vertical="center" wrapText="1" shrinkToFit="1"/>
    </xf>
    <xf numFmtId="183" fontId="45" fillId="2" borderId="10" xfId="25" applyNumberFormat="1" applyFont="1" applyFill="1" applyBorder="1" applyAlignment="1">
      <alignment horizontal="center" vertical="center" wrapText="1" shrinkToFi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51" fillId="0" borderId="6" xfId="0" applyFont="1" applyFill="1" applyBorder="1" applyAlignment="1">
      <alignment horizontal="center" vertical="center" wrapText="1"/>
    </xf>
    <xf numFmtId="0" fontId="51" fillId="0" borderId="7" xfId="0" applyFont="1" applyFill="1" applyBorder="1" applyAlignment="1">
      <alignment horizontal="center" vertical="center" wrapText="1"/>
    </xf>
    <xf numFmtId="0" fontId="51" fillId="0" borderId="8" xfId="0" applyFont="1" applyFill="1" applyBorder="1" applyAlignment="1">
      <alignment horizontal="center" vertical="center" wrapText="1"/>
    </xf>
    <xf numFmtId="0" fontId="51" fillId="0" borderId="9" xfId="0" applyFont="1" applyFill="1" applyBorder="1" applyAlignment="1">
      <alignment horizontal="center" vertical="center" wrapText="1"/>
    </xf>
    <xf numFmtId="0" fontId="51" fillId="0" borderId="10" xfId="0" applyFont="1" applyFill="1" applyBorder="1" applyAlignment="1">
      <alignment horizontal="center" vertical="center" wrapText="1"/>
    </xf>
    <xf numFmtId="0" fontId="51" fillId="0" borderId="11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3" fillId="0" borderId="2" xfId="0" applyFont="1" applyFill="1" applyBorder="1" applyAlignment="1">
      <alignment horizontal="center" vertical="center"/>
    </xf>
    <xf numFmtId="0" fontId="53" fillId="0" borderId="3" xfId="0" applyFont="1" applyFill="1" applyBorder="1" applyAlignment="1">
      <alignment horizontal="center" vertical="center"/>
    </xf>
    <xf numFmtId="0" fontId="53" fillId="0" borderId="4" xfId="0" applyFont="1" applyFill="1" applyBorder="1" applyAlignment="1">
      <alignment horizontal="center" vertical="center"/>
    </xf>
  </cellXfs>
  <cellStyles count="26">
    <cellStyle name="常规" xfId="0" builtinId="0"/>
    <cellStyle name="常规 10" xfId="8"/>
    <cellStyle name="常规 10 2" xfId="22"/>
    <cellStyle name="常规 114" xfId="24"/>
    <cellStyle name="常规 12" xfId="9"/>
    <cellStyle name="常规 13" xfId="10"/>
    <cellStyle name="常规 14" xfId="11"/>
    <cellStyle name="常规 15" xfId="12"/>
    <cellStyle name="常规 15 4" xfId="23"/>
    <cellStyle name="常规 16" xfId="13"/>
    <cellStyle name="常规 2" xfId="4"/>
    <cellStyle name="常规 2 2" xfId="14"/>
    <cellStyle name="常规 3" xfId="5"/>
    <cellStyle name="常规 3 2" xfId="15"/>
    <cellStyle name="常规 4" xfId="1"/>
    <cellStyle name="常规 4 2" xfId="16"/>
    <cellStyle name="常规 5" xfId="2"/>
    <cellStyle name="常规 5 2" xfId="17"/>
    <cellStyle name="常规 6" xfId="3"/>
    <cellStyle name="常规 6 2" xfId="18"/>
    <cellStyle name="常规 7" xfId="6"/>
    <cellStyle name="常规 7 2" xfId="19"/>
    <cellStyle name="常规 8" xfId="7"/>
    <cellStyle name="常规 8 2" xfId="20"/>
    <cellStyle name="常规 9 2" xfId="21"/>
    <cellStyle name="常规_Sheet1" xfId="25"/>
  </cellStyles>
  <dxfs count="0"/>
  <tableStyles count="0" defaultTableStyle="TableStyleMedium9" defaultPivotStyle="PivotStyleLight16"/>
  <colors>
    <mruColors>
      <color rgb="FFB4C5FC"/>
      <color rgb="FFFFCCCC"/>
      <color rgb="FFCC99FF"/>
      <color rgb="FFF3BD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2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519" activePane="bottomRight" state="frozen"/>
      <selection activeCell="F484" sqref="F484"/>
      <selection pane="topRight" activeCell="F484" sqref="F484"/>
      <selection pane="bottomLeft" activeCell="F484" sqref="F484"/>
      <selection pane="bottomRight" activeCell="F484" sqref="F48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07" t="s">
        <v>413</v>
      </c>
      <c r="B1" s="607"/>
      <c r="C1" s="607"/>
      <c r="D1" s="607"/>
      <c r="E1" s="607"/>
      <c r="F1" s="607"/>
      <c r="G1" s="607"/>
      <c r="H1" s="607"/>
      <c r="I1" s="607"/>
      <c r="J1" s="607"/>
      <c r="K1" s="607"/>
      <c r="L1" s="607"/>
      <c r="M1" s="607"/>
      <c r="N1" s="607"/>
      <c r="O1" s="607"/>
      <c r="P1" s="607"/>
      <c r="Q1" s="607"/>
      <c r="R1" s="607"/>
      <c r="S1" s="607"/>
      <c r="T1" s="607"/>
      <c r="U1" s="607"/>
      <c r="V1" s="607"/>
      <c r="W1" s="607"/>
      <c r="X1" s="607"/>
      <c r="Y1" s="607"/>
      <c r="Z1" s="607"/>
      <c r="AA1" s="607"/>
    </row>
    <row r="2" spans="1:27" ht="18.75">
      <c r="A2" s="608"/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09" t="s">
        <v>12</v>
      </c>
      <c r="B4" s="609" t="s">
        <v>25</v>
      </c>
      <c r="C4" s="609" t="s">
        <v>26</v>
      </c>
      <c r="D4" s="609" t="s">
        <v>27</v>
      </c>
      <c r="E4" s="612" t="s">
        <v>28</v>
      </c>
      <c r="F4" s="615" t="s">
        <v>29</v>
      </c>
      <c r="G4" s="618" t="s">
        <v>30</v>
      </c>
      <c r="H4" s="618"/>
      <c r="I4" s="609" t="s">
        <v>31</v>
      </c>
      <c r="J4" s="621" t="s">
        <v>32</v>
      </c>
      <c r="K4" s="624" t="s">
        <v>33</v>
      </c>
      <c r="L4" s="609" t="s">
        <v>34</v>
      </c>
      <c r="M4" s="627" t="s">
        <v>35</v>
      </c>
      <c r="N4" s="629" t="s">
        <v>36</v>
      </c>
      <c r="O4" s="618" t="s">
        <v>37</v>
      </c>
      <c r="P4" s="618"/>
      <c r="Q4" s="618"/>
      <c r="R4" s="618"/>
      <c r="S4" s="618"/>
      <c r="T4" s="618"/>
      <c r="U4" s="618"/>
      <c r="V4" s="618" t="s">
        <v>38</v>
      </c>
      <c r="W4" s="629" t="s">
        <v>39</v>
      </c>
      <c r="X4" s="618" t="s">
        <v>40</v>
      </c>
      <c r="Y4" s="618"/>
      <c r="Z4" s="618"/>
      <c r="AA4" s="618"/>
    </row>
    <row r="5" spans="1:27" s="104" customFormat="1" ht="15" customHeight="1">
      <c r="A5" s="610"/>
      <c r="B5" s="610"/>
      <c r="C5" s="610"/>
      <c r="D5" s="610"/>
      <c r="E5" s="613"/>
      <c r="F5" s="616"/>
      <c r="G5" s="618"/>
      <c r="H5" s="618"/>
      <c r="I5" s="610"/>
      <c r="J5" s="622"/>
      <c r="K5" s="625"/>
      <c r="L5" s="610"/>
      <c r="M5" s="628"/>
      <c r="N5" s="629"/>
      <c r="O5" s="618" t="s">
        <v>41</v>
      </c>
      <c r="P5" s="618" t="s">
        <v>42</v>
      </c>
      <c r="Q5" s="618" t="s">
        <v>43</v>
      </c>
      <c r="R5" s="619" t="s">
        <v>44</v>
      </c>
      <c r="S5" s="620" t="s">
        <v>45</v>
      </c>
      <c r="T5" s="618" t="s">
        <v>46</v>
      </c>
      <c r="U5" s="618" t="s">
        <v>47</v>
      </c>
      <c r="V5" s="618"/>
      <c r="W5" s="629"/>
      <c r="X5" s="618" t="s">
        <v>13</v>
      </c>
      <c r="Y5" s="618" t="s">
        <v>48</v>
      </c>
      <c r="Z5" s="618" t="s">
        <v>49</v>
      </c>
      <c r="AA5" s="618" t="s">
        <v>47</v>
      </c>
    </row>
    <row r="6" spans="1:27" s="104" customFormat="1" ht="27.75" customHeight="1">
      <c r="A6" s="611"/>
      <c r="B6" s="611"/>
      <c r="C6" s="611"/>
      <c r="D6" s="611"/>
      <c r="E6" s="614"/>
      <c r="F6" s="617"/>
      <c r="G6" s="350" t="s">
        <v>50</v>
      </c>
      <c r="H6" s="383" t="s">
        <v>51</v>
      </c>
      <c r="I6" s="611"/>
      <c r="J6" s="623"/>
      <c r="K6" s="626"/>
      <c r="L6" s="611"/>
      <c r="M6" s="628"/>
      <c r="N6" s="629"/>
      <c r="O6" s="618"/>
      <c r="P6" s="618"/>
      <c r="Q6" s="618"/>
      <c r="R6" s="619"/>
      <c r="S6" s="620"/>
      <c r="T6" s="618"/>
      <c r="U6" s="618"/>
      <c r="V6" s="618"/>
      <c r="W6" s="629"/>
      <c r="X6" s="618"/>
      <c r="Y6" s="618"/>
      <c r="Z6" s="618"/>
      <c r="AA6" s="618"/>
    </row>
    <row r="7" spans="1:27" ht="20.100000000000001" hidden="1" customHeight="1">
      <c r="A7" s="299">
        <v>30100030</v>
      </c>
      <c r="B7" s="372" t="s">
        <v>178</v>
      </c>
      <c r="C7" s="126" t="s">
        <v>179</v>
      </c>
      <c r="D7" s="108">
        <v>5.03</v>
      </c>
      <c r="E7" s="108"/>
      <c r="F7" s="127"/>
      <c r="G7" s="128"/>
      <c r="H7" s="373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381"/>
      <c r="P7" s="381"/>
      <c r="Q7" s="381"/>
      <c r="R7" s="381"/>
      <c r="S7" s="381"/>
      <c r="T7" s="381"/>
      <c r="U7" s="381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373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381"/>
      <c r="Q8" s="381"/>
      <c r="R8" s="381"/>
      <c r="S8" s="381"/>
      <c r="T8" s="381"/>
      <c r="U8" s="381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373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381"/>
      <c r="P9" s="381"/>
      <c r="Q9" s="381"/>
      <c r="R9" s="381"/>
      <c r="S9" s="381"/>
      <c r="T9" s="381"/>
      <c r="U9" s="381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373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381"/>
      <c r="P10" s="381"/>
      <c r="Q10" s="381"/>
      <c r="R10" s="381"/>
      <c r="S10" s="381"/>
      <c r="T10" s="381"/>
      <c r="U10" s="381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373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381"/>
      <c r="P11" s="381"/>
      <c r="Q11" s="381"/>
      <c r="R11" s="381"/>
      <c r="S11" s="381"/>
      <c r="T11" s="381"/>
      <c r="U11" s="381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373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381"/>
      <c r="P12" s="381"/>
      <c r="Q12" s="381"/>
      <c r="R12" s="381"/>
      <c r="S12" s="381"/>
      <c r="T12" s="381"/>
      <c r="U12" s="381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373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381"/>
      <c r="P13" s="381"/>
      <c r="Q13" s="381"/>
      <c r="R13" s="381"/>
      <c r="S13" s="381"/>
      <c r="T13" s="381"/>
      <c r="U13" s="381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373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381"/>
      <c r="P14" s="381"/>
      <c r="Q14" s="381"/>
      <c r="R14" s="381"/>
      <c r="S14" s="381"/>
      <c r="T14" s="381"/>
      <c r="U14" s="381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373">
        <f t="shared" si="0"/>
        <v>0</v>
      </c>
      <c r="I15" s="373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381"/>
      <c r="P15" s="381"/>
      <c r="Q15" s="381"/>
      <c r="R15" s="381"/>
      <c r="S15" s="381"/>
      <c r="T15" s="381"/>
      <c r="U15" s="381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373">
        <f t="shared" si="0"/>
        <v>0</v>
      </c>
      <c r="I16" s="373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381"/>
      <c r="P16" s="381"/>
      <c r="Q16" s="381"/>
      <c r="R16" s="381"/>
      <c r="S16" s="381"/>
      <c r="T16" s="381"/>
      <c r="U16" s="381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373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381"/>
      <c r="P17" s="381"/>
      <c r="Q17" s="381"/>
      <c r="R17" s="381"/>
      <c r="S17" s="381"/>
      <c r="T17" s="381"/>
      <c r="U17" s="381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373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381"/>
      <c r="P18" s="381"/>
      <c r="Q18" s="381"/>
      <c r="R18" s="381"/>
      <c r="S18" s="381"/>
      <c r="T18" s="381"/>
      <c r="U18" s="381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373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81"/>
      <c r="P19" s="381"/>
      <c r="Q19" s="381"/>
      <c r="R19" s="381"/>
      <c r="S19" s="381"/>
      <c r="T19" s="381"/>
      <c r="U19" s="381"/>
      <c r="V19" s="132">
        <f t="shared" ref="V19:V21" si="5">SUM(X19:AA19)</f>
        <v>0</v>
      </c>
      <c r="W19" s="374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373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381"/>
      <c r="P20" s="381"/>
      <c r="Q20" s="381"/>
      <c r="R20" s="381"/>
      <c r="S20" s="381"/>
      <c r="T20" s="381"/>
      <c r="U20" s="381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373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381"/>
      <c r="P21" s="381"/>
      <c r="Q21" s="381"/>
      <c r="R21" s="381"/>
      <c r="S21" s="381"/>
      <c r="T21" s="381"/>
      <c r="U21" s="381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379" t="s">
        <v>190</v>
      </c>
      <c r="D22" s="108">
        <v>4.8</v>
      </c>
      <c r="E22" s="108"/>
      <c r="F22" s="127"/>
      <c r="G22" s="128"/>
      <c r="H22" s="373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381"/>
      <c r="P22" s="381"/>
      <c r="Q22" s="381"/>
      <c r="R22" s="381"/>
      <c r="S22" s="381"/>
      <c r="T22" s="381"/>
      <c r="U22" s="381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379" t="s">
        <v>187</v>
      </c>
      <c r="D23" s="108">
        <v>4.8</v>
      </c>
      <c r="E23" s="108"/>
      <c r="F23" s="127"/>
      <c r="G23" s="128"/>
      <c r="H23" s="373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381"/>
      <c r="P23" s="381"/>
      <c r="Q23" s="381"/>
      <c r="R23" s="381"/>
      <c r="S23" s="381"/>
      <c r="T23" s="381"/>
      <c r="U23" s="381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379" t="s">
        <v>179</v>
      </c>
      <c r="D24" s="108">
        <v>4.8</v>
      </c>
      <c r="E24" s="108"/>
      <c r="F24" s="127"/>
      <c r="G24" s="128"/>
      <c r="H24" s="373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381"/>
      <c r="P24" s="381"/>
      <c r="Q24" s="381"/>
      <c r="R24" s="381"/>
      <c r="S24" s="381"/>
      <c r="T24" s="381"/>
      <c r="U24" s="381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379" t="s">
        <v>199</v>
      </c>
      <c r="D25" s="108">
        <v>4.8</v>
      </c>
      <c r="E25" s="108"/>
      <c r="F25" s="127"/>
      <c r="G25" s="128"/>
      <c r="H25" s="373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381"/>
      <c r="P25" s="381"/>
      <c r="Q25" s="381"/>
      <c r="R25" s="381"/>
      <c r="S25" s="381"/>
      <c r="T25" s="381"/>
      <c r="U25" s="381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373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381"/>
      <c r="P26" s="381"/>
      <c r="Q26" s="381"/>
      <c r="R26" s="381"/>
      <c r="S26" s="381"/>
      <c r="T26" s="381"/>
      <c r="U26" s="381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373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381"/>
      <c r="P27" s="381"/>
      <c r="Q27" s="381"/>
      <c r="R27" s="381"/>
      <c r="S27" s="381"/>
      <c r="T27" s="381"/>
      <c r="U27" s="381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hidden="1" customHeight="1">
      <c r="A28" s="630" t="s">
        <v>201</v>
      </c>
      <c r="B28" s="631"/>
      <c r="C28" s="382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si="9"/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372" t="s">
        <v>206</v>
      </c>
      <c r="C29" s="126" t="s">
        <v>199</v>
      </c>
      <c r="D29" s="108">
        <v>5.03</v>
      </c>
      <c r="E29" s="108"/>
      <c r="F29" s="127"/>
      <c r="G29" s="128"/>
      <c r="H29" s="373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377"/>
      <c r="P29" s="377"/>
      <c r="Q29" s="377"/>
      <c r="R29" s="377"/>
      <c r="S29" s="377"/>
      <c r="T29" s="377"/>
      <c r="U29" s="377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372" t="s">
        <v>425</v>
      </c>
      <c r="C30" s="187" t="s">
        <v>427</v>
      </c>
      <c r="D30" s="108">
        <v>5.03</v>
      </c>
      <c r="E30" s="108"/>
      <c r="F30" s="127"/>
      <c r="G30" s="128"/>
      <c r="H30" s="373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377"/>
      <c r="P30" s="377"/>
      <c r="Q30" s="377"/>
      <c r="R30" s="377"/>
      <c r="S30" s="377"/>
      <c r="T30" s="377"/>
      <c r="U30" s="377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372" t="s">
        <v>206</v>
      </c>
      <c r="C31" s="126" t="s">
        <v>186</v>
      </c>
      <c r="D31" s="108">
        <v>5.03</v>
      </c>
      <c r="E31" s="108"/>
      <c r="F31" s="127"/>
      <c r="G31" s="128"/>
      <c r="H31" s="373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377"/>
      <c r="P31" s="377"/>
      <c r="Q31" s="377"/>
      <c r="R31" s="377"/>
      <c r="S31" s="377"/>
      <c r="T31" s="377"/>
      <c r="U31" s="377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372" t="s">
        <v>206</v>
      </c>
      <c r="C32" s="126" t="s">
        <v>203</v>
      </c>
      <c r="D32" s="108">
        <v>5.03</v>
      </c>
      <c r="E32" s="108"/>
      <c r="F32" s="127"/>
      <c r="G32" s="128"/>
      <c r="H32" s="373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377"/>
      <c r="P32" s="377"/>
      <c r="Q32" s="377"/>
      <c r="R32" s="377"/>
      <c r="S32" s="377"/>
      <c r="T32" s="377"/>
      <c r="U32" s="377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372" t="s">
        <v>206</v>
      </c>
      <c r="C33" s="126" t="s">
        <v>207</v>
      </c>
      <c r="D33" s="108">
        <v>5.03</v>
      </c>
      <c r="E33" s="108"/>
      <c r="F33" s="127"/>
      <c r="G33" s="128"/>
      <c r="H33" s="373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377"/>
      <c r="P33" s="377"/>
      <c r="Q33" s="377"/>
      <c r="R33" s="377"/>
      <c r="S33" s="377"/>
      <c r="T33" s="377"/>
      <c r="U33" s="377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372" t="s">
        <v>414</v>
      </c>
      <c r="C34" s="187" t="s">
        <v>415</v>
      </c>
      <c r="D34" s="108">
        <v>5.03</v>
      </c>
      <c r="E34" s="108"/>
      <c r="F34" s="127"/>
      <c r="G34" s="128"/>
      <c r="H34" s="373">
        <f t="shared" si="11"/>
        <v>0</v>
      </c>
      <c r="I34" s="129"/>
      <c r="J34" s="130"/>
      <c r="K34" s="131"/>
      <c r="L34" s="129">
        <v>52</v>
      </c>
      <c r="M34" s="109"/>
      <c r="N34" s="130"/>
      <c r="O34" s="377"/>
      <c r="P34" s="377"/>
      <c r="Q34" s="377"/>
      <c r="R34" s="377"/>
      <c r="S34" s="377"/>
      <c r="T34" s="377"/>
      <c r="U34" s="377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372" t="s">
        <v>414</v>
      </c>
      <c r="C35" s="187" t="s">
        <v>416</v>
      </c>
      <c r="D35" s="108">
        <v>5.03</v>
      </c>
      <c r="E35" s="108"/>
      <c r="F35" s="127"/>
      <c r="G35" s="128"/>
      <c r="H35" s="373">
        <f t="shared" si="11"/>
        <v>0</v>
      </c>
      <c r="I35" s="129"/>
      <c r="J35" s="130"/>
      <c r="K35" s="131"/>
      <c r="L35" s="129">
        <v>52</v>
      </c>
      <c r="M35" s="109"/>
      <c r="N35" s="130"/>
      <c r="O35" s="377"/>
      <c r="P35" s="377"/>
      <c r="Q35" s="377"/>
      <c r="R35" s="377"/>
      <c r="S35" s="377"/>
      <c r="T35" s="377"/>
      <c r="U35" s="377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372" t="s">
        <v>414</v>
      </c>
      <c r="C36" s="187" t="s">
        <v>61</v>
      </c>
      <c r="D36" s="108">
        <v>5.03</v>
      </c>
      <c r="E36" s="108"/>
      <c r="F36" s="127"/>
      <c r="G36" s="128"/>
      <c r="H36" s="373">
        <f t="shared" si="11"/>
        <v>0</v>
      </c>
      <c r="I36" s="129"/>
      <c r="J36" s="130"/>
      <c r="K36" s="131"/>
      <c r="L36" s="129">
        <v>52</v>
      </c>
      <c r="M36" s="109"/>
      <c r="N36" s="130"/>
      <c r="O36" s="377"/>
      <c r="P36" s="377"/>
      <c r="Q36" s="377"/>
      <c r="R36" s="377"/>
      <c r="S36" s="377"/>
      <c r="T36" s="377"/>
      <c r="U36" s="377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372" t="s">
        <v>208</v>
      </c>
      <c r="C37" s="126" t="s">
        <v>179</v>
      </c>
      <c r="D37" s="108">
        <v>5.08</v>
      </c>
      <c r="E37" s="108"/>
      <c r="F37" s="127"/>
      <c r="G37" s="128"/>
      <c r="H37" s="373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377"/>
      <c r="P37" s="377"/>
      <c r="Q37" s="377"/>
      <c r="R37" s="377"/>
      <c r="S37" s="377"/>
      <c r="T37" s="377"/>
      <c r="U37" s="377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372" t="s">
        <v>208</v>
      </c>
      <c r="C38" s="126" t="s">
        <v>204</v>
      </c>
      <c r="D38" s="108">
        <v>5.08</v>
      </c>
      <c r="E38" s="108"/>
      <c r="F38" s="127"/>
      <c r="G38" s="128"/>
      <c r="H38" s="373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377"/>
      <c r="P38" s="377"/>
      <c r="Q38" s="377"/>
      <c r="R38" s="377"/>
      <c r="S38" s="377"/>
      <c r="T38" s="377"/>
      <c r="U38" s="377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372" t="s">
        <v>208</v>
      </c>
      <c r="C39" s="126" t="s">
        <v>205</v>
      </c>
      <c r="D39" s="108">
        <v>5.08</v>
      </c>
      <c r="E39" s="108"/>
      <c r="F39" s="127"/>
      <c r="G39" s="128"/>
      <c r="H39" s="373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377"/>
      <c r="P39" s="377"/>
      <c r="Q39" s="377"/>
      <c r="R39" s="377"/>
      <c r="S39" s="377"/>
      <c r="T39" s="377"/>
      <c r="U39" s="377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372" t="s">
        <v>208</v>
      </c>
      <c r="C40" s="126" t="s">
        <v>186</v>
      </c>
      <c r="D40" s="108">
        <v>5.08</v>
      </c>
      <c r="E40" s="108"/>
      <c r="F40" s="127"/>
      <c r="G40" s="128"/>
      <c r="H40" s="373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377"/>
      <c r="P40" s="377"/>
      <c r="Q40" s="377"/>
      <c r="R40" s="377"/>
      <c r="S40" s="377"/>
      <c r="T40" s="377"/>
      <c r="U40" s="377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372" t="s">
        <v>208</v>
      </c>
      <c r="C41" s="126" t="s">
        <v>203</v>
      </c>
      <c r="D41" s="108">
        <v>5.08</v>
      </c>
      <c r="E41" s="108"/>
      <c r="F41" s="127"/>
      <c r="G41" s="128"/>
      <c r="H41" s="373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377"/>
      <c r="P41" s="377"/>
      <c r="Q41" s="377"/>
      <c r="R41" s="377"/>
      <c r="S41" s="377"/>
      <c r="T41" s="377"/>
      <c r="U41" s="377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372" t="s">
        <v>208</v>
      </c>
      <c r="C42" s="126" t="s">
        <v>199</v>
      </c>
      <c r="D42" s="108">
        <v>5.08</v>
      </c>
      <c r="E42" s="108"/>
      <c r="F42" s="127"/>
      <c r="G42" s="128"/>
      <c r="H42" s="373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381"/>
      <c r="P42" s="381"/>
      <c r="Q42" s="381"/>
      <c r="R42" s="381"/>
      <c r="S42" s="381"/>
      <c r="T42" s="381"/>
      <c r="U42" s="381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372" t="s">
        <v>208</v>
      </c>
      <c r="C43" s="126" t="s">
        <v>187</v>
      </c>
      <c r="D43" s="108">
        <v>5.08</v>
      </c>
      <c r="E43" s="108"/>
      <c r="F43" s="127"/>
      <c r="G43" s="128"/>
      <c r="H43" s="373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377"/>
      <c r="P43" s="377"/>
      <c r="Q43" s="377"/>
      <c r="R43" s="377"/>
      <c r="S43" s="377"/>
      <c r="T43" s="377"/>
      <c r="U43" s="377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372" t="s">
        <v>208</v>
      </c>
      <c r="C44" s="126" t="s">
        <v>207</v>
      </c>
      <c r="D44" s="108">
        <v>5.08</v>
      </c>
      <c r="E44" s="108"/>
      <c r="F44" s="127"/>
      <c r="G44" s="128"/>
      <c r="H44" s="373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381"/>
      <c r="P44" s="381"/>
      <c r="Q44" s="381"/>
      <c r="R44" s="381"/>
      <c r="S44" s="381"/>
      <c r="T44" s="381"/>
      <c r="U44" s="381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372" t="s">
        <v>209</v>
      </c>
      <c r="C45" s="126" t="s">
        <v>194</v>
      </c>
      <c r="D45" s="108">
        <v>5.03</v>
      </c>
      <c r="E45" s="108"/>
      <c r="F45" s="127"/>
      <c r="G45" s="128"/>
      <c r="H45" s="373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377"/>
      <c r="P45" s="377"/>
      <c r="Q45" s="377"/>
      <c r="R45" s="377"/>
      <c r="S45" s="377"/>
      <c r="T45" s="377"/>
      <c r="U45" s="377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372" t="s">
        <v>209</v>
      </c>
      <c r="C46" s="126" t="s">
        <v>179</v>
      </c>
      <c r="D46" s="108">
        <v>5.03</v>
      </c>
      <c r="E46" s="108"/>
      <c r="F46" s="127"/>
      <c r="G46" s="128"/>
      <c r="H46" s="373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377"/>
      <c r="P46" s="377"/>
      <c r="Q46" s="377"/>
      <c r="R46" s="377"/>
      <c r="S46" s="377"/>
      <c r="T46" s="377"/>
      <c r="U46" s="377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372" t="s">
        <v>209</v>
      </c>
      <c r="C47" s="126" t="s">
        <v>195</v>
      </c>
      <c r="D47" s="108">
        <v>5.03</v>
      </c>
      <c r="E47" s="108"/>
      <c r="F47" s="127"/>
      <c r="G47" s="128"/>
      <c r="H47" s="373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377"/>
      <c r="P47" s="377"/>
      <c r="Q47" s="377"/>
      <c r="R47" s="377"/>
      <c r="S47" s="377"/>
      <c r="T47" s="377"/>
      <c r="U47" s="377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372" t="s">
        <v>209</v>
      </c>
      <c r="C48" s="126" t="s">
        <v>204</v>
      </c>
      <c r="D48" s="108">
        <v>5.03</v>
      </c>
      <c r="E48" s="108"/>
      <c r="F48" s="127"/>
      <c r="G48" s="128"/>
      <c r="H48" s="373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377"/>
      <c r="P48" s="377"/>
      <c r="Q48" s="377"/>
      <c r="R48" s="377"/>
      <c r="S48" s="377"/>
      <c r="T48" s="377"/>
      <c r="U48" s="377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372" t="s">
        <v>382</v>
      </c>
      <c r="C49" s="187" t="s">
        <v>383</v>
      </c>
      <c r="D49" s="108">
        <v>5.03</v>
      </c>
      <c r="E49" s="108"/>
      <c r="F49" s="127"/>
      <c r="G49" s="128"/>
      <c r="H49" s="373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377"/>
      <c r="P49" s="377"/>
      <c r="Q49" s="377"/>
      <c r="R49" s="377"/>
      <c r="S49" s="377"/>
      <c r="T49" s="377"/>
      <c r="U49" s="377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372" t="s">
        <v>382</v>
      </c>
      <c r="C50" s="187" t="s">
        <v>384</v>
      </c>
      <c r="D50" s="108">
        <v>5.03</v>
      </c>
      <c r="E50" s="108"/>
      <c r="F50" s="127"/>
      <c r="G50" s="128"/>
      <c r="H50" s="373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377"/>
      <c r="P50" s="377"/>
      <c r="Q50" s="377"/>
      <c r="R50" s="377"/>
      <c r="S50" s="377"/>
      <c r="T50" s="377"/>
      <c r="U50" s="377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372" t="s">
        <v>382</v>
      </c>
      <c r="C51" s="187" t="s">
        <v>389</v>
      </c>
      <c r="D51" s="108">
        <v>5.03</v>
      </c>
      <c r="E51" s="108"/>
      <c r="F51" s="127"/>
      <c r="G51" s="128"/>
      <c r="H51" s="373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377"/>
      <c r="P51" s="377"/>
      <c r="Q51" s="377"/>
      <c r="R51" s="377"/>
      <c r="S51" s="377"/>
      <c r="T51" s="377"/>
      <c r="U51" s="377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372" t="s">
        <v>382</v>
      </c>
      <c r="C52" s="187" t="s">
        <v>391</v>
      </c>
      <c r="D52" s="108">
        <v>5.03</v>
      </c>
      <c r="E52" s="108"/>
      <c r="F52" s="127"/>
      <c r="G52" s="128"/>
      <c r="H52" s="373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377"/>
      <c r="P52" s="377"/>
      <c r="Q52" s="377"/>
      <c r="R52" s="377"/>
      <c r="S52" s="377"/>
      <c r="T52" s="377"/>
      <c r="U52" s="377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372" t="s">
        <v>418</v>
      </c>
      <c r="C53" s="187" t="s">
        <v>364</v>
      </c>
      <c r="D53" s="108">
        <v>5.03</v>
      </c>
      <c r="E53" s="108"/>
      <c r="F53" s="127"/>
      <c r="G53" s="128"/>
      <c r="H53" s="373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377"/>
      <c r="P53" s="377"/>
      <c r="Q53" s="377"/>
      <c r="R53" s="377"/>
      <c r="S53" s="377"/>
      <c r="T53" s="377"/>
      <c r="U53" s="377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372" t="s">
        <v>418</v>
      </c>
      <c r="C54" s="187" t="s">
        <v>365</v>
      </c>
      <c r="D54" s="108">
        <v>5.03</v>
      </c>
      <c r="E54" s="108"/>
      <c r="F54" s="127"/>
      <c r="G54" s="128"/>
      <c r="H54" s="373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377"/>
      <c r="P54" s="377"/>
      <c r="Q54" s="377"/>
      <c r="R54" s="377"/>
      <c r="S54" s="377"/>
      <c r="T54" s="377"/>
      <c r="U54" s="377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372" t="s">
        <v>418</v>
      </c>
      <c r="C55" s="187" t="s">
        <v>366</v>
      </c>
      <c r="D55" s="108">
        <v>5.03</v>
      </c>
      <c r="E55" s="108"/>
      <c r="F55" s="127"/>
      <c r="G55" s="128"/>
      <c r="H55" s="373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377"/>
      <c r="P55" s="377"/>
      <c r="Q55" s="377"/>
      <c r="R55" s="377"/>
      <c r="S55" s="377"/>
      <c r="T55" s="377"/>
      <c r="U55" s="377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372" t="s">
        <v>418</v>
      </c>
      <c r="C56" s="187" t="s">
        <v>367</v>
      </c>
      <c r="D56" s="108">
        <v>5.03</v>
      </c>
      <c r="E56" s="108"/>
      <c r="F56" s="127"/>
      <c r="G56" s="128"/>
      <c r="H56" s="373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377"/>
      <c r="P56" s="377"/>
      <c r="Q56" s="377"/>
      <c r="R56" s="377"/>
      <c r="S56" s="377"/>
      <c r="T56" s="377"/>
      <c r="U56" s="377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373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381"/>
      <c r="P57" s="381"/>
      <c r="Q57" s="381"/>
      <c r="R57" s="381"/>
      <c r="S57" s="381"/>
      <c r="T57" s="381"/>
      <c r="U57" s="381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373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381"/>
      <c r="P58" s="381"/>
      <c r="Q58" s="381"/>
      <c r="R58" s="381"/>
      <c r="S58" s="381"/>
      <c r="T58" s="381"/>
      <c r="U58" s="381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373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381"/>
      <c r="P59" s="381"/>
      <c r="Q59" s="381"/>
      <c r="R59" s="381"/>
      <c r="S59" s="381"/>
      <c r="T59" s="381"/>
      <c r="U59" s="381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373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381"/>
      <c r="P60" s="381"/>
      <c r="Q60" s="381"/>
      <c r="R60" s="381"/>
      <c r="S60" s="381"/>
      <c r="T60" s="381"/>
      <c r="U60" s="381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373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381"/>
      <c r="P61" s="381"/>
      <c r="Q61" s="381"/>
      <c r="R61" s="381"/>
      <c r="S61" s="381"/>
      <c r="T61" s="381"/>
      <c r="U61" s="381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373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381"/>
      <c r="P62" s="381"/>
      <c r="Q62" s="381"/>
      <c r="R62" s="381"/>
      <c r="S62" s="381"/>
      <c r="T62" s="381"/>
      <c r="U62" s="381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373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381"/>
      <c r="P63" s="381"/>
      <c r="Q63" s="381"/>
      <c r="R63" s="381"/>
      <c r="S63" s="381"/>
      <c r="T63" s="381"/>
      <c r="U63" s="381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373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381"/>
      <c r="P64" s="381"/>
      <c r="Q64" s="381"/>
      <c r="R64" s="381"/>
      <c r="S64" s="381"/>
      <c r="T64" s="381"/>
      <c r="U64" s="381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373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381"/>
      <c r="P65" s="381"/>
      <c r="Q65" s="381"/>
      <c r="R65" s="381"/>
      <c r="S65" s="381"/>
      <c r="T65" s="381"/>
      <c r="U65" s="381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373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381"/>
      <c r="P66" s="381"/>
      <c r="Q66" s="381"/>
      <c r="R66" s="381"/>
      <c r="S66" s="381"/>
      <c r="T66" s="381"/>
      <c r="U66" s="381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373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381"/>
      <c r="P67" s="381"/>
      <c r="Q67" s="381"/>
      <c r="R67" s="381"/>
      <c r="S67" s="381"/>
      <c r="T67" s="381"/>
      <c r="U67" s="381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373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381"/>
      <c r="P68" s="381"/>
      <c r="Q68" s="381"/>
      <c r="R68" s="381"/>
      <c r="S68" s="381"/>
      <c r="T68" s="381"/>
      <c r="U68" s="381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373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381"/>
      <c r="P69" s="381"/>
      <c r="Q69" s="381"/>
      <c r="R69" s="381"/>
      <c r="S69" s="381"/>
      <c r="T69" s="381"/>
      <c r="U69" s="381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373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381"/>
      <c r="P70" s="381"/>
      <c r="Q70" s="381"/>
      <c r="R70" s="381"/>
      <c r="S70" s="381"/>
      <c r="T70" s="381"/>
      <c r="U70" s="381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373">
        <f t="shared" si="11"/>
        <v>0</v>
      </c>
      <c r="I71" s="129"/>
      <c r="J71" s="130"/>
      <c r="K71" s="131"/>
      <c r="L71" s="129"/>
      <c r="M71" s="109"/>
      <c r="N71" s="130"/>
      <c r="O71" s="381"/>
      <c r="P71" s="381"/>
      <c r="Q71" s="381"/>
      <c r="R71" s="381"/>
      <c r="S71" s="381"/>
      <c r="T71" s="381"/>
      <c r="U71" s="381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373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381"/>
      <c r="P72" s="381"/>
      <c r="Q72" s="381"/>
      <c r="R72" s="381"/>
      <c r="S72" s="381"/>
      <c r="T72" s="381"/>
      <c r="U72" s="381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373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381"/>
      <c r="P73" s="381"/>
      <c r="Q73" s="381"/>
      <c r="R73" s="381"/>
      <c r="S73" s="381"/>
      <c r="T73" s="381"/>
      <c r="U73" s="381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373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381"/>
      <c r="P74" s="381"/>
      <c r="Q74" s="381"/>
      <c r="R74" s="381"/>
      <c r="S74" s="381"/>
      <c r="T74" s="381"/>
      <c r="U74" s="381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373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381"/>
      <c r="P75" s="381"/>
      <c r="Q75" s="381"/>
      <c r="R75" s="381"/>
      <c r="S75" s="381"/>
      <c r="T75" s="381"/>
      <c r="U75" s="381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373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381"/>
      <c r="P76" s="381"/>
      <c r="Q76" s="381"/>
      <c r="R76" s="381"/>
      <c r="S76" s="381"/>
      <c r="T76" s="381"/>
      <c r="U76" s="381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373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381"/>
      <c r="P77" s="381"/>
      <c r="Q77" s="381"/>
      <c r="R77" s="381"/>
      <c r="S77" s="381"/>
      <c r="T77" s="381"/>
      <c r="U77" s="381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373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381"/>
      <c r="P78" s="381"/>
      <c r="Q78" s="381"/>
      <c r="R78" s="381"/>
      <c r="S78" s="381"/>
      <c r="T78" s="381"/>
      <c r="U78" s="381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373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381"/>
      <c r="P79" s="381"/>
      <c r="Q79" s="381"/>
      <c r="R79" s="381"/>
      <c r="S79" s="381"/>
      <c r="T79" s="381"/>
      <c r="U79" s="381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373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381"/>
      <c r="P80" s="381"/>
      <c r="Q80" s="381"/>
      <c r="R80" s="381"/>
      <c r="S80" s="381"/>
      <c r="T80" s="381"/>
      <c r="U80" s="381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373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381"/>
      <c r="P81" s="381"/>
      <c r="Q81" s="381"/>
      <c r="R81" s="381"/>
      <c r="S81" s="381"/>
      <c r="T81" s="381"/>
      <c r="U81" s="381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373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381"/>
      <c r="P82" s="381"/>
      <c r="Q82" s="381"/>
      <c r="R82" s="381"/>
      <c r="S82" s="381"/>
      <c r="T82" s="381"/>
      <c r="U82" s="381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373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381"/>
      <c r="P83" s="381"/>
      <c r="Q83" s="381"/>
      <c r="R83" s="381"/>
      <c r="S83" s="381"/>
      <c r="T83" s="381"/>
      <c r="U83" s="381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373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381"/>
      <c r="P84" s="381"/>
      <c r="Q84" s="381"/>
      <c r="R84" s="381"/>
      <c r="S84" s="381"/>
      <c r="T84" s="381"/>
      <c r="U84" s="381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373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381"/>
      <c r="P85" s="381"/>
      <c r="Q85" s="381"/>
      <c r="R85" s="381"/>
      <c r="S85" s="381"/>
      <c r="T85" s="381"/>
      <c r="U85" s="381"/>
      <c r="V85" s="132"/>
      <c r="W85" s="133"/>
      <c r="X85" s="132"/>
      <c r="Y85" s="132"/>
      <c r="Z85" s="132"/>
      <c r="AA85" s="132"/>
    </row>
    <row r="86" spans="1:27" ht="20.100000000000001" hidden="1" customHeight="1">
      <c r="A86" s="641" t="s">
        <v>216</v>
      </c>
      <c r="B86" s="641"/>
      <c r="C86" s="382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4">SUM(M29:M85)</f>
        <v>0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 t="str">
        <f t="shared" ref="W86:W93" si="35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372" t="s">
        <v>217</v>
      </c>
      <c r="C87" s="126" t="s">
        <v>179</v>
      </c>
      <c r="D87" s="108">
        <v>5.03</v>
      </c>
      <c r="E87" s="108"/>
      <c r="F87" s="127"/>
      <c r="G87" s="128"/>
      <c r="H87" s="373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381"/>
      <c r="P87" s="381"/>
      <c r="Q87" s="381"/>
      <c r="R87" s="381"/>
      <c r="S87" s="381"/>
      <c r="T87" s="381"/>
      <c r="U87" s="381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372" t="s">
        <v>217</v>
      </c>
      <c r="C88" s="126" t="s">
        <v>186</v>
      </c>
      <c r="D88" s="108">
        <v>5.03</v>
      </c>
      <c r="E88" s="108"/>
      <c r="F88" s="127"/>
      <c r="G88" s="128"/>
      <c r="H88" s="373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381"/>
      <c r="P88" s="381"/>
      <c r="Q88" s="381"/>
      <c r="R88" s="381"/>
      <c r="S88" s="381"/>
      <c r="T88" s="381"/>
      <c r="U88" s="381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372" t="s">
        <v>217</v>
      </c>
      <c r="C89" s="126" t="s">
        <v>204</v>
      </c>
      <c r="D89" s="108">
        <v>5.03</v>
      </c>
      <c r="E89" s="108"/>
      <c r="F89" s="127"/>
      <c r="G89" s="128"/>
      <c r="H89" s="373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381"/>
      <c r="P89" s="381"/>
      <c r="Q89" s="381"/>
      <c r="R89" s="381"/>
      <c r="S89" s="381"/>
      <c r="T89" s="381"/>
      <c r="U89" s="381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373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381"/>
      <c r="P90" s="381"/>
      <c r="Q90" s="381"/>
      <c r="R90" s="381"/>
      <c r="S90" s="381"/>
      <c r="T90" s="381"/>
      <c r="U90" s="381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373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381"/>
      <c r="P91" s="381"/>
      <c r="Q91" s="381"/>
      <c r="R91" s="381"/>
      <c r="S91" s="381"/>
      <c r="T91" s="381"/>
      <c r="U91" s="381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373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381"/>
      <c r="P92" s="381"/>
      <c r="Q92" s="381"/>
      <c r="R92" s="381"/>
      <c r="S92" s="381"/>
      <c r="T92" s="381"/>
      <c r="U92" s="381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373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381"/>
      <c r="P93" s="381"/>
      <c r="Q93" s="381"/>
      <c r="R93" s="381"/>
      <c r="S93" s="381"/>
      <c r="T93" s="381"/>
      <c r="U93" s="381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373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381"/>
      <c r="P94" s="381"/>
      <c r="Q94" s="381"/>
      <c r="R94" s="381"/>
      <c r="S94" s="381"/>
      <c r="T94" s="381"/>
      <c r="U94" s="381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373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381"/>
      <c r="P95" s="381"/>
      <c r="Q95" s="381"/>
      <c r="R95" s="381"/>
      <c r="S95" s="381"/>
      <c r="T95" s="381"/>
      <c r="U95" s="381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373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381"/>
      <c r="P96" s="381"/>
      <c r="Q96" s="381"/>
      <c r="R96" s="381"/>
      <c r="S96" s="381"/>
      <c r="T96" s="381"/>
      <c r="U96" s="381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373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381"/>
      <c r="P97" s="381"/>
      <c r="Q97" s="381"/>
      <c r="R97" s="381"/>
      <c r="S97" s="381"/>
      <c r="T97" s="381"/>
      <c r="U97" s="381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373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381"/>
      <c r="P98" s="381"/>
      <c r="Q98" s="381"/>
      <c r="R98" s="381"/>
      <c r="S98" s="381"/>
      <c r="T98" s="381"/>
      <c r="U98" s="381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373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381"/>
      <c r="P99" s="381"/>
      <c r="Q99" s="381"/>
      <c r="R99" s="381"/>
      <c r="S99" s="381"/>
      <c r="T99" s="381"/>
      <c r="U99" s="381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373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381"/>
      <c r="P100" s="381"/>
      <c r="Q100" s="381"/>
      <c r="R100" s="381"/>
      <c r="S100" s="381"/>
      <c r="T100" s="381"/>
      <c r="U100" s="381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373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381"/>
      <c r="P101" s="381"/>
      <c r="Q101" s="381"/>
      <c r="R101" s="381"/>
      <c r="S101" s="381"/>
      <c r="T101" s="381"/>
      <c r="U101" s="381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373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381"/>
      <c r="P102" s="381"/>
      <c r="Q102" s="381"/>
      <c r="R102" s="381"/>
      <c r="S102" s="381"/>
      <c r="T102" s="381"/>
      <c r="U102" s="381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372" t="s">
        <v>222</v>
      </c>
      <c r="C103" s="126" t="s">
        <v>181</v>
      </c>
      <c r="D103" s="108">
        <v>10.199999999999999</v>
      </c>
      <c r="E103" s="108"/>
      <c r="F103" s="127"/>
      <c r="G103" s="128"/>
      <c r="H103" s="373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381"/>
      <c r="P103" s="381"/>
      <c r="Q103" s="381"/>
      <c r="R103" s="381"/>
      <c r="S103" s="381"/>
      <c r="T103" s="381"/>
      <c r="U103" s="381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372" t="s">
        <v>222</v>
      </c>
      <c r="C104" s="126" t="s">
        <v>179</v>
      </c>
      <c r="D104" s="108">
        <v>10.199999999999999</v>
      </c>
      <c r="E104" s="108"/>
      <c r="F104" s="127"/>
      <c r="G104" s="128"/>
      <c r="H104" s="373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381"/>
      <c r="P104" s="381"/>
      <c r="Q104" s="381"/>
      <c r="R104" s="381"/>
      <c r="S104" s="381"/>
      <c r="T104" s="381"/>
      <c r="U104" s="381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372" t="s">
        <v>222</v>
      </c>
      <c r="C105" s="126" t="s">
        <v>221</v>
      </c>
      <c r="D105" s="108">
        <v>10.199999999999999</v>
      </c>
      <c r="E105" s="108"/>
      <c r="F105" s="127"/>
      <c r="G105" s="128"/>
      <c r="H105" s="373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381"/>
      <c r="P105" s="381"/>
      <c r="Q105" s="381"/>
      <c r="R105" s="381"/>
      <c r="S105" s="381"/>
      <c r="T105" s="381"/>
      <c r="U105" s="381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372" t="s">
        <v>222</v>
      </c>
      <c r="C106" s="126" t="s">
        <v>186</v>
      </c>
      <c r="D106" s="108">
        <v>10.199999999999999</v>
      </c>
      <c r="E106" s="108"/>
      <c r="F106" s="127"/>
      <c r="G106" s="128"/>
      <c r="H106" s="373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381"/>
      <c r="P106" s="381"/>
      <c r="Q106" s="381"/>
      <c r="R106" s="381"/>
      <c r="S106" s="381"/>
      <c r="T106" s="381"/>
      <c r="U106" s="381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372" t="s">
        <v>393</v>
      </c>
      <c r="C107" s="187" t="s">
        <v>395</v>
      </c>
      <c r="D107" s="108">
        <v>5</v>
      </c>
      <c r="E107" s="108"/>
      <c r="F107" s="127"/>
      <c r="G107" s="128"/>
      <c r="H107" s="373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381"/>
      <c r="P107" s="381"/>
      <c r="Q107" s="381"/>
      <c r="R107" s="381"/>
      <c r="S107" s="381"/>
      <c r="T107" s="381"/>
      <c r="U107" s="381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372" t="s">
        <v>393</v>
      </c>
      <c r="C108" s="187" t="s">
        <v>402</v>
      </c>
      <c r="D108" s="108">
        <v>5</v>
      </c>
      <c r="E108" s="108"/>
      <c r="F108" s="127"/>
      <c r="G108" s="128"/>
      <c r="H108" s="373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381"/>
      <c r="P108" s="381"/>
      <c r="Q108" s="381"/>
      <c r="R108" s="381"/>
      <c r="S108" s="381"/>
      <c r="T108" s="381"/>
      <c r="U108" s="381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372" t="s">
        <v>404</v>
      </c>
      <c r="C109" s="187" t="s">
        <v>405</v>
      </c>
      <c r="D109" s="108">
        <v>5</v>
      </c>
      <c r="E109" s="108"/>
      <c r="F109" s="127"/>
      <c r="G109" s="128"/>
      <c r="H109" s="373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381"/>
      <c r="P109" s="381"/>
      <c r="Q109" s="381"/>
      <c r="R109" s="381"/>
      <c r="S109" s="381"/>
      <c r="T109" s="381"/>
      <c r="U109" s="381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372" t="s">
        <v>492</v>
      </c>
      <c r="C110" s="187" t="s">
        <v>372</v>
      </c>
      <c r="D110" s="108">
        <v>5</v>
      </c>
      <c r="E110" s="108"/>
      <c r="F110" s="127"/>
      <c r="G110" s="128"/>
      <c r="H110" s="373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381"/>
      <c r="P110" s="381"/>
      <c r="Q110" s="381"/>
      <c r="R110" s="381"/>
      <c r="S110" s="381"/>
      <c r="T110" s="381"/>
      <c r="U110" s="381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372" t="s">
        <v>343</v>
      </c>
      <c r="C111" s="126" t="s">
        <v>345</v>
      </c>
      <c r="D111" s="108">
        <v>5</v>
      </c>
      <c r="E111" s="108"/>
      <c r="F111" s="127"/>
      <c r="G111" s="128"/>
      <c r="H111" s="373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381"/>
      <c r="P111" s="381"/>
      <c r="Q111" s="381"/>
      <c r="R111" s="381"/>
      <c r="S111" s="381"/>
      <c r="T111" s="381"/>
      <c r="U111" s="381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372" t="s">
        <v>343</v>
      </c>
      <c r="C112" s="126" t="s">
        <v>347</v>
      </c>
      <c r="D112" s="108">
        <v>5</v>
      </c>
      <c r="E112" s="108"/>
      <c r="F112" s="127"/>
      <c r="G112" s="128"/>
      <c r="H112" s="373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381"/>
      <c r="P112" s="381"/>
      <c r="Q112" s="381"/>
      <c r="R112" s="381"/>
      <c r="S112" s="381"/>
      <c r="T112" s="381"/>
      <c r="U112" s="381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373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381"/>
      <c r="P113" s="381"/>
      <c r="Q113" s="381"/>
      <c r="R113" s="381"/>
      <c r="S113" s="381"/>
      <c r="T113" s="381"/>
      <c r="U113" s="381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373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381"/>
      <c r="P114" s="381"/>
      <c r="Q114" s="381"/>
      <c r="R114" s="381"/>
      <c r="S114" s="381"/>
      <c r="T114" s="381"/>
      <c r="U114" s="381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373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381"/>
      <c r="P115" s="381"/>
      <c r="Q115" s="381"/>
      <c r="R115" s="381"/>
      <c r="S115" s="381"/>
      <c r="T115" s="381"/>
      <c r="U115" s="381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373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381"/>
      <c r="P116" s="381"/>
      <c r="Q116" s="381"/>
      <c r="R116" s="381"/>
      <c r="S116" s="381"/>
      <c r="T116" s="381"/>
      <c r="U116" s="381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373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381"/>
      <c r="P117" s="381"/>
      <c r="Q117" s="381"/>
      <c r="R117" s="381"/>
      <c r="S117" s="381"/>
      <c r="T117" s="381"/>
      <c r="U117" s="381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373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381"/>
      <c r="P118" s="381"/>
      <c r="Q118" s="381"/>
      <c r="R118" s="381"/>
      <c r="S118" s="381"/>
      <c r="T118" s="381"/>
      <c r="U118" s="381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373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381"/>
      <c r="P119" s="381"/>
      <c r="Q119" s="381"/>
      <c r="R119" s="381"/>
      <c r="S119" s="381"/>
      <c r="T119" s="381"/>
      <c r="U119" s="381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373">
        <f t="shared" si="36"/>
        <v>0</v>
      </c>
      <c r="I120" s="129"/>
      <c r="J120" s="130" t="str">
        <f t="array" ref="J120">IF(ISERROR(G120/I120),"",G120/I120)</f>
        <v/>
      </c>
      <c r="K120" s="373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381"/>
      <c r="P120" s="381"/>
      <c r="Q120" s="381"/>
      <c r="R120" s="381"/>
      <c r="S120" s="381"/>
      <c r="T120" s="381"/>
      <c r="U120" s="381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hidden="1" customHeight="1">
      <c r="A121" s="630" t="s">
        <v>224</v>
      </c>
      <c r="B121" s="631"/>
      <c r="C121" s="382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50">SUM(M87:M120)</f>
        <v>0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 t="str">
        <f t="shared" si="49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373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381"/>
      <c r="P122" s="381"/>
      <c r="Q122" s="381"/>
      <c r="R122" s="381"/>
      <c r="S122" s="381"/>
      <c r="T122" s="381"/>
      <c r="U122" s="381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373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381"/>
      <c r="P123" s="381"/>
      <c r="Q123" s="381"/>
      <c r="R123" s="381"/>
      <c r="S123" s="381"/>
      <c r="T123" s="381"/>
      <c r="U123" s="381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373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381"/>
      <c r="P124" s="381"/>
      <c r="Q124" s="381"/>
      <c r="R124" s="381"/>
      <c r="S124" s="381"/>
      <c r="T124" s="381"/>
      <c r="U124" s="381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373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381"/>
      <c r="P125" s="381"/>
      <c r="Q125" s="381"/>
      <c r="R125" s="381"/>
      <c r="S125" s="381"/>
      <c r="T125" s="381"/>
      <c r="U125" s="381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378" t="s">
        <v>203</v>
      </c>
      <c r="D126" s="108">
        <v>5.03</v>
      </c>
      <c r="E126" s="108"/>
      <c r="F126" s="127"/>
      <c r="G126" s="128"/>
      <c r="H126" s="373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381"/>
      <c r="P126" s="381"/>
      <c r="Q126" s="381"/>
      <c r="R126" s="381"/>
      <c r="S126" s="381"/>
      <c r="T126" s="381"/>
      <c r="U126" s="381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373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381"/>
      <c r="P127" s="381"/>
      <c r="Q127" s="381"/>
      <c r="R127" s="381"/>
      <c r="S127" s="381"/>
      <c r="T127" s="381"/>
      <c r="U127" s="381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373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381"/>
      <c r="P128" s="381"/>
      <c r="Q128" s="381"/>
      <c r="R128" s="381"/>
      <c r="S128" s="381"/>
      <c r="T128" s="381"/>
      <c r="U128" s="381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378" t="s">
        <v>228</v>
      </c>
      <c r="D129" s="108">
        <v>5.03</v>
      </c>
      <c r="E129" s="108"/>
      <c r="F129" s="127"/>
      <c r="G129" s="128"/>
      <c r="H129" s="373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381"/>
      <c r="P129" s="381"/>
      <c r="Q129" s="381"/>
      <c r="R129" s="381"/>
      <c r="S129" s="381"/>
      <c r="T129" s="381"/>
      <c r="U129" s="381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378" t="s">
        <v>212</v>
      </c>
      <c r="D130" s="108">
        <v>5.03</v>
      </c>
      <c r="E130" s="108"/>
      <c r="F130" s="127"/>
      <c r="G130" s="128"/>
      <c r="H130" s="373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381"/>
      <c r="P130" s="381"/>
      <c r="Q130" s="381"/>
      <c r="R130" s="381"/>
      <c r="S130" s="381"/>
      <c r="T130" s="381"/>
      <c r="U130" s="381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378" t="s">
        <v>203</v>
      </c>
      <c r="D131" s="108">
        <v>5.03</v>
      </c>
      <c r="E131" s="108"/>
      <c r="F131" s="127"/>
      <c r="G131" s="128"/>
      <c r="H131" s="373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381"/>
      <c r="P131" s="381"/>
      <c r="Q131" s="381"/>
      <c r="R131" s="381"/>
      <c r="S131" s="381"/>
      <c r="T131" s="381"/>
      <c r="U131" s="381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378" t="s">
        <v>186</v>
      </c>
      <c r="D132" s="108">
        <v>5.03</v>
      </c>
      <c r="E132" s="108"/>
      <c r="F132" s="127"/>
      <c r="G132" s="128"/>
      <c r="H132" s="373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381"/>
      <c r="P132" s="381"/>
      <c r="Q132" s="381"/>
      <c r="R132" s="381"/>
      <c r="S132" s="381"/>
      <c r="T132" s="381"/>
      <c r="U132" s="381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378" t="s">
        <v>228</v>
      </c>
      <c r="D133" s="108">
        <v>5.03</v>
      </c>
      <c r="E133" s="108"/>
      <c r="F133" s="127"/>
      <c r="G133" s="128"/>
      <c r="H133" s="373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381"/>
      <c r="P133" s="381"/>
      <c r="Q133" s="381"/>
      <c r="R133" s="381"/>
      <c r="S133" s="381"/>
      <c r="T133" s="381"/>
      <c r="U133" s="381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378" t="s">
        <v>199</v>
      </c>
      <c r="D134" s="108">
        <v>5.03</v>
      </c>
      <c r="E134" s="108"/>
      <c r="F134" s="127"/>
      <c r="G134" s="128"/>
      <c r="H134" s="373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381"/>
      <c r="P134" s="381"/>
      <c r="Q134" s="381"/>
      <c r="R134" s="381"/>
      <c r="S134" s="381"/>
      <c r="T134" s="381"/>
      <c r="U134" s="381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373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381"/>
      <c r="P135" s="381"/>
      <c r="Q135" s="381"/>
      <c r="R135" s="381"/>
      <c r="S135" s="381"/>
      <c r="T135" s="381"/>
      <c r="U135" s="381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373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381"/>
      <c r="P136" s="381"/>
      <c r="Q136" s="381"/>
      <c r="R136" s="381"/>
      <c r="S136" s="381"/>
      <c r="T136" s="381"/>
      <c r="U136" s="381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630" t="s">
        <v>231</v>
      </c>
      <c r="B137" s="631"/>
      <c r="C137" s="382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>
        <v>42705</v>
      </c>
      <c r="G138" s="128">
        <f>117+108+47</f>
        <v>272</v>
      </c>
      <c r="H138" s="373">
        <f t="shared" ref="H138:H146" si="55">D138*G138</f>
        <v>1370.88</v>
      </c>
      <c r="I138" s="129">
        <v>12.5</v>
      </c>
      <c r="J138" s="130">
        <f t="array" ref="J138">IF(ISERROR(G138/I138),"",G138/I138)</f>
        <v>21.76</v>
      </c>
      <c r="K138" s="131">
        <f t="array" ref="K138">IF(ISERROR(G138/L138),"",G138/L138)</f>
        <v>12.363636363636363</v>
      </c>
      <c r="L138" s="129">
        <v>22</v>
      </c>
      <c r="M138" s="109">
        <f t="shared" ref="M138:M142" si="56">IF(ISERROR(I138-K138),"",I138-K138)</f>
        <v>0.13636363636363669</v>
      </c>
      <c r="N138" s="130">
        <f t="shared" ref="N138:N142" si="57">SUM(O138:U138)</f>
        <v>0</v>
      </c>
      <c r="O138" s="381"/>
      <c r="P138" s="381"/>
      <c r="Q138" s="381"/>
      <c r="R138" s="381"/>
      <c r="S138" s="381"/>
      <c r="T138" s="381"/>
      <c r="U138" s="381"/>
      <c r="V138" s="132">
        <f t="shared" ref="V138:V142" si="58">SUM(X138:AA138)</f>
        <v>0</v>
      </c>
      <c r="W138" s="133">
        <f t="shared" si="49"/>
        <v>0</v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373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381"/>
      <c r="P139" s="381"/>
      <c r="Q139" s="381"/>
      <c r="R139" s="381"/>
      <c r="S139" s="381"/>
      <c r="T139" s="381"/>
      <c r="U139" s="381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373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381"/>
      <c r="P140" s="381"/>
      <c r="Q140" s="381"/>
      <c r="R140" s="381"/>
      <c r="S140" s="381"/>
      <c r="T140" s="381"/>
      <c r="U140" s="381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373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381"/>
      <c r="P141" s="381"/>
      <c r="Q141" s="381"/>
      <c r="R141" s="381"/>
      <c r="S141" s="381"/>
      <c r="T141" s="381"/>
      <c r="U141" s="381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373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381"/>
      <c r="P142" s="381"/>
      <c r="Q142" s="381"/>
      <c r="R142" s="381"/>
      <c r="S142" s="381"/>
      <c r="T142" s="381"/>
      <c r="U142" s="381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373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381"/>
      <c r="P143" s="381"/>
      <c r="Q143" s="381"/>
      <c r="R143" s="381"/>
      <c r="S143" s="381"/>
      <c r="T143" s="381"/>
      <c r="U143" s="381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/>
      <c r="G144" s="128"/>
      <c r="H144" s="479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0"/>
      <c r="P144" s="470"/>
      <c r="Q144" s="470"/>
      <c r="R144" s="470"/>
      <c r="S144" s="470"/>
      <c r="T144" s="470"/>
      <c r="U144" s="470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373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381"/>
      <c r="P146" s="381"/>
      <c r="Q146" s="381"/>
      <c r="R146" s="381"/>
      <c r="S146" s="381"/>
      <c r="T146" s="381"/>
      <c r="U146" s="381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customHeight="1">
      <c r="A147" s="630" t="s">
        <v>234</v>
      </c>
      <c r="B147" s="631"/>
      <c r="C147" s="382" t="s">
        <v>202</v>
      </c>
      <c r="D147" s="143"/>
      <c r="E147" s="143"/>
      <c r="F147" s="144"/>
      <c r="G147" s="145">
        <f>SUM(G138:G146)</f>
        <v>272</v>
      </c>
      <c r="H147" s="146">
        <f>SUM(H138:H146)</f>
        <v>1370.88</v>
      </c>
      <c r="I147" s="146">
        <f>SUM(I138:I146)</f>
        <v>12.5</v>
      </c>
      <c r="J147" s="130">
        <f t="array" ref="J147">IF(ISERROR(G147/I147),"",G147/I147)</f>
        <v>21.76</v>
      </c>
      <c r="K147" s="146">
        <f>SUM(K138:K146)</f>
        <v>12.363636363636363</v>
      </c>
      <c r="L147" s="147"/>
      <c r="M147" s="150">
        <f>SUM(M138:M146)</f>
        <v>0.13636363636363669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>
        <f t="shared" si="62"/>
        <v>0</v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379"/>
      <c r="D148" s="108">
        <v>3.65</v>
      </c>
      <c r="E148" s="108"/>
      <c r="F148" s="153"/>
      <c r="G148" s="128"/>
      <c r="H148" s="373">
        <f t="shared" ref="H148:H161" si="63">D148*G148</f>
        <v>0</v>
      </c>
      <c r="I148" s="129"/>
      <c r="J148" s="130" t="str">
        <f t="array" ref="J148">IF(ISERROR(G148/I148),"",G148/I148)</f>
        <v/>
      </c>
      <c r="K148" s="373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381"/>
      <c r="P148" s="381"/>
      <c r="Q148" s="381"/>
      <c r="R148" s="381"/>
      <c r="S148" s="381"/>
      <c r="T148" s="381"/>
      <c r="U148" s="381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379"/>
      <c r="D149" s="108">
        <v>6.58</v>
      </c>
      <c r="E149" s="108"/>
      <c r="F149" s="127"/>
      <c r="G149" s="128"/>
      <c r="H149" s="373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381"/>
      <c r="P149" s="381"/>
      <c r="Q149" s="381"/>
      <c r="R149" s="381"/>
      <c r="S149" s="381"/>
      <c r="T149" s="381"/>
      <c r="U149" s="381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379"/>
      <c r="D150" s="108">
        <v>7.8</v>
      </c>
      <c r="E150" s="108"/>
      <c r="F150" s="127"/>
      <c r="G150" s="128"/>
      <c r="H150" s="373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381"/>
      <c r="P150" s="381"/>
      <c r="Q150" s="381"/>
      <c r="R150" s="381"/>
      <c r="S150" s="381"/>
      <c r="T150" s="381"/>
      <c r="U150" s="381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379"/>
      <c r="D151" s="108">
        <v>4.4000000000000004</v>
      </c>
      <c r="E151" s="108"/>
      <c r="F151" s="127"/>
      <c r="G151" s="128"/>
      <c r="H151" s="373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381"/>
      <c r="P151" s="381"/>
      <c r="Q151" s="381"/>
      <c r="R151" s="381"/>
      <c r="S151" s="381"/>
      <c r="T151" s="381"/>
      <c r="U151" s="381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373">
        <f t="shared" si="63"/>
        <v>0</v>
      </c>
      <c r="I152" s="129"/>
      <c r="J152" s="130"/>
      <c r="K152" s="131"/>
      <c r="L152" s="129">
        <v>6</v>
      </c>
      <c r="M152" s="109"/>
      <c r="N152" s="130"/>
      <c r="O152" s="381"/>
      <c r="P152" s="381"/>
      <c r="Q152" s="381"/>
      <c r="R152" s="381"/>
      <c r="S152" s="381"/>
      <c r="T152" s="381"/>
      <c r="U152" s="381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379" t="s">
        <v>239</v>
      </c>
      <c r="C153" s="379" t="s">
        <v>179</v>
      </c>
      <c r="D153" s="108">
        <v>6.04</v>
      </c>
      <c r="E153" s="108"/>
      <c r="F153" s="127"/>
      <c r="G153" s="128"/>
      <c r="H153" s="373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381"/>
      <c r="P153" s="381"/>
      <c r="Q153" s="381"/>
      <c r="R153" s="381"/>
      <c r="S153" s="381"/>
      <c r="T153" s="381"/>
      <c r="U153" s="381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379" t="s">
        <v>239</v>
      </c>
      <c r="C154" s="379" t="s">
        <v>186</v>
      </c>
      <c r="D154" s="108">
        <v>6.04</v>
      </c>
      <c r="E154" s="108"/>
      <c r="F154" s="127"/>
      <c r="G154" s="128"/>
      <c r="H154" s="373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381"/>
      <c r="P154" s="381"/>
      <c r="Q154" s="381"/>
      <c r="R154" s="381"/>
      <c r="S154" s="381"/>
      <c r="T154" s="381"/>
      <c r="U154" s="381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379" t="s">
        <v>443</v>
      </c>
      <c r="C155" s="379" t="s">
        <v>179</v>
      </c>
      <c r="D155" s="108">
        <v>6</v>
      </c>
      <c r="E155" s="108"/>
      <c r="F155" s="127"/>
      <c r="G155" s="128"/>
      <c r="H155" s="373">
        <f t="shared" si="63"/>
        <v>0</v>
      </c>
      <c r="I155" s="129"/>
      <c r="J155" s="130"/>
      <c r="K155" s="131"/>
      <c r="L155" s="129"/>
      <c r="M155" s="109"/>
      <c r="N155" s="130"/>
      <c r="O155" s="381"/>
      <c r="P155" s="381"/>
      <c r="Q155" s="381"/>
      <c r="R155" s="381"/>
      <c r="S155" s="381"/>
      <c r="T155" s="381"/>
      <c r="U155" s="381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379" t="s">
        <v>443</v>
      </c>
      <c r="C156" s="379" t="s">
        <v>60</v>
      </c>
      <c r="D156" s="108">
        <v>6</v>
      </c>
      <c r="E156" s="108"/>
      <c r="F156" s="127"/>
      <c r="G156" s="128"/>
      <c r="H156" s="373">
        <f t="shared" si="63"/>
        <v>0</v>
      </c>
      <c r="I156" s="129"/>
      <c r="J156" s="130"/>
      <c r="K156" s="131"/>
      <c r="L156" s="129">
        <v>6</v>
      </c>
      <c r="M156" s="109"/>
      <c r="N156" s="130"/>
      <c r="O156" s="381"/>
      <c r="P156" s="381"/>
      <c r="Q156" s="381"/>
      <c r="R156" s="381"/>
      <c r="S156" s="381"/>
      <c r="T156" s="381"/>
      <c r="U156" s="381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372" t="s">
        <v>240</v>
      </c>
      <c r="C157" s="126"/>
      <c r="D157" s="108">
        <v>7.3</v>
      </c>
      <c r="E157" s="108"/>
      <c r="F157" s="127"/>
      <c r="G157" s="128"/>
      <c r="H157" s="373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381"/>
      <c r="P157" s="381"/>
      <c r="Q157" s="381"/>
      <c r="R157" s="381"/>
      <c r="S157" s="381"/>
      <c r="T157" s="381"/>
      <c r="U157" s="381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372" t="s">
        <v>241</v>
      </c>
      <c r="C158" s="126"/>
      <c r="D158" s="108">
        <f>78*120/1000</f>
        <v>9.36</v>
      </c>
      <c r="E158" s="108"/>
      <c r="F158" s="127"/>
      <c r="G158" s="128"/>
      <c r="H158" s="373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381"/>
      <c r="P158" s="381"/>
      <c r="Q158" s="381"/>
      <c r="R158" s="381"/>
      <c r="S158" s="381"/>
      <c r="T158" s="381"/>
      <c r="U158" s="381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372" t="s">
        <v>242</v>
      </c>
      <c r="C159" s="126"/>
      <c r="D159" s="108">
        <v>4.5</v>
      </c>
      <c r="E159" s="108"/>
      <c r="F159" s="127"/>
      <c r="G159" s="128"/>
      <c r="H159" s="373">
        <f t="shared" si="63"/>
        <v>0</v>
      </c>
      <c r="I159" s="129"/>
      <c r="J159" s="130"/>
      <c r="K159" s="131"/>
      <c r="L159" s="129"/>
      <c r="M159" s="109"/>
      <c r="N159" s="130"/>
      <c r="O159" s="381"/>
      <c r="P159" s="381"/>
      <c r="Q159" s="381"/>
      <c r="R159" s="381"/>
      <c r="S159" s="381"/>
      <c r="T159" s="381"/>
      <c r="U159" s="381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372" t="s">
        <v>243</v>
      </c>
      <c r="C160" s="126"/>
      <c r="D160" s="108">
        <v>4.5</v>
      </c>
      <c r="E160" s="108"/>
      <c r="F160" s="127"/>
      <c r="G160" s="128"/>
      <c r="H160" s="373">
        <f t="shared" si="63"/>
        <v>0</v>
      </c>
      <c r="I160" s="129"/>
      <c r="J160" s="130"/>
      <c r="K160" s="131"/>
      <c r="L160" s="129"/>
      <c r="M160" s="109"/>
      <c r="N160" s="130"/>
      <c r="O160" s="381"/>
      <c r="P160" s="381"/>
      <c r="Q160" s="381"/>
      <c r="R160" s="381"/>
      <c r="S160" s="381"/>
      <c r="T160" s="381"/>
      <c r="U160" s="381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373">
        <f t="shared" si="63"/>
        <v>0</v>
      </c>
      <c r="I161" s="129"/>
      <c r="J161" s="130"/>
      <c r="K161" s="131"/>
      <c r="L161" s="129"/>
      <c r="M161" s="109"/>
      <c r="N161" s="130"/>
      <c r="O161" s="381"/>
      <c r="P161" s="381"/>
      <c r="Q161" s="381"/>
      <c r="R161" s="381"/>
      <c r="S161" s="381"/>
      <c r="T161" s="381"/>
      <c r="U161" s="381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630" t="s">
        <v>244</v>
      </c>
      <c r="B162" s="631"/>
      <c r="C162" s="382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32" t="s">
        <v>246</v>
      </c>
      <c r="B163" s="633"/>
      <c r="C163" s="633"/>
      <c r="D163" s="633"/>
      <c r="E163" s="633"/>
      <c r="F163" s="634"/>
      <c r="G163" s="154">
        <f>SUM(G28,G86,G121,G137,G147,G162)</f>
        <v>272</v>
      </c>
      <c r="H163" s="154">
        <f>SUM(H28,H86,H121,H137,H147,H162)</f>
        <v>1370.88</v>
      </c>
      <c r="I163" s="154">
        <f>SUM(I28,I86,I121,I137,I147,I162)</f>
        <v>12.5</v>
      </c>
      <c r="J163" s="155">
        <f t="array" ref="J163">IF(ISERROR(G163/I163),"",G163/I163)</f>
        <v>21.76</v>
      </c>
      <c r="K163" s="154">
        <f>SUM(K28,K86,K121,K137,K147,K162)</f>
        <v>12.363636363636363</v>
      </c>
      <c r="L163" s="155">
        <f>IF(ISERROR(G163/K163),"",G163/K163)</f>
        <v>22</v>
      </c>
      <c r="M163" s="154">
        <f t="shared" ref="M163:AA163" si="76">SUM(M28,M86,M121,M137,M147,M162)</f>
        <v>0.13636363636363669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635" t="s">
        <v>476</v>
      </c>
      <c r="B164" s="375" t="s">
        <v>247</v>
      </c>
      <c r="C164" s="638" t="s">
        <v>248</v>
      </c>
      <c r="D164" s="639"/>
      <c r="E164" s="640" t="s">
        <v>249</v>
      </c>
      <c r="F164" s="640"/>
      <c r="G164" s="643" t="s">
        <v>250</v>
      </c>
      <c r="H164" s="643"/>
      <c r="I164" s="640" t="s">
        <v>251</v>
      </c>
      <c r="J164" s="640"/>
      <c r="K164" s="640" t="s">
        <v>252</v>
      </c>
      <c r="L164" s="640"/>
      <c r="M164" s="640" t="s">
        <v>253</v>
      </c>
      <c r="N164" s="640"/>
      <c r="O164" s="640" t="s">
        <v>254</v>
      </c>
      <c r="P164" s="643" t="s">
        <v>255</v>
      </c>
      <c r="Q164" s="643"/>
      <c r="R164" s="643" t="s">
        <v>252</v>
      </c>
      <c r="S164" s="643"/>
      <c r="T164" s="643" t="s">
        <v>256</v>
      </c>
      <c r="U164" s="643"/>
      <c r="V164" s="643" t="s">
        <v>257</v>
      </c>
      <c r="W164" s="643"/>
      <c r="X164" s="643" t="s">
        <v>252</v>
      </c>
      <c r="Y164" s="643"/>
      <c r="Z164" s="643" t="s">
        <v>256</v>
      </c>
      <c r="AA164" s="643"/>
    </row>
    <row r="165" spans="1:27" ht="20.100000000000001" customHeight="1">
      <c r="A165" s="636"/>
      <c r="B165" s="375" t="s">
        <v>258</v>
      </c>
      <c r="C165" s="638">
        <v>1</v>
      </c>
      <c r="D165" s="639"/>
      <c r="E165" s="642">
        <f>C165*11</f>
        <v>11</v>
      </c>
      <c r="F165" s="642"/>
      <c r="G165" s="643">
        <v>1</v>
      </c>
      <c r="H165" s="643"/>
      <c r="I165" s="642">
        <f>G165*11</f>
        <v>11</v>
      </c>
      <c r="J165" s="642"/>
      <c r="K165" s="642">
        <f>E165-I165</f>
        <v>0</v>
      </c>
      <c r="L165" s="642"/>
      <c r="M165" s="644">
        <f>IF(ISERROR(K165/E165),"",K165/E165)</f>
        <v>0</v>
      </c>
      <c r="N165" s="644"/>
      <c r="O165" s="640"/>
      <c r="P165" s="643" t="s">
        <v>201</v>
      </c>
      <c r="Q165" s="643"/>
      <c r="R165" s="645">
        <f>SUM(O28:U28)</f>
        <v>0</v>
      </c>
      <c r="S165" s="645"/>
      <c r="T165" s="646" t="str">
        <f t="array" ref="T165">IF(ISERROR(R165/R172),"",R165/R172)</f>
        <v/>
      </c>
      <c r="U165" s="646"/>
      <c r="V165" s="643" t="s">
        <v>259</v>
      </c>
      <c r="W165" s="643"/>
      <c r="X165" s="647">
        <f>SUM(P27,P85,P120,P136,P146,P160)</f>
        <v>0</v>
      </c>
      <c r="Y165" s="647"/>
      <c r="Z165" s="646" t="str">
        <f t="array" ref="Z165">IF(ISERROR(X165/X172),"",X165/X172)</f>
        <v/>
      </c>
      <c r="AA165" s="646"/>
    </row>
    <row r="166" spans="1:27" ht="20.100000000000001" customHeight="1">
      <c r="A166" s="636"/>
      <c r="B166" s="375" t="s">
        <v>260</v>
      </c>
      <c r="C166" s="638">
        <v>1</v>
      </c>
      <c r="D166" s="639"/>
      <c r="E166" s="642">
        <f>C166*11</f>
        <v>11</v>
      </c>
      <c r="F166" s="642"/>
      <c r="G166" s="643">
        <v>1</v>
      </c>
      <c r="H166" s="643"/>
      <c r="I166" s="642">
        <f>G166*11</f>
        <v>11</v>
      </c>
      <c r="J166" s="642"/>
      <c r="K166" s="642">
        <f>E166-I166</f>
        <v>0</v>
      </c>
      <c r="L166" s="642"/>
      <c r="M166" s="644">
        <f>IF(ISERROR(K166/E166),"",K166/E166)</f>
        <v>0</v>
      </c>
      <c r="N166" s="644"/>
      <c r="O166" s="640"/>
      <c r="P166" s="643" t="s">
        <v>216</v>
      </c>
      <c r="Q166" s="643"/>
      <c r="R166" s="645">
        <f>SUM(O86:U86)</f>
        <v>0</v>
      </c>
      <c r="S166" s="645"/>
      <c r="T166" s="646" t="str">
        <f>IF(ISERROR(R166/R172),"",R166/R172)</f>
        <v/>
      </c>
      <c r="U166" s="646"/>
      <c r="V166" s="643" t="s">
        <v>261</v>
      </c>
      <c r="W166" s="643"/>
      <c r="X166" s="647">
        <f>SUM(P28,P86,P121,P137,P147,P162)</f>
        <v>0</v>
      </c>
      <c r="Y166" s="647"/>
      <c r="Z166" s="646" t="str">
        <f>IF(ISERROR(X166/X172),"",X166/X172)</f>
        <v/>
      </c>
      <c r="AA166" s="646"/>
    </row>
    <row r="167" spans="1:27" ht="20.100000000000001" customHeight="1">
      <c r="A167" s="636"/>
      <c r="B167" s="375" t="s">
        <v>262</v>
      </c>
      <c r="C167" s="638">
        <v>1</v>
      </c>
      <c r="D167" s="639"/>
      <c r="E167" s="642">
        <f>C167*8</f>
        <v>8</v>
      </c>
      <c r="F167" s="642"/>
      <c r="G167" s="643">
        <v>1</v>
      </c>
      <c r="H167" s="643"/>
      <c r="I167" s="642">
        <f>G167*8</f>
        <v>8</v>
      </c>
      <c r="J167" s="642"/>
      <c r="K167" s="642">
        <f>E167-I167</f>
        <v>0</v>
      </c>
      <c r="L167" s="642"/>
      <c r="M167" s="644">
        <f>IF(ISERROR(K167/E167),"",K167/E167)</f>
        <v>0</v>
      </c>
      <c r="N167" s="644"/>
      <c r="O167" s="640"/>
      <c r="P167" s="643" t="s">
        <v>224</v>
      </c>
      <c r="Q167" s="643"/>
      <c r="R167" s="645">
        <f>SUM(O121:U121)</f>
        <v>0</v>
      </c>
      <c r="S167" s="645"/>
      <c r="T167" s="646" t="str">
        <f>IF(ISERROR(R167/R172),"",R167/R172)</f>
        <v/>
      </c>
      <c r="U167" s="646"/>
      <c r="V167" s="643" t="s">
        <v>263</v>
      </c>
      <c r="W167" s="643"/>
      <c r="X167" s="647">
        <f>SUM(P29,P87,P122,P138,P148,P163)</f>
        <v>0</v>
      </c>
      <c r="Y167" s="647"/>
      <c r="Z167" s="646" t="str">
        <f>IF(ISERROR(X167/X172),"",X167/X172)</f>
        <v/>
      </c>
      <c r="AA167" s="646"/>
    </row>
    <row r="168" spans="1:27" ht="20.100000000000001" customHeight="1">
      <c r="A168" s="636"/>
      <c r="B168" s="375" t="s">
        <v>264</v>
      </c>
      <c r="C168" s="638">
        <v>1</v>
      </c>
      <c r="D168" s="639"/>
      <c r="E168" s="642">
        <f>C168*11</f>
        <v>11</v>
      </c>
      <c r="F168" s="642"/>
      <c r="G168" s="643">
        <v>1</v>
      </c>
      <c r="H168" s="643"/>
      <c r="I168" s="642">
        <f>G168*11</f>
        <v>11</v>
      </c>
      <c r="J168" s="642"/>
      <c r="K168" s="642">
        <f>E168-I168</f>
        <v>0</v>
      </c>
      <c r="L168" s="642"/>
      <c r="M168" s="644">
        <f>IF(ISERROR(K168/E168),"",K168/E168)</f>
        <v>0</v>
      </c>
      <c r="N168" s="644"/>
      <c r="O168" s="640"/>
      <c r="P168" s="643" t="s">
        <v>231</v>
      </c>
      <c r="Q168" s="643"/>
      <c r="R168" s="645">
        <f>SUM(O137:U137)</f>
        <v>0</v>
      </c>
      <c r="S168" s="645"/>
      <c r="T168" s="646" t="str">
        <f>IF(ISERROR(R168/R172),"",R168/R172)</f>
        <v/>
      </c>
      <c r="U168" s="646"/>
      <c r="V168" s="643" t="s">
        <v>265</v>
      </c>
      <c r="W168" s="643"/>
      <c r="X168" s="647">
        <f>SUM(P31,P88,P123,P139,P149,P164)</f>
        <v>0</v>
      </c>
      <c r="Y168" s="647"/>
      <c r="Z168" s="646" t="str">
        <f>IF(ISERROR(X168/X172),"",X168/X172)</f>
        <v/>
      </c>
      <c r="AA168" s="646"/>
    </row>
    <row r="169" spans="1:27" ht="20.100000000000001" customHeight="1">
      <c r="A169" s="637"/>
      <c r="B169" s="375" t="s">
        <v>266</v>
      </c>
      <c r="C169" s="648">
        <f>SUM(C165:D168)</f>
        <v>4</v>
      </c>
      <c r="D169" s="649"/>
      <c r="E169" s="642">
        <f>SUM(E165:F168)</f>
        <v>41</v>
      </c>
      <c r="F169" s="642"/>
      <c r="G169" s="643">
        <f>SUM(G165:H168)</f>
        <v>4</v>
      </c>
      <c r="H169" s="643"/>
      <c r="I169" s="642">
        <f>SUM(I165:J168)</f>
        <v>41</v>
      </c>
      <c r="J169" s="642"/>
      <c r="K169" s="642">
        <f>SUM(K165:L168)</f>
        <v>0</v>
      </c>
      <c r="L169" s="642"/>
      <c r="M169" s="644">
        <f>IF(ISERROR(K169/E169),"",K169/E169)</f>
        <v>0</v>
      </c>
      <c r="N169" s="644"/>
      <c r="O169" s="640"/>
      <c r="P169" s="643" t="s">
        <v>234</v>
      </c>
      <c r="Q169" s="643"/>
      <c r="R169" s="645">
        <f>SUM(O147:U147)</f>
        <v>0</v>
      </c>
      <c r="S169" s="645"/>
      <c r="T169" s="646" t="str">
        <f>IF(ISERROR(R169/R172),"",R169/R172)</f>
        <v/>
      </c>
      <c r="U169" s="646"/>
      <c r="V169" s="643" t="s">
        <v>267</v>
      </c>
      <c r="W169" s="643"/>
      <c r="X169" s="647">
        <f>SUM(P32,P89,P124,P140,P150,P165)</f>
        <v>0</v>
      </c>
      <c r="Y169" s="647"/>
      <c r="Z169" s="646" t="str">
        <f>IF(ISERROR(X169/X172),"",X169/X172)</f>
        <v/>
      </c>
      <c r="AA169" s="646"/>
    </row>
    <row r="170" spans="1:27" ht="20.100000000000001" customHeight="1">
      <c r="A170" s="307" t="s">
        <v>477</v>
      </c>
      <c r="B170" s="375">
        <f>G163</f>
        <v>272</v>
      </c>
      <c r="C170" s="650" t="s">
        <v>269</v>
      </c>
      <c r="D170" s="651"/>
      <c r="E170" s="643">
        <f>H163</f>
        <v>1370.88</v>
      </c>
      <c r="F170" s="643"/>
      <c r="G170" s="643" t="s">
        <v>270</v>
      </c>
      <c r="H170" s="643"/>
      <c r="I170" s="652">
        <f>L163</f>
        <v>22</v>
      </c>
      <c r="J170" s="652"/>
      <c r="K170" s="640" t="s">
        <v>271</v>
      </c>
      <c r="L170" s="640"/>
      <c r="M170" s="652">
        <f>J163</f>
        <v>21.76</v>
      </c>
      <c r="N170" s="652"/>
      <c r="O170" s="640"/>
      <c r="P170" s="643" t="s">
        <v>244</v>
      </c>
      <c r="Q170" s="643"/>
      <c r="R170" s="645">
        <f>SUM(O162:U162)</f>
        <v>0</v>
      </c>
      <c r="S170" s="645"/>
      <c r="T170" s="646" t="str">
        <f>IF(ISERROR(R170/R172),"",R170/R172)</f>
        <v/>
      </c>
      <c r="U170" s="646"/>
      <c r="V170" s="643" t="s">
        <v>272</v>
      </c>
      <c r="W170" s="643"/>
      <c r="X170" s="647">
        <f>SUM(P33,P90,P125,P141,P151,P166)</f>
        <v>0</v>
      </c>
      <c r="Y170" s="647"/>
      <c r="Z170" s="646" t="str">
        <f>IF(ISERROR(X170/X172),"",X170/X172)</f>
        <v/>
      </c>
      <c r="AA170" s="646"/>
    </row>
    <row r="171" spans="1:27" ht="20.100000000000001" customHeight="1">
      <c r="A171" s="308" t="s">
        <v>478</v>
      </c>
      <c r="B171" s="375">
        <f>I163+C169</f>
        <v>16.5</v>
      </c>
      <c r="C171" s="653" t="s">
        <v>251</v>
      </c>
      <c r="D171" s="654"/>
      <c r="E171" s="655">
        <f>K163+I169</f>
        <v>53.36363636363636</v>
      </c>
      <c r="F171" s="655"/>
      <c r="G171" s="643" t="s">
        <v>274</v>
      </c>
      <c r="H171" s="643"/>
      <c r="I171" s="652">
        <f>B171-E171</f>
        <v>-36.86363636363636</v>
      </c>
      <c r="J171" s="652"/>
      <c r="K171" s="640" t="s">
        <v>275</v>
      </c>
      <c r="L171" s="640"/>
      <c r="M171" s="644">
        <f>IF(ISERROR(I171/E171),"",I171/E171)</f>
        <v>-0.69080068143100504</v>
      </c>
      <c r="N171" s="644"/>
      <c r="O171" s="640"/>
      <c r="P171" s="643" t="s">
        <v>245</v>
      </c>
      <c r="Q171" s="643"/>
      <c r="R171" s="645"/>
      <c r="S171" s="645"/>
      <c r="T171" s="646" t="str">
        <f>IF(ISERROR(R171/R172),"",R171/R172)</f>
        <v/>
      </c>
      <c r="U171" s="646"/>
      <c r="V171" s="643" t="s">
        <v>264</v>
      </c>
      <c r="W171" s="643"/>
      <c r="X171" s="647"/>
      <c r="Y171" s="647"/>
      <c r="Z171" s="646" t="str">
        <f>IF(ISERROR(X171/X172),"",X171/X172)</f>
        <v/>
      </c>
      <c r="AA171" s="646"/>
    </row>
    <row r="172" spans="1:27" ht="20.100000000000001" customHeight="1">
      <c r="A172" s="308" t="s">
        <v>479</v>
      </c>
      <c r="B172" s="375">
        <f>N163</f>
        <v>0</v>
      </c>
      <c r="C172" s="653" t="s">
        <v>277</v>
      </c>
      <c r="D172" s="654"/>
      <c r="E172" s="646">
        <f>IF(ISERROR(B172/B171),"",B172/B171)</f>
        <v>0</v>
      </c>
      <c r="F172" s="646"/>
      <c r="G172" s="643" t="s">
        <v>278</v>
      </c>
      <c r="H172" s="643"/>
      <c r="I172" s="640">
        <f>V163</f>
        <v>0</v>
      </c>
      <c r="J172" s="640"/>
      <c r="K172" s="640" t="s">
        <v>279</v>
      </c>
      <c r="L172" s="640"/>
      <c r="M172" s="644">
        <f t="array" ref="M172">IF(ISERROR(I172/B170),"",I172/B170)</f>
        <v>0</v>
      </c>
      <c r="N172" s="644"/>
      <c r="O172" s="640"/>
      <c r="P172" s="643" t="s">
        <v>266</v>
      </c>
      <c r="Q172" s="643"/>
      <c r="R172" s="645">
        <f>SUM(R165:S171)</f>
        <v>0</v>
      </c>
      <c r="S172" s="645"/>
      <c r="T172" s="646"/>
      <c r="U172" s="646"/>
      <c r="V172" s="643" t="s">
        <v>266</v>
      </c>
      <c r="W172" s="643"/>
      <c r="X172" s="647">
        <f>SUM(X165:Y171)</f>
        <v>0</v>
      </c>
      <c r="Y172" s="647"/>
      <c r="Z172" s="646"/>
      <c r="AA172" s="646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56" t="s">
        <v>480</v>
      </c>
      <c r="B174" s="659" t="s">
        <v>280</v>
      </c>
      <c r="C174" s="659" t="s">
        <v>281</v>
      </c>
      <c r="D174" s="659" t="s">
        <v>282</v>
      </c>
      <c r="E174" s="662" t="s">
        <v>283</v>
      </c>
      <c r="F174" s="675" t="s">
        <v>284</v>
      </c>
      <c r="G174" s="640" t="s">
        <v>285</v>
      </c>
      <c r="H174" s="640"/>
      <c r="I174" s="659" t="s">
        <v>286</v>
      </c>
      <c r="J174" s="665" t="s">
        <v>271</v>
      </c>
      <c r="K174" s="668" t="s">
        <v>287</v>
      </c>
      <c r="L174" s="659" t="s">
        <v>270</v>
      </c>
      <c r="M174" s="671" t="s">
        <v>288</v>
      </c>
      <c r="N174" s="673" t="s">
        <v>252</v>
      </c>
      <c r="O174" s="640" t="s">
        <v>289</v>
      </c>
      <c r="P174" s="640"/>
      <c r="Q174" s="640"/>
      <c r="R174" s="640"/>
      <c r="S174" s="640"/>
      <c r="T174" s="640"/>
      <c r="U174" s="640"/>
      <c r="V174" s="640" t="s">
        <v>290</v>
      </c>
      <c r="W174" s="673" t="s">
        <v>291</v>
      </c>
      <c r="X174" s="640" t="s">
        <v>292</v>
      </c>
      <c r="Y174" s="640"/>
      <c r="Z174" s="640"/>
      <c r="AA174" s="640"/>
    </row>
    <row r="175" spans="1:27" ht="21.95" customHeight="1">
      <c r="A175" s="657"/>
      <c r="B175" s="660"/>
      <c r="C175" s="660"/>
      <c r="D175" s="660"/>
      <c r="E175" s="663"/>
      <c r="F175" s="676"/>
      <c r="G175" s="640"/>
      <c r="H175" s="640"/>
      <c r="I175" s="660"/>
      <c r="J175" s="666"/>
      <c r="K175" s="669"/>
      <c r="L175" s="660"/>
      <c r="M175" s="672"/>
      <c r="N175" s="673"/>
      <c r="O175" s="640" t="s">
        <v>259</v>
      </c>
      <c r="P175" s="640" t="s">
        <v>261</v>
      </c>
      <c r="Q175" s="640" t="s">
        <v>263</v>
      </c>
      <c r="R175" s="674" t="s">
        <v>265</v>
      </c>
      <c r="S175" s="643" t="s">
        <v>267</v>
      </c>
      <c r="T175" s="640" t="s">
        <v>272</v>
      </c>
      <c r="U175" s="640" t="s">
        <v>264</v>
      </c>
      <c r="V175" s="640"/>
      <c r="W175" s="673"/>
      <c r="X175" s="640" t="s">
        <v>293</v>
      </c>
      <c r="Y175" s="640" t="s">
        <v>294</v>
      </c>
      <c r="Z175" s="640" t="s">
        <v>295</v>
      </c>
      <c r="AA175" s="640" t="s">
        <v>264</v>
      </c>
    </row>
    <row r="176" spans="1:27" ht="21.95" customHeight="1">
      <c r="A176" s="658"/>
      <c r="B176" s="661"/>
      <c r="C176" s="661"/>
      <c r="D176" s="661"/>
      <c r="E176" s="664"/>
      <c r="F176" s="677"/>
      <c r="G176" s="348" t="s">
        <v>296</v>
      </c>
      <c r="H176" s="379" t="s">
        <v>297</v>
      </c>
      <c r="I176" s="661"/>
      <c r="J176" s="667"/>
      <c r="K176" s="670"/>
      <c r="L176" s="661"/>
      <c r="M176" s="672"/>
      <c r="N176" s="673"/>
      <c r="O176" s="640"/>
      <c r="P176" s="640"/>
      <c r="Q176" s="640"/>
      <c r="R176" s="674"/>
      <c r="S176" s="643"/>
      <c r="T176" s="640"/>
      <c r="U176" s="640"/>
      <c r="V176" s="640"/>
      <c r="W176" s="673"/>
      <c r="X176" s="640"/>
      <c r="Y176" s="640"/>
      <c r="Z176" s="640"/>
      <c r="AA176" s="640"/>
    </row>
    <row r="177" spans="1:27" ht="20.100000000000001" hidden="1" customHeight="1">
      <c r="A177" s="299">
        <v>30100030</v>
      </c>
      <c r="B177" s="372" t="s">
        <v>178</v>
      </c>
      <c r="C177" s="126" t="s">
        <v>179</v>
      </c>
      <c r="D177" s="108">
        <v>5.03</v>
      </c>
      <c r="E177" s="108"/>
      <c r="F177" s="127"/>
      <c r="G177" s="128"/>
      <c r="H177" s="373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381"/>
      <c r="P177" s="381"/>
      <c r="Q177" s="381"/>
      <c r="R177" s="381"/>
      <c r="S177" s="381"/>
      <c r="T177" s="381"/>
      <c r="U177" s="381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373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381"/>
      <c r="P178" s="381"/>
      <c r="Q178" s="381"/>
      <c r="R178" s="381"/>
      <c r="S178" s="381"/>
      <c r="T178" s="381"/>
      <c r="U178" s="381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373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381"/>
      <c r="P179" s="381"/>
      <c r="Q179" s="381"/>
      <c r="R179" s="381"/>
      <c r="S179" s="381"/>
      <c r="T179" s="381"/>
      <c r="U179" s="381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373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381"/>
      <c r="P180" s="381"/>
      <c r="Q180" s="381"/>
      <c r="R180" s="381"/>
      <c r="S180" s="381"/>
      <c r="T180" s="381"/>
      <c r="U180" s="381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373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381"/>
      <c r="P181" s="381"/>
      <c r="Q181" s="381"/>
      <c r="R181" s="381"/>
      <c r="S181" s="381"/>
      <c r="T181" s="381"/>
      <c r="U181" s="381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373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381"/>
      <c r="P182" s="381"/>
      <c r="Q182" s="381"/>
      <c r="R182" s="381"/>
      <c r="S182" s="381"/>
      <c r="T182" s="381"/>
      <c r="U182" s="381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373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381"/>
      <c r="P183" s="381"/>
      <c r="Q183" s="381"/>
      <c r="R183" s="381"/>
      <c r="S183" s="381"/>
      <c r="T183" s="381"/>
      <c r="U183" s="381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373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381"/>
      <c r="P184" s="381"/>
      <c r="Q184" s="381"/>
      <c r="R184" s="381"/>
      <c r="S184" s="381"/>
      <c r="T184" s="381"/>
      <c r="U184" s="381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373">
        <f t="shared" si="77"/>
        <v>0</v>
      </c>
      <c r="I185" s="373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381"/>
      <c r="P185" s="381"/>
      <c r="Q185" s="381"/>
      <c r="R185" s="381"/>
      <c r="S185" s="381"/>
      <c r="T185" s="381"/>
      <c r="U185" s="381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373">
        <f t="shared" si="77"/>
        <v>0</v>
      </c>
      <c r="I186" s="373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381"/>
      <c r="P186" s="381"/>
      <c r="Q186" s="381"/>
      <c r="R186" s="381"/>
      <c r="S186" s="381"/>
      <c r="T186" s="381"/>
      <c r="U186" s="381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373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381"/>
      <c r="P187" s="381"/>
      <c r="Q187" s="381"/>
      <c r="R187" s="381"/>
      <c r="S187" s="381"/>
      <c r="T187" s="381"/>
      <c r="U187" s="381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373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381"/>
      <c r="P188" s="381"/>
      <c r="Q188" s="381"/>
      <c r="R188" s="381"/>
      <c r="S188" s="381"/>
      <c r="T188" s="381"/>
      <c r="U188" s="381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373">
        <f t="shared" ref="H189:H197" si="82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3">IF(ISERROR(I189-K189),"",I189-K189)</f>
        <v>0</v>
      </c>
      <c r="N189" s="130">
        <f t="shared" ref="N189:N191" si="84">SUM(O189:U189)</f>
        <v>0</v>
      </c>
      <c r="O189" s="381"/>
      <c r="P189" s="381"/>
      <c r="Q189" s="381"/>
      <c r="R189" s="381"/>
      <c r="S189" s="381"/>
      <c r="T189" s="381"/>
      <c r="U189" s="381"/>
      <c r="V189" s="132">
        <f t="shared" ref="V189:V191" si="85">SUM(X189:AA189)</f>
        <v>0</v>
      </c>
      <c r="W189" s="133" t="str">
        <f t="shared" ref="W189:W191" si="86">IF(ISERROR(V189/G189),"",V189/G189)</f>
        <v/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373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381"/>
      <c r="P190" s="381"/>
      <c r="Q190" s="381"/>
      <c r="R190" s="381"/>
      <c r="S190" s="381"/>
      <c r="T190" s="381"/>
      <c r="U190" s="381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373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381"/>
      <c r="P191" s="381"/>
      <c r="Q191" s="381"/>
      <c r="R191" s="381"/>
      <c r="S191" s="381"/>
      <c r="T191" s="381"/>
      <c r="U191" s="381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379" t="s">
        <v>190</v>
      </c>
      <c r="D192" s="108">
        <v>4.8</v>
      </c>
      <c r="E192" s="108"/>
      <c r="F192" s="127"/>
      <c r="G192" s="128"/>
      <c r="H192" s="373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381"/>
      <c r="P192" s="381"/>
      <c r="Q192" s="381"/>
      <c r="R192" s="381"/>
      <c r="S192" s="381"/>
      <c r="T192" s="381"/>
      <c r="U192" s="381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379" t="s">
        <v>187</v>
      </c>
      <c r="D193" s="108">
        <v>4.8</v>
      </c>
      <c r="E193" s="108"/>
      <c r="F193" s="127"/>
      <c r="G193" s="128"/>
      <c r="H193" s="373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381"/>
      <c r="P193" s="381"/>
      <c r="Q193" s="381"/>
      <c r="R193" s="381"/>
      <c r="S193" s="381"/>
      <c r="T193" s="381"/>
      <c r="U193" s="381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379" t="s">
        <v>179</v>
      </c>
      <c r="D194" s="108">
        <v>4.8</v>
      </c>
      <c r="E194" s="108"/>
      <c r="F194" s="127"/>
      <c r="G194" s="128"/>
      <c r="H194" s="373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381"/>
      <c r="P194" s="381"/>
      <c r="Q194" s="381"/>
      <c r="R194" s="381"/>
      <c r="S194" s="381"/>
      <c r="T194" s="381"/>
      <c r="U194" s="381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379" t="s">
        <v>199</v>
      </c>
      <c r="D195" s="108">
        <v>4.8</v>
      </c>
      <c r="E195" s="108"/>
      <c r="F195" s="127"/>
      <c r="G195" s="128"/>
      <c r="H195" s="373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381"/>
      <c r="P195" s="381"/>
      <c r="Q195" s="381"/>
      <c r="R195" s="381"/>
      <c r="S195" s="381"/>
      <c r="T195" s="381"/>
      <c r="U195" s="381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373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381"/>
      <c r="P196" s="381"/>
      <c r="Q196" s="381"/>
      <c r="R196" s="381"/>
      <c r="S196" s="381"/>
      <c r="T196" s="381"/>
      <c r="U196" s="381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373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381"/>
      <c r="P197" s="381"/>
      <c r="Q197" s="381"/>
      <c r="R197" s="381"/>
      <c r="S197" s="381"/>
      <c r="T197" s="381"/>
      <c r="U197" s="381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hidden="1" customHeight="1">
      <c r="A198" s="630" t="s">
        <v>201</v>
      </c>
      <c r="B198" s="631"/>
      <c r="C198" s="382" t="s">
        <v>202</v>
      </c>
      <c r="D198" s="143"/>
      <c r="E198" s="143"/>
      <c r="F198" s="144"/>
      <c r="G198" s="145">
        <f>SUM(G177:G197)</f>
        <v>0</v>
      </c>
      <c r="H198" s="146">
        <f>SUM(H177:H197)</f>
        <v>0</v>
      </c>
      <c r="I198" s="146">
        <f>SUM(I177:I197)</f>
        <v>0</v>
      </c>
      <c r="J198" s="130" t="str">
        <f t="array" ref="J198">IF(ISERROR(G198/I198),"",G198/I198)</f>
        <v/>
      </c>
      <c r="K198" s="146">
        <f>SUM(K177:K197)</f>
        <v>0</v>
      </c>
      <c r="L198" s="147"/>
      <c r="M198" s="150">
        <f t="shared" ref="M198:AA198" si="90">SUM(M177:M197)</f>
        <v>0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372" t="s">
        <v>206</v>
      </c>
      <c r="C199" s="126" t="s">
        <v>199</v>
      </c>
      <c r="D199" s="108">
        <v>5.03</v>
      </c>
      <c r="E199" s="108"/>
      <c r="F199" s="127"/>
      <c r="G199" s="128"/>
      <c r="H199" s="373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377"/>
      <c r="P199" s="377"/>
      <c r="Q199" s="377"/>
      <c r="R199" s="377"/>
      <c r="S199" s="377"/>
      <c r="T199" s="377"/>
      <c r="U199" s="377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372" t="s">
        <v>425</v>
      </c>
      <c r="C200" s="187" t="s">
        <v>427</v>
      </c>
      <c r="D200" s="108">
        <v>5.03</v>
      </c>
      <c r="E200" s="108"/>
      <c r="F200" s="127"/>
      <c r="G200" s="128"/>
      <c r="H200" s="373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377"/>
      <c r="P200" s="377"/>
      <c r="Q200" s="377"/>
      <c r="R200" s="377"/>
      <c r="S200" s="377"/>
      <c r="T200" s="377"/>
      <c r="U200" s="377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372" t="s">
        <v>206</v>
      </c>
      <c r="C201" s="126" t="s">
        <v>186</v>
      </c>
      <c r="D201" s="108">
        <v>5.03</v>
      </c>
      <c r="E201" s="108"/>
      <c r="F201" s="127"/>
      <c r="G201" s="128"/>
      <c r="H201" s="373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377"/>
      <c r="P201" s="377"/>
      <c r="Q201" s="377"/>
      <c r="R201" s="377"/>
      <c r="S201" s="377"/>
      <c r="T201" s="377"/>
      <c r="U201" s="377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372" t="s">
        <v>206</v>
      </c>
      <c r="C202" s="126" t="s">
        <v>203</v>
      </c>
      <c r="D202" s="108">
        <v>5.03</v>
      </c>
      <c r="E202" s="108"/>
      <c r="F202" s="127"/>
      <c r="G202" s="128"/>
      <c r="H202" s="373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377"/>
      <c r="P202" s="377"/>
      <c r="Q202" s="377"/>
      <c r="R202" s="377"/>
      <c r="S202" s="377"/>
      <c r="T202" s="377"/>
      <c r="U202" s="377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372" t="s">
        <v>206</v>
      </c>
      <c r="C203" s="126" t="s">
        <v>207</v>
      </c>
      <c r="D203" s="108">
        <v>5.03</v>
      </c>
      <c r="E203" s="108"/>
      <c r="F203" s="127"/>
      <c r="G203" s="128"/>
      <c r="H203" s="373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0">IF(ISERROR(I203-K203),"",I203-K203)</f>
        <v>0</v>
      </c>
      <c r="N203" s="130">
        <f t="shared" si="97"/>
        <v>0</v>
      </c>
      <c r="O203" s="377"/>
      <c r="P203" s="377"/>
      <c r="Q203" s="377"/>
      <c r="R203" s="377"/>
      <c r="S203" s="377"/>
      <c r="T203" s="377"/>
      <c r="U203" s="377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372" t="s">
        <v>414</v>
      </c>
      <c r="C204" s="187" t="s">
        <v>415</v>
      </c>
      <c r="D204" s="108">
        <v>5.03</v>
      </c>
      <c r="E204" s="108"/>
      <c r="F204" s="127"/>
      <c r="G204" s="128"/>
      <c r="H204" s="373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377"/>
      <c r="P204" s="377"/>
      <c r="Q204" s="377"/>
      <c r="R204" s="377"/>
      <c r="S204" s="377"/>
      <c r="T204" s="377"/>
      <c r="U204" s="377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372" t="s">
        <v>414</v>
      </c>
      <c r="C205" s="187" t="s">
        <v>416</v>
      </c>
      <c r="D205" s="108">
        <v>5.03</v>
      </c>
      <c r="E205" s="108"/>
      <c r="F205" s="127"/>
      <c r="G205" s="128"/>
      <c r="H205" s="373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377"/>
      <c r="P205" s="377"/>
      <c r="Q205" s="377"/>
      <c r="R205" s="377"/>
      <c r="S205" s="377"/>
      <c r="T205" s="377"/>
      <c r="U205" s="377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372" t="s">
        <v>414</v>
      </c>
      <c r="C206" s="187" t="s">
        <v>61</v>
      </c>
      <c r="D206" s="108">
        <v>5.03</v>
      </c>
      <c r="E206" s="108"/>
      <c r="F206" s="127"/>
      <c r="G206" s="128"/>
      <c r="H206" s="373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377"/>
      <c r="P206" s="377"/>
      <c r="Q206" s="377"/>
      <c r="R206" s="377"/>
      <c r="S206" s="377"/>
      <c r="T206" s="377"/>
      <c r="U206" s="377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372" t="s">
        <v>208</v>
      </c>
      <c r="C207" s="126" t="s">
        <v>179</v>
      </c>
      <c r="D207" s="108">
        <v>5.08</v>
      </c>
      <c r="E207" s="108"/>
      <c r="F207" s="127"/>
      <c r="G207" s="128"/>
      <c r="H207" s="373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1">IF(ISERROR(I207-K207),"",I207-K207)</f>
        <v>0</v>
      </c>
      <c r="N207" s="130">
        <f t="shared" ref="N207:N236" si="102">SUM(O207:U207)</f>
        <v>0</v>
      </c>
      <c r="O207" s="377"/>
      <c r="P207" s="377"/>
      <c r="Q207" s="377"/>
      <c r="R207" s="377"/>
      <c r="S207" s="377"/>
      <c r="T207" s="377"/>
      <c r="U207" s="377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372" t="s">
        <v>208</v>
      </c>
      <c r="C208" s="126" t="s">
        <v>204</v>
      </c>
      <c r="D208" s="108">
        <v>5.08</v>
      </c>
      <c r="E208" s="108"/>
      <c r="F208" s="127"/>
      <c r="G208" s="128"/>
      <c r="H208" s="373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377"/>
      <c r="P208" s="377"/>
      <c r="Q208" s="377"/>
      <c r="R208" s="377"/>
      <c r="S208" s="377"/>
      <c r="T208" s="377"/>
      <c r="U208" s="377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372" t="s">
        <v>208</v>
      </c>
      <c r="C209" s="126" t="s">
        <v>205</v>
      </c>
      <c r="D209" s="108">
        <v>5.08</v>
      </c>
      <c r="E209" s="108"/>
      <c r="F209" s="127"/>
      <c r="G209" s="128"/>
      <c r="H209" s="373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377"/>
      <c r="P209" s="377"/>
      <c r="Q209" s="377"/>
      <c r="R209" s="377"/>
      <c r="S209" s="377"/>
      <c r="T209" s="377"/>
      <c r="U209" s="377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372" t="s">
        <v>208</v>
      </c>
      <c r="C210" s="126" t="s">
        <v>186</v>
      </c>
      <c r="D210" s="108">
        <v>5.08</v>
      </c>
      <c r="E210" s="108"/>
      <c r="F210" s="127"/>
      <c r="G210" s="128"/>
      <c r="H210" s="373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377"/>
      <c r="P210" s="377"/>
      <c r="Q210" s="377"/>
      <c r="R210" s="377"/>
      <c r="S210" s="377"/>
      <c r="T210" s="377"/>
      <c r="U210" s="377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372" t="s">
        <v>208</v>
      </c>
      <c r="C211" s="126" t="s">
        <v>203</v>
      </c>
      <c r="D211" s="108">
        <v>5.08</v>
      </c>
      <c r="E211" s="108"/>
      <c r="F211" s="127"/>
      <c r="G211" s="128"/>
      <c r="H211" s="373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377"/>
      <c r="P211" s="377"/>
      <c r="Q211" s="377"/>
      <c r="R211" s="377"/>
      <c r="S211" s="377"/>
      <c r="T211" s="377"/>
      <c r="U211" s="377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372" t="s">
        <v>208</v>
      </c>
      <c r="C212" s="126" t="s">
        <v>199</v>
      </c>
      <c r="D212" s="108">
        <v>5.08</v>
      </c>
      <c r="E212" s="108"/>
      <c r="F212" s="127"/>
      <c r="G212" s="128"/>
      <c r="H212" s="373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381"/>
      <c r="P212" s="381"/>
      <c r="Q212" s="381"/>
      <c r="R212" s="381"/>
      <c r="S212" s="381"/>
      <c r="T212" s="381"/>
      <c r="U212" s="381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372" t="s">
        <v>208</v>
      </c>
      <c r="C213" s="126" t="s">
        <v>187</v>
      </c>
      <c r="D213" s="108">
        <v>5.08</v>
      </c>
      <c r="E213" s="108"/>
      <c r="F213" s="127"/>
      <c r="G213" s="128"/>
      <c r="H213" s="373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377"/>
      <c r="P213" s="377"/>
      <c r="Q213" s="377"/>
      <c r="R213" s="377"/>
      <c r="S213" s="377"/>
      <c r="T213" s="377"/>
      <c r="U213" s="377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372" t="s">
        <v>208</v>
      </c>
      <c r="C214" s="126" t="s">
        <v>207</v>
      </c>
      <c r="D214" s="108">
        <v>5.08</v>
      </c>
      <c r="E214" s="108"/>
      <c r="F214" s="127"/>
      <c r="G214" s="128"/>
      <c r="H214" s="373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381"/>
      <c r="P214" s="381"/>
      <c r="Q214" s="381"/>
      <c r="R214" s="381"/>
      <c r="S214" s="381"/>
      <c r="T214" s="381"/>
      <c r="U214" s="381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372" t="s">
        <v>209</v>
      </c>
      <c r="C215" s="126" t="s">
        <v>194</v>
      </c>
      <c r="D215" s="108">
        <v>5.03</v>
      </c>
      <c r="E215" s="108"/>
      <c r="F215" s="127"/>
      <c r="G215" s="128"/>
      <c r="H215" s="373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377"/>
      <c r="P215" s="377"/>
      <c r="Q215" s="377"/>
      <c r="R215" s="377"/>
      <c r="S215" s="377"/>
      <c r="T215" s="377"/>
      <c r="U215" s="377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372" t="s">
        <v>209</v>
      </c>
      <c r="C216" s="126" t="s">
        <v>179</v>
      </c>
      <c r="D216" s="108">
        <v>5.03</v>
      </c>
      <c r="E216" s="108"/>
      <c r="F216" s="127"/>
      <c r="G216" s="128"/>
      <c r="H216" s="373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377"/>
      <c r="P216" s="377"/>
      <c r="Q216" s="377"/>
      <c r="R216" s="377"/>
      <c r="S216" s="377"/>
      <c r="T216" s="377"/>
      <c r="U216" s="377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372" t="s">
        <v>209</v>
      </c>
      <c r="C217" s="126" t="s">
        <v>195</v>
      </c>
      <c r="D217" s="108">
        <v>5.03</v>
      </c>
      <c r="E217" s="108"/>
      <c r="F217" s="127"/>
      <c r="G217" s="128"/>
      <c r="H217" s="373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377"/>
      <c r="P217" s="377"/>
      <c r="Q217" s="377"/>
      <c r="R217" s="377"/>
      <c r="S217" s="377"/>
      <c r="T217" s="377"/>
      <c r="U217" s="377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372" t="s">
        <v>209</v>
      </c>
      <c r="C218" s="126" t="s">
        <v>204</v>
      </c>
      <c r="D218" s="108">
        <v>5.03</v>
      </c>
      <c r="E218" s="108"/>
      <c r="F218" s="127"/>
      <c r="G218" s="128"/>
      <c r="H218" s="373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377"/>
      <c r="P218" s="377"/>
      <c r="Q218" s="377"/>
      <c r="R218" s="377"/>
      <c r="S218" s="377"/>
      <c r="T218" s="377"/>
      <c r="U218" s="377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372" t="s">
        <v>382</v>
      </c>
      <c r="C219" s="187" t="s">
        <v>383</v>
      </c>
      <c r="D219" s="108">
        <v>5.03</v>
      </c>
      <c r="E219" s="108"/>
      <c r="F219" s="127"/>
      <c r="G219" s="128"/>
      <c r="H219" s="373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377"/>
      <c r="P219" s="377"/>
      <c r="Q219" s="377"/>
      <c r="R219" s="377"/>
      <c r="S219" s="377"/>
      <c r="T219" s="377"/>
      <c r="U219" s="377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372" t="s">
        <v>382</v>
      </c>
      <c r="C220" s="187" t="s">
        <v>384</v>
      </c>
      <c r="D220" s="108">
        <v>5.03</v>
      </c>
      <c r="E220" s="108"/>
      <c r="F220" s="127"/>
      <c r="G220" s="128"/>
      <c r="H220" s="373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377"/>
      <c r="P220" s="377"/>
      <c r="Q220" s="377"/>
      <c r="R220" s="377"/>
      <c r="S220" s="377"/>
      <c r="T220" s="377"/>
      <c r="U220" s="377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372" t="s">
        <v>382</v>
      </c>
      <c r="C221" s="187" t="s">
        <v>389</v>
      </c>
      <c r="D221" s="108">
        <v>5.03</v>
      </c>
      <c r="E221" s="108"/>
      <c r="F221" s="127"/>
      <c r="G221" s="128"/>
      <c r="H221" s="373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377"/>
      <c r="P221" s="377"/>
      <c r="Q221" s="377"/>
      <c r="R221" s="377"/>
      <c r="S221" s="377"/>
      <c r="T221" s="377"/>
      <c r="U221" s="377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372" t="s">
        <v>382</v>
      </c>
      <c r="C222" s="187" t="s">
        <v>391</v>
      </c>
      <c r="D222" s="108">
        <v>5.03</v>
      </c>
      <c r="E222" s="108"/>
      <c r="F222" s="127"/>
      <c r="G222" s="128"/>
      <c r="H222" s="373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377"/>
      <c r="P222" s="377"/>
      <c r="Q222" s="377"/>
      <c r="R222" s="377"/>
      <c r="S222" s="377"/>
      <c r="T222" s="377"/>
      <c r="U222" s="377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372" t="s">
        <v>418</v>
      </c>
      <c r="C223" s="187" t="s">
        <v>364</v>
      </c>
      <c r="D223" s="108">
        <v>5.03</v>
      </c>
      <c r="E223" s="108"/>
      <c r="F223" s="127"/>
      <c r="G223" s="128"/>
      <c r="H223" s="373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377"/>
      <c r="P223" s="377"/>
      <c r="Q223" s="377"/>
      <c r="R223" s="377"/>
      <c r="S223" s="377"/>
      <c r="T223" s="377"/>
      <c r="U223" s="377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372" t="s">
        <v>418</v>
      </c>
      <c r="C224" s="187" t="s">
        <v>365</v>
      </c>
      <c r="D224" s="108">
        <v>5.03</v>
      </c>
      <c r="E224" s="108"/>
      <c r="F224" s="127"/>
      <c r="G224" s="128"/>
      <c r="H224" s="373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377"/>
      <c r="P224" s="377"/>
      <c r="Q224" s="377"/>
      <c r="R224" s="377"/>
      <c r="S224" s="377"/>
      <c r="T224" s="377"/>
      <c r="U224" s="377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372" t="s">
        <v>418</v>
      </c>
      <c r="C225" s="187" t="s">
        <v>366</v>
      </c>
      <c r="D225" s="108">
        <v>5.03</v>
      </c>
      <c r="E225" s="108"/>
      <c r="F225" s="127"/>
      <c r="G225" s="128"/>
      <c r="H225" s="373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377"/>
      <c r="P225" s="377"/>
      <c r="Q225" s="377"/>
      <c r="R225" s="377"/>
      <c r="S225" s="377"/>
      <c r="T225" s="377"/>
      <c r="U225" s="377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372" t="s">
        <v>418</v>
      </c>
      <c r="C226" s="187" t="s">
        <v>367</v>
      </c>
      <c r="D226" s="108">
        <v>5.03</v>
      </c>
      <c r="E226" s="108"/>
      <c r="F226" s="127"/>
      <c r="G226" s="128"/>
      <c r="H226" s="373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377"/>
      <c r="P226" s="377"/>
      <c r="Q226" s="377"/>
      <c r="R226" s="377"/>
      <c r="S226" s="377"/>
      <c r="T226" s="377"/>
      <c r="U226" s="377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373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381"/>
      <c r="P227" s="381"/>
      <c r="Q227" s="381"/>
      <c r="R227" s="381"/>
      <c r="S227" s="381"/>
      <c r="T227" s="381"/>
      <c r="U227" s="381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373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381"/>
      <c r="P228" s="381"/>
      <c r="Q228" s="381"/>
      <c r="R228" s="381"/>
      <c r="S228" s="381"/>
      <c r="T228" s="381"/>
      <c r="U228" s="381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373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381"/>
      <c r="P229" s="381"/>
      <c r="Q229" s="381"/>
      <c r="R229" s="381"/>
      <c r="S229" s="381"/>
      <c r="T229" s="381"/>
      <c r="U229" s="381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373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381"/>
      <c r="P230" s="381"/>
      <c r="Q230" s="381"/>
      <c r="R230" s="381"/>
      <c r="S230" s="381"/>
      <c r="T230" s="381"/>
      <c r="U230" s="381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373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381"/>
      <c r="P231" s="381"/>
      <c r="Q231" s="381"/>
      <c r="R231" s="381"/>
      <c r="S231" s="381"/>
      <c r="T231" s="381"/>
      <c r="U231" s="381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373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381"/>
      <c r="P232" s="381"/>
      <c r="Q232" s="381"/>
      <c r="R232" s="381"/>
      <c r="S232" s="381"/>
      <c r="T232" s="381"/>
      <c r="U232" s="381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373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381"/>
      <c r="P233" s="381"/>
      <c r="Q233" s="381"/>
      <c r="R233" s="381"/>
      <c r="S233" s="381"/>
      <c r="T233" s="381"/>
      <c r="U233" s="381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373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381"/>
      <c r="P234" s="381"/>
      <c r="Q234" s="381"/>
      <c r="R234" s="381"/>
      <c r="S234" s="381"/>
      <c r="T234" s="381"/>
      <c r="U234" s="381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373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381"/>
      <c r="P235" s="381"/>
      <c r="Q235" s="381"/>
      <c r="R235" s="381"/>
      <c r="S235" s="381"/>
      <c r="T235" s="381"/>
      <c r="U235" s="381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373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381"/>
      <c r="P236" s="381"/>
      <c r="Q236" s="381"/>
      <c r="R236" s="381"/>
      <c r="S236" s="381"/>
      <c r="T236" s="381"/>
      <c r="U236" s="381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373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381"/>
      <c r="P237" s="381"/>
      <c r="Q237" s="381"/>
      <c r="R237" s="381"/>
      <c r="S237" s="381"/>
      <c r="T237" s="381"/>
      <c r="U237" s="381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373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7">IF(ISERROR(I238-K238),"",I238-K238)</f>
        <v>0</v>
      </c>
      <c r="N238" s="130"/>
      <c r="O238" s="381"/>
      <c r="P238" s="381"/>
      <c r="Q238" s="381"/>
      <c r="R238" s="381"/>
      <c r="S238" s="381"/>
      <c r="T238" s="381"/>
      <c r="U238" s="381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373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7"/>
        <v>0</v>
      </c>
      <c r="N239" s="130">
        <f t="shared" ref="N239:N240" si="108">SUM(O239:U239)</f>
        <v>0</v>
      </c>
      <c r="O239" s="381"/>
      <c r="P239" s="381"/>
      <c r="Q239" s="381"/>
      <c r="R239" s="381"/>
      <c r="S239" s="381"/>
      <c r="T239" s="381"/>
      <c r="U239" s="381"/>
      <c r="V239" s="132">
        <f t="shared" ref="V239:V240" si="109">SUM(X239:AA239)</f>
        <v>0</v>
      </c>
      <c r="W239" s="133" t="str">
        <f t="shared" ref="W239:W240" si="110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373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381"/>
      <c r="P240" s="381"/>
      <c r="Q240" s="381"/>
      <c r="R240" s="381"/>
      <c r="S240" s="381"/>
      <c r="T240" s="381"/>
      <c r="U240" s="381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373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381"/>
      <c r="P241" s="381"/>
      <c r="Q241" s="381"/>
      <c r="R241" s="381"/>
      <c r="S241" s="381"/>
      <c r="T241" s="381"/>
      <c r="U241" s="381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373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381"/>
      <c r="P242" s="381"/>
      <c r="Q242" s="381"/>
      <c r="R242" s="381"/>
      <c r="S242" s="381"/>
      <c r="T242" s="381"/>
      <c r="U242" s="381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373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381"/>
      <c r="P243" s="381"/>
      <c r="Q243" s="381"/>
      <c r="R243" s="381"/>
      <c r="S243" s="381"/>
      <c r="T243" s="381"/>
      <c r="U243" s="381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373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381"/>
      <c r="P244" s="381"/>
      <c r="Q244" s="381"/>
      <c r="R244" s="381"/>
      <c r="S244" s="381"/>
      <c r="T244" s="381"/>
      <c r="U244" s="381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373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381"/>
      <c r="P245" s="381"/>
      <c r="Q245" s="381"/>
      <c r="R245" s="381"/>
      <c r="S245" s="381"/>
      <c r="T245" s="381"/>
      <c r="U245" s="381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373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381"/>
      <c r="P246" s="381"/>
      <c r="Q246" s="381"/>
      <c r="R246" s="381"/>
      <c r="S246" s="381"/>
      <c r="T246" s="381"/>
      <c r="U246" s="381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373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381"/>
      <c r="P247" s="381"/>
      <c r="Q247" s="381"/>
      <c r="R247" s="381"/>
      <c r="S247" s="381"/>
      <c r="T247" s="381"/>
      <c r="U247" s="381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373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381"/>
      <c r="P248" s="381"/>
      <c r="Q248" s="381"/>
      <c r="R248" s="381"/>
      <c r="S248" s="381"/>
      <c r="T248" s="381"/>
      <c r="U248" s="381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373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381"/>
      <c r="P249" s="381"/>
      <c r="Q249" s="381"/>
      <c r="R249" s="381"/>
      <c r="S249" s="381"/>
      <c r="T249" s="381"/>
      <c r="U249" s="381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373">
        <f t="shared" si="91"/>
        <v>0</v>
      </c>
      <c r="I250" s="129"/>
      <c r="J250" s="130"/>
      <c r="K250" s="131"/>
      <c r="L250" s="129">
        <v>4</v>
      </c>
      <c r="M250" s="109"/>
      <c r="N250" s="130"/>
      <c r="O250" s="381"/>
      <c r="P250" s="381"/>
      <c r="Q250" s="381"/>
      <c r="R250" s="381"/>
      <c r="S250" s="381"/>
      <c r="T250" s="381"/>
      <c r="U250" s="381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373">
        <f t="shared" si="91"/>
        <v>0</v>
      </c>
      <c r="I251" s="129"/>
      <c r="J251" s="130"/>
      <c r="K251" s="131"/>
      <c r="L251" s="129">
        <v>4</v>
      </c>
      <c r="M251" s="109"/>
      <c r="N251" s="130"/>
      <c r="O251" s="381"/>
      <c r="P251" s="381"/>
      <c r="Q251" s="381"/>
      <c r="R251" s="381"/>
      <c r="S251" s="381"/>
      <c r="T251" s="381"/>
      <c r="U251" s="381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373">
        <f t="shared" si="91"/>
        <v>0</v>
      </c>
      <c r="I252" s="129"/>
      <c r="J252" s="130"/>
      <c r="K252" s="131"/>
      <c r="L252" s="129">
        <v>4</v>
      </c>
      <c r="M252" s="109"/>
      <c r="N252" s="130"/>
      <c r="O252" s="381"/>
      <c r="P252" s="381"/>
      <c r="Q252" s="381"/>
      <c r="R252" s="381"/>
      <c r="S252" s="381"/>
      <c r="T252" s="381"/>
      <c r="U252" s="381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373">
        <f t="shared" si="91"/>
        <v>0</v>
      </c>
      <c r="I253" s="129"/>
      <c r="J253" s="130"/>
      <c r="K253" s="131"/>
      <c r="L253" s="129">
        <v>4</v>
      </c>
      <c r="M253" s="109"/>
      <c r="N253" s="130"/>
      <c r="O253" s="381"/>
      <c r="P253" s="381"/>
      <c r="Q253" s="381"/>
      <c r="R253" s="381"/>
      <c r="S253" s="381"/>
      <c r="T253" s="381"/>
      <c r="U253" s="381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373">
        <f t="shared" si="91"/>
        <v>0</v>
      </c>
      <c r="I254" s="129"/>
      <c r="J254" s="130"/>
      <c r="K254" s="131"/>
      <c r="L254" s="129">
        <v>4</v>
      </c>
      <c r="M254" s="109"/>
      <c r="N254" s="130"/>
      <c r="O254" s="381"/>
      <c r="P254" s="381"/>
      <c r="Q254" s="381"/>
      <c r="R254" s="381"/>
      <c r="S254" s="381"/>
      <c r="T254" s="381"/>
      <c r="U254" s="381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373">
        <f t="shared" si="91"/>
        <v>0</v>
      </c>
      <c r="I255" s="129"/>
      <c r="J255" s="130"/>
      <c r="K255" s="131"/>
      <c r="L255" s="129">
        <v>4</v>
      </c>
      <c r="M255" s="109"/>
      <c r="N255" s="130"/>
      <c r="O255" s="381"/>
      <c r="P255" s="381"/>
      <c r="Q255" s="381"/>
      <c r="R255" s="381"/>
      <c r="S255" s="381"/>
      <c r="T255" s="381"/>
      <c r="U255" s="381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641" t="s">
        <v>216</v>
      </c>
      <c r="B256" s="641"/>
      <c r="C256" s="382" t="s">
        <v>202</v>
      </c>
      <c r="D256" s="143"/>
      <c r="E256" s="143"/>
      <c r="F256" s="144"/>
      <c r="G256" s="145">
        <f>SUM(G199:G255)</f>
        <v>0</v>
      </c>
      <c r="H256" s="146">
        <f>SUM(H199:H255)</f>
        <v>0</v>
      </c>
      <c r="I256" s="146">
        <f>SUM(I199:I255)</f>
        <v>0</v>
      </c>
      <c r="J256" s="130" t="str">
        <f t="array" ref="J256">IF(ISERROR(G256/I256),"",G256/I256)</f>
        <v/>
      </c>
      <c r="K256" s="146">
        <f>SUM(K199:K255)</f>
        <v>0</v>
      </c>
      <c r="L256" s="147"/>
      <c r="M256" s="150">
        <f t="shared" ref="M256:V256" si="114">SUM(M199:M255)</f>
        <v>0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 t="str">
        <f t="shared" ref="W256:W263" si="115">IF(ISERROR(V256/G256),"",V256/G256)</f>
        <v/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372" t="s">
        <v>217</v>
      </c>
      <c r="C257" s="126" t="s">
        <v>179</v>
      </c>
      <c r="D257" s="108">
        <v>5.03</v>
      </c>
      <c r="E257" s="108"/>
      <c r="F257" s="127"/>
      <c r="G257" s="128"/>
      <c r="H257" s="373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381"/>
      <c r="P257" s="381"/>
      <c r="Q257" s="381"/>
      <c r="R257" s="381"/>
      <c r="S257" s="381"/>
      <c r="T257" s="381"/>
      <c r="U257" s="381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372" t="s">
        <v>217</v>
      </c>
      <c r="C258" s="126" t="s">
        <v>186</v>
      </c>
      <c r="D258" s="108">
        <v>5.03</v>
      </c>
      <c r="E258" s="108"/>
      <c r="F258" s="127"/>
      <c r="G258" s="128"/>
      <c r="H258" s="373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381"/>
      <c r="P258" s="381"/>
      <c r="Q258" s="381"/>
      <c r="R258" s="381"/>
      <c r="S258" s="381"/>
      <c r="T258" s="381"/>
      <c r="U258" s="381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372" t="s">
        <v>217</v>
      </c>
      <c r="C259" s="126" t="s">
        <v>204</v>
      </c>
      <c r="D259" s="108">
        <v>5.03</v>
      </c>
      <c r="E259" s="108"/>
      <c r="F259" s="127"/>
      <c r="G259" s="128"/>
      <c r="H259" s="373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381"/>
      <c r="P259" s="381"/>
      <c r="Q259" s="381"/>
      <c r="R259" s="381"/>
      <c r="S259" s="381"/>
      <c r="T259" s="381"/>
      <c r="U259" s="381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373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381"/>
      <c r="P260" s="381"/>
      <c r="Q260" s="381"/>
      <c r="R260" s="381"/>
      <c r="S260" s="381"/>
      <c r="T260" s="381"/>
      <c r="U260" s="381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373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381"/>
      <c r="P261" s="381"/>
      <c r="Q261" s="381"/>
      <c r="R261" s="381"/>
      <c r="S261" s="381"/>
      <c r="T261" s="381"/>
      <c r="U261" s="381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373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381"/>
      <c r="P262" s="381"/>
      <c r="Q262" s="381"/>
      <c r="R262" s="381"/>
      <c r="S262" s="381"/>
      <c r="T262" s="381"/>
      <c r="U262" s="381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373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381"/>
      <c r="P263" s="381"/>
      <c r="Q263" s="381"/>
      <c r="R263" s="381"/>
      <c r="S263" s="381"/>
      <c r="T263" s="381"/>
      <c r="U263" s="381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373">
        <f t="shared" si="116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381"/>
      <c r="P264" s="381"/>
      <c r="Q264" s="381"/>
      <c r="R264" s="381"/>
      <c r="S264" s="381"/>
      <c r="T264" s="381"/>
      <c r="U264" s="381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373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381"/>
      <c r="P265" s="381"/>
      <c r="Q265" s="381"/>
      <c r="R265" s="381"/>
      <c r="S265" s="381"/>
      <c r="T265" s="381"/>
      <c r="U265" s="381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373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381"/>
      <c r="P266" s="381"/>
      <c r="Q266" s="381"/>
      <c r="R266" s="381"/>
      <c r="S266" s="381"/>
      <c r="T266" s="381"/>
      <c r="U266" s="381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373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381"/>
      <c r="P267" s="381"/>
      <c r="Q267" s="381"/>
      <c r="R267" s="381"/>
      <c r="S267" s="381"/>
      <c r="T267" s="381"/>
      <c r="U267" s="381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373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381"/>
      <c r="P268" s="381"/>
      <c r="Q268" s="381"/>
      <c r="R268" s="381"/>
      <c r="S268" s="381"/>
      <c r="T268" s="381"/>
      <c r="U268" s="381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373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0">IF(ISERROR(I269-K269),"",I269-K269)</f>
        <v>0</v>
      </c>
      <c r="N269" s="130">
        <f t="shared" ref="N269:N284" si="121">SUM(O269:U269)</f>
        <v>0</v>
      </c>
      <c r="O269" s="381"/>
      <c r="P269" s="381"/>
      <c r="Q269" s="381"/>
      <c r="R269" s="381"/>
      <c r="S269" s="381"/>
      <c r="T269" s="381"/>
      <c r="U269" s="381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373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381"/>
      <c r="P270" s="381"/>
      <c r="Q270" s="381"/>
      <c r="R270" s="381"/>
      <c r="S270" s="381"/>
      <c r="T270" s="381"/>
      <c r="U270" s="381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373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381"/>
      <c r="P271" s="381"/>
      <c r="Q271" s="381"/>
      <c r="R271" s="381"/>
      <c r="S271" s="381"/>
      <c r="T271" s="381"/>
      <c r="U271" s="381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373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381"/>
      <c r="P272" s="381"/>
      <c r="Q272" s="381"/>
      <c r="R272" s="381"/>
      <c r="S272" s="381"/>
      <c r="T272" s="381"/>
      <c r="U272" s="381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372" t="s">
        <v>222</v>
      </c>
      <c r="C273" s="126" t="s">
        <v>181</v>
      </c>
      <c r="D273" s="108">
        <v>9.36</v>
      </c>
      <c r="E273" s="108"/>
      <c r="F273" s="127"/>
      <c r="G273" s="128"/>
      <c r="H273" s="373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381"/>
      <c r="P273" s="381"/>
      <c r="Q273" s="381"/>
      <c r="R273" s="381"/>
      <c r="S273" s="381"/>
      <c r="T273" s="381"/>
      <c r="U273" s="381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372" t="s">
        <v>222</v>
      </c>
      <c r="C274" s="126" t="s">
        <v>179</v>
      </c>
      <c r="D274" s="108">
        <v>9.36</v>
      </c>
      <c r="E274" s="108"/>
      <c r="F274" s="127"/>
      <c r="G274" s="128"/>
      <c r="H274" s="373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381"/>
      <c r="P274" s="381"/>
      <c r="Q274" s="381"/>
      <c r="R274" s="381"/>
      <c r="S274" s="381"/>
      <c r="T274" s="381"/>
      <c r="U274" s="381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372" t="s">
        <v>222</v>
      </c>
      <c r="C275" s="126" t="s">
        <v>221</v>
      </c>
      <c r="D275" s="108">
        <v>9.36</v>
      </c>
      <c r="E275" s="108"/>
      <c r="F275" s="127"/>
      <c r="G275" s="128"/>
      <c r="H275" s="373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381"/>
      <c r="P275" s="381"/>
      <c r="Q275" s="381"/>
      <c r="R275" s="381"/>
      <c r="S275" s="381"/>
      <c r="T275" s="381"/>
      <c r="U275" s="381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372" t="s">
        <v>222</v>
      </c>
      <c r="C276" s="126" t="s">
        <v>186</v>
      </c>
      <c r="D276" s="108">
        <v>9.36</v>
      </c>
      <c r="E276" s="108"/>
      <c r="F276" s="127"/>
      <c r="G276" s="128"/>
      <c r="H276" s="373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381"/>
      <c r="P276" s="381"/>
      <c r="Q276" s="381"/>
      <c r="R276" s="381"/>
      <c r="S276" s="381"/>
      <c r="T276" s="381"/>
      <c r="U276" s="381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372" t="s">
        <v>393</v>
      </c>
      <c r="C277" s="187" t="s">
        <v>395</v>
      </c>
      <c r="D277" s="108">
        <v>5</v>
      </c>
      <c r="E277" s="108"/>
      <c r="F277" s="127"/>
      <c r="G277" s="128"/>
      <c r="H277" s="373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381"/>
      <c r="P277" s="381"/>
      <c r="Q277" s="381"/>
      <c r="R277" s="381"/>
      <c r="S277" s="381"/>
      <c r="T277" s="381"/>
      <c r="U277" s="381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372" t="s">
        <v>393</v>
      </c>
      <c r="C278" s="187" t="s">
        <v>402</v>
      </c>
      <c r="D278" s="108">
        <v>5</v>
      </c>
      <c r="E278" s="108"/>
      <c r="F278" s="127"/>
      <c r="G278" s="128"/>
      <c r="H278" s="373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381"/>
      <c r="P278" s="381"/>
      <c r="Q278" s="381"/>
      <c r="R278" s="381"/>
      <c r="S278" s="381"/>
      <c r="T278" s="381"/>
      <c r="U278" s="381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372" t="s">
        <v>404</v>
      </c>
      <c r="C279" s="187" t="s">
        <v>405</v>
      </c>
      <c r="D279" s="108">
        <v>5</v>
      </c>
      <c r="E279" s="108"/>
      <c r="F279" s="127"/>
      <c r="G279" s="128"/>
      <c r="H279" s="373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381"/>
      <c r="P279" s="381"/>
      <c r="Q279" s="381"/>
      <c r="R279" s="381"/>
      <c r="S279" s="381"/>
      <c r="T279" s="381"/>
      <c r="U279" s="381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372" t="s">
        <v>342</v>
      </c>
      <c r="C280" s="187" t="s">
        <v>372</v>
      </c>
      <c r="D280" s="108">
        <v>5</v>
      </c>
      <c r="E280" s="108"/>
      <c r="F280" s="127"/>
      <c r="G280" s="128"/>
      <c r="H280" s="373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381"/>
      <c r="P280" s="381"/>
      <c r="Q280" s="381"/>
      <c r="R280" s="381"/>
      <c r="S280" s="381"/>
      <c r="T280" s="381"/>
      <c r="U280" s="381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372" t="s">
        <v>343</v>
      </c>
      <c r="C281" s="126" t="s">
        <v>345</v>
      </c>
      <c r="D281" s="108">
        <v>5</v>
      </c>
      <c r="E281" s="108"/>
      <c r="F281" s="127"/>
      <c r="G281" s="128"/>
      <c r="H281" s="373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381"/>
      <c r="P281" s="381"/>
      <c r="Q281" s="381"/>
      <c r="R281" s="381"/>
      <c r="S281" s="381"/>
      <c r="T281" s="381"/>
      <c r="U281" s="381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372" t="s">
        <v>343</v>
      </c>
      <c r="C282" s="126" t="s">
        <v>347</v>
      </c>
      <c r="D282" s="108">
        <v>5</v>
      </c>
      <c r="E282" s="108"/>
      <c r="F282" s="127"/>
      <c r="G282" s="128"/>
      <c r="H282" s="373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381"/>
      <c r="P282" s="381"/>
      <c r="Q282" s="381"/>
      <c r="R282" s="381"/>
      <c r="S282" s="381"/>
      <c r="T282" s="381"/>
      <c r="U282" s="381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373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381"/>
      <c r="P283" s="381"/>
      <c r="Q283" s="381"/>
      <c r="R283" s="381"/>
      <c r="S283" s="381"/>
      <c r="T283" s="381"/>
      <c r="U283" s="381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373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381"/>
      <c r="P284" s="381"/>
      <c r="Q284" s="381"/>
      <c r="R284" s="381"/>
      <c r="S284" s="381"/>
      <c r="T284" s="381"/>
      <c r="U284" s="381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/>
      <c r="G285" s="128"/>
      <c r="H285" s="373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381"/>
      <c r="P285" s="381"/>
      <c r="Q285" s="381"/>
      <c r="R285" s="381"/>
      <c r="S285" s="381"/>
      <c r="T285" s="381"/>
      <c r="U285" s="381"/>
      <c r="V285" s="132"/>
      <c r="W285" s="133"/>
      <c r="X285" s="132"/>
      <c r="Y285" s="132"/>
      <c r="Z285" s="132"/>
      <c r="AA285" s="132"/>
    </row>
    <row r="286" spans="1:27" ht="20.10000000000000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>
        <v>42707</v>
      </c>
      <c r="G286" s="128">
        <f>70</f>
        <v>70</v>
      </c>
      <c r="H286" s="373">
        <f t="shared" si="116"/>
        <v>352.1</v>
      </c>
      <c r="I286" s="129">
        <f>70*2</f>
        <v>140</v>
      </c>
      <c r="J286" s="130"/>
      <c r="K286" s="131"/>
      <c r="L286" s="129">
        <v>24</v>
      </c>
      <c r="M286" s="109"/>
      <c r="N286" s="130"/>
      <c r="O286" s="381"/>
      <c r="P286" s="381"/>
      <c r="Q286" s="381"/>
      <c r="R286" s="381"/>
      <c r="S286" s="381"/>
      <c r="T286" s="381"/>
      <c r="U286" s="381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373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381"/>
      <c r="P287" s="381"/>
      <c r="Q287" s="381"/>
      <c r="R287" s="381"/>
      <c r="S287" s="381"/>
      <c r="T287" s="381"/>
      <c r="U287" s="381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373">
        <f t="shared" si="116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7">IF(ISERROR(I288-K288),"",I288-K288)</f>
        <v>0</v>
      </c>
      <c r="N288" s="130">
        <f t="shared" ref="N288:N290" si="128">SUM(O288:U288)</f>
        <v>0</v>
      </c>
      <c r="O288" s="381"/>
      <c r="P288" s="381"/>
      <c r="Q288" s="381"/>
      <c r="R288" s="381"/>
      <c r="S288" s="381"/>
      <c r="T288" s="381"/>
      <c r="U288" s="381"/>
      <c r="V288" s="132">
        <f t="shared" ref="V288:V290" si="129">SUM(X288:AA288)</f>
        <v>0</v>
      </c>
      <c r="W288" s="133" t="str">
        <f t="shared" ref="W288:W312" si="130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373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381"/>
      <c r="P289" s="381"/>
      <c r="Q289" s="381"/>
      <c r="R289" s="381"/>
      <c r="S289" s="381"/>
      <c r="T289" s="381"/>
      <c r="U289" s="381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373">
        <f t="shared" si="116"/>
        <v>0</v>
      </c>
      <c r="I290" s="129"/>
      <c r="J290" s="130" t="str">
        <f t="array" ref="J290">IF(ISERROR(G290/I290),"",G290/I290)</f>
        <v/>
      </c>
      <c r="K290" s="373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381"/>
      <c r="P290" s="381"/>
      <c r="Q290" s="381"/>
      <c r="R290" s="381"/>
      <c r="S290" s="381"/>
      <c r="T290" s="381"/>
      <c r="U290" s="381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630" t="s">
        <v>224</v>
      </c>
      <c r="B291" s="631"/>
      <c r="C291" s="382" t="s">
        <v>202</v>
      </c>
      <c r="D291" s="143"/>
      <c r="E291" s="143"/>
      <c r="F291" s="144"/>
      <c r="G291" s="145">
        <f>SUM(G257:G290)</f>
        <v>70</v>
      </c>
      <c r="H291" s="146">
        <f>SUM(H257:H290)</f>
        <v>352.1</v>
      </c>
      <c r="I291" s="146">
        <f>SUM(I257:I290)</f>
        <v>140</v>
      </c>
      <c r="J291" s="130">
        <f t="array" ref="J291">IF(ISERROR(G291/I291),"",G291/I291)</f>
        <v>0.5</v>
      </c>
      <c r="K291" s="146">
        <f>SUM(K257:K290)</f>
        <v>0</v>
      </c>
      <c r="L291" s="147"/>
      <c r="M291" s="150">
        <f t="shared" ref="M291:V291" si="131">SUM(M257:M290)</f>
        <v>0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>
        <f t="shared" si="130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373">
        <f t="shared" ref="H292:H306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3">IF(ISERROR(I292-K292),"",I292-K292)</f>
        <v>0</v>
      </c>
      <c r="N292" s="130">
        <f t="shared" ref="N292:N306" si="134">SUM(O292:U292)</f>
        <v>0</v>
      </c>
      <c r="O292" s="381"/>
      <c r="P292" s="381"/>
      <c r="Q292" s="381"/>
      <c r="R292" s="381"/>
      <c r="S292" s="381"/>
      <c r="T292" s="381"/>
      <c r="U292" s="381"/>
      <c r="V292" s="132">
        <f t="shared" ref="V292:V306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373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381"/>
      <c r="P293" s="381"/>
      <c r="Q293" s="381"/>
      <c r="R293" s="381"/>
      <c r="S293" s="381"/>
      <c r="T293" s="381"/>
      <c r="U293" s="381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373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3"/>
        <v>0</v>
      </c>
      <c r="N294" s="130">
        <f t="shared" si="134"/>
        <v>0</v>
      </c>
      <c r="O294" s="381"/>
      <c r="P294" s="381"/>
      <c r="Q294" s="381"/>
      <c r="R294" s="381"/>
      <c r="S294" s="381"/>
      <c r="T294" s="381"/>
      <c r="U294" s="381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373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381"/>
      <c r="P295" s="381"/>
      <c r="Q295" s="381"/>
      <c r="R295" s="381"/>
      <c r="S295" s="381"/>
      <c r="T295" s="381"/>
      <c r="U295" s="381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378" t="s">
        <v>203</v>
      </c>
      <c r="D296" s="108">
        <v>5.03</v>
      </c>
      <c r="E296" s="108"/>
      <c r="F296" s="127"/>
      <c r="G296" s="128"/>
      <c r="H296" s="373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381"/>
      <c r="P296" s="381"/>
      <c r="Q296" s="381"/>
      <c r="R296" s="381"/>
      <c r="S296" s="381"/>
      <c r="T296" s="381"/>
      <c r="U296" s="381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373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381"/>
      <c r="P297" s="381"/>
      <c r="Q297" s="381"/>
      <c r="R297" s="381"/>
      <c r="S297" s="381"/>
      <c r="T297" s="381"/>
      <c r="U297" s="381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373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381"/>
      <c r="P298" s="381"/>
      <c r="Q298" s="381"/>
      <c r="R298" s="381"/>
      <c r="S298" s="381"/>
      <c r="T298" s="381"/>
      <c r="U298" s="381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378" t="s">
        <v>228</v>
      </c>
      <c r="D299" s="108">
        <v>5.03</v>
      </c>
      <c r="E299" s="108"/>
      <c r="F299" s="127"/>
      <c r="G299" s="128"/>
      <c r="H299" s="373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381"/>
      <c r="P299" s="381"/>
      <c r="Q299" s="381"/>
      <c r="R299" s="381"/>
      <c r="S299" s="381"/>
      <c r="T299" s="381"/>
      <c r="U299" s="381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378" t="s">
        <v>212</v>
      </c>
      <c r="D300" s="108">
        <v>5.03</v>
      </c>
      <c r="E300" s="108"/>
      <c r="F300" s="127"/>
      <c r="G300" s="128"/>
      <c r="H300" s="373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381"/>
      <c r="P300" s="381"/>
      <c r="Q300" s="381"/>
      <c r="R300" s="381"/>
      <c r="S300" s="381"/>
      <c r="T300" s="381"/>
      <c r="U300" s="381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378" t="s">
        <v>203</v>
      </c>
      <c r="D301" s="108">
        <v>5.03</v>
      </c>
      <c r="E301" s="108"/>
      <c r="F301" s="127"/>
      <c r="G301" s="128"/>
      <c r="H301" s="373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381"/>
      <c r="P301" s="381"/>
      <c r="Q301" s="381"/>
      <c r="R301" s="381"/>
      <c r="S301" s="381"/>
      <c r="T301" s="381"/>
      <c r="U301" s="381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378" t="s">
        <v>186</v>
      </c>
      <c r="D302" s="108">
        <v>5.03</v>
      </c>
      <c r="E302" s="108"/>
      <c r="F302" s="127"/>
      <c r="G302" s="128"/>
      <c r="H302" s="373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381"/>
      <c r="P302" s="381"/>
      <c r="Q302" s="381"/>
      <c r="R302" s="381"/>
      <c r="S302" s="381"/>
      <c r="T302" s="381"/>
      <c r="U302" s="381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378" t="s">
        <v>228</v>
      </c>
      <c r="D303" s="108">
        <v>5.03</v>
      </c>
      <c r="E303" s="108"/>
      <c r="F303" s="127"/>
      <c r="G303" s="128"/>
      <c r="H303" s="373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381"/>
      <c r="P303" s="381"/>
      <c r="Q303" s="381"/>
      <c r="R303" s="381"/>
      <c r="S303" s="381"/>
      <c r="T303" s="381"/>
      <c r="U303" s="381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378" t="s">
        <v>199</v>
      </c>
      <c r="D304" s="108">
        <v>5.03</v>
      </c>
      <c r="E304" s="108"/>
      <c r="F304" s="127"/>
      <c r="G304" s="128"/>
      <c r="H304" s="373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381"/>
      <c r="P304" s="381"/>
      <c r="Q304" s="381"/>
      <c r="R304" s="381"/>
      <c r="S304" s="381"/>
      <c r="T304" s="381"/>
      <c r="U304" s="381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373">
        <f t="shared" si="132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3"/>
        <v>0</v>
      </c>
      <c r="N305" s="130">
        <f t="shared" si="134"/>
        <v>0</v>
      </c>
      <c r="O305" s="381"/>
      <c r="P305" s="381"/>
      <c r="Q305" s="381"/>
      <c r="R305" s="381"/>
      <c r="S305" s="381"/>
      <c r="T305" s="381"/>
      <c r="U305" s="381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373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381"/>
      <c r="P306" s="381"/>
      <c r="Q306" s="381"/>
      <c r="R306" s="381"/>
      <c r="S306" s="381"/>
      <c r="T306" s="381"/>
      <c r="U306" s="381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630" t="s">
        <v>231</v>
      </c>
      <c r="B307" s="631"/>
      <c r="C307" s="382" t="s">
        <v>202</v>
      </c>
      <c r="D307" s="143"/>
      <c r="E307" s="143"/>
      <c r="F307" s="144"/>
      <c r="G307" s="145">
        <f>SUM(G292:G306)</f>
        <v>0</v>
      </c>
      <c r="H307" s="146">
        <f>SUM(H292:H306)</f>
        <v>0</v>
      </c>
      <c r="I307" s="146">
        <f>SUM(I292:I306)</f>
        <v>0</v>
      </c>
      <c r="J307" s="130" t="str">
        <f t="array" ref="J307">IF(ISERROR(G307/I307),"",G307/I307)</f>
        <v/>
      </c>
      <c r="K307" s="146">
        <f>SUM(K292:K306)</f>
        <v>0</v>
      </c>
      <c r="L307" s="146"/>
      <c r="M307" s="150">
        <f>SUM(M292:M306)</f>
        <v>0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 t="str">
        <f t="shared" si="130"/>
        <v/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>
        <v>42705</v>
      </c>
      <c r="G308" s="128">
        <f>108*4+66</f>
        <v>498</v>
      </c>
      <c r="H308" s="373">
        <f t="shared" ref="H308:H315" si="136">D308*G308</f>
        <v>2509.92</v>
      </c>
      <c r="I308" s="129">
        <f>5.5*4</f>
        <v>22</v>
      </c>
      <c r="J308" s="130">
        <f t="array" ref="J308">IF(ISERROR(G308/I308),"",G308/I308)</f>
        <v>22.636363636363637</v>
      </c>
      <c r="K308" s="131">
        <f t="array" ref="K308">IF(ISERROR(G308/L308),"",G308/L308)</f>
        <v>22.636363636363637</v>
      </c>
      <c r="L308" s="129">
        <v>22</v>
      </c>
      <c r="M308" s="109">
        <f t="shared" ref="M308:M312" si="137">IF(ISERROR(I308-K308),"",I308-K308)</f>
        <v>-0.63636363636363669</v>
      </c>
      <c r="N308" s="130">
        <f t="shared" ref="N308:N312" si="138">SUM(O308:U308)</f>
        <v>0</v>
      </c>
      <c r="O308" s="381"/>
      <c r="P308" s="381"/>
      <c r="Q308" s="381"/>
      <c r="R308" s="381"/>
      <c r="S308" s="381"/>
      <c r="T308" s="381"/>
      <c r="U308" s="381"/>
      <c r="V308" s="132">
        <f t="shared" ref="V308:V312" si="139">SUM(X308:AA308)</f>
        <v>0</v>
      </c>
      <c r="W308" s="133">
        <f t="shared" si="130"/>
        <v>0</v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373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381"/>
      <c r="P309" s="381"/>
      <c r="Q309" s="381"/>
      <c r="R309" s="381"/>
      <c r="S309" s="381"/>
      <c r="T309" s="381"/>
      <c r="U309" s="381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>
        <v>42705</v>
      </c>
      <c r="G310" s="128">
        <f>108+108+108+76-76</f>
        <v>324</v>
      </c>
      <c r="H310" s="373">
        <f t="shared" si="136"/>
        <v>1632.96</v>
      </c>
      <c r="I310" s="129">
        <f>5*4</f>
        <v>20</v>
      </c>
      <c r="J310" s="130">
        <f t="array" ref="J310">IF(ISERROR(G310/I310),"",G310/I310)</f>
        <v>16.2</v>
      </c>
      <c r="K310" s="131">
        <f t="array" ref="K310">IF(ISERROR(G310/L310),"",G310/L310)</f>
        <v>14.727272727272727</v>
      </c>
      <c r="L310" s="129">
        <v>22</v>
      </c>
      <c r="M310" s="109">
        <f t="shared" si="137"/>
        <v>5.2727272727272734</v>
      </c>
      <c r="N310" s="130">
        <f t="shared" si="138"/>
        <v>0</v>
      </c>
      <c r="O310" s="381"/>
      <c r="P310" s="381"/>
      <c r="Q310" s="381"/>
      <c r="R310" s="381"/>
      <c r="S310" s="381"/>
      <c r="T310" s="381"/>
      <c r="U310" s="381"/>
      <c r="V310" s="132">
        <f t="shared" si="139"/>
        <v>0</v>
      </c>
      <c r="W310" s="133">
        <f t="shared" si="130"/>
        <v>0</v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373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381"/>
      <c r="P311" s="381"/>
      <c r="Q311" s="381"/>
      <c r="R311" s="381"/>
      <c r="S311" s="381"/>
      <c r="T311" s="381"/>
      <c r="U311" s="381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373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381"/>
      <c r="P312" s="381"/>
      <c r="Q312" s="381"/>
      <c r="R312" s="381"/>
      <c r="S312" s="381"/>
      <c r="T312" s="381"/>
      <c r="U312" s="381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79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381"/>
      <c r="P313" s="381"/>
      <c r="Q313" s="381"/>
      <c r="R313" s="381"/>
      <c r="S313" s="381"/>
      <c r="T313" s="381"/>
      <c r="U313" s="381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/>
      <c r="G314" s="128"/>
      <c r="H314" s="479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70"/>
      <c r="P314" s="470"/>
      <c r="Q314" s="470"/>
      <c r="R314" s="470"/>
      <c r="S314" s="470"/>
      <c r="T314" s="470"/>
      <c r="U314" s="470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373">
        <f t="shared" ref="H316" si="140">D316*G316</f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1">IF(ISERROR(I316-K316),"",I316-K316)</f>
        <v>0</v>
      </c>
      <c r="N316" s="130">
        <f t="shared" ref="N316" si="142">SUM(O316:U316)</f>
        <v>0</v>
      </c>
      <c r="O316" s="381"/>
      <c r="P316" s="381"/>
      <c r="Q316" s="381"/>
      <c r="R316" s="381"/>
      <c r="S316" s="381"/>
      <c r="T316" s="381"/>
      <c r="U316" s="381"/>
      <c r="V316" s="132">
        <f t="shared" ref="V316" si="143">SUM(X316:AA316)</f>
        <v>0</v>
      </c>
      <c r="W316" s="133" t="str">
        <f t="shared" ref="W316:W321" si="144">IF(ISERROR(V316/G316),"",V316/G316)</f>
        <v/>
      </c>
      <c r="X316" s="132"/>
      <c r="Y316" s="132"/>
      <c r="Z316" s="132"/>
      <c r="AA316" s="132"/>
    </row>
    <row r="317" spans="1:27" ht="20.100000000000001" customHeight="1">
      <c r="A317" s="630" t="s">
        <v>234</v>
      </c>
      <c r="B317" s="631"/>
      <c r="C317" s="382" t="s">
        <v>202</v>
      </c>
      <c r="D317" s="143"/>
      <c r="E317" s="143"/>
      <c r="F317" s="144"/>
      <c r="G317" s="145">
        <f>SUM(G308:G316)</f>
        <v>822</v>
      </c>
      <c r="H317" s="146">
        <f>SUM(H308:H316)</f>
        <v>4142.88</v>
      </c>
      <c r="I317" s="146">
        <f>SUM(I308:I316)</f>
        <v>42</v>
      </c>
      <c r="J317" s="130">
        <f t="array" ref="J317">IF(ISERROR(G317/I317),"",G317/I317)</f>
        <v>19.571428571428573</v>
      </c>
      <c r="K317" s="146">
        <f>SUM(K308:K316)</f>
        <v>37.36363636363636</v>
      </c>
      <c r="L317" s="147"/>
      <c r="M317" s="150">
        <f>SUM(M308:M316)</f>
        <v>4.6363636363636367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>
        <f t="shared" si="144"/>
        <v>0</v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379"/>
      <c r="D318" s="108">
        <v>3.65</v>
      </c>
      <c r="E318" s="108"/>
      <c r="F318" s="153"/>
      <c r="G318" s="128"/>
      <c r="H318" s="373">
        <f t="shared" ref="H318:H331" si="145">D318*G318</f>
        <v>0</v>
      </c>
      <c r="I318" s="129"/>
      <c r="J318" s="130" t="str">
        <f t="array" ref="J318">IF(ISERROR(G318/I318),"",G318/I318)</f>
        <v/>
      </c>
      <c r="K318" s="373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381"/>
      <c r="P318" s="381"/>
      <c r="Q318" s="381"/>
      <c r="R318" s="381"/>
      <c r="S318" s="381"/>
      <c r="T318" s="381"/>
      <c r="U318" s="381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379"/>
      <c r="D319" s="108">
        <v>6.58</v>
      </c>
      <c r="E319" s="108"/>
      <c r="F319" s="127"/>
      <c r="G319" s="128"/>
      <c r="H319" s="373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381"/>
      <c r="P319" s="381"/>
      <c r="Q319" s="381"/>
      <c r="R319" s="381"/>
      <c r="S319" s="381"/>
      <c r="T319" s="381"/>
      <c r="U319" s="381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customHeight="1">
      <c r="A320" s="299">
        <v>30700016</v>
      </c>
      <c r="B320" s="141" t="s">
        <v>237</v>
      </c>
      <c r="C320" s="379"/>
      <c r="D320" s="108">
        <v>7.8</v>
      </c>
      <c r="E320" s="108"/>
      <c r="F320" s="127">
        <v>42707</v>
      </c>
      <c r="G320" s="128">
        <f>32*6+31+31+32*2-64</f>
        <v>254</v>
      </c>
      <c r="H320" s="373">
        <f t="shared" si="145"/>
        <v>1981.2</v>
      </c>
      <c r="I320" s="129">
        <f>9*5+3.5*7+10*6</f>
        <v>129.5</v>
      </c>
      <c r="J320" s="130">
        <f t="array" ref="J320">IF(ISERROR(G320/I320),"",G320/I320)</f>
        <v>1.9613899613899615</v>
      </c>
      <c r="K320" s="131">
        <f t="array" ref="K320">IF(ISERROR(G320/L320),"",G320/L320)</f>
        <v>55.217391304347828</v>
      </c>
      <c r="L320" s="129">
        <v>4.5999999999999996</v>
      </c>
      <c r="M320" s="109">
        <f t="shared" si="146"/>
        <v>74.282608695652172</v>
      </c>
      <c r="N320" s="130">
        <f t="shared" si="147"/>
        <v>0</v>
      </c>
      <c r="O320" s="381"/>
      <c r="P320" s="381"/>
      <c r="Q320" s="381"/>
      <c r="R320" s="381"/>
      <c r="S320" s="381"/>
      <c r="T320" s="381"/>
      <c r="U320" s="381"/>
      <c r="V320" s="132">
        <f t="shared" si="148"/>
        <v>0</v>
      </c>
      <c r="W320" s="133">
        <f t="shared" si="144"/>
        <v>0</v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379"/>
      <c r="D321" s="108">
        <v>4.4000000000000004</v>
      </c>
      <c r="E321" s="108"/>
      <c r="F321" s="127"/>
      <c r="G321" s="128"/>
      <c r="H321" s="373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381"/>
      <c r="P321" s="381"/>
      <c r="Q321" s="381"/>
      <c r="R321" s="381"/>
      <c r="S321" s="381"/>
      <c r="T321" s="381"/>
      <c r="U321" s="381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379"/>
      <c r="D322" s="108"/>
      <c r="E322" s="108"/>
      <c r="F322" s="127"/>
      <c r="G322" s="128"/>
      <c r="H322" s="373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381"/>
      <c r="P322" s="381"/>
      <c r="Q322" s="381"/>
      <c r="R322" s="381"/>
      <c r="S322" s="381"/>
      <c r="T322" s="381"/>
      <c r="U322" s="381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379" t="s">
        <v>239</v>
      </c>
      <c r="C323" s="379" t="s">
        <v>179</v>
      </c>
      <c r="D323" s="108">
        <v>6.04</v>
      </c>
      <c r="E323" s="108"/>
      <c r="F323" s="127"/>
      <c r="G323" s="128"/>
      <c r="H323" s="373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381"/>
      <c r="P323" s="381"/>
      <c r="Q323" s="381"/>
      <c r="R323" s="381"/>
      <c r="S323" s="381"/>
      <c r="T323" s="381"/>
      <c r="U323" s="381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379" t="s">
        <v>239</v>
      </c>
      <c r="C324" s="379" t="s">
        <v>186</v>
      </c>
      <c r="D324" s="108">
        <v>6.04</v>
      </c>
      <c r="E324" s="108"/>
      <c r="F324" s="127"/>
      <c r="G324" s="128"/>
      <c r="H324" s="373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381"/>
      <c r="P324" s="381"/>
      <c r="Q324" s="381"/>
      <c r="R324" s="381"/>
      <c r="S324" s="381"/>
      <c r="T324" s="381"/>
      <c r="U324" s="381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379" t="s">
        <v>443</v>
      </c>
      <c r="C325" s="379" t="s">
        <v>179</v>
      </c>
      <c r="D325" s="108">
        <v>6</v>
      </c>
      <c r="E325" s="108"/>
      <c r="F325" s="127"/>
      <c r="G325" s="128"/>
      <c r="H325" s="373">
        <f t="shared" si="145"/>
        <v>0</v>
      </c>
      <c r="I325" s="129"/>
      <c r="J325" s="130"/>
      <c r="K325" s="131"/>
      <c r="L325" s="129"/>
      <c r="M325" s="109"/>
      <c r="N325" s="130"/>
      <c r="O325" s="381"/>
      <c r="P325" s="381"/>
      <c r="Q325" s="381"/>
      <c r="R325" s="381"/>
      <c r="S325" s="381"/>
      <c r="T325" s="381"/>
      <c r="U325" s="381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379" t="s">
        <v>443</v>
      </c>
      <c r="C326" s="379" t="s">
        <v>60</v>
      </c>
      <c r="D326" s="108">
        <v>6</v>
      </c>
      <c r="E326" s="108"/>
      <c r="F326" s="127"/>
      <c r="G326" s="128"/>
      <c r="H326" s="373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381"/>
      <c r="P326" s="381"/>
      <c r="Q326" s="381"/>
      <c r="R326" s="381"/>
      <c r="S326" s="381"/>
      <c r="T326" s="381"/>
      <c r="U326" s="381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372" t="s">
        <v>240</v>
      </c>
      <c r="C327" s="126"/>
      <c r="D327" s="108">
        <v>7.3</v>
      </c>
      <c r="E327" s="108"/>
      <c r="F327" s="127"/>
      <c r="G327" s="128"/>
      <c r="H327" s="373">
        <f t="shared" si="145"/>
        <v>0</v>
      </c>
      <c r="I327" s="129"/>
      <c r="J327" s="130"/>
      <c r="K327" s="131"/>
      <c r="L327" s="129"/>
      <c r="M327" s="109"/>
      <c r="N327" s="130"/>
      <c r="O327" s="381"/>
      <c r="P327" s="381"/>
      <c r="Q327" s="381"/>
      <c r="R327" s="381"/>
      <c r="S327" s="381"/>
      <c r="T327" s="381"/>
      <c r="U327" s="381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372" t="s">
        <v>241</v>
      </c>
      <c r="C328" s="126"/>
      <c r="D328" s="108">
        <f>78*120/1000</f>
        <v>9.36</v>
      </c>
      <c r="E328" s="108"/>
      <c r="F328" s="127"/>
      <c r="G328" s="128"/>
      <c r="H328" s="373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381"/>
      <c r="P328" s="381"/>
      <c r="Q328" s="381"/>
      <c r="R328" s="381"/>
      <c r="S328" s="381"/>
      <c r="T328" s="381"/>
      <c r="U328" s="381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372" t="s">
        <v>242</v>
      </c>
      <c r="C329" s="126"/>
      <c r="D329" s="108">
        <v>4.5</v>
      </c>
      <c r="E329" s="108"/>
      <c r="F329" s="127"/>
      <c r="G329" s="128"/>
      <c r="H329" s="373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381"/>
      <c r="P329" s="381"/>
      <c r="Q329" s="381"/>
      <c r="R329" s="381"/>
      <c r="S329" s="381"/>
      <c r="T329" s="381"/>
      <c r="U329" s="381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372" t="s">
        <v>243</v>
      </c>
      <c r="C330" s="126"/>
      <c r="D330" s="108">
        <v>4.5</v>
      </c>
      <c r="E330" s="108"/>
      <c r="F330" s="127"/>
      <c r="G330" s="128"/>
      <c r="H330" s="373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381"/>
      <c r="P330" s="381"/>
      <c r="Q330" s="381"/>
      <c r="R330" s="381"/>
      <c r="S330" s="381"/>
      <c r="T330" s="381"/>
      <c r="U330" s="381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373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381"/>
      <c r="P331" s="381"/>
      <c r="Q331" s="381"/>
      <c r="R331" s="381"/>
      <c r="S331" s="381"/>
      <c r="T331" s="381"/>
      <c r="U331" s="381"/>
      <c r="V331" s="132"/>
      <c r="W331" s="133"/>
      <c r="X331" s="132"/>
      <c r="Y331" s="132"/>
      <c r="Z331" s="132"/>
      <c r="AA331" s="132"/>
    </row>
    <row r="332" spans="1:27" ht="20.100000000000001" customHeight="1">
      <c r="A332" s="630" t="s">
        <v>244</v>
      </c>
      <c r="B332" s="631"/>
      <c r="C332" s="382" t="s">
        <v>202</v>
      </c>
      <c r="D332" s="143"/>
      <c r="E332" s="143"/>
      <c r="F332" s="144"/>
      <c r="G332" s="145">
        <f>SUM(G318:G331)</f>
        <v>254</v>
      </c>
      <c r="H332" s="146">
        <f>SUM(H318:H328)</f>
        <v>1981.2</v>
      </c>
      <c r="I332" s="146">
        <f>SUM(I318:I331)</f>
        <v>129.5</v>
      </c>
      <c r="J332" s="130"/>
      <c r="K332" s="146">
        <f>SUM(K318:K328)</f>
        <v>55.217391304347828</v>
      </c>
      <c r="L332" s="147"/>
      <c r="M332" s="150">
        <f t="shared" ref="M332:AA332" si="156">SUM(M318:M328)</f>
        <v>74.282608695652172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632" t="s">
        <v>246</v>
      </c>
      <c r="B333" s="633"/>
      <c r="C333" s="633"/>
      <c r="D333" s="633"/>
      <c r="E333" s="633"/>
      <c r="F333" s="634"/>
      <c r="G333" s="154">
        <f>SUM(G198,G256,G291,G307,G317,G332)</f>
        <v>1146</v>
      </c>
      <c r="H333" s="154">
        <f>SUM(H198,H256,H291,H307,H317,H332)</f>
        <v>6476.18</v>
      </c>
      <c r="I333" s="154">
        <f>SUM(I198,I256,I291,I307,I317,I332)</f>
        <v>311.5</v>
      </c>
      <c r="J333" s="155">
        <f t="array" ref="J333">IF(ISERROR(G333/I333),"",G333/I333)</f>
        <v>3.678972712680578</v>
      </c>
      <c r="K333" s="154">
        <f>SUM(K198,K256,K291,K307,K317,K332)</f>
        <v>92.581027667984188</v>
      </c>
      <c r="L333" s="155">
        <f>IF(ISERROR(G333/K333),"",G333/K333)</f>
        <v>12.378346070102037</v>
      </c>
      <c r="M333" s="154">
        <f t="shared" ref="M333:AA333" si="157">SUM(M198,M256,M291,M307,M317,M332)</f>
        <v>78.918972332015812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635" t="s">
        <v>476</v>
      </c>
      <c r="B334" s="375" t="s">
        <v>247</v>
      </c>
      <c r="C334" s="638" t="s">
        <v>248</v>
      </c>
      <c r="D334" s="639"/>
      <c r="E334" s="640" t="s">
        <v>249</v>
      </c>
      <c r="F334" s="640"/>
      <c r="G334" s="643" t="s">
        <v>250</v>
      </c>
      <c r="H334" s="643"/>
      <c r="I334" s="640" t="s">
        <v>251</v>
      </c>
      <c r="J334" s="640"/>
      <c r="K334" s="640" t="s">
        <v>252</v>
      </c>
      <c r="L334" s="640"/>
      <c r="M334" s="640" t="s">
        <v>253</v>
      </c>
      <c r="N334" s="640"/>
      <c r="O334" s="640" t="s">
        <v>254</v>
      </c>
      <c r="P334" s="643" t="s">
        <v>255</v>
      </c>
      <c r="Q334" s="643"/>
      <c r="R334" s="643" t="s">
        <v>252</v>
      </c>
      <c r="S334" s="643"/>
      <c r="T334" s="643" t="s">
        <v>256</v>
      </c>
      <c r="U334" s="643"/>
      <c r="V334" s="643" t="s">
        <v>257</v>
      </c>
      <c r="W334" s="643"/>
      <c r="X334" s="643" t="s">
        <v>252</v>
      </c>
      <c r="Y334" s="643"/>
      <c r="Z334" s="643" t="s">
        <v>256</v>
      </c>
      <c r="AA334" s="643"/>
    </row>
    <row r="335" spans="1:27" ht="20.100000000000001" customHeight="1">
      <c r="A335" s="636"/>
      <c r="B335" s="375" t="s">
        <v>258</v>
      </c>
      <c r="C335" s="678">
        <v>1</v>
      </c>
      <c r="D335" s="679"/>
      <c r="E335" s="642">
        <f>C335*11</f>
        <v>11</v>
      </c>
      <c r="F335" s="642"/>
      <c r="G335" s="643">
        <v>1</v>
      </c>
      <c r="H335" s="643"/>
      <c r="I335" s="642">
        <f>G335*11</f>
        <v>11</v>
      </c>
      <c r="J335" s="642"/>
      <c r="K335" s="642">
        <f>E335-I335</f>
        <v>0</v>
      </c>
      <c r="L335" s="642"/>
      <c r="M335" s="644">
        <f>IF(ISERROR(K335/E335),"",K335/E335)</f>
        <v>0</v>
      </c>
      <c r="N335" s="644"/>
      <c r="O335" s="640"/>
      <c r="P335" s="643" t="s">
        <v>201</v>
      </c>
      <c r="Q335" s="643"/>
      <c r="R335" s="645">
        <f>SUM(O198:U198)</f>
        <v>0</v>
      </c>
      <c r="S335" s="645"/>
      <c r="T335" s="646" t="str">
        <f t="array" ref="T335">IF(ISERROR(R335/R342),"",R335/R342)</f>
        <v/>
      </c>
      <c r="U335" s="646"/>
      <c r="V335" s="643" t="s">
        <v>259</v>
      </c>
      <c r="W335" s="643"/>
      <c r="X335" s="680">
        <f>SUM(P197,P255,P290,P306,P316,P331)</f>
        <v>0</v>
      </c>
      <c r="Y335" s="681"/>
      <c r="Z335" s="646" t="str">
        <f t="array" ref="Z335">IF(ISERROR(X335/X342),"",X335/X342)</f>
        <v/>
      </c>
      <c r="AA335" s="646"/>
    </row>
    <row r="336" spans="1:27" ht="20.100000000000001" customHeight="1">
      <c r="A336" s="636"/>
      <c r="B336" s="375" t="s">
        <v>260</v>
      </c>
      <c r="C336" s="638">
        <v>0</v>
      </c>
      <c r="D336" s="639"/>
      <c r="E336" s="642">
        <f>C336*11</f>
        <v>0</v>
      </c>
      <c r="F336" s="642"/>
      <c r="G336" s="643">
        <v>0</v>
      </c>
      <c r="H336" s="643"/>
      <c r="I336" s="642">
        <f>G336*11</f>
        <v>0</v>
      </c>
      <c r="J336" s="642"/>
      <c r="K336" s="642">
        <f>E336-I336</f>
        <v>0</v>
      </c>
      <c r="L336" s="642"/>
      <c r="M336" s="644" t="str">
        <f>IF(ISERROR(K336/E336),"",K336/E336)</f>
        <v/>
      </c>
      <c r="N336" s="644"/>
      <c r="O336" s="640"/>
      <c r="P336" s="643" t="s">
        <v>216</v>
      </c>
      <c r="Q336" s="643"/>
      <c r="R336" s="645">
        <f>SUM(O256:U256)</f>
        <v>0</v>
      </c>
      <c r="S336" s="645"/>
      <c r="T336" s="646" t="str">
        <f>IF(ISERROR(R336/R342),"",R336/R342)</f>
        <v/>
      </c>
      <c r="U336" s="646"/>
      <c r="V336" s="643" t="s">
        <v>261</v>
      </c>
      <c r="W336" s="643"/>
      <c r="X336" s="680">
        <f>SUM(P198,P256,P291,P307,P317,P332)</f>
        <v>0</v>
      </c>
      <c r="Y336" s="681"/>
      <c r="Z336" s="646" t="str">
        <f>IF(ISERROR(X336/X342),"",X336/X342)</f>
        <v/>
      </c>
      <c r="AA336" s="646"/>
    </row>
    <row r="337" spans="1:27" ht="20.100000000000001" customHeight="1">
      <c r="A337" s="636"/>
      <c r="B337" s="375" t="s">
        <v>262</v>
      </c>
      <c r="C337" s="638">
        <v>0</v>
      </c>
      <c r="D337" s="639"/>
      <c r="E337" s="642">
        <f>C337*8</f>
        <v>0</v>
      </c>
      <c r="F337" s="642"/>
      <c r="G337" s="643">
        <v>1</v>
      </c>
      <c r="H337" s="643"/>
      <c r="I337" s="642">
        <f>G337*8</f>
        <v>8</v>
      </c>
      <c r="J337" s="642"/>
      <c r="K337" s="642">
        <f>E337-I337</f>
        <v>-8</v>
      </c>
      <c r="L337" s="642"/>
      <c r="M337" s="644" t="str">
        <f>IF(ISERROR(K337/E337),"",K337/E337)</f>
        <v/>
      </c>
      <c r="N337" s="644"/>
      <c r="O337" s="640"/>
      <c r="P337" s="643" t="s">
        <v>224</v>
      </c>
      <c r="Q337" s="643"/>
      <c r="R337" s="645">
        <f>SUM(O291:U291)</f>
        <v>0</v>
      </c>
      <c r="S337" s="645"/>
      <c r="T337" s="646" t="str">
        <f>IF(ISERROR(R337/R342),"",R337/R342)</f>
        <v/>
      </c>
      <c r="U337" s="646"/>
      <c r="V337" s="643" t="s">
        <v>263</v>
      </c>
      <c r="W337" s="643"/>
      <c r="X337" s="680">
        <f>SUM(P199,P257,P292,P308,P318,P333)</f>
        <v>0</v>
      </c>
      <c r="Y337" s="681"/>
      <c r="Z337" s="646" t="str">
        <f>IF(ISERROR(X337/X342),"",X337/X342)</f>
        <v/>
      </c>
      <c r="AA337" s="646"/>
    </row>
    <row r="338" spans="1:27" ht="20.100000000000001" customHeight="1">
      <c r="A338" s="636"/>
      <c r="B338" s="375" t="s">
        <v>264</v>
      </c>
      <c r="C338" s="638">
        <v>1</v>
      </c>
      <c r="D338" s="639"/>
      <c r="E338" s="642">
        <f>C338*11</f>
        <v>11</v>
      </c>
      <c r="F338" s="642"/>
      <c r="G338" s="643">
        <v>1</v>
      </c>
      <c r="H338" s="643"/>
      <c r="I338" s="642">
        <f>G338*11</f>
        <v>11</v>
      </c>
      <c r="J338" s="642"/>
      <c r="K338" s="642">
        <f>E338-I338</f>
        <v>0</v>
      </c>
      <c r="L338" s="642"/>
      <c r="M338" s="644">
        <f>IF(ISERROR(K338/E338),"",K338/E338)</f>
        <v>0</v>
      </c>
      <c r="N338" s="644"/>
      <c r="O338" s="640"/>
      <c r="P338" s="643" t="s">
        <v>231</v>
      </c>
      <c r="Q338" s="643"/>
      <c r="R338" s="645">
        <f>SUM(O307:U307)</f>
        <v>0</v>
      </c>
      <c r="S338" s="645"/>
      <c r="T338" s="646" t="str">
        <f>IF(ISERROR(R338/R342),"",R338/R342)</f>
        <v/>
      </c>
      <c r="U338" s="646"/>
      <c r="V338" s="643" t="s">
        <v>265</v>
      </c>
      <c r="W338" s="643"/>
      <c r="X338" s="680">
        <f>SUM(P201,P258,P293,P309,P319,P334)</f>
        <v>0</v>
      </c>
      <c r="Y338" s="681"/>
      <c r="Z338" s="646" t="str">
        <f>IF(ISERROR(X338/X342),"",X338/X342)</f>
        <v/>
      </c>
      <c r="AA338" s="646"/>
    </row>
    <row r="339" spans="1:27" ht="20.100000000000001" customHeight="1">
      <c r="A339" s="637"/>
      <c r="B339" s="375" t="s">
        <v>266</v>
      </c>
      <c r="C339" s="648">
        <f>SUM(C335:D338)</f>
        <v>2</v>
      </c>
      <c r="D339" s="649"/>
      <c r="E339" s="642">
        <f>SUM(E335:F338)</f>
        <v>22</v>
      </c>
      <c r="F339" s="642"/>
      <c r="G339" s="643">
        <f>SUM(G335:H338)</f>
        <v>3</v>
      </c>
      <c r="H339" s="643"/>
      <c r="I339" s="642">
        <f>SUM(I335:J338)</f>
        <v>30</v>
      </c>
      <c r="J339" s="642"/>
      <c r="K339" s="642">
        <f>SUM(K335:L338)</f>
        <v>-8</v>
      </c>
      <c r="L339" s="642"/>
      <c r="M339" s="644">
        <f>IF(ISERROR(K339/E339),"",K339/E339)</f>
        <v>-0.36363636363636365</v>
      </c>
      <c r="N339" s="644"/>
      <c r="O339" s="640"/>
      <c r="P339" s="643" t="s">
        <v>234</v>
      </c>
      <c r="Q339" s="643"/>
      <c r="R339" s="645">
        <f>SUM(O317:U317)</f>
        <v>0</v>
      </c>
      <c r="S339" s="645"/>
      <c r="T339" s="646" t="str">
        <f>IF(ISERROR(R339/R342),"",R339/R342)</f>
        <v/>
      </c>
      <c r="U339" s="646"/>
      <c r="V339" s="643" t="s">
        <v>267</v>
      </c>
      <c r="W339" s="643"/>
      <c r="X339" s="680">
        <f>SUM(P202,P259,P294,P310,P320,P335)</f>
        <v>0</v>
      </c>
      <c r="Y339" s="681"/>
      <c r="Z339" s="646" t="str">
        <f>IF(ISERROR(X339/X342),"",X339/X342)</f>
        <v/>
      </c>
      <c r="AA339" s="646"/>
    </row>
    <row r="340" spans="1:27" ht="20.100000000000001" customHeight="1">
      <c r="A340" s="309" t="s">
        <v>477</v>
      </c>
      <c r="B340" s="375">
        <f>G333</f>
        <v>1146</v>
      </c>
      <c r="C340" s="650" t="s">
        <v>269</v>
      </c>
      <c r="D340" s="651"/>
      <c r="E340" s="643">
        <f>H333</f>
        <v>6476.18</v>
      </c>
      <c r="F340" s="643"/>
      <c r="G340" s="643" t="s">
        <v>270</v>
      </c>
      <c r="H340" s="643"/>
      <c r="I340" s="652">
        <f>L333</f>
        <v>12.378346070102037</v>
      </c>
      <c r="J340" s="652"/>
      <c r="K340" s="640" t="s">
        <v>271</v>
      </c>
      <c r="L340" s="640"/>
      <c r="M340" s="652">
        <f>J333</f>
        <v>3.678972712680578</v>
      </c>
      <c r="N340" s="652"/>
      <c r="O340" s="640"/>
      <c r="P340" s="643" t="s">
        <v>244</v>
      </c>
      <c r="Q340" s="643"/>
      <c r="R340" s="645">
        <f>SUM(O332:U332)</f>
        <v>0</v>
      </c>
      <c r="S340" s="645"/>
      <c r="T340" s="646" t="str">
        <f>IF(ISERROR(R340/R342),"",R340/R342)</f>
        <v/>
      </c>
      <c r="U340" s="646"/>
      <c r="V340" s="643" t="s">
        <v>272</v>
      </c>
      <c r="W340" s="643"/>
      <c r="X340" s="680">
        <f>SUM(P203,P260,P295,P311,P321,P336)</f>
        <v>0</v>
      </c>
      <c r="Y340" s="681"/>
      <c r="Z340" s="646" t="str">
        <f>IF(ISERROR(X340/X342),"",X340/X342)</f>
        <v/>
      </c>
      <c r="AA340" s="646"/>
    </row>
    <row r="341" spans="1:27" ht="20.100000000000001" customHeight="1">
      <c r="A341" s="310" t="s">
        <v>478</v>
      </c>
      <c r="B341" s="375">
        <f>I333+C339</f>
        <v>313.5</v>
      </c>
      <c r="C341" s="653" t="s">
        <v>251</v>
      </c>
      <c r="D341" s="654"/>
      <c r="E341" s="655">
        <f>K333+I339</f>
        <v>122.58102766798419</v>
      </c>
      <c r="F341" s="655"/>
      <c r="G341" s="643" t="s">
        <v>274</v>
      </c>
      <c r="H341" s="643"/>
      <c r="I341" s="652">
        <f>B341-E341</f>
        <v>190.91897233201581</v>
      </c>
      <c r="J341" s="652"/>
      <c r="K341" s="640" t="s">
        <v>275</v>
      </c>
      <c r="L341" s="640"/>
      <c r="M341" s="644">
        <f>IF(ISERROR(I341/E341),"",I341/E341)</f>
        <v>1.5574920194757038</v>
      </c>
      <c r="N341" s="644"/>
      <c r="O341" s="640"/>
      <c r="P341" s="643" t="s">
        <v>245</v>
      </c>
      <c r="Q341" s="643"/>
      <c r="R341" s="645"/>
      <c r="S341" s="645"/>
      <c r="T341" s="646" t="str">
        <f>IF(ISERROR(R341/R342),"",R341/R342)</f>
        <v/>
      </c>
      <c r="U341" s="646"/>
      <c r="V341" s="643" t="s">
        <v>264</v>
      </c>
      <c r="W341" s="643"/>
      <c r="X341" s="680">
        <f>SUM(P204,P261,P296,P312,P322,P337)</f>
        <v>0</v>
      </c>
      <c r="Y341" s="681"/>
      <c r="Z341" s="646" t="str">
        <f>IF(ISERROR(X341/X342),"",X341/X342)</f>
        <v/>
      </c>
      <c r="AA341" s="646"/>
    </row>
    <row r="342" spans="1:27" ht="20.100000000000001" customHeight="1">
      <c r="A342" s="310" t="s">
        <v>479</v>
      </c>
      <c r="B342" s="375">
        <f>N333</f>
        <v>0</v>
      </c>
      <c r="C342" s="653" t="s">
        <v>277</v>
      </c>
      <c r="D342" s="654"/>
      <c r="E342" s="646">
        <f>IF(ISERROR(B342/B341),"",B342/B341)</f>
        <v>0</v>
      </c>
      <c r="F342" s="646"/>
      <c r="G342" s="643" t="s">
        <v>278</v>
      </c>
      <c r="H342" s="643"/>
      <c r="I342" s="640">
        <f>V333</f>
        <v>0</v>
      </c>
      <c r="J342" s="640"/>
      <c r="K342" s="640" t="s">
        <v>279</v>
      </c>
      <c r="L342" s="640"/>
      <c r="M342" s="644">
        <f t="array" ref="M342">IF(ISERROR(I342/B340),"",I342/B340)</f>
        <v>0</v>
      </c>
      <c r="N342" s="644"/>
      <c r="O342" s="640"/>
      <c r="P342" s="643" t="s">
        <v>266</v>
      </c>
      <c r="Q342" s="643"/>
      <c r="R342" s="645">
        <f>SUM(R335:S341)</f>
        <v>0</v>
      </c>
      <c r="S342" s="645"/>
      <c r="T342" s="646"/>
      <c r="U342" s="646"/>
      <c r="V342" s="643" t="s">
        <v>266</v>
      </c>
      <c r="W342" s="643"/>
      <c r="X342" s="647">
        <f>SUM(X335:Y341)</f>
        <v>0</v>
      </c>
      <c r="Y342" s="647"/>
      <c r="Z342" s="646"/>
      <c r="AA342" s="646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56" t="s">
        <v>480</v>
      </c>
      <c r="B344" s="659" t="s">
        <v>280</v>
      </c>
      <c r="C344" s="659" t="s">
        <v>281</v>
      </c>
      <c r="D344" s="659" t="s">
        <v>282</v>
      </c>
      <c r="E344" s="662" t="s">
        <v>283</v>
      </c>
      <c r="F344" s="675" t="s">
        <v>284</v>
      </c>
      <c r="G344" s="640" t="s">
        <v>285</v>
      </c>
      <c r="H344" s="640"/>
      <c r="I344" s="659" t="s">
        <v>286</v>
      </c>
      <c r="J344" s="665" t="s">
        <v>271</v>
      </c>
      <c r="K344" s="668" t="s">
        <v>287</v>
      </c>
      <c r="L344" s="659" t="s">
        <v>270</v>
      </c>
      <c r="M344" s="671" t="s">
        <v>288</v>
      </c>
      <c r="N344" s="673" t="s">
        <v>252</v>
      </c>
      <c r="O344" s="640" t="s">
        <v>289</v>
      </c>
      <c r="P344" s="640"/>
      <c r="Q344" s="640"/>
      <c r="R344" s="640"/>
      <c r="S344" s="640"/>
      <c r="T344" s="640"/>
      <c r="U344" s="640"/>
      <c r="V344" s="640" t="s">
        <v>290</v>
      </c>
      <c r="W344" s="673" t="s">
        <v>291</v>
      </c>
      <c r="X344" s="640" t="s">
        <v>292</v>
      </c>
      <c r="Y344" s="640"/>
      <c r="Z344" s="640"/>
      <c r="AA344" s="640"/>
    </row>
    <row r="345" spans="1:27" ht="21.95" customHeight="1">
      <c r="A345" s="657"/>
      <c r="B345" s="660"/>
      <c r="C345" s="660"/>
      <c r="D345" s="660"/>
      <c r="E345" s="663"/>
      <c r="F345" s="676"/>
      <c r="G345" s="640"/>
      <c r="H345" s="640"/>
      <c r="I345" s="660"/>
      <c r="J345" s="666"/>
      <c r="K345" s="669"/>
      <c r="L345" s="660"/>
      <c r="M345" s="672"/>
      <c r="N345" s="673"/>
      <c r="O345" s="640" t="s">
        <v>259</v>
      </c>
      <c r="P345" s="640" t="s">
        <v>261</v>
      </c>
      <c r="Q345" s="640" t="s">
        <v>263</v>
      </c>
      <c r="R345" s="674" t="s">
        <v>265</v>
      </c>
      <c r="S345" s="643" t="s">
        <v>267</v>
      </c>
      <c r="T345" s="640" t="s">
        <v>272</v>
      </c>
      <c r="U345" s="640" t="s">
        <v>264</v>
      </c>
      <c r="V345" s="640"/>
      <c r="W345" s="673"/>
      <c r="X345" s="640" t="s">
        <v>293</v>
      </c>
      <c r="Y345" s="640" t="s">
        <v>294</v>
      </c>
      <c r="Z345" s="640" t="s">
        <v>295</v>
      </c>
      <c r="AA345" s="640" t="s">
        <v>264</v>
      </c>
    </row>
    <row r="346" spans="1:27" ht="21.95" customHeight="1">
      <c r="A346" s="658"/>
      <c r="B346" s="661"/>
      <c r="C346" s="661"/>
      <c r="D346" s="661"/>
      <c r="E346" s="664"/>
      <c r="F346" s="677"/>
      <c r="G346" s="348" t="s">
        <v>296</v>
      </c>
      <c r="H346" s="379" t="s">
        <v>297</v>
      </c>
      <c r="I346" s="661"/>
      <c r="J346" s="667"/>
      <c r="K346" s="670"/>
      <c r="L346" s="661"/>
      <c r="M346" s="672"/>
      <c r="N346" s="673"/>
      <c r="O346" s="640"/>
      <c r="P346" s="640"/>
      <c r="Q346" s="640"/>
      <c r="R346" s="674"/>
      <c r="S346" s="643"/>
      <c r="T346" s="640"/>
      <c r="U346" s="640"/>
      <c r="V346" s="640"/>
      <c r="W346" s="673"/>
      <c r="X346" s="640"/>
      <c r="Y346" s="640"/>
      <c r="Z346" s="640"/>
      <c r="AA346" s="640"/>
    </row>
    <row r="347" spans="1:27" ht="20.100000000000001" hidden="1" customHeight="1">
      <c r="A347" s="299">
        <v>30100030</v>
      </c>
      <c r="B347" s="372" t="s">
        <v>178</v>
      </c>
      <c r="C347" s="126" t="s">
        <v>179</v>
      </c>
      <c r="D347" s="108">
        <v>5.03</v>
      </c>
      <c r="E347" s="108"/>
      <c r="F347" s="127"/>
      <c r="G347" s="128"/>
      <c r="H347" s="373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381"/>
      <c r="P347" s="381"/>
      <c r="Q347" s="381"/>
      <c r="R347" s="381"/>
      <c r="S347" s="381"/>
      <c r="T347" s="381"/>
      <c r="U347" s="381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373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381"/>
      <c r="P348" s="381"/>
      <c r="Q348" s="381"/>
      <c r="R348" s="381"/>
      <c r="S348" s="381"/>
      <c r="T348" s="381"/>
      <c r="U348" s="381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373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381"/>
      <c r="P349" s="381"/>
      <c r="Q349" s="381"/>
      <c r="R349" s="381"/>
      <c r="S349" s="381"/>
      <c r="T349" s="381"/>
      <c r="U349" s="381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373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381"/>
      <c r="P350" s="381"/>
      <c r="Q350" s="381"/>
      <c r="R350" s="381"/>
      <c r="S350" s="381"/>
      <c r="T350" s="381"/>
      <c r="U350" s="381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373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381"/>
      <c r="P351" s="381"/>
      <c r="Q351" s="381"/>
      <c r="R351" s="381"/>
      <c r="S351" s="381"/>
      <c r="T351" s="381"/>
      <c r="U351" s="381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373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381"/>
      <c r="P352" s="381"/>
      <c r="Q352" s="381"/>
      <c r="R352" s="381"/>
      <c r="S352" s="381"/>
      <c r="T352" s="381"/>
      <c r="U352" s="381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373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381"/>
      <c r="P353" s="381"/>
      <c r="Q353" s="381"/>
      <c r="R353" s="381"/>
      <c r="S353" s="381"/>
      <c r="T353" s="381"/>
      <c r="U353" s="381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373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381"/>
      <c r="P354" s="381"/>
      <c r="Q354" s="381"/>
      <c r="R354" s="381"/>
      <c r="S354" s="381"/>
      <c r="T354" s="381"/>
      <c r="U354" s="381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373">
        <f t="shared" si="158"/>
        <v>0</v>
      </c>
      <c r="I355" s="373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381"/>
      <c r="P355" s="381"/>
      <c r="Q355" s="381"/>
      <c r="R355" s="381"/>
      <c r="S355" s="381"/>
      <c r="T355" s="381"/>
      <c r="U355" s="381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373">
        <f t="shared" si="158"/>
        <v>0</v>
      </c>
      <c r="I356" s="373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381"/>
      <c r="P356" s="381"/>
      <c r="Q356" s="381"/>
      <c r="R356" s="381"/>
      <c r="S356" s="381"/>
      <c r="T356" s="381"/>
      <c r="U356" s="381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373">
        <f t="shared" si="158"/>
        <v>0</v>
      </c>
      <c r="I357" s="373"/>
      <c r="J357" s="130"/>
      <c r="K357" s="131"/>
      <c r="L357" s="129"/>
      <c r="M357" s="109"/>
      <c r="N357" s="130"/>
      <c r="O357" s="381"/>
      <c r="P357" s="381"/>
      <c r="Q357" s="381"/>
      <c r="R357" s="381"/>
      <c r="S357" s="381"/>
      <c r="T357" s="381"/>
      <c r="U357" s="381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373">
        <f t="shared" si="158"/>
        <v>0</v>
      </c>
      <c r="I358" s="373"/>
      <c r="J358" s="130"/>
      <c r="K358" s="131"/>
      <c r="L358" s="129"/>
      <c r="M358" s="109"/>
      <c r="N358" s="130"/>
      <c r="O358" s="381"/>
      <c r="P358" s="381"/>
      <c r="Q358" s="381"/>
      <c r="R358" s="381"/>
      <c r="S358" s="381"/>
      <c r="T358" s="381"/>
      <c r="U358" s="381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373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381"/>
      <c r="P359" s="381"/>
      <c r="Q359" s="381"/>
      <c r="R359" s="381"/>
      <c r="S359" s="381"/>
      <c r="T359" s="381"/>
      <c r="U359" s="381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373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381"/>
      <c r="P360" s="381"/>
      <c r="Q360" s="381"/>
      <c r="R360" s="381"/>
      <c r="S360" s="381"/>
      <c r="T360" s="381"/>
      <c r="U360" s="381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373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381"/>
      <c r="P361" s="381"/>
      <c r="Q361" s="381"/>
      <c r="R361" s="381"/>
      <c r="S361" s="381"/>
      <c r="T361" s="381"/>
      <c r="U361" s="381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379" t="s">
        <v>190</v>
      </c>
      <c r="D362" s="108">
        <v>4.8</v>
      </c>
      <c r="E362" s="108"/>
      <c r="F362" s="127"/>
      <c r="G362" s="128"/>
      <c r="H362" s="373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381"/>
      <c r="P362" s="381"/>
      <c r="Q362" s="381"/>
      <c r="R362" s="381"/>
      <c r="S362" s="381"/>
      <c r="T362" s="381"/>
      <c r="U362" s="381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379" t="s">
        <v>187</v>
      </c>
      <c r="D363" s="108">
        <v>4.8</v>
      </c>
      <c r="E363" s="108"/>
      <c r="F363" s="127"/>
      <c r="G363" s="128"/>
      <c r="H363" s="373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381"/>
      <c r="P363" s="381"/>
      <c r="Q363" s="381"/>
      <c r="R363" s="381"/>
      <c r="S363" s="381"/>
      <c r="T363" s="381"/>
      <c r="U363" s="381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379" t="s">
        <v>179</v>
      </c>
      <c r="D364" s="108">
        <v>4.8</v>
      </c>
      <c r="E364" s="108"/>
      <c r="F364" s="127"/>
      <c r="G364" s="128"/>
      <c r="H364" s="373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381"/>
      <c r="P364" s="381"/>
      <c r="Q364" s="381"/>
      <c r="R364" s="381"/>
      <c r="S364" s="381"/>
      <c r="T364" s="381"/>
      <c r="U364" s="381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379" t="s">
        <v>199</v>
      </c>
      <c r="D365" s="108">
        <v>4.8</v>
      </c>
      <c r="E365" s="108"/>
      <c r="F365" s="127"/>
      <c r="G365" s="128"/>
      <c r="H365" s="373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381"/>
      <c r="P365" s="381"/>
      <c r="Q365" s="381"/>
      <c r="R365" s="381"/>
      <c r="S365" s="381"/>
      <c r="T365" s="381"/>
      <c r="U365" s="381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373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381"/>
      <c r="P366" s="381"/>
      <c r="Q366" s="381"/>
      <c r="R366" s="381"/>
      <c r="S366" s="381"/>
      <c r="T366" s="381"/>
      <c r="U366" s="381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373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381"/>
      <c r="P367" s="381"/>
      <c r="Q367" s="381"/>
      <c r="R367" s="381"/>
      <c r="S367" s="381"/>
      <c r="T367" s="381"/>
      <c r="U367" s="381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630" t="s">
        <v>201</v>
      </c>
      <c r="B368" s="631"/>
      <c r="C368" s="382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372" t="s">
        <v>206</v>
      </c>
      <c r="C369" s="126" t="s">
        <v>199</v>
      </c>
      <c r="D369" s="108">
        <v>5.03</v>
      </c>
      <c r="E369" s="108"/>
      <c r="F369" s="127"/>
      <c r="G369" s="128"/>
      <c r="H369" s="373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377"/>
      <c r="P369" s="377"/>
      <c r="Q369" s="377"/>
      <c r="R369" s="377"/>
      <c r="S369" s="377"/>
      <c r="T369" s="377"/>
      <c r="U369" s="377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372" t="s">
        <v>425</v>
      </c>
      <c r="C370" s="187" t="s">
        <v>427</v>
      </c>
      <c r="D370" s="108">
        <v>5.03</v>
      </c>
      <c r="E370" s="108"/>
      <c r="F370" s="127"/>
      <c r="G370" s="128"/>
      <c r="H370" s="373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377"/>
      <c r="P370" s="377"/>
      <c r="Q370" s="377"/>
      <c r="R370" s="377"/>
      <c r="S370" s="377"/>
      <c r="T370" s="377"/>
      <c r="U370" s="377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372" t="s">
        <v>206</v>
      </c>
      <c r="C371" s="126" t="s">
        <v>186</v>
      </c>
      <c r="D371" s="108">
        <v>5.03</v>
      </c>
      <c r="E371" s="108"/>
      <c r="F371" s="127"/>
      <c r="G371" s="128"/>
      <c r="H371" s="373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377"/>
      <c r="P371" s="377"/>
      <c r="Q371" s="377"/>
      <c r="R371" s="377"/>
      <c r="S371" s="377"/>
      <c r="T371" s="377"/>
      <c r="U371" s="377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372" t="s">
        <v>206</v>
      </c>
      <c r="C372" s="126" t="s">
        <v>203</v>
      </c>
      <c r="D372" s="108">
        <v>5.03</v>
      </c>
      <c r="E372" s="108"/>
      <c r="F372" s="127"/>
      <c r="G372" s="128"/>
      <c r="H372" s="373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377"/>
      <c r="P372" s="377"/>
      <c r="Q372" s="377"/>
      <c r="R372" s="377"/>
      <c r="S372" s="377"/>
      <c r="T372" s="377"/>
      <c r="U372" s="377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372" t="s">
        <v>206</v>
      </c>
      <c r="C373" s="126" t="s">
        <v>207</v>
      </c>
      <c r="D373" s="108">
        <v>5.03</v>
      </c>
      <c r="E373" s="108"/>
      <c r="F373" s="127"/>
      <c r="G373" s="128"/>
      <c r="H373" s="373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377"/>
      <c r="P373" s="377"/>
      <c r="Q373" s="377"/>
      <c r="R373" s="377"/>
      <c r="S373" s="377"/>
      <c r="T373" s="377"/>
      <c r="U373" s="377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372" t="s">
        <v>414</v>
      </c>
      <c r="C374" s="187" t="s">
        <v>415</v>
      </c>
      <c r="D374" s="108"/>
      <c r="E374" s="108"/>
      <c r="F374" s="127"/>
      <c r="G374" s="128"/>
      <c r="H374" s="373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377"/>
      <c r="P374" s="377"/>
      <c r="Q374" s="377"/>
      <c r="R374" s="377"/>
      <c r="S374" s="377"/>
      <c r="T374" s="377"/>
      <c r="U374" s="377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372" t="s">
        <v>414</v>
      </c>
      <c r="C375" s="187" t="s">
        <v>416</v>
      </c>
      <c r="D375" s="108"/>
      <c r="E375" s="108"/>
      <c r="F375" s="127"/>
      <c r="G375" s="128"/>
      <c r="H375" s="373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377"/>
      <c r="P375" s="377"/>
      <c r="Q375" s="377"/>
      <c r="R375" s="377"/>
      <c r="S375" s="377"/>
      <c r="T375" s="377"/>
      <c r="U375" s="377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372" t="s">
        <v>414</v>
      </c>
      <c r="C376" s="187" t="s">
        <v>61</v>
      </c>
      <c r="D376" s="108"/>
      <c r="E376" s="108"/>
      <c r="F376" s="127"/>
      <c r="G376" s="128"/>
      <c r="H376" s="373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377"/>
      <c r="P376" s="377"/>
      <c r="Q376" s="377"/>
      <c r="R376" s="377"/>
      <c r="S376" s="377"/>
      <c r="T376" s="377"/>
      <c r="U376" s="377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372" t="s">
        <v>208</v>
      </c>
      <c r="C377" s="126" t="s">
        <v>179</v>
      </c>
      <c r="D377" s="108">
        <v>5.08</v>
      </c>
      <c r="E377" s="108"/>
      <c r="F377" s="127"/>
      <c r="G377" s="128"/>
      <c r="H377" s="373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377"/>
      <c r="P377" s="377"/>
      <c r="Q377" s="377"/>
      <c r="R377" s="377"/>
      <c r="S377" s="377"/>
      <c r="T377" s="377"/>
      <c r="U377" s="377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372" t="s">
        <v>208</v>
      </c>
      <c r="C378" s="126" t="s">
        <v>204</v>
      </c>
      <c r="D378" s="108">
        <v>5.08</v>
      </c>
      <c r="E378" s="108"/>
      <c r="F378" s="127"/>
      <c r="G378" s="128"/>
      <c r="H378" s="373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377"/>
      <c r="P378" s="377"/>
      <c r="Q378" s="377"/>
      <c r="R378" s="377"/>
      <c r="S378" s="377"/>
      <c r="T378" s="377"/>
      <c r="U378" s="377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372" t="s">
        <v>208</v>
      </c>
      <c r="C379" s="126" t="s">
        <v>205</v>
      </c>
      <c r="D379" s="108">
        <v>5.08</v>
      </c>
      <c r="E379" s="108"/>
      <c r="F379" s="127"/>
      <c r="G379" s="128"/>
      <c r="H379" s="373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377"/>
      <c r="P379" s="377"/>
      <c r="Q379" s="377"/>
      <c r="R379" s="377"/>
      <c r="S379" s="377"/>
      <c r="T379" s="377"/>
      <c r="U379" s="377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372" t="s">
        <v>208</v>
      </c>
      <c r="C380" s="126" t="s">
        <v>186</v>
      </c>
      <c r="D380" s="108">
        <v>5.08</v>
      </c>
      <c r="E380" s="108"/>
      <c r="F380" s="127"/>
      <c r="G380" s="128"/>
      <c r="H380" s="373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377"/>
      <c r="P380" s="377"/>
      <c r="Q380" s="377"/>
      <c r="R380" s="377"/>
      <c r="S380" s="377"/>
      <c r="T380" s="377"/>
      <c r="U380" s="377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372" t="s">
        <v>208</v>
      </c>
      <c r="C381" s="126" t="s">
        <v>203</v>
      </c>
      <c r="D381" s="108">
        <v>5.08</v>
      </c>
      <c r="E381" s="108"/>
      <c r="F381" s="127"/>
      <c r="G381" s="128"/>
      <c r="H381" s="373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377"/>
      <c r="P381" s="377"/>
      <c r="Q381" s="377"/>
      <c r="R381" s="377"/>
      <c r="S381" s="377"/>
      <c r="T381" s="377"/>
      <c r="U381" s="377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372" t="s">
        <v>208</v>
      </c>
      <c r="C382" s="126" t="s">
        <v>199</v>
      </c>
      <c r="D382" s="108">
        <v>5.08</v>
      </c>
      <c r="E382" s="108"/>
      <c r="F382" s="127"/>
      <c r="G382" s="128"/>
      <c r="H382" s="373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381"/>
      <c r="P382" s="381"/>
      <c r="Q382" s="381"/>
      <c r="R382" s="381"/>
      <c r="S382" s="381"/>
      <c r="T382" s="381"/>
      <c r="U382" s="381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372" t="s">
        <v>208</v>
      </c>
      <c r="C383" s="126" t="s">
        <v>187</v>
      </c>
      <c r="D383" s="108">
        <v>5.08</v>
      </c>
      <c r="E383" s="108"/>
      <c r="F383" s="127"/>
      <c r="G383" s="128"/>
      <c r="H383" s="373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377"/>
      <c r="P383" s="377"/>
      <c r="Q383" s="377"/>
      <c r="R383" s="377"/>
      <c r="S383" s="377"/>
      <c r="T383" s="377"/>
      <c r="U383" s="377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372" t="s">
        <v>208</v>
      </c>
      <c r="C384" s="126" t="s">
        <v>207</v>
      </c>
      <c r="D384" s="108">
        <v>5.08</v>
      </c>
      <c r="E384" s="108"/>
      <c r="F384" s="127"/>
      <c r="G384" s="128"/>
      <c r="H384" s="373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381"/>
      <c r="P384" s="381"/>
      <c r="Q384" s="381"/>
      <c r="R384" s="381"/>
      <c r="S384" s="381"/>
      <c r="T384" s="381"/>
      <c r="U384" s="381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372" t="s">
        <v>209</v>
      </c>
      <c r="C385" s="126" t="s">
        <v>194</v>
      </c>
      <c r="D385" s="108">
        <v>5.03</v>
      </c>
      <c r="E385" s="108"/>
      <c r="F385" s="127"/>
      <c r="G385" s="128"/>
      <c r="H385" s="373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377"/>
      <c r="P385" s="377"/>
      <c r="Q385" s="377"/>
      <c r="R385" s="377"/>
      <c r="S385" s="377"/>
      <c r="T385" s="377"/>
      <c r="U385" s="377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372" t="s">
        <v>209</v>
      </c>
      <c r="C386" s="126" t="s">
        <v>179</v>
      </c>
      <c r="D386" s="108">
        <v>5.03</v>
      </c>
      <c r="E386" s="108"/>
      <c r="F386" s="127"/>
      <c r="G386" s="128"/>
      <c r="H386" s="373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377"/>
      <c r="P386" s="377"/>
      <c r="Q386" s="377"/>
      <c r="R386" s="377"/>
      <c r="S386" s="377"/>
      <c r="T386" s="377"/>
      <c r="U386" s="377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372" t="s">
        <v>209</v>
      </c>
      <c r="C387" s="126" t="s">
        <v>195</v>
      </c>
      <c r="D387" s="108">
        <v>5.03</v>
      </c>
      <c r="E387" s="108"/>
      <c r="F387" s="127"/>
      <c r="G387" s="128"/>
      <c r="H387" s="373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377"/>
      <c r="P387" s="377"/>
      <c r="Q387" s="377"/>
      <c r="R387" s="377"/>
      <c r="S387" s="377"/>
      <c r="T387" s="377"/>
      <c r="U387" s="377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372" t="s">
        <v>209</v>
      </c>
      <c r="C388" s="126" t="s">
        <v>204</v>
      </c>
      <c r="D388" s="108">
        <v>5.03</v>
      </c>
      <c r="E388" s="108"/>
      <c r="F388" s="127"/>
      <c r="G388" s="128"/>
      <c r="H388" s="373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377"/>
      <c r="P388" s="377"/>
      <c r="Q388" s="377"/>
      <c r="R388" s="377"/>
      <c r="S388" s="377"/>
      <c r="T388" s="377"/>
      <c r="U388" s="377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372" t="s">
        <v>382</v>
      </c>
      <c r="C389" s="187" t="s">
        <v>383</v>
      </c>
      <c r="D389" s="108">
        <v>5.03</v>
      </c>
      <c r="E389" s="108"/>
      <c r="F389" s="127"/>
      <c r="G389" s="128"/>
      <c r="H389" s="373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377"/>
      <c r="P389" s="377"/>
      <c r="Q389" s="377"/>
      <c r="R389" s="377"/>
      <c r="S389" s="377"/>
      <c r="T389" s="377"/>
      <c r="U389" s="377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372" t="s">
        <v>382</v>
      </c>
      <c r="C390" s="187" t="s">
        <v>384</v>
      </c>
      <c r="D390" s="108">
        <v>5.03</v>
      </c>
      <c r="E390" s="108"/>
      <c r="F390" s="127"/>
      <c r="G390" s="128"/>
      <c r="H390" s="373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377"/>
      <c r="P390" s="377"/>
      <c r="Q390" s="377"/>
      <c r="R390" s="377"/>
      <c r="S390" s="377"/>
      <c r="T390" s="377"/>
      <c r="U390" s="377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372" t="s">
        <v>382</v>
      </c>
      <c r="C391" s="187" t="s">
        <v>389</v>
      </c>
      <c r="D391" s="108">
        <v>5.03</v>
      </c>
      <c r="E391" s="108"/>
      <c r="F391" s="127"/>
      <c r="G391" s="128"/>
      <c r="H391" s="373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377"/>
      <c r="P391" s="377"/>
      <c r="Q391" s="377"/>
      <c r="R391" s="377"/>
      <c r="S391" s="377"/>
      <c r="T391" s="377"/>
      <c r="U391" s="377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372" t="s">
        <v>382</v>
      </c>
      <c r="C392" s="187" t="s">
        <v>391</v>
      </c>
      <c r="D392" s="108">
        <v>5.03</v>
      </c>
      <c r="E392" s="108"/>
      <c r="F392" s="127"/>
      <c r="G392" s="128"/>
      <c r="H392" s="373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377"/>
      <c r="P392" s="377"/>
      <c r="Q392" s="377"/>
      <c r="R392" s="377"/>
      <c r="S392" s="377"/>
      <c r="T392" s="377"/>
      <c r="U392" s="377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372" t="s">
        <v>418</v>
      </c>
      <c r="C393" s="187" t="s">
        <v>364</v>
      </c>
      <c r="D393" s="108">
        <v>5.03</v>
      </c>
      <c r="E393" s="108"/>
      <c r="F393" s="127"/>
      <c r="G393" s="128"/>
      <c r="H393" s="373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377"/>
      <c r="P393" s="377"/>
      <c r="Q393" s="377"/>
      <c r="R393" s="377"/>
      <c r="S393" s="377"/>
      <c r="T393" s="377"/>
      <c r="U393" s="377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372" t="s">
        <v>418</v>
      </c>
      <c r="C394" s="187" t="s">
        <v>365</v>
      </c>
      <c r="D394" s="108">
        <v>5.03</v>
      </c>
      <c r="E394" s="108"/>
      <c r="F394" s="127"/>
      <c r="G394" s="128"/>
      <c r="H394" s="373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377"/>
      <c r="P394" s="377"/>
      <c r="Q394" s="377"/>
      <c r="R394" s="377"/>
      <c r="S394" s="377"/>
      <c r="T394" s="377"/>
      <c r="U394" s="377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372" t="s">
        <v>418</v>
      </c>
      <c r="C395" s="187" t="s">
        <v>366</v>
      </c>
      <c r="D395" s="108">
        <v>5.03</v>
      </c>
      <c r="E395" s="108"/>
      <c r="F395" s="127"/>
      <c r="G395" s="128"/>
      <c r="H395" s="373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377"/>
      <c r="P395" s="377"/>
      <c r="Q395" s="377"/>
      <c r="R395" s="377"/>
      <c r="S395" s="377"/>
      <c r="T395" s="377"/>
      <c r="U395" s="377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372" t="s">
        <v>418</v>
      </c>
      <c r="C396" s="187" t="s">
        <v>367</v>
      </c>
      <c r="D396" s="108">
        <v>5.03</v>
      </c>
      <c r="E396" s="108"/>
      <c r="F396" s="127"/>
      <c r="G396" s="128"/>
      <c r="H396" s="373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377"/>
      <c r="P396" s="377"/>
      <c r="Q396" s="377"/>
      <c r="R396" s="377"/>
      <c r="S396" s="377"/>
      <c r="T396" s="377"/>
      <c r="U396" s="377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373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381"/>
      <c r="P397" s="381"/>
      <c r="Q397" s="381"/>
      <c r="R397" s="381"/>
      <c r="S397" s="381"/>
      <c r="T397" s="381"/>
      <c r="U397" s="381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373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381"/>
      <c r="P398" s="381"/>
      <c r="Q398" s="381"/>
      <c r="R398" s="381"/>
      <c r="S398" s="381"/>
      <c r="T398" s="381"/>
      <c r="U398" s="381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373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381"/>
      <c r="P399" s="381"/>
      <c r="Q399" s="381"/>
      <c r="R399" s="381"/>
      <c r="S399" s="381"/>
      <c r="T399" s="381"/>
      <c r="U399" s="381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373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381"/>
      <c r="P400" s="381"/>
      <c r="Q400" s="381"/>
      <c r="R400" s="381"/>
      <c r="S400" s="381"/>
      <c r="T400" s="381"/>
      <c r="U400" s="381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373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381"/>
      <c r="P401" s="381"/>
      <c r="Q401" s="381"/>
      <c r="R401" s="381"/>
      <c r="S401" s="381"/>
      <c r="T401" s="381"/>
      <c r="U401" s="381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373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381"/>
      <c r="P402" s="381"/>
      <c r="Q402" s="381"/>
      <c r="R402" s="381"/>
      <c r="S402" s="381"/>
      <c r="T402" s="381"/>
      <c r="U402" s="381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373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381"/>
      <c r="P403" s="381"/>
      <c r="Q403" s="381"/>
      <c r="R403" s="381"/>
      <c r="S403" s="381"/>
      <c r="T403" s="381"/>
      <c r="U403" s="381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373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381"/>
      <c r="P404" s="381"/>
      <c r="Q404" s="381"/>
      <c r="R404" s="381"/>
      <c r="S404" s="381"/>
      <c r="T404" s="381"/>
      <c r="U404" s="381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373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381"/>
      <c r="P405" s="381"/>
      <c r="Q405" s="381"/>
      <c r="R405" s="381"/>
      <c r="S405" s="381"/>
      <c r="T405" s="381"/>
      <c r="U405" s="381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373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381"/>
      <c r="P406" s="381"/>
      <c r="Q406" s="381"/>
      <c r="R406" s="381"/>
      <c r="S406" s="381"/>
      <c r="T406" s="381"/>
      <c r="U406" s="381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373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381"/>
      <c r="P407" s="381"/>
      <c r="Q407" s="381"/>
      <c r="R407" s="381"/>
      <c r="S407" s="381"/>
      <c r="T407" s="381"/>
      <c r="U407" s="381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373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381"/>
      <c r="P408" s="381"/>
      <c r="Q408" s="381"/>
      <c r="R408" s="381"/>
      <c r="S408" s="381"/>
      <c r="T408" s="381"/>
      <c r="U408" s="381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373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381"/>
      <c r="P409" s="381"/>
      <c r="Q409" s="381"/>
      <c r="R409" s="381"/>
      <c r="S409" s="381"/>
      <c r="T409" s="381"/>
      <c r="U409" s="381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373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381"/>
      <c r="P410" s="381"/>
      <c r="Q410" s="381"/>
      <c r="R410" s="381"/>
      <c r="S410" s="381"/>
      <c r="T410" s="381"/>
      <c r="U410" s="381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373">
        <f t="shared" si="171"/>
        <v>0</v>
      </c>
      <c r="I411" s="129"/>
      <c r="J411" s="130"/>
      <c r="K411" s="131"/>
      <c r="L411" s="129"/>
      <c r="M411" s="109"/>
      <c r="N411" s="130"/>
      <c r="O411" s="381"/>
      <c r="P411" s="381"/>
      <c r="Q411" s="381"/>
      <c r="R411" s="381"/>
      <c r="S411" s="381"/>
      <c r="T411" s="381"/>
      <c r="U411" s="381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373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381"/>
      <c r="P412" s="381"/>
      <c r="Q412" s="381"/>
      <c r="R412" s="381"/>
      <c r="S412" s="381"/>
      <c r="T412" s="381"/>
      <c r="U412" s="381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373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381"/>
      <c r="P413" s="381"/>
      <c r="Q413" s="381"/>
      <c r="R413" s="381"/>
      <c r="S413" s="381"/>
      <c r="T413" s="381"/>
      <c r="U413" s="381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373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381"/>
      <c r="P414" s="381"/>
      <c r="Q414" s="381"/>
      <c r="R414" s="381"/>
      <c r="S414" s="381"/>
      <c r="T414" s="381"/>
      <c r="U414" s="381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373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381"/>
      <c r="P415" s="381"/>
      <c r="Q415" s="381"/>
      <c r="R415" s="381"/>
      <c r="S415" s="381"/>
      <c r="T415" s="381"/>
      <c r="U415" s="381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373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381"/>
      <c r="P416" s="381"/>
      <c r="Q416" s="381"/>
      <c r="R416" s="381"/>
      <c r="S416" s="381"/>
      <c r="T416" s="381"/>
      <c r="U416" s="381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373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381"/>
      <c r="P417" s="381"/>
      <c r="Q417" s="381"/>
      <c r="R417" s="381"/>
      <c r="S417" s="381"/>
      <c r="T417" s="381"/>
      <c r="U417" s="381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373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381"/>
      <c r="P418" s="381"/>
      <c r="Q418" s="381"/>
      <c r="R418" s="381"/>
      <c r="S418" s="381"/>
      <c r="T418" s="381"/>
      <c r="U418" s="381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373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381"/>
      <c r="P419" s="381"/>
      <c r="Q419" s="381"/>
      <c r="R419" s="381"/>
      <c r="S419" s="381"/>
      <c r="T419" s="381"/>
      <c r="U419" s="381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373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381"/>
      <c r="P420" s="381"/>
      <c r="Q420" s="381"/>
      <c r="R420" s="381"/>
      <c r="S420" s="381"/>
      <c r="T420" s="381"/>
      <c r="U420" s="381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373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381"/>
      <c r="P421" s="381"/>
      <c r="Q421" s="381"/>
      <c r="R421" s="381"/>
      <c r="S421" s="381"/>
      <c r="T421" s="381"/>
      <c r="U421" s="381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373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381"/>
      <c r="P422" s="381"/>
      <c r="Q422" s="381"/>
      <c r="R422" s="381"/>
      <c r="S422" s="381"/>
      <c r="T422" s="381"/>
      <c r="U422" s="381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373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381"/>
      <c r="P423" s="381"/>
      <c r="Q423" s="381"/>
      <c r="R423" s="381"/>
      <c r="S423" s="381"/>
      <c r="T423" s="381"/>
      <c r="U423" s="381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373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381"/>
      <c r="P424" s="381"/>
      <c r="Q424" s="381"/>
      <c r="R424" s="381"/>
      <c r="S424" s="381"/>
      <c r="T424" s="381"/>
      <c r="U424" s="381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373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381"/>
      <c r="P425" s="381"/>
      <c r="Q425" s="381"/>
      <c r="R425" s="381"/>
      <c r="S425" s="381"/>
      <c r="T425" s="381"/>
      <c r="U425" s="381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41" t="s">
        <v>216</v>
      </c>
      <c r="B426" s="641"/>
      <c r="C426" s="382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372" t="s">
        <v>217</v>
      </c>
      <c r="C427" s="126" t="s">
        <v>179</v>
      </c>
      <c r="D427" s="108">
        <v>5.03</v>
      </c>
      <c r="E427" s="108"/>
      <c r="F427" s="127"/>
      <c r="G427" s="128"/>
      <c r="H427" s="373">
        <f t="shared" ref="H427:H460" si="196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7">IF(ISERROR(I427-K427),"",I427-K427)</f>
        <v>0</v>
      </c>
      <c r="N427" s="130">
        <f t="shared" ref="N427:N434" si="198">SUM(O427:U427)</f>
        <v>0</v>
      </c>
      <c r="O427" s="381"/>
      <c r="P427" s="381"/>
      <c r="Q427" s="381"/>
      <c r="R427" s="381"/>
      <c r="S427" s="381"/>
      <c r="T427" s="381"/>
      <c r="U427" s="381"/>
      <c r="V427" s="132">
        <f t="shared" ref="V427:V433" si="199">SUM(X427:AA427)</f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372" t="s">
        <v>217</v>
      </c>
      <c r="C428" s="126" t="s">
        <v>186</v>
      </c>
      <c r="D428" s="108">
        <v>5.03</v>
      </c>
      <c r="E428" s="108"/>
      <c r="F428" s="127"/>
      <c r="G428" s="128"/>
      <c r="H428" s="373">
        <f t="shared" si="196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7"/>
        <v>0</v>
      </c>
      <c r="N428" s="130">
        <f t="shared" si="198"/>
        <v>0</v>
      </c>
      <c r="O428" s="381"/>
      <c r="P428" s="381"/>
      <c r="Q428" s="381"/>
      <c r="R428" s="381"/>
      <c r="S428" s="381"/>
      <c r="T428" s="381"/>
      <c r="U428" s="381"/>
      <c r="V428" s="132">
        <f t="shared" si="199"/>
        <v>0</v>
      </c>
      <c r="W428" s="133" t="str">
        <f t="shared" si="195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372" t="s">
        <v>217</v>
      </c>
      <c r="C429" s="126" t="s">
        <v>204</v>
      </c>
      <c r="D429" s="108">
        <v>5.03</v>
      </c>
      <c r="E429" s="108"/>
      <c r="F429" s="127"/>
      <c r="G429" s="128"/>
      <c r="H429" s="373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7"/>
        <v>0</v>
      </c>
      <c r="N429" s="130">
        <f t="shared" si="198"/>
        <v>0</v>
      </c>
      <c r="O429" s="381"/>
      <c r="P429" s="381"/>
      <c r="Q429" s="381"/>
      <c r="R429" s="381"/>
      <c r="S429" s="381"/>
      <c r="T429" s="381"/>
      <c r="U429" s="381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373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381"/>
      <c r="P430" s="381"/>
      <c r="Q430" s="381"/>
      <c r="R430" s="381"/>
      <c r="S430" s="381"/>
      <c r="T430" s="381"/>
      <c r="U430" s="381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373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7"/>
        <v>0</v>
      </c>
      <c r="N431" s="130">
        <f t="shared" si="198"/>
        <v>0</v>
      </c>
      <c r="O431" s="381"/>
      <c r="P431" s="381"/>
      <c r="Q431" s="381"/>
      <c r="R431" s="381"/>
      <c r="S431" s="381"/>
      <c r="T431" s="381"/>
      <c r="U431" s="381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373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7"/>
        <v>0</v>
      </c>
      <c r="N432" s="130">
        <f t="shared" si="198"/>
        <v>0</v>
      </c>
      <c r="O432" s="381"/>
      <c r="P432" s="381"/>
      <c r="Q432" s="381"/>
      <c r="R432" s="381"/>
      <c r="S432" s="381"/>
      <c r="T432" s="381"/>
      <c r="U432" s="381"/>
      <c r="V432" s="132">
        <f t="shared" si="199"/>
        <v>0</v>
      </c>
      <c r="W432" s="133" t="str">
        <f t="shared" si="195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373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381"/>
      <c r="P433" s="381"/>
      <c r="Q433" s="381"/>
      <c r="R433" s="381"/>
      <c r="S433" s="381"/>
      <c r="T433" s="381"/>
      <c r="U433" s="381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373">
        <f t="shared" si="196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381"/>
      <c r="P434" s="381"/>
      <c r="Q434" s="381"/>
      <c r="R434" s="381"/>
      <c r="S434" s="381"/>
      <c r="T434" s="381"/>
      <c r="U434" s="381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373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381"/>
      <c r="P435" s="381"/>
      <c r="Q435" s="381"/>
      <c r="R435" s="381"/>
      <c r="S435" s="381"/>
      <c r="T435" s="381"/>
      <c r="U435" s="381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373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381"/>
      <c r="P436" s="381"/>
      <c r="Q436" s="381"/>
      <c r="R436" s="381"/>
      <c r="S436" s="381"/>
      <c r="T436" s="381"/>
      <c r="U436" s="381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373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381"/>
      <c r="P437" s="381"/>
      <c r="Q437" s="381"/>
      <c r="R437" s="381"/>
      <c r="S437" s="381"/>
      <c r="T437" s="381"/>
      <c r="U437" s="381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373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381"/>
      <c r="P438" s="381"/>
      <c r="Q438" s="381"/>
      <c r="R438" s="381"/>
      <c r="S438" s="381"/>
      <c r="T438" s="381"/>
      <c r="U438" s="381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373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381"/>
      <c r="P439" s="381"/>
      <c r="Q439" s="381"/>
      <c r="R439" s="381"/>
      <c r="S439" s="381"/>
      <c r="T439" s="381"/>
      <c r="U439" s="381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373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381"/>
      <c r="P440" s="381"/>
      <c r="Q440" s="381"/>
      <c r="R440" s="381"/>
      <c r="S440" s="381"/>
      <c r="T440" s="381"/>
      <c r="U440" s="381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373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381"/>
      <c r="P441" s="381"/>
      <c r="Q441" s="381"/>
      <c r="R441" s="381"/>
      <c r="S441" s="381"/>
      <c r="T441" s="381"/>
      <c r="U441" s="381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373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381"/>
      <c r="P442" s="381"/>
      <c r="Q442" s="381"/>
      <c r="R442" s="381"/>
      <c r="S442" s="381"/>
      <c r="T442" s="381"/>
      <c r="U442" s="381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372" t="s">
        <v>222</v>
      </c>
      <c r="C443" s="126" t="s">
        <v>181</v>
      </c>
      <c r="D443" s="108">
        <v>9.36</v>
      </c>
      <c r="E443" s="108"/>
      <c r="F443" s="127"/>
      <c r="G443" s="128"/>
      <c r="H443" s="373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381"/>
      <c r="P443" s="381"/>
      <c r="Q443" s="381"/>
      <c r="R443" s="381"/>
      <c r="S443" s="381"/>
      <c r="T443" s="381"/>
      <c r="U443" s="381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372" t="s">
        <v>222</v>
      </c>
      <c r="C444" s="126" t="s">
        <v>179</v>
      </c>
      <c r="D444" s="108">
        <v>9.36</v>
      </c>
      <c r="E444" s="108"/>
      <c r="F444" s="127"/>
      <c r="G444" s="128"/>
      <c r="H444" s="373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381"/>
      <c r="P444" s="381"/>
      <c r="Q444" s="381"/>
      <c r="R444" s="381"/>
      <c r="S444" s="381"/>
      <c r="T444" s="381"/>
      <c r="U444" s="381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372" t="s">
        <v>222</v>
      </c>
      <c r="C445" s="126" t="s">
        <v>221</v>
      </c>
      <c r="D445" s="108">
        <v>9.36</v>
      </c>
      <c r="E445" s="108"/>
      <c r="F445" s="127"/>
      <c r="G445" s="128"/>
      <c r="H445" s="373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381"/>
      <c r="P445" s="381"/>
      <c r="Q445" s="381"/>
      <c r="R445" s="381"/>
      <c r="S445" s="381"/>
      <c r="T445" s="381"/>
      <c r="U445" s="381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372" t="s">
        <v>222</v>
      </c>
      <c r="C446" s="126" t="s">
        <v>186</v>
      </c>
      <c r="D446" s="108">
        <v>9.36</v>
      </c>
      <c r="E446" s="108"/>
      <c r="F446" s="127"/>
      <c r="G446" s="128"/>
      <c r="H446" s="373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381"/>
      <c r="P446" s="381"/>
      <c r="Q446" s="381"/>
      <c r="R446" s="381"/>
      <c r="S446" s="381"/>
      <c r="T446" s="381"/>
      <c r="U446" s="381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372" t="s">
        <v>393</v>
      </c>
      <c r="C447" s="187" t="s">
        <v>395</v>
      </c>
      <c r="D447" s="108">
        <v>5</v>
      </c>
      <c r="E447" s="108"/>
      <c r="F447" s="127"/>
      <c r="G447" s="128"/>
      <c r="H447" s="373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381"/>
      <c r="P447" s="381"/>
      <c r="Q447" s="381"/>
      <c r="R447" s="381"/>
      <c r="S447" s="381"/>
      <c r="T447" s="381"/>
      <c r="U447" s="381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372" t="s">
        <v>393</v>
      </c>
      <c r="C448" s="187" t="s">
        <v>402</v>
      </c>
      <c r="D448" s="108">
        <v>5</v>
      </c>
      <c r="E448" s="108"/>
      <c r="F448" s="127"/>
      <c r="G448" s="128"/>
      <c r="H448" s="373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381"/>
      <c r="P448" s="381"/>
      <c r="Q448" s="381"/>
      <c r="R448" s="381"/>
      <c r="S448" s="381"/>
      <c r="T448" s="381"/>
      <c r="U448" s="381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372" t="s">
        <v>404</v>
      </c>
      <c r="C449" s="187" t="s">
        <v>405</v>
      </c>
      <c r="D449" s="108">
        <v>5</v>
      </c>
      <c r="E449" s="108"/>
      <c r="F449" s="127"/>
      <c r="G449" s="128"/>
      <c r="H449" s="373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381"/>
      <c r="P449" s="381"/>
      <c r="Q449" s="381"/>
      <c r="R449" s="381"/>
      <c r="S449" s="381"/>
      <c r="T449" s="381"/>
      <c r="U449" s="381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372" t="s">
        <v>342</v>
      </c>
      <c r="C450" s="187" t="s">
        <v>372</v>
      </c>
      <c r="D450" s="108">
        <v>5</v>
      </c>
      <c r="E450" s="108"/>
      <c r="F450" s="127"/>
      <c r="G450" s="128"/>
      <c r="H450" s="373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381"/>
      <c r="P450" s="381"/>
      <c r="Q450" s="381"/>
      <c r="R450" s="381"/>
      <c r="S450" s="381"/>
      <c r="T450" s="381"/>
      <c r="U450" s="381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372" t="s">
        <v>343</v>
      </c>
      <c r="C451" s="126" t="s">
        <v>345</v>
      </c>
      <c r="D451" s="108">
        <v>5</v>
      </c>
      <c r="E451" s="108"/>
      <c r="F451" s="127"/>
      <c r="G451" s="128"/>
      <c r="H451" s="373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381"/>
      <c r="P451" s="381"/>
      <c r="Q451" s="381"/>
      <c r="R451" s="381"/>
      <c r="S451" s="381"/>
      <c r="T451" s="381"/>
      <c r="U451" s="381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372" t="s">
        <v>343</v>
      </c>
      <c r="C452" s="126" t="s">
        <v>347</v>
      </c>
      <c r="D452" s="108">
        <v>5</v>
      </c>
      <c r="E452" s="108"/>
      <c r="F452" s="127"/>
      <c r="G452" s="128"/>
      <c r="H452" s="373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381"/>
      <c r="P452" s="381"/>
      <c r="Q452" s="381"/>
      <c r="R452" s="381"/>
      <c r="S452" s="381"/>
      <c r="T452" s="381"/>
      <c r="U452" s="381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373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381"/>
      <c r="P453" s="381"/>
      <c r="Q453" s="381"/>
      <c r="R453" s="381"/>
      <c r="S453" s="381"/>
      <c r="T453" s="381"/>
      <c r="U453" s="381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373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381"/>
      <c r="P454" s="381"/>
      <c r="Q454" s="381"/>
      <c r="R454" s="381"/>
      <c r="S454" s="381"/>
      <c r="T454" s="381"/>
      <c r="U454" s="381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373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381"/>
      <c r="P455" s="381"/>
      <c r="Q455" s="381"/>
      <c r="R455" s="381"/>
      <c r="S455" s="381"/>
      <c r="T455" s="381"/>
      <c r="U455" s="381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373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381"/>
      <c r="P456" s="381"/>
      <c r="Q456" s="381"/>
      <c r="R456" s="381"/>
      <c r="S456" s="381"/>
      <c r="T456" s="381"/>
      <c r="U456" s="381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373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381"/>
      <c r="P457" s="381"/>
      <c r="Q457" s="381"/>
      <c r="R457" s="381"/>
      <c r="S457" s="381"/>
      <c r="T457" s="381"/>
      <c r="U457" s="381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373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381"/>
      <c r="P458" s="381"/>
      <c r="Q458" s="381"/>
      <c r="R458" s="381"/>
      <c r="S458" s="381"/>
      <c r="T458" s="381"/>
      <c r="U458" s="381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373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381"/>
      <c r="P459" s="381"/>
      <c r="Q459" s="381"/>
      <c r="R459" s="381"/>
      <c r="S459" s="381"/>
      <c r="T459" s="381"/>
      <c r="U459" s="381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373">
        <f t="shared" si="196"/>
        <v>0</v>
      </c>
      <c r="I460" s="129"/>
      <c r="J460" s="130" t="str">
        <f t="array" ref="J460">IF(ISERROR(G460/I460),"",G460/I460)</f>
        <v/>
      </c>
      <c r="K460" s="373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381"/>
      <c r="P460" s="381"/>
      <c r="Q460" s="381"/>
      <c r="R460" s="381"/>
      <c r="S460" s="381"/>
      <c r="T460" s="381"/>
      <c r="U460" s="381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hidden="1" customHeight="1">
      <c r="A461" s="630" t="s">
        <v>224</v>
      </c>
      <c r="B461" s="631"/>
      <c r="C461" s="382" t="s">
        <v>202</v>
      </c>
      <c r="D461" s="143"/>
      <c r="E461" s="143"/>
      <c r="F461" s="144"/>
      <c r="G461" s="145">
        <f>SUM(G427:G460)</f>
        <v>0</v>
      </c>
      <c r="H461" s="146">
        <f>SUM(H427:H460)</f>
        <v>0</v>
      </c>
      <c r="I461" s="146">
        <f>SUM(I427:I460)</f>
        <v>0</v>
      </c>
      <c r="J461" s="130" t="str">
        <f t="array" ref="J461">IF(ISERROR(G461/I461),"",G461/I461)</f>
        <v/>
      </c>
      <c r="K461" s="146">
        <f>SUM(K427:K460)</f>
        <v>0</v>
      </c>
      <c r="L461" s="147"/>
      <c r="M461" s="150">
        <f t="shared" ref="M461:V461" si="210">SUM(M427:M460)</f>
        <v>0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 t="str">
        <f t="shared" si="209"/>
        <v/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373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381"/>
      <c r="P462" s="381"/>
      <c r="Q462" s="381"/>
      <c r="R462" s="381"/>
      <c r="S462" s="381"/>
      <c r="T462" s="381"/>
      <c r="U462" s="381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373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381"/>
      <c r="P463" s="381"/>
      <c r="Q463" s="381"/>
      <c r="R463" s="381"/>
      <c r="S463" s="381"/>
      <c r="T463" s="381"/>
      <c r="U463" s="381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373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381"/>
      <c r="P464" s="381"/>
      <c r="Q464" s="381"/>
      <c r="R464" s="381"/>
      <c r="S464" s="381"/>
      <c r="T464" s="381"/>
      <c r="U464" s="381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373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381"/>
      <c r="P465" s="381"/>
      <c r="Q465" s="381"/>
      <c r="R465" s="381"/>
      <c r="S465" s="381"/>
      <c r="T465" s="381"/>
      <c r="U465" s="381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378" t="s">
        <v>203</v>
      </c>
      <c r="D466" s="108">
        <v>5.03</v>
      </c>
      <c r="E466" s="108"/>
      <c r="F466" s="127"/>
      <c r="G466" s="128"/>
      <c r="H466" s="373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381"/>
      <c r="P466" s="381"/>
      <c r="Q466" s="381"/>
      <c r="R466" s="381"/>
      <c r="S466" s="381"/>
      <c r="T466" s="381"/>
      <c r="U466" s="381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373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381"/>
      <c r="P467" s="381"/>
      <c r="Q467" s="381"/>
      <c r="R467" s="381"/>
      <c r="S467" s="381"/>
      <c r="T467" s="381"/>
      <c r="U467" s="381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373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381"/>
      <c r="P468" s="381"/>
      <c r="Q468" s="381"/>
      <c r="R468" s="381"/>
      <c r="S468" s="381"/>
      <c r="T468" s="381"/>
      <c r="U468" s="381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378" t="s">
        <v>228</v>
      </c>
      <c r="D469" s="108">
        <v>5.03</v>
      </c>
      <c r="E469" s="108"/>
      <c r="F469" s="127"/>
      <c r="G469" s="128"/>
      <c r="H469" s="373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381"/>
      <c r="P469" s="381"/>
      <c r="Q469" s="381"/>
      <c r="R469" s="381"/>
      <c r="S469" s="381"/>
      <c r="T469" s="381"/>
      <c r="U469" s="381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378" t="s">
        <v>212</v>
      </c>
      <c r="D470" s="108">
        <v>5.03</v>
      </c>
      <c r="E470" s="108"/>
      <c r="F470" s="127"/>
      <c r="G470" s="128"/>
      <c r="H470" s="373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381"/>
      <c r="P470" s="381"/>
      <c r="Q470" s="381"/>
      <c r="R470" s="381"/>
      <c r="S470" s="381"/>
      <c r="T470" s="381"/>
      <c r="U470" s="381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378" t="s">
        <v>203</v>
      </c>
      <c r="D471" s="108">
        <v>5.03</v>
      </c>
      <c r="E471" s="108"/>
      <c r="F471" s="127"/>
      <c r="G471" s="128"/>
      <c r="H471" s="373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381"/>
      <c r="P471" s="381"/>
      <c r="Q471" s="381"/>
      <c r="R471" s="381"/>
      <c r="S471" s="381"/>
      <c r="T471" s="381"/>
      <c r="U471" s="381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378" t="s">
        <v>186</v>
      </c>
      <c r="D472" s="108">
        <v>5.03</v>
      </c>
      <c r="E472" s="108"/>
      <c r="F472" s="127"/>
      <c r="G472" s="128"/>
      <c r="H472" s="373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381"/>
      <c r="P472" s="381"/>
      <c r="Q472" s="381"/>
      <c r="R472" s="381"/>
      <c r="S472" s="381"/>
      <c r="T472" s="381"/>
      <c r="U472" s="381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378" t="s">
        <v>228</v>
      </c>
      <c r="D473" s="108">
        <v>5.03</v>
      </c>
      <c r="E473" s="108"/>
      <c r="F473" s="127"/>
      <c r="G473" s="128"/>
      <c r="H473" s="373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381"/>
      <c r="P473" s="381"/>
      <c r="Q473" s="381"/>
      <c r="R473" s="381"/>
      <c r="S473" s="381"/>
      <c r="T473" s="381"/>
      <c r="U473" s="381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378" t="s">
        <v>199</v>
      </c>
      <c r="D474" s="108">
        <v>5.03</v>
      </c>
      <c r="E474" s="108"/>
      <c r="F474" s="127"/>
      <c r="G474" s="128"/>
      <c r="H474" s="373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381"/>
      <c r="P474" s="381"/>
      <c r="Q474" s="381"/>
      <c r="R474" s="381"/>
      <c r="S474" s="381"/>
      <c r="T474" s="381"/>
      <c r="U474" s="381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373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381"/>
      <c r="P475" s="381"/>
      <c r="Q475" s="381"/>
      <c r="R475" s="381"/>
      <c r="S475" s="381"/>
      <c r="T475" s="381"/>
      <c r="U475" s="381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373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381"/>
      <c r="P476" s="381"/>
      <c r="Q476" s="381"/>
      <c r="R476" s="381"/>
      <c r="S476" s="381"/>
      <c r="T476" s="381"/>
      <c r="U476" s="381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630" t="s">
        <v>231</v>
      </c>
      <c r="B477" s="631"/>
      <c r="C477" s="382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373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381"/>
      <c r="P478" s="381"/>
      <c r="Q478" s="381"/>
      <c r="R478" s="381"/>
      <c r="S478" s="381"/>
      <c r="T478" s="381"/>
      <c r="U478" s="381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373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381"/>
      <c r="P479" s="381"/>
      <c r="Q479" s="381"/>
      <c r="R479" s="381"/>
      <c r="S479" s="381"/>
      <c r="T479" s="381"/>
      <c r="U479" s="381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373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381"/>
      <c r="P480" s="381"/>
      <c r="Q480" s="381"/>
      <c r="R480" s="381"/>
      <c r="S480" s="381"/>
      <c r="T480" s="381"/>
      <c r="U480" s="381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373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381"/>
      <c r="P481" s="381"/>
      <c r="Q481" s="381"/>
      <c r="R481" s="381"/>
      <c r="S481" s="381"/>
      <c r="T481" s="381"/>
      <c r="U481" s="381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373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381"/>
      <c r="P482" s="381"/>
      <c r="Q482" s="381"/>
      <c r="R482" s="381"/>
      <c r="S482" s="381"/>
      <c r="T482" s="381"/>
      <c r="U482" s="381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373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381"/>
      <c r="P483" s="381"/>
      <c r="Q483" s="381"/>
      <c r="R483" s="381"/>
      <c r="S483" s="381"/>
      <c r="T483" s="381"/>
      <c r="U483" s="381"/>
      <c r="V483" s="132"/>
      <c r="W483" s="133"/>
      <c r="X483" s="132"/>
      <c r="Y483" s="132"/>
      <c r="Z483" s="132"/>
      <c r="AA483" s="132"/>
    </row>
    <row r="484" spans="1:27" ht="20.10000000000000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470"/>
      <c r="P484" s="470"/>
      <c r="Q484" s="470"/>
      <c r="R484" s="470"/>
      <c r="S484" s="470"/>
      <c r="T484" s="470"/>
      <c r="U484" s="470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373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381"/>
      <c r="P486" s="381"/>
      <c r="Q486" s="381"/>
      <c r="R486" s="381"/>
      <c r="S486" s="381"/>
      <c r="T486" s="381"/>
      <c r="U486" s="381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30" t="s">
        <v>234</v>
      </c>
      <c r="B487" s="631"/>
      <c r="C487" s="382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379"/>
      <c r="D488" s="108">
        <v>3.65</v>
      </c>
      <c r="E488" s="108"/>
      <c r="F488" s="153"/>
      <c r="G488" s="128"/>
      <c r="H488" s="373">
        <f t="shared" ref="H488:H502" si="223">D488*G488</f>
        <v>0</v>
      </c>
      <c r="I488" s="129"/>
      <c r="J488" s="130" t="str">
        <f t="array" ref="J488">IF(ISERROR(G488/I488),"",G488/I488)</f>
        <v/>
      </c>
      <c r="K488" s="373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381"/>
      <c r="P488" s="381"/>
      <c r="Q488" s="381"/>
      <c r="R488" s="381"/>
      <c r="S488" s="381"/>
      <c r="T488" s="381"/>
      <c r="U488" s="381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379"/>
      <c r="D489" s="108">
        <v>6.58</v>
      </c>
      <c r="E489" s="108"/>
      <c r="F489" s="127"/>
      <c r="G489" s="128"/>
      <c r="H489" s="373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381"/>
      <c r="P489" s="381"/>
      <c r="Q489" s="381"/>
      <c r="R489" s="381"/>
      <c r="S489" s="381"/>
      <c r="T489" s="381"/>
      <c r="U489" s="381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379"/>
      <c r="D490" s="108">
        <v>7.8</v>
      </c>
      <c r="E490" s="108"/>
      <c r="F490" s="127"/>
      <c r="G490" s="128"/>
      <c r="H490" s="373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381"/>
      <c r="P490" s="381"/>
      <c r="Q490" s="381"/>
      <c r="R490" s="381"/>
      <c r="S490" s="381"/>
      <c r="T490" s="381"/>
      <c r="U490" s="381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379"/>
      <c r="D491" s="108">
        <v>4.4000000000000004</v>
      </c>
      <c r="E491" s="108"/>
      <c r="F491" s="127"/>
      <c r="G491" s="128"/>
      <c r="H491" s="373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381"/>
      <c r="P491" s="381"/>
      <c r="Q491" s="381"/>
      <c r="R491" s="381"/>
      <c r="S491" s="381"/>
      <c r="T491" s="381"/>
      <c r="U491" s="381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373">
        <f t="shared" si="223"/>
        <v>0</v>
      </c>
      <c r="I492" s="129"/>
      <c r="J492" s="130"/>
      <c r="K492" s="131"/>
      <c r="L492" s="129"/>
      <c r="M492" s="109"/>
      <c r="N492" s="130"/>
      <c r="O492" s="381"/>
      <c r="P492" s="381"/>
      <c r="Q492" s="381"/>
      <c r="R492" s="381"/>
      <c r="S492" s="381"/>
      <c r="T492" s="381"/>
      <c r="U492" s="381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379"/>
      <c r="D493" s="108"/>
      <c r="E493" s="108"/>
      <c r="F493" s="127"/>
      <c r="G493" s="128"/>
      <c r="H493" s="373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381"/>
      <c r="P493" s="381"/>
      <c r="Q493" s="381"/>
      <c r="R493" s="381"/>
      <c r="S493" s="381"/>
      <c r="T493" s="381"/>
      <c r="U493" s="381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379" t="s">
        <v>239</v>
      </c>
      <c r="C494" s="379" t="s">
        <v>179</v>
      </c>
      <c r="D494" s="108">
        <v>6.04</v>
      </c>
      <c r="E494" s="108"/>
      <c r="F494" s="127"/>
      <c r="G494" s="128"/>
      <c r="H494" s="373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381"/>
      <c r="P494" s="381"/>
      <c r="Q494" s="381"/>
      <c r="R494" s="381"/>
      <c r="S494" s="381"/>
      <c r="T494" s="381"/>
      <c r="U494" s="381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379" t="s">
        <v>239</v>
      </c>
      <c r="C495" s="379" t="s">
        <v>186</v>
      </c>
      <c r="D495" s="108">
        <v>6.04</v>
      </c>
      <c r="E495" s="108"/>
      <c r="F495" s="127"/>
      <c r="G495" s="128"/>
      <c r="H495" s="373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381"/>
      <c r="P495" s="381"/>
      <c r="Q495" s="381"/>
      <c r="R495" s="381"/>
      <c r="S495" s="381"/>
      <c r="T495" s="381"/>
      <c r="U495" s="381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379" t="s">
        <v>443</v>
      </c>
      <c r="C496" s="379" t="s">
        <v>179</v>
      </c>
      <c r="D496" s="108"/>
      <c r="E496" s="108"/>
      <c r="F496" s="127"/>
      <c r="G496" s="128"/>
      <c r="H496" s="373">
        <f t="shared" si="223"/>
        <v>0</v>
      </c>
      <c r="I496" s="129"/>
      <c r="J496" s="130"/>
      <c r="K496" s="131"/>
      <c r="L496" s="129"/>
      <c r="M496" s="109"/>
      <c r="N496" s="130"/>
      <c r="O496" s="381"/>
      <c r="P496" s="381"/>
      <c r="Q496" s="381"/>
      <c r="R496" s="381"/>
      <c r="S496" s="381"/>
      <c r="T496" s="381"/>
      <c r="U496" s="381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379" t="s">
        <v>443</v>
      </c>
      <c r="C497" s="379" t="s">
        <v>186</v>
      </c>
      <c r="D497" s="108"/>
      <c r="E497" s="108"/>
      <c r="F497" s="127"/>
      <c r="G497" s="128"/>
      <c r="H497" s="373">
        <f t="shared" si="223"/>
        <v>0</v>
      </c>
      <c r="I497" s="129"/>
      <c r="J497" s="130"/>
      <c r="K497" s="131"/>
      <c r="L497" s="129"/>
      <c r="M497" s="109"/>
      <c r="N497" s="130"/>
      <c r="O497" s="381"/>
      <c r="P497" s="381"/>
      <c r="Q497" s="381"/>
      <c r="R497" s="381"/>
      <c r="S497" s="381"/>
      <c r="T497" s="381"/>
      <c r="U497" s="381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372" t="s">
        <v>240</v>
      </c>
      <c r="C498" s="126"/>
      <c r="D498" s="108">
        <v>7.3</v>
      </c>
      <c r="E498" s="108"/>
      <c r="F498" s="127"/>
      <c r="G498" s="128"/>
      <c r="H498" s="373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381"/>
      <c r="P498" s="381"/>
      <c r="Q498" s="381"/>
      <c r="R498" s="381"/>
      <c r="S498" s="381"/>
      <c r="T498" s="381"/>
      <c r="U498" s="381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372" t="s">
        <v>241</v>
      </c>
      <c r="C499" s="126"/>
      <c r="D499" s="108">
        <f>78*120/1000</f>
        <v>9.36</v>
      </c>
      <c r="E499" s="108"/>
      <c r="F499" s="127"/>
      <c r="G499" s="128"/>
      <c r="H499" s="373">
        <f t="shared" si="223"/>
        <v>0</v>
      </c>
      <c r="I499" s="129"/>
      <c r="J499" s="130"/>
      <c r="K499" s="131"/>
      <c r="L499" s="129"/>
      <c r="M499" s="109"/>
      <c r="N499" s="130"/>
      <c r="O499" s="381"/>
      <c r="P499" s="381"/>
      <c r="Q499" s="381"/>
      <c r="R499" s="381"/>
      <c r="S499" s="381"/>
      <c r="T499" s="381"/>
      <c r="U499" s="381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372" t="s">
        <v>242</v>
      </c>
      <c r="C500" s="126"/>
      <c r="D500" s="108">
        <v>4.5</v>
      </c>
      <c r="E500" s="108"/>
      <c r="F500" s="127"/>
      <c r="G500" s="128"/>
      <c r="H500" s="373">
        <f t="shared" si="223"/>
        <v>0</v>
      </c>
      <c r="I500" s="129"/>
      <c r="J500" s="130"/>
      <c r="K500" s="131"/>
      <c r="L500" s="129"/>
      <c r="M500" s="109"/>
      <c r="N500" s="130"/>
      <c r="O500" s="381"/>
      <c r="P500" s="381"/>
      <c r="Q500" s="381"/>
      <c r="R500" s="381"/>
      <c r="S500" s="381"/>
      <c r="T500" s="381"/>
      <c r="U500" s="381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372" t="s">
        <v>243</v>
      </c>
      <c r="C501" s="126"/>
      <c r="D501" s="108">
        <v>4.5</v>
      </c>
      <c r="E501" s="108"/>
      <c r="F501" s="127"/>
      <c r="G501" s="128"/>
      <c r="H501" s="373">
        <f t="shared" si="223"/>
        <v>0</v>
      </c>
      <c r="I501" s="129"/>
      <c r="J501" s="130"/>
      <c r="K501" s="131"/>
      <c r="L501" s="129"/>
      <c r="M501" s="109"/>
      <c r="N501" s="130"/>
      <c r="O501" s="381"/>
      <c r="P501" s="381"/>
      <c r="Q501" s="381"/>
      <c r="R501" s="381"/>
      <c r="S501" s="381"/>
      <c r="T501" s="381"/>
      <c r="U501" s="381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372"/>
      <c r="C502" s="126"/>
      <c r="D502" s="108"/>
      <c r="E502" s="108"/>
      <c r="F502" s="127"/>
      <c r="G502" s="128"/>
      <c r="H502" s="373">
        <f t="shared" si="223"/>
        <v>0</v>
      </c>
      <c r="I502" s="129"/>
      <c r="J502" s="130"/>
      <c r="K502" s="131"/>
      <c r="L502" s="129"/>
      <c r="M502" s="109"/>
      <c r="N502" s="130"/>
      <c r="O502" s="381"/>
      <c r="P502" s="381"/>
      <c r="Q502" s="381"/>
      <c r="R502" s="381"/>
      <c r="S502" s="381"/>
      <c r="T502" s="381"/>
      <c r="U502" s="381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30" t="s">
        <v>244</v>
      </c>
      <c r="B503" s="631"/>
      <c r="C503" s="382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632" t="s">
        <v>246</v>
      </c>
      <c r="B504" s="633"/>
      <c r="C504" s="633"/>
      <c r="D504" s="633"/>
      <c r="E504" s="633"/>
      <c r="F504" s="634"/>
      <c r="G504" s="154">
        <f>SUM(G368,G426,G461,G477,G487,G503)</f>
        <v>0</v>
      </c>
      <c r="H504" s="154">
        <f>SUM(H368,H426,H461,H477,H487,H503)</f>
        <v>0</v>
      </c>
      <c r="I504" s="154">
        <f>SUM(I368,I426,I461,I477,I487,I503)</f>
        <v>0</v>
      </c>
      <c r="J504" s="155" t="str">
        <f t="array" ref="J504">IF(ISERROR(G504/I504),"",G504/I504)</f>
        <v/>
      </c>
      <c r="K504" s="154">
        <f>SUM(K368,K426,K461,K477,K487,K503)</f>
        <v>0</v>
      </c>
      <c r="L504" s="155" t="str">
        <f>IF(ISERROR(G504/K504),"",G504/K504)</f>
        <v/>
      </c>
      <c r="M504" s="154">
        <f t="shared" ref="M504:V504" si="236">SUM(M368,M426,M461,M477,M487,M503)</f>
        <v>0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 t="str">
        <f t="shared" ref="W504" si="237">IF(ISERROR(V504/G504),"",V504/G504)</f>
        <v/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35" t="s">
        <v>476</v>
      </c>
      <c r="B505" s="375" t="s">
        <v>247</v>
      </c>
      <c r="C505" s="638" t="s">
        <v>248</v>
      </c>
      <c r="D505" s="639"/>
      <c r="E505" s="640" t="s">
        <v>249</v>
      </c>
      <c r="F505" s="640"/>
      <c r="G505" s="643" t="s">
        <v>250</v>
      </c>
      <c r="H505" s="643"/>
      <c r="I505" s="640" t="s">
        <v>251</v>
      </c>
      <c r="J505" s="640"/>
      <c r="K505" s="640" t="s">
        <v>252</v>
      </c>
      <c r="L505" s="640"/>
      <c r="M505" s="640" t="s">
        <v>253</v>
      </c>
      <c r="N505" s="640"/>
      <c r="O505" s="640" t="s">
        <v>254</v>
      </c>
      <c r="P505" s="643" t="s">
        <v>255</v>
      </c>
      <c r="Q505" s="643"/>
      <c r="R505" s="643" t="s">
        <v>252</v>
      </c>
      <c r="S505" s="643"/>
      <c r="T505" s="643" t="s">
        <v>256</v>
      </c>
      <c r="U505" s="643"/>
      <c r="V505" s="643" t="s">
        <v>257</v>
      </c>
      <c r="W505" s="643"/>
      <c r="X505" s="643" t="s">
        <v>252</v>
      </c>
      <c r="Y505" s="643"/>
      <c r="Z505" s="643" t="s">
        <v>256</v>
      </c>
      <c r="AA505" s="643"/>
    </row>
    <row r="506" spans="1:27" ht="20.100000000000001" customHeight="1">
      <c r="A506" s="636"/>
      <c r="B506" s="375" t="s">
        <v>258</v>
      </c>
      <c r="C506" s="638">
        <v>0</v>
      </c>
      <c r="D506" s="639"/>
      <c r="E506" s="642">
        <f>C506*11</f>
        <v>0</v>
      </c>
      <c r="F506" s="642"/>
      <c r="G506" s="643">
        <v>0</v>
      </c>
      <c r="H506" s="643"/>
      <c r="I506" s="642">
        <f>G506*11</f>
        <v>0</v>
      </c>
      <c r="J506" s="642"/>
      <c r="K506" s="642">
        <f>E506-I506</f>
        <v>0</v>
      </c>
      <c r="L506" s="642"/>
      <c r="M506" s="644" t="str">
        <f>IF(ISERROR(K506/E506),"",K506/E506)</f>
        <v/>
      </c>
      <c r="N506" s="644"/>
      <c r="O506" s="640"/>
      <c r="P506" s="643" t="s">
        <v>201</v>
      </c>
      <c r="Q506" s="643"/>
      <c r="R506" s="645">
        <f>SUM(O368:U368)</f>
        <v>0</v>
      </c>
      <c r="S506" s="645"/>
      <c r="T506" s="646" t="str">
        <f t="array" ref="T506">IF(ISERROR(R506/R513),"",R506/R513)</f>
        <v/>
      </c>
      <c r="U506" s="646"/>
      <c r="V506" s="643" t="s">
        <v>259</v>
      </c>
      <c r="W506" s="643"/>
      <c r="X506" s="647">
        <f>SUM(O368,O426,O461,O477,O487,O503)</f>
        <v>0</v>
      </c>
      <c r="Y506" s="647"/>
      <c r="Z506" s="646" t="str">
        <f t="array" ref="Z506">IF(ISERROR(X506/X513),"",X506/X513)</f>
        <v/>
      </c>
      <c r="AA506" s="646"/>
    </row>
    <row r="507" spans="1:27" ht="20.100000000000001" customHeight="1">
      <c r="A507" s="636"/>
      <c r="B507" s="375" t="s">
        <v>260</v>
      </c>
      <c r="C507" s="638">
        <v>0</v>
      </c>
      <c r="D507" s="639"/>
      <c r="E507" s="642">
        <f>C507*11</f>
        <v>0</v>
      </c>
      <c r="F507" s="642"/>
      <c r="G507" s="643">
        <v>0</v>
      </c>
      <c r="H507" s="643"/>
      <c r="I507" s="642">
        <f>G507*11</f>
        <v>0</v>
      </c>
      <c r="J507" s="642"/>
      <c r="K507" s="642">
        <f>E507-I507</f>
        <v>0</v>
      </c>
      <c r="L507" s="642"/>
      <c r="M507" s="644" t="str">
        <f>IF(ISERROR(K507/E507),"",K507/E507)</f>
        <v/>
      </c>
      <c r="N507" s="644"/>
      <c r="O507" s="640"/>
      <c r="P507" s="643" t="s">
        <v>216</v>
      </c>
      <c r="Q507" s="643"/>
      <c r="R507" s="645">
        <f>SUM(O426:U426)</f>
        <v>0</v>
      </c>
      <c r="S507" s="645"/>
      <c r="T507" s="646" t="str">
        <f>IF(ISERROR(R507/R513),"",R507/R513)</f>
        <v/>
      </c>
      <c r="U507" s="646"/>
      <c r="V507" s="643" t="s">
        <v>261</v>
      </c>
      <c r="W507" s="643"/>
      <c r="X507" s="647">
        <f>SUM(O369,O427,O462,O478,O488,O504)</f>
        <v>0</v>
      </c>
      <c r="Y507" s="647"/>
      <c r="Z507" s="646" t="str">
        <f>IF(ISERROR(X507/X513),"",X507/X513)</f>
        <v/>
      </c>
      <c r="AA507" s="646"/>
    </row>
    <row r="508" spans="1:27" ht="20.100000000000001" customHeight="1">
      <c r="A508" s="636"/>
      <c r="B508" s="375" t="s">
        <v>262</v>
      </c>
      <c r="C508" s="638">
        <v>0</v>
      </c>
      <c r="D508" s="639"/>
      <c r="E508" s="642">
        <f>C508*11</f>
        <v>0</v>
      </c>
      <c r="F508" s="642"/>
      <c r="G508" s="643">
        <v>0</v>
      </c>
      <c r="H508" s="643"/>
      <c r="I508" s="642">
        <f>G508*11</f>
        <v>0</v>
      </c>
      <c r="J508" s="642"/>
      <c r="K508" s="642">
        <f>E508-I508</f>
        <v>0</v>
      </c>
      <c r="L508" s="642"/>
      <c r="M508" s="644" t="str">
        <f>IF(ISERROR(K508/E508),"",K508/E508)</f>
        <v/>
      </c>
      <c r="N508" s="644"/>
      <c r="O508" s="640"/>
      <c r="P508" s="643" t="s">
        <v>224</v>
      </c>
      <c r="Q508" s="643"/>
      <c r="R508" s="645">
        <f>SUM(O461:U461)</f>
        <v>0</v>
      </c>
      <c r="S508" s="645"/>
      <c r="T508" s="646" t="str">
        <f>IF(ISERROR(R508/R513),"",R508/R513)</f>
        <v/>
      </c>
      <c r="U508" s="646"/>
      <c r="V508" s="643" t="s">
        <v>263</v>
      </c>
      <c r="W508" s="643"/>
      <c r="X508" s="647">
        <f>SUM(O371,O428,O463,O479,O489,O505)</f>
        <v>0</v>
      </c>
      <c r="Y508" s="647"/>
      <c r="Z508" s="646" t="str">
        <f>IF(ISERROR(X508/X513),"",X508/X513)</f>
        <v/>
      </c>
      <c r="AA508" s="646"/>
    </row>
    <row r="509" spans="1:27" ht="20.100000000000001" customHeight="1">
      <c r="A509" s="636"/>
      <c r="B509" s="375" t="s">
        <v>264</v>
      </c>
      <c r="C509" s="638">
        <v>1</v>
      </c>
      <c r="D509" s="639"/>
      <c r="E509" s="642">
        <f>C509*11</f>
        <v>11</v>
      </c>
      <c r="F509" s="642"/>
      <c r="G509" s="643">
        <v>1</v>
      </c>
      <c r="H509" s="643"/>
      <c r="I509" s="642">
        <f>G509*11</f>
        <v>11</v>
      </c>
      <c r="J509" s="642"/>
      <c r="K509" s="642">
        <f>E509-I509</f>
        <v>0</v>
      </c>
      <c r="L509" s="642"/>
      <c r="M509" s="644">
        <f>IF(ISERROR(K509/E509),"",K509/E509)</f>
        <v>0</v>
      </c>
      <c r="N509" s="644"/>
      <c r="O509" s="640"/>
      <c r="P509" s="643" t="s">
        <v>231</v>
      </c>
      <c r="Q509" s="643"/>
      <c r="R509" s="645">
        <f>SUM(O477:U477)</f>
        <v>0</v>
      </c>
      <c r="S509" s="645"/>
      <c r="T509" s="646" t="str">
        <f>IF(ISERROR(R509/R513),"",R509/R513)</f>
        <v/>
      </c>
      <c r="U509" s="646"/>
      <c r="V509" s="643" t="s">
        <v>265</v>
      </c>
      <c r="W509" s="643"/>
      <c r="X509" s="647">
        <f>SUM(O372,O429,O464,O480,O490,O506)</f>
        <v>0</v>
      </c>
      <c r="Y509" s="647"/>
      <c r="Z509" s="646" t="str">
        <f>IF(ISERROR(X509/X513),"",X509/X513)</f>
        <v/>
      </c>
      <c r="AA509" s="646"/>
    </row>
    <row r="510" spans="1:27" ht="20.100000000000001" customHeight="1">
      <c r="A510" s="637"/>
      <c r="B510" s="375" t="s">
        <v>266</v>
      </c>
      <c r="C510" s="648">
        <f>SUM(C506:D509)</f>
        <v>1</v>
      </c>
      <c r="D510" s="649"/>
      <c r="E510" s="642">
        <f>SUM(E506:F509)</f>
        <v>11</v>
      </c>
      <c r="F510" s="642"/>
      <c r="G510" s="643">
        <f>SUM(G506:H509)</f>
        <v>1</v>
      </c>
      <c r="H510" s="643"/>
      <c r="I510" s="642">
        <f>SUM(I506:J509)</f>
        <v>11</v>
      </c>
      <c r="J510" s="642"/>
      <c r="K510" s="642">
        <f>SUM(K506:L509)</f>
        <v>0</v>
      </c>
      <c r="L510" s="642"/>
      <c r="M510" s="644">
        <f>IF(ISERROR(K510/E510),"",K510/E510)</f>
        <v>0</v>
      </c>
      <c r="N510" s="644"/>
      <c r="O510" s="640"/>
      <c r="P510" s="643" t="s">
        <v>234</v>
      </c>
      <c r="Q510" s="643"/>
      <c r="R510" s="645">
        <f>SUM(O487:U487)</f>
        <v>0</v>
      </c>
      <c r="S510" s="645"/>
      <c r="T510" s="646" t="str">
        <f>IF(ISERROR(R510/R513),"",R510/R513)</f>
        <v/>
      </c>
      <c r="U510" s="646"/>
      <c r="V510" s="643" t="s">
        <v>267</v>
      </c>
      <c r="W510" s="643"/>
      <c r="X510" s="647">
        <f>SUM(O373,O430,O465,O481,O491,O507)</f>
        <v>0</v>
      </c>
      <c r="Y510" s="647"/>
      <c r="Z510" s="646" t="str">
        <f>IF(ISERROR(X510/X513),"",X510/X513)</f>
        <v/>
      </c>
      <c r="AA510" s="646"/>
    </row>
    <row r="511" spans="1:27" ht="20.100000000000001" customHeight="1">
      <c r="A511" s="307" t="s">
        <v>477</v>
      </c>
      <c r="B511" s="375">
        <f>G504</f>
        <v>0</v>
      </c>
      <c r="C511" s="650" t="s">
        <v>269</v>
      </c>
      <c r="D511" s="651"/>
      <c r="E511" s="643">
        <f>H504</f>
        <v>0</v>
      </c>
      <c r="F511" s="643"/>
      <c r="G511" s="643" t="s">
        <v>270</v>
      </c>
      <c r="H511" s="643"/>
      <c r="I511" s="652" t="str">
        <f>L504</f>
        <v/>
      </c>
      <c r="J511" s="652"/>
      <c r="K511" s="640" t="s">
        <v>271</v>
      </c>
      <c r="L511" s="640"/>
      <c r="M511" s="652" t="str">
        <f>J504</f>
        <v/>
      </c>
      <c r="N511" s="652"/>
      <c r="O511" s="640"/>
      <c r="P511" s="643" t="s">
        <v>244</v>
      </c>
      <c r="Q511" s="643"/>
      <c r="R511" s="645">
        <f>SUM(O503:U503)</f>
        <v>0</v>
      </c>
      <c r="S511" s="645"/>
      <c r="T511" s="646" t="str">
        <f>IF(ISERROR(R511/R513),"",R511/R513)</f>
        <v/>
      </c>
      <c r="U511" s="646"/>
      <c r="V511" s="643" t="s">
        <v>272</v>
      </c>
      <c r="W511" s="643"/>
      <c r="X511" s="647">
        <f>SUM(O374,O431,O466,O482,O492,O508)</f>
        <v>0</v>
      </c>
      <c r="Y511" s="647"/>
      <c r="Z511" s="646" t="str">
        <f>IF(ISERROR(X511/X513),"",X511/X513)</f>
        <v/>
      </c>
      <c r="AA511" s="646"/>
    </row>
    <row r="512" spans="1:27" ht="20.100000000000001" customHeight="1">
      <c r="A512" s="308" t="s">
        <v>478</v>
      </c>
      <c r="B512" s="375">
        <f>I504+C510</f>
        <v>1</v>
      </c>
      <c r="C512" s="653" t="s">
        <v>251</v>
      </c>
      <c r="D512" s="654"/>
      <c r="E512" s="655">
        <f>K504+I510</f>
        <v>11</v>
      </c>
      <c r="F512" s="655"/>
      <c r="G512" s="643" t="s">
        <v>274</v>
      </c>
      <c r="H512" s="643"/>
      <c r="I512" s="652">
        <f>B512-E512</f>
        <v>-10</v>
      </c>
      <c r="J512" s="652"/>
      <c r="K512" s="640" t="s">
        <v>275</v>
      </c>
      <c r="L512" s="640"/>
      <c r="M512" s="644">
        <f>IF(ISERROR(I512/E512),"",I512/E512)</f>
        <v>-0.90909090909090906</v>
      </c>
      <c r="N512" s="644"/>
      <c r="O512" s="640"/>
      <c r="P512" s="643" t="s">
        <v>245</v>
      </c>
      <c r="Q512" s="643"/>
      <c r="R512" s="645"/>
      <c r="S512" s="645"/>
      <c r="T512" s="646" t="str">
        <f>IF(ISERROR(R512/R513),"",R512/R513)</f>
        <v/>
      </c>
      <c r="U512" s="646"/>
      <c r="V512" s="643" t="s">
        <v>264</v>
      </c>
      <c r="W512" s="643"/>
      <c r="X512" s="647">
        <f>SUM(O375,O432,O467,O486,O493,O509)</f>
        <v>0</v>
      </c>
      <c r="Y512" s="647"/>
      <c r="Z512" s="646" t="str">
        <f>IF(ISERROR(X512/X513),"",X512/X513)</f>
        <v/>
      </c>
      <c r="AA512" s="646"/>
    </row>
    <row r="513" spans="1:27" ht="20.100000000000001" customHeight="1">
      <c r="A513" s="308" t="s">
        <v>479</v>
      </c>
      <c r="B513" s="375">
        <f>N504</f>
        <v>0</v>
      </c>
      <c r="C513" s="653" t="s">
        <v>277</v>
      </c>
      <c r="D513" s="654"/>
      <c r="E513" s="646">
        <f>IF(ISERROR(B513/B512),"",B513/B512)</f>
        <v>0</v>
      </c>
      <c r="F513" s="646"/>
      <c r="G513" s="643" t="s">
        <v>278</v>
      </c>
      <c r="H513" s="643"/>
      <c r="I513" s="640">
        <f>V504</f>
        <v>0</v>
      </c>
      <c r="J513" s="640"/>
      <c r="K513" s="640" t="s">
        <v>279</v>
      </c>
      <c r="L513" s="640"/>
      <c r="M513" s="644" t="str">
        <f t="array" ref="M513">IF(ISERROR(I513/B511),"",I513/B511)</f>
        <v/>
      </c>
      <c r="N513" s="644"/>
      <c r="O513" s="640"/>
      <c r="P513" s="643" t="s">
        <v>266</v>
      </c>
      <c r="Q513" s="643"/>
      <c r="R513" s="645">
        <f>SUM(R506:S512)</f>
        <v>0</v>
      </c>
      <c r="S513" s="645"/>
      <c r="T513" s="646"/>
      <c r="U513" s="646"/>
      <c r="V513" s="643" t="s">
        <v>266</v>
      </c>
      <c r="W513" s="643"/>
      <c r="X513" s="647">
        <f>SUM(X506:Y512)</f>
        <v>0</v>
      </c>
      <c r="Y513" s="647"/>
      <c r="Z513" s="646"/>
      <c r="AA513" s="646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682" t="str">
        <f>IF(ISERROR(#REF!/#REF!),"",#REF!/#REF!)</f>
        <v/>
      </c>
      <c r="H514" s="682"/>
      <c r="I514" s="682"/>
      <c r="J514" s="125"/>
      <c r="K514" s="160"/>
      <c r="L514" s="122"/>
      <c r="M514" s="122"/>
      <c r="N514" s="682" t="str">
        <f>IF(ISERROR(G514/#REF!),"",G514/#REF!)</f>
        <v/>
      </c>
      <c r="O514" s="682"/>
      <c r="P514" s="682"/>
      <c r="Q514" s="682"/>
      <c r="R514" s="682"/>
      <c r="S514" s="376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685" t="s">
        <v>268</v>
      </c>
      <c r="B516" s="685"/>
      <c r="C516" s="638">
        <f>SUM(B170,B340,B511)</f>
        <v>1418</v>
      </c>
      <c r="D516" s="639"/>
      <c r="E516" s="685" t="s">
        <v>269</v>
      </c>
      <c r="F516" s="685"/>
      <c r="G516" s="655">
        <f>SUM(E170,E340,E511)</f>
        <v>7847.06</v>
      </c>
      <c r="H516" s="655"/>
      <c r="I516" s="643" t="s">
        <v>270</v>
      </c>
      <c r="J516" s="685"/>
      <c r="K516" s="638">
        <f>IF(ISERROR(C516/G517),"",C516/G517)</f>
        <v>7.5851322494027098</v>
      </c>
      <c r="L516" s="639"/>
      <c r="M516" s="643" t="s">
        <v>271</v>
      </c>
      <c r="N516" s="643"/>
      <c r="O516" s="680">
        <f t="array" ref="O516">IF(ISERROR(C516/C517),"",C516/C517)</f>
        <v>4.2839879154078551</v>
      </c>
      <c r="P516" s="681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643" t="s">
        <v>273</v>
      </c>
      <c r="B517" s="643"/>
      <c r="C517" s="638">
        <f>SUM(B171,B341,B512)</f>
        <v>331</v>
      </c>
      <c r="D517" s="639"/>
      <c r="E517" s="643" t="s">
        <v>251</v>
      </c>
      <c r="F517" s="643"/>
      <c r="G517" s="655">
        <f>SUM(E171,E341,E512)</f>
        <v>186.94466403162056</v>
      </c>
      <c r="H517" s="655"/>
      <c r="I517" s="653" t="s">
        <v>274</v>
      </c>
      <c r="J517" s="654"/>
      <c r="K517" s="650">
        <f>C517-G517</f>
        <v>144.05533596837944</v>
      </c>
      <c r="L517" s="651"/>
      <c r="M517" s="650" t="s">
        <v>275</v>
      </c>
      <c r="N517" s="651"/>
      <c r="O517" s="683">
        <f>IF(ISERROR(K517/C517),"",K517/C517)</f>
        <v>0.43521249537274753</v>
      </c>
      <c r="P517" s="684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653" t="s">
        <v>276</v>
      </c>
      <c r="B518" s="654"/>
      <c r="C518" s="638">
        <f>SUM(B172,B342,B513)</f>
        <v>0</v>
      </c>
      <c r="D518" s="639"/>
      <c r="E518" s="653" t="s">
        <v>277</v>
      </c>
      <c r="F518" s="654"/>
      <c r="G518" s="646">
        <f>IF(ISERROR(C518/C517),"",C518/C517)</f>
        <v>0</v>
      </c>
      <c r="H518" s="646"/>
      <c r="I518" s="643" t="s">
        <v>278</v>
      </c>
      <c r="J518" s="685"/>
      <c r="K518" s="655">
        <f>SUM(I172,I342,I513)</f>
        <v>0</v>
      </c>
      <c r="L518" s="655"/>
      <c r="M518" s="685" t="s">
        <v>279</v>
      </c>
      <c r="N518" s="685"/>
      <c r="O518" s="683">
        <f t="array" ref="O518">IF(ISERROR(K518/C516),"",K518/C516)</f>
        <v>0</v>
      </c>
      <c r="P518" s="684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376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653" t="s">
        <v>298</v>
      </c>
      <c r="B520" s="654"/>
      <c r="C520" s="653" t="s">
        <v>299</v>
      </c>
      <c r="D520" s="654"/>
      <c r="E520" s="653" t="s">
        <v>256</v>
      </c>
      <c r="F520" s="654"/>
      <c r="G520" s="686" t="s">
        <v>254</v>
      </c>
      <c r="H520" s="687"/>
      <c r="I520" s="653" t="s">
        <v>255</v>
      </c>
      <c r="J520" s="651"/>
      <c r="K520" s="653" t="s">
        <v>300</v>
      </c>
      <c r="L520" s="654"/>
      <c r="M520" s="653" t="s">
        <v>256</v>
      </c>
      <c r="N520" s="654"/>
      <c r="O520" s="643" t="s">
        <v>257</v>
      </c>
      <c r="P520" s="643"/>
      <c r="Q520" s="653" t="s">
        <v>300</v>
      </c>
      <c r="R520" s="654"/>
      <c r="S520" s="653" t="s">
        <v>256</v>
      </c>
      <c r="T520" s="654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692" t="s">
        <v>201</v>
      </c>
      <c r="B521" s="654"/>
      <c r="C521" s="653">
        <f>SUM(G28,G198,G368)</f>
        <v>0</v>
      </c>
      <c r="D521" s="654"/>
      <c r="E521" s="693">
        <f>IF(ISERROR(C521/C527),"",C521/C527)</f>
        <v>0</v>
      </c>
      <c r="F521" s="694"/>
      <c r="G521" s="688"/>
      <c r="H521" s="689"/>
      <c r="I521" s="695" t="s">
        <v>301</v>
      </c>
      <c r="J521" s="696"/>
      <c r="K521" s="650">
        <f t="shared" ref="K521:K526" si="238">SUM(R165,U335,U506)</f>
        <v>0</v>
      </c>
      <c r="L521" s="651"/>
      <c r="M521" s="693" t="str">
        <f t="array" ref="M521">IF(ISERROR(K521/K527),"",K521/K527)</f>
        <v/>
      </c>
      <c r="N521" s="694"/>
      <c r="O521" s="643" t="s">
        <v>259</v>
      </c>
      <c r="P521" s="643"/>
      <c r="Q521" s="680">
        <f t="shared" ref="Q521:Q526" si="239">SUM(X165,AA335,AA506)</f>
        <v>0</v>
      </c>
      <c r="R521" s="681"/>
      <c r="S521" s="693" t="str">
        <f t="array" ref="S521">IF(ISERROR(Q521/Q527),"",Q521/Q527)</f>
        <v/>
      </c>
      <c r="T521" s="694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692" t="s">
        <v>216</v>
      </c>
      <c r="B522" s="654"/>
      <c r="C522" s="653">
        <f>SUM(G86,G256,G426)</f>
        <v>0</v>
      </c>
      <c r="D522" s="654"/>
      <c r="E522" s="693">
        <f>IF(ISERROR(C522/C527),"",C522/C527)</f>
        <v>0</v>
      </c>
      <c r="F522" s="694"/>
      <c r="G522" s="688"/>
      <c r="H522" s="689"/>
      <c r="I522" s="695" t="s">
        <v>302</v>
      </c>
      <c r="J522" s="696"/>
      <c r="K522" s="650">
        <f t="shared" si="238"/>
        <v>0</v>
      </c>
      <c r="L522" s="651"/>
      <c r="M522" s="693" t="str">
        <f>IF(ISERROR(K522/K527),"",K522/K527)</f>
        <v/>
      </c>
      <c r="N522" s="694"/>
      <c r="O522" s="643" t="s">
        <v>261</v>
      </c>
      <c r="P522" s="643"/>
      <c r="Q522" s="680">
        <f t="shared" si="239"/>
        <v>0</v>
      </c>
      <c r="R522" s="681"/>
      <c r="S522" s="693" t="str">
        <f>IF(ISERROR(Q522/Q527),"",Q522/Q527)</f>
        <v/>
      </c>
      <c r="T522" s="694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692" t="s">
        <v>224</v>
      </c>
      <c r="B523" s="654"/>
      <c r="C523" s="653">
        <f>SUM(G121,G291,G461)</f>
        <v>70</v>
      </c>
      <c r="D523" s="654"/>
      <c r="E523" s="693">
        <f>IF(ISERROR(C523/C527),"",C523/C527)</f>
        <v>4.9365303244005641E-2</v>
      </c>
      <c r="F523" s="694"/>
      <c r="G523" s="688"/>
      <c r="H523" s="689"/>
      <c r="I523" s="695" t="s">
        <v>303</v>
      </c>
      <c r="J523" s="696"/>
      <c r="K523" s="650">
        <f t="shared" si="238"/>
        <v>0</v>
      </c>
      <c r="L523" s="651"/>
      <c r="M523" s="693" t="str">
        <f>IF(ISERROR(K523/K527),"",K523/K527)</f>
        <v/>
      </c>
      <c r="N523" s="694"/>
      <c r="O523" s="643" t="s">
        <v>263</v>
      </c>
      <c r="P523" s="643"/>
      <c r="Q523" s="680">
        <f t="shared" si="239"/>
        <v>0</v>
      </c>
      <c r="R523" s="681"/>
      <c r="S523" s="693" t="str">
        <f>IF(ISERROR(Q523/Q527),"",Q523/Q527)</f>
        <v/>
      </c>
      <c r="T523" s="694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692" t="s">
        <v>231</v>
      </c>
      <c r="B524" s="654"/>
      <c r="C524" s="653">
        <f>SUM(G137,G307,G477)</f>
        <v>0</v>
      </c>
      <c r="D524" s="654"/>
      <c r="E524" s="693">
        <f>IF(ISERROR(C524/C527),"",C524/C527)</f>
        <v>0</v>
      </c>
      <c r="F524" s="694"/>
      <c r="G524" s="688"/>
      <c r="H524" s="689"/>
      <c r="I524" s="695" t="s">
        <v>304</v>
      </c>
      <c r="J524" s="696"/>
      <c r="K524" s="650">
        <f t="shared" si="238"/>
        <v>0</v>
      </c>
      <c r="L524" s="651"/>
      <c r="M524" s="693" t="str">
        <f>IF(ISERROR(K524/K527),"",K524/K527)</f>
        <v/>
      </c>
      <c r="N524" s="694"/>
      <c r="O524" s="643" t="s">
        <v>305</v>
      </c>
      <c r="P524" s="643"/>
      <c r="Q524" s="680">
        <f t="shared" si="239"/>
        <v>0</v>
      </c>
      <c r="R524" s="681"/>
      <c r="S524" s="693" t="str">
        <f>IF(ISERROR(Q524/Q527),"",Q524/Q527)</f>
        <v/>
      </c>
      <c r="T524" s="694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92" t="s">
        <v>234</v>
      </c>
      <c r="B525" s="654"/>
      <c r="C525" s="653">
        <f>SUM(G147,G317,G487)</f>
        <v>1094</v>
      </c>
      <c r="D525" s="654"/>
      <c r="E525" s="693">
        <f>IF(ISERROR(C525/C527),"",C525/C527)</f>
        <v>0.77150916784203105</v>
      </c>
      <c r="F525" s="694"/>
      <c r="G525" s="688"/>
      <c r="H525" s="689"/>
      <c r="I525" s="695" t="s">
        <v>306</v>
      </c>
      <c r="J525" s="696"/>
      <c r="K525" s="650">
        <f t="shared" si="238"/>
        <v>0</v>
      </c>
      <c r="L525" s="651"/>
      <c r="M525" s="693" t="str">
        <f>IF(ISERROR(K525/K527),"",K525/K527)</f>
        <v/>
      </c>
      <c r="N525" s="694"/>
      <c r="O525" s="643" t="s">
        <v>267</v>
      </c>
      <c r="P525" s="643"/>
      <c r="Q525" s="680">
        <f t="shared" si="239"/>
        <v>0</v>
      </c>
      <c r="R525" s="681"/>
      <c r="S525" s="693" t="str">
        <f>IF(ISERROR(Q525/Q527),"",Q525/Q527)</f>
        <v/>
      </c>
      <c r="T525" s="694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92" t="s">
        <v>244</v>
      </c>
      <c r="B526" s="654"/>
      <c r="C526" s="653">
        <f>SUM(G162,G332,G503)</f>
        <v>254</v>
      </c>
      <c r="D526" s="654"/>
      <c r="E526" s="693">
        <f>IF(ISERROR(C526/C527),"",C526/C527)</f>
        <v>0.17912552891396333</v>
      </c>
      <c r="F526" s="694"/>
      <c r="G526" s="688"/>
      <c r="H526" s="689"/>
      <c r="I526" s="695" t="s">
        <v>307</v>
      </c>
      <c r="J526" s="696"/>
      <c r="K526" s="650">
        <f t="shared" si="238"/>
        <v>0</v>
      </c>
      <c r="L526" s="651"/>
      <c r="M526" s="693" t="str">
        <f>IF(ISERROR(K526/K527),"",K526/K527)</f>
        <v/>
      </c>
      <c r="N526" s="694"/>
      <c r="O526" s="643" t="s">
        <v>272</v>
      </c>
      <c r="P526" s="643"/>
      <c r="Q526" s="680">
        <f t="shared" si="239"/>
        <v>0</v>
      </c>
      <c r="R526" s="681"/>
      <c r="S526" s="693" t="str">
        <f>IF(ISERROR(Q526/Q527),"",Q526/Q527)</f>
        <v/>
      </c>
      <c r="T526" s="694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53" t="s">
        <v>266</v>
      </c>
      <c r="B527" s="654"/>
      <c r="C527" s="653">
        <f>SUM(C521:C526)</f>
        <v>1418</v>
      </c>
      <c r="D527" s="654"/>
      <c r="E527" s="693">
        <f>SUM(E521:F526)</f>
        <v>1</v>
      </c>
      <c r="F527" s="694"/>
      <c r="G527" s="690"/>
      <c r="H527" s="691"/>
      <c r="I527" s="653" t="s">
        <v>266</v>
      </c>
      <c r="J527" s="651"/>
      <c r="K527" s="650">
        <f>SUM(R172,U342,U513)</f>
        <v>0</v>
      </c>
      <c r="L527" s="651"/>
      <c r="M527" s="693"/>
      <c r="N527" s="694"/>
      <c r="O527" s="643" t="s">
        <v>266</v>
      </c>
      <c r="P527" s="643"/>
      <c r="Q527" s="680">
        <f>SUM(Q521:R526)</f>
        <v>0</v>
      </c>
      <c r="R527" s="681"/>
      <c r="S527" s="693">
        <f>SUM(S521:T526)</f>
        <v>0</v>
      </c>
      <c r="T527" s="694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695" t="s">
        <v>308</v>
      </c>
      <c r="B529" s="649"/>
      <c r="C529" s="379" t="s">
        <v>309</v>
      </c>
      <c r="D529" s="379" t="s">
        <v>310</v>
      </c>
      <c r="E529" s="379" t="s">
        <v>311</v>
      </c>
      <c r="F529" s="379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381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373" t="s">
        <v>322</v>
      </c>
      <c r="Q529" s="129" t="s">
        <v>323</v>
      </c>
      <c r="R529" s="109" t="s">
        <v>324</v>
      </c>
      <c r="S529" s="379" t="s">
        <v>325</v>
      </c>
      <c r="T529" s="379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697" t="s">
        <v>327</v>
      </c>
      <c r="B530" s="698"/>
      <c r="C530" s="106">
        <f>D530+E530+F530-G530-O530-P530</f>
        <v>31</v>
      </c>
      <c r="D530" s="106">
        <v>31</v>
      </c>
      <c r="E530" s="106"/>
      <c r="F530" s="106"/>
      <c r="G530" s="107"/>
      <c r="H530" s="106">
        <v>2</v>
      </c>
      <c r="I530" s="106"/>
      <c r="J530" s="106">
        <f>C530-H530-I530</f>
        <v>29</v>
      </c>
      <c r="K530" s="106"/>
      <c r="L530" s="106"/>
      <c r="M530" s="106"/>
      <c r="N530" s="106"/>
      <c r="O530" s="106"/>
      <c r="P530" s="108"/>
      <c r="Q530" s="106">
        <f>J530-K530-L530</f>
        <v>29</v>
      </c>
      <c r="R530" s="109">
        <f>Q530*11-M530-N530</f>
        <v>319</v>
      </c>
      <c r="S530" s="380">
        <f t="array" ref="S530">IF(ISERROR(Q530/J530),"",Q530/J530)</f>
        <v>1</v>
      </c>
      <c r="T530" s="380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697" t="s">
        <v>328</v>
      </c>
      <c r="B531" s="698"/>
      <c r="C531" s="106">
        <f>D531+E531+F531-G531-O531-P531</f>
        <v>30</v>
      </c>
      <c r="D531" s="110">
        <v>30</v>
      </c>
      <c r="E531" s="110"/>
      <c r="F531" s="110"/>
      <c r="G531" s="107"/>
      <c r="H531" s="106"/>
      <c r="I531" s="106"/>
      <c r="J531" s="106">
        <f>C531-H531-I531</f>
        <v>30</v>
      </c>
      <c r="K531" s="106"/>
      <c r="L531" s="106"/>
      <c r="M531" s="106"/>
      <c r="N531" s="106"/>
      <c r="O531" s="110"/>
      <c r="P531" s="111"/>
      <c r="Q531" s="106">
        <f>J531-K531-L531</f>
        <v>30</v>
      </c>
      <c r="R531" s="109">
        <f>Q531*11-M531-N531</f>
        <v>330</v>
      </c>
      <c r="S531" s="380">
        <f t="array" ref="S531">IF(ISERROR(Q531/J531),"",Q531/J531)</f>
        <v>1</v>
      </c>
      <c r="T531" s="380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697" t="s">
        <v>329</v>
      </c>
      <c r="B532" s="698"/>
      <c r="C532" s="106">
        <f>D532+E532+F532-G532-O532-P532</f>
        <v>10</v>
      </c>
      <c r="D532" s="110">
        <v>10</v>
      </c>
      <c r="E532" s="110"/>
      <c r="F532" s="110"/>
      <c r="G532" s="107"/>
      <c r="H532" s="106">
        <v>10</v>
      </c>
      <c r="I532" s="106"/>
      <c r="J532" s="106">
        <f>C532-H532-I532</f>
        <v>0</v>
      </c>
      <c r="K532" s="106"/>
      <c r="L532" s="106"/>
      <c r="M532" s="106"/>
      <c r="N532" s="106"/>
      <c r="O532" s="110"/>
      <c r="P532" s="111"/>
      <c r="Q532" s="106">
        <f>J532-K532-L532</f>
        <v>0</v>
      </c>
      <c r="R532" s="109">
        <f>Q532*11-M532-N532</f>
        <v>0</v>
      </c>
      <c r="S532" s="380" t="str">
        <f t="array" ref="S532">IF(ISERROR(Q532/J532),"",Q532/J532)</f>
        <v/>
      </c>
      <c r="T532" s="380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699" t="s">
        <v>330</v>
      </c>
      <c r="B533" s="700"/>
      <c r="C533" s="112">
        <f>SUM(C530:C532)</f>
        <v>71</v>
      </c>
      <c r="D533" s="112">
        <f t="shared" ref="D533:N533" si="240">SUM(D530:D532)</f>
        <v>71</v>
      </c>
      <c r="E533" s="112">
        <f t="shared" si="240"/>
        <v>0</v>
      </c>
      <c r="F533" s="112">
        <f t="shared" si="240"/>
        <v>0</v>
      </c>
      <c r="G533" s="113">
        <f t="shared" si="240"/>
        <v>0</v>
      </c>
      <c r="H533" s="112">
        <f t="shared" si="240"/>
        <v>12</v>
      </c>
      <c r="I533" s="112">
        <f t="shared" si="240"/>
        <v>0</v>
      </c>
      <c r="J533" s="112">
        <f t="shared" si="240"/>
        <v>59</v>
      </c>
      <c r="K533" s="112">
        <f t="shared" si="240"/>
        <v>0</v>
      </c>
      <c r="L533" s="112">
        <f t="shared" si="240"/>
        <v>0</v>
      </c>
      <c r="M533" s="112">
        <f t="shared" si="240"/>
        <v>0</v>
      </c>
      <c r="N533" s="112">
        <f t="shared" si="240"/>
        <v>0</v>
      </c>
      <c r="O533" s="112">
        <f>SUM(O530:O532)</f>
        <v>0</v>
      </c>
      <c r="P533" s="112">
        <f>SUM(P530:P532)</f>
        <v>0</v>
      </c>
      <c r="Q533" s="112">
        <f>SUM(Q530:Q532)</f>
        <v>59</v>
      </c>
      <c r="R533" s="114">
        <f>SUM(R530:R532)</f>
        <v>649</v>
      </c>
      <c r="S533" s="115">
        <f t="array" ref="S533">IF(ISERROR(Q533/J533),"",Q533/J533)</f>
        <v>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107" activePane="bottomRight" state="frozen"/>
      <selection activeCell="F484" sqref="F484"/>
      <selection pane="topRight" activeCell="F484" sqref="F484"/>
      <selection pane="bottomLeft" activeCell="F484" sqref="F484"/>
      <selection pane="bottomRight" activeCell="F484" sqref="F48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07" t="s">
        <v>413</v>
      </c>
      <c r="B1" s="607"/>
      <c r="C1" s="607"/>
      <c r="D1" s="607"/>
      <c r="E1" s="607"/>
      <c r="F1" s="607"/>
      <c r="G1" s="607"/>
      <c r="H1" s="607"/>
      <c r="I1" s="607"/>
      <c r="J1" s="607"/>
      <c r="K1" s="607"/>
      <c r="L1" s="607"/>
      <c r="M1" s="607"/>
      <c r="N1" s="607"/>
      <c r="O1" s="607"/>
      <c r="P1" s="607"/>
      <c r="Q1" s="607"/>
      <c r="R1" s="607"/>
      <c r="S1" s="607"/>
      <c r="T1" s="607"/>
      <c r="U1" s="607"/>
      <c r="V1" s="607"/>
      <c r="W1" s="607"/>
      <c r="X1" s="607"/>
      <c r="Y1" s="607"/>
      <c r="Z1" s="607"/>
      <c r="AA1" s="607"/>
    </row>
    <row r="2" spans="1:27" ht="18.75">
      <c r="A2" s="608"/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09" t="s">
        <v>12</v>
      </c>
      <c r="B4" s="609" t="s">
        <v>25</v>
      </c>
      <c r="C4" s="609" t="s">
        <v>26</v>
      </c>
      <c r="D4" s="609" t="s">
        <v>27</v>
      </c>
      <c r="E4" s="612" t="s">
        <v>28</v>
      </c>
      <c r="F4" s="615" t="s">
        <v>29</v>
      </c>
      <c r="G4" s="618" t="s">
        <v>30</v>
      </c>
      <c r="H4" s="618"/>
      <c r="I4" s="609" t="s">
        <v>31</v>
      </c>
      <c r="J4" s="621" t="s">
        <v>32</v>
      </c>
      <c r="K4" s="624" t="s">
        <v>33</v>
      </c>
      <c r="L4" s="609" t="s">
        <v>34</v>
      </c>
      <c r="M4" s="627" t="s">
        <v>35</v>
      </c>
      <c r="N4" s="629" t="s">
        <v>36</v>
      </c>
      <c r="O4" s="618" t="s">
        <v>37</v>
      </c>
      <c r="P4" s="618"/>
      <c r="Q4" s="618"/>
      <c r="R4" s="618"/>
      <c r="S4" s="618"/>
      <c r="T4" s="618"/>
      <c r="U4" s="618"/>
      <c r="V4" s="618" t="s">
        <v>38</v>
      </c>
      <c r="W4" s="629" t="s">
        <v>39</v>
      </c>
      <c r="X4" s="618" t="s">
        <v>40</v>
      </c>
      <c r="Y4" s="618"/>
      <c r="Z4" s="618"/>
      <c r="AA4" s="618"/>
    </row>
    <row r="5" spans="1:27" s="104" customFormat="1" ht="15" customHeight="1">
      <c r="A5" s="610"/>
      <c r="B5" s="610"/>
      <c r="C5" s="610"/>
      <c r="D5" s="610"/>
      <c r="E5" s="613"/>
      <c r="F5" s="616"/>
      <c r="G5" s="618"/>
      <c r="H5" s="618"/>
      <c r="I5" s="610"/>
      <c r="J5" s="622"/>
      <c r="K5" s="625"/>
      <c r="L5" s="610"/>
      <c r="M5" s="628"/>
      <c r="N5" s="629"/>
      <c r="O5" s="618" t="s">
        <v>41</v>
      </c>
      <c r="P5" s="618" t="s">
        <v>42</v>
      </c>
      <c r="Q5" s="618" t="s">
        <v>43</v>
      </c>
      <c r="R5" s="619" t="s">
        <v>44</v>
      </c>
      <c r="S5" s="620" t="s">
        <v>45</v>
      </c>
      <c r="T5" s="618" t="s">
        <v>46</v>
      </c>
      <c r="U5" s="618" t="s">
        <v>47</v>
      </c>
      <c r="V5" s="618"/>
      <c r="W5" s="629"/>
      <c r="X5" s="618" t="s">
        <v>13</v>
      </c>
      <c r="Y5" s="618" t="s">
        <v>48</v>
      </c>
      <c r="Z5" s="618" t="s">
        <v>49</v>
      </c>
      <c r="AA5" s="618" t="s">
        <v>47</v>
      </c>
    </row>
    <row r="6" spans="1:27" s="104" customFormat="1" ht="27.75" customHeight="1">
      <c r="A6" s="611"/>
      <c r="B6" s="611"/>
      <c r="C6" s="611"/>
      <c r="D6" s="611"/>
      <c r="E6" s="614"/>
      <c r="F6" s="617"/>
      <c r="G6" s="350" t="s">
        <v>50</v>
      </c>
      <c r="H6" s="456" t="s">
        <v>51</v>
      </c>
      <c r="I6" s="611"/>
      <c r="J6" s="623"/>
      <c r="K6" s="626"/>
      <c r="L6" s="611"/>
      <c r="M6" s="628"/>
      <c r="N6" s="629"/>
      <c r="O6" s="618"/>
      <c r="P6" s="618"/>
      <c r="Q6" s="618"/>
      <c r="R6" s="619"/>
      <c r="S6" s="620"/>
      <c r="T6" s="618"/>
      <c r="U6" s="618"/>
      <c r="V6" s="618"/>
      <c r="W6" s="629"/>
      <c r="X6" s="618"/>
      <c r="Y6" s="618"/>
      <c r="Z6" s="618"/>
      <c r="AA6" s="618"/>
    </row>
    <row r="7" spans="1:27" ht="20.100000000000001" hidden="1" customHeight="1">
      <c r="A7" s="299">
        <v>30100030</v>
      </c>
      <c r="B7" s="459" t="s">
        <v>178</v>
      </c>
      <c r="C7" s="126" t="s">
        <v>179</v>
      </c>
      <c r="D7" s="108">
        <v>5.03</v>
      </c>
      <c r="E7" s="108"/>
      <c r="F7" s="127"/>
      <c r="G7" s="128"/>
      <c r="H7" s="467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58"/>
      <c r="P7" s="458"/>
      <c r="Q7" s="458"/>
      <c r="R7" s="458"/>
      <c r="S7" s="458"/>
      <c r="T7" s="458"/>
      <c r="U7" s="458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67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58"/>
      <c r="Q8" s="458"/>
      <c r="R8" s="458"/>
      <c r="S8" s="458"/>
      <c r="T8" s="458"/>
      <c r="U8" s="458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67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58"/>
      <c r="P9" s="458"/>
      <c r="Q9" s="458"/>
      <c r="R9" s="458"/>
      <c r="S9" s="458"/>
      <c r="T9" s="458"/>
      <c r="U9" s="458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67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58"/>
      <c r="P10" s="458"/>
      <c r="Q10" s="458"/>
      <c r="R10" s="458"/>
      <c r="S10" s="458"/>
      <c r="T10" s="458"/>
      <c r="U10" s="458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67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58"/>
      <c r="P11" s="458"/>
      <c r="Q11" s="458"/>
      <c r="R11" s="458"/>
      <c r="S11" s="458"/>
      <c r="T11" s="458"/>
      <c r="U11" s="458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27">
        <v>42715</v>
      </c>
      <c r="G12" s="128">
        <f>65+25</f>
        <v>90</v>
      </c>
      <c r="H12" s="467">
        <f t="shared" si="0"/>
        <v>453.6</v>
      </c>
      <c r="I12" s="128">
        <f>1*3</f>
        <v>3</v>
      </c>
      <c r="J12" s="130">
        <f t="array" ref="J12">IF(ISERROR(G12/I12),"",G12/I12)</f>
        <v>30</v>
      </c>
      <c r="K12" s="131">
        <f t="array" ref="K12">IF(ISERROR(G12/L12),"",G12/L12)</f>
        <v>4.7368421052631575</v>
      </c>
      <c r="L12" s="129">
        <v>19</v>
      </c>
      <c r="M12" s="109">
        <f t="shared" si="1"/>
        <v>-1.7368421052631575</v>
      </c>
      <c r="N12" s="130">
        <f t="shared" si="4"/>
        <v>0</v>
      </c>
      <c r="O12" s="458"/>
      <c r="P12" s="458"/>
      <c r="Q12" s="458"/>
      <c r="R12" s="458"/>
      <c r="S12" s="458"/>
      <c r="T12" s="458"/>
      <c r="U12" s="458"/>
      <c r="V12" s="132">
        <f t="shared" si="2"/>
        <v>0</v>
      </c>
      <c r="W12" s="133">
        <f t="shared" si="3"/>
        <v>0</v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67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58"/>
      <c r="P13" s="458"/>
      <c r="Q13" s="458"/>
      <c r="R13" s="458"/>
      <c r="S13" s="458"/>
      <c r="T13" s="458"/>
      <c r="U13" s="458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67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58"/>
      <c r="P14" s="458"/>
      <c r="Q14" s="458"/>
      <c r="R14" s="458"/>
      <c r="S14" s="458"/>
      <c r="T14" s="458"/>
      <c r="U14" s="458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67">
        <f t="shared" si="0"/>
        <v>0</v>
      </c>
      <c r="I15" s="467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58"/>
      <c r="P15" s="458"/>
      <c r="Q15" s="458"/>
      <c r="R15" s="458"/>
      <c r="S15" s="458"/>
      <c r="T15" s="458"/>
      <c r="U15" s="458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67">
        <f t="shared" si="0"/>
        <v>0</v>
      </c>
      <c r="I16" s="467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58"/>
      <c r="P16" s="458"/>
      <c r="Q16" s="458"/>
      <c r="R16" s="458"/>
      <c r="S16" s="458"/>
      <c r="T16" s="458"/>
      <c r="U16" s="458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67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58"/>
      <c r="P17" s="458"/>
      <c r="Q17" s="458"/>
      <c r="R17" s="458"/>
      <c r="S17" s="458"/>
      <c r="T17" s="458"/>
      <c r="U17" s="458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67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58"/>
      <c r="P18" s="458"/>
      <c r="Q18" s="458"/>
      <c r="R18" s="458"/>
      <c r="S18" s="458"/>
      <c r="T18" s="458"/>
      <c r="U18" s="458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42714</v>
      </c>
      <c r="G19" s="128">
        <f>33+57+90*6</f>
        <v>630</v>
      </c>
      <c r="H19" s="467">
        <f t="shared" si="0"/>
        <v>3187.7999999999997</v>
      </c>
      <c r="I19" s="129">
        <f>11*5</f>
        <v>55</v>
      </c>
      <c r="J19" s="130">
        <f t="array" ref="J19">IF(ISERROR(G19/I19),"",G19/I19)</f>
        <v>11.454545454545455</v>
      </c>
      <c r="K19" s="131">
        <f t="array" ref="K19">IF(ISERROR(G19/L19),"",G19/L19)</f>
        <v>33.157894736842103</v>
      </c>
      <c r="L19" s="129">
        <v>19</v>
      </c>
      <c r="M19" s="109">
        <f t="shared" si="1"/>
        <v>21.842105263157897</v>
      </c>
      <c r="N19" s="129">
        <f t="shared" si="4"/>
        <v>0</v>
      </c>
      <c r="O19" s="458"/>
      <c r="P19" s="458"/>
      <c r="Q19" s="458"/>
      <c r="R19" s="458"/>
      <c r="S19" s="458"/>
      <c r="T19" s="458"/>
      <c r="U19" s="458"/>
      <c r="V19" s="132">
        <f t="shared" ref="V19:V21" si="5">SUM(X19:AA19)</f>
        <v>0</v>
      </c>
      <c r="W19" s="461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67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58"/>
      <c r="P20" s="458"/>
      <c r="Q20" s="458"/>
      <c r="R20" s="458"/>
      <c r="S20" s="458"/>
      <c r="T20" s="458"/>
      <c r="U20" s="458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67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58"/>
      <c r="P21" s="458"/>
      <c r="Q21" s="458"/>
      <c r="R21" s="458"/>
      <c r="S21" s="458"/>
      <c r="T21" s="458"/>
      <c r="U21" s="458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57" t="s">
        <v>190</v>
      </c>
      <c r="D22" s="108">
        <v>4.8</v>
      </c>
      <c r="E22" s="108"/>
      <c r="F22" s="127"/>
      <c r="G22" s="128"/>
      <c r="H22" s="467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58"/>
      <c r="P22" s="458"/>
      <c r="Q22" s="458"/>
      <c r="R22" s="458"/>
      <c r="S22" s="458"/>
      <c r="T22" s="458"/>
      <c r="U22" s="458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57" t="s">
        <v>187</v>
      </c>
      <c r="D23" s="108">
        <v>4.8</v>
      </c>
      <c r="E23" s="108"/>
      <c r="F23" s="127"/>
      <c r="G23" s="128"/>
      <c r="H23" s="467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58"/>
      <c r="P23" s="458"/>
      <c r="Q23" s="458"/>
      <c r="R23" s="458"/>
      <c r="S23" s="458"/>
      <c r="T23" s="458"/>
      <c r="U23" s="458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57" t="s">
        <v>179</v>
      </c>
      <c r="D24" s="108">
        <v>4.8</v>
      </c>
      <c r="E24" s="108"/>
      <c r="F24" s="127"/>
      <c r="G24" s="128"/>
      <c r="H24" s="467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58"/>
      <c r="P24" s="458"/>
      <c r="Q24" s="458"/>
      <c r="R24" s="458"/>
      <c r="S24" s="458"/>
      <c r="T24" s="458"/>
      <c r="U24" s="458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57" t="s">
        <v>199</v>
      </c>
      <c r="D25" s="108">
        <v>4.8</v>
      </c>
      <c r="E25" s="108"/>
      <c r="F25" s="127"/>
      <c r="G25" s="128"/>
      <c r="H25" s="467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58"/>
      <c r="P25" s="458"/>
      <c r="Q25" s="458"/>
      <c r="R25" s="458"/>
      <c r="S25" s="458"/>
      <c r="T25" s="458"/>
      <c r="U25" s="458"/>
      <c r="V25" s="132"/>
      <c r="W25" s="133"/>
      <c r="X25" s="132"/>
      <c r="Y25" s="132"/>
      <c r="Z25" s="132"/>
      <c r="AA25" s="132"/>
    </row>
    <row r="26" spans="1:27" ht="20.10000000000000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>
        <v>42716</v>
      </c>
      <c r="G26" s="128">
        <f>80+100*2+62</f>
        <v>342</v>
      </c>
      <c r="H26" s="467">
        <f t="shared" si="0"/>
        <v>1706.5800000000002</v>
      </c>
      <c r="I26" s="129">
        <f>4*5</f>
        <v>20</v>
      </c>
      <c r="J26" s="130">
        <f t="array" ref="J26">IF(ISERROR(G26/I26),"",G26/I26)</f>
        <v>17.100000000000001</v>
      </c>
      <c r="K26" s="131">
        <f t="array" ref="K26">IF(ISERROR(G26/L26),"",G26/L26)</f>
        <v>14.553191489361701</v>
      </c>
      <c r="L26" s="129">
        <v>23.5</v>
      </c>
      <c r="M26" s="109">
        <f t="shared" si="1"/>
        <v>5.4468085106382986</v>
      </c>
      <c r="N26" s="130">
        <f t="shared" ref="N26:N27" si="7">SUM(O26:U26)</f>
        <v>0</v>
      </c>
      <c r="O26" s="458"/>
      <c r="P26" s="458"/>
      <c r="Q26" s="458"/>
      <c r="R26" s="458"/>
      <c r="S26" s="458"/>
      <c r="T26" s="458"/>
      <c r="U26" s="458"/>
      <c r="V26" s="132">
        <f t="shared" ref="V26:V27" si="8">SUM(X26:AA26)</f>
        <v>0</v>
      </c>
      <c r="W26" s="133">
        <f t="shared" ref="W26:W29" si="9">IF(ISERROR(V26/G26),"",V26/G26)</f>
        <v>0</v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67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58"/>
      <c r="P27" s="458"/>
      <c r="Q27" s="458"/>
      <c r="R27" s="458"/>
      <c r="S27" s="458"/>
      <c r="T27" s="458"/>
      <c r="U27" s="458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30" t="s">
        <v>201</v>
      </c>
      <c r="B28" s="631"/>
      <c r="C28" s="465" t="s">
        <v>202</v>
      </c>
      <c r="D28" s="143"/>
      <c r="E28" s="143"/>
      <c r="F28" s="144"/>
      <c r="G28" s="145">
        <f>SUM(G7:G27)</f>
        <v>1062</v>
      </c>
      <c r="H28" s="146">
        <f>SUM(H7:H27)</f>
        <v>5347.98</v>
      </c>
      <c r="I28" s="146">
        <f>SUM(I7:I27)</f>
        <v>78</v>
      </c>
      <c r="J28" s="130">
        <f t="array" ref="J28">IF(ISERROR(G28/I28),"",G28/I28)</f>
        <v>13.615384615384615</v>
      </c>
      <c r="K28" s="146">
        <f>SUM(K7:K27)</f>
        <v>52.447928331466962</v>
      </c>
      <c r="L28" s="147"/>
      <c r="M28" s="146">
        <f t="shared" ref="M28:V28" si="10">SUM(M7:M27)</f>
        <v>25.552071668533038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59" t="s">
        <v>206</v>
      </c>
      <c r="C29" s="126" t="s">
        <v>199</v>
      </c>
      <c r="D29" s="108">
        <v>5.03</v>
      </c>
      <c r="E29" s="108"/>
      <c r="F29" s="127"/>
      <c r="G29" s="128"/>
      <c r="H29" s="467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62"/>
      <c r="P29" s="462"/>
      <c r="Q29" s="462"/>
      <c r="R29" s="462"/>
      <c r="S29" s="462"/>
      <c r="T29" s="462"/>
      <c r="U29" s="462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59" t="s">
        <v>425</v>
      </c>
      <c r="C30" s="187" t="s">
        <v>427</v>
      </c>
      <c r="D30" s="108">
        <v>5.03</v>
      </c>
      <c r="E30" s="108"/>
      <c r="F30" s="127"/>
      <c r="G30" s="128"/>
      <c r="H30" s="467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62"/>
      <c r="P30" s="462"/>
      <c r="Q30" s="462"/>
      <c r="R30" s="462"/>
      <c r="S30" s="462"/>
      <c r="T30" s="462"/>
      <c r="U30" s="462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59" t="s">
        <v>206</v>
      </c>
      <c r="C31" s="126" t="s">
        <v>186</v>
      </c>
      <c r="D31" s="108">
        <v>5.03</v>
      </c>
      <c r="E31" s="108"/>
      <c r="F31" s="127"/>
      <c r="G31" s="128"/>
      <c r="H31" s="467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5" si="15">IF(ISERROR(I31-K31),"",I31-K31)</f>
        <v>0</v>
      </c>
      <c r="N31" s="130">
        <f t="shared" ref="N31:N33" si="16">SUM(O31:U31)</f>
        <v>0</v>
      </c>
      <c r="O31" s="462"/>
      <c r="P31" s="462"/>
      <c r="Q31" s="462"/>
      <c r="R31" s="462"/>
      <c r="S31" s="462"/>
      <c r="T31" s="462"/>
      <c r="U31" s="462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59" t="s">
        <v>206</v>
      </c>
      <c r="C32" s="126" t="s">
        <v>203</v>
      </c>
      <c r="D32" s="108">
        <v>5.03</v>
      </c>
      <c r="E32" s="108"/>
      <c r="F32" s="127"/>
      <c r="G32" s="128"/>
      <c r="H32" s="467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62"/>
      <c r="P32" s="462"/>
      <c r="Q32" s="462"/>
      <c r="R32" s="462"/>
      <c r="S32" s="462"/>
      <c r="T32" s="462"/>
      <c r="U32" s="462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59" t="s">
        <v>206</v>
      </c>
      <c r="C33" s="126" t="s">
        <v>207</v>
      </c>
      <c r="D33" s="108">
        <v>5.03</v>
      </c>
      <c r="E33" s="108"/>
      <c r="F33" s="127"/>
      <c r="G33" s="128"/>
      <c r="H33" s="467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62"/>
      <c r="P33" s="462"/>
      <c r="Q33" s="462"/>
      <c r="R33" s="462"/>
      <c r="S33" s="462"/>
      <c r="T33" s="462"/>
      <c r="U33" s="462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customHeight="1">
      <c r="A34" s="300">
        <v>30100016</v>
      </c>
      <c r="B34" s="459" t="s">
        <v>414</v>
      </c>
      <c r="C34" s="187" t="s">
        <v>415</v>
      </c>
      <c r="D34" s="108">
        <v>5.03</v>
      </c>
      <c r="E34" s="108"/>
      <c r="F34" s="127">
        <v>42715</v>
      </c>
      <c r="G34" s="128">
        <f>88+108</f>
        <v>196</v>
      </c>
      <c r="H34" s="467">
        <f t="shared" si="11"/>
        <v>985.88</v>
      </c>
      <c r="I34" s="129">
        <v>2.5</v>
      </c>
      <c r="J34" s="130">
        <f t="array" ref="J34">IF(ISERROR(G34/I34),"",G34/I34)</f>
        <v>78.400000000000006</v>
      </c>
      <c r="K34" s="131">
        <f t="array" ref="K34">IF(ISERROR(G34/L34),"",G34/L34)</f>
        <v>3.7692307692307692</v>
      </c>
      <c r="L34" s="129">
        <v>52</v>
      </c>
      <c r="M34" s="109">
        <f t="shared" si="15"/>
        <v>-1.2692307692307692</v>
      </c>
      <c r="N34" s="130"/>
      <c r="O34" s="462"/>
      <c r="P34" s="462"/>
      <c r="Q34" s="462"/>
      <c r="R34" s="462"/>
      <c r="S34" s="462"/>
      <c r="T34" s="462"/>
      <c r="U34" s="462"/>
      <c r="V34" s="132"/>
      <c r="W34" s="133"/>
      <c r="X34" s="132"/>
      <c r="Y34" s="132"/>
      <c r="Z34" s="132"/>
      <c r="AA34" s="132"/>
    </row>
    <row r="35" spans="1:27" ht="20.100000000000001" customHeight="1">
      <c r="A35" s="300">
        <v>30100017</v>
      </c>
      <c r="B35" s="459" t="s">
        <v>414</v>
      </c>
      <c r="C35" s="187" t="s">
        <v>416</v>
      </c>
      <c r="D35" s="108">
        <v>5.03</v>
      </c>
      <c r="E35" s="108"/>
      <c r="F35" s="127">
        <v>42715</v>
      </c>
      <c r="G35" s="128">
        <f>108+88</f>
        <v>196</v>
      </c>
      <c r="H35" s="467">
        <f t="shared" si="11"/>
        <v>985.88</v>
      </c>
      <c r="I35" s="129">
        <v>1.5</v>
      </c>
      <c r="J35" s="130">
        <f t="array" ref="J35">IF(ISERROR(G35/I35),"",G35/I35)</f>
        <v>130.66666666666666</v>
      </c>
      <c r="K35" s="131">
        <f t="array" ref="K35">IF(ISERROR(G35/L35),"",G35/L35)</f>
        <v>3.7692307692307692</v>
      </c>
      <c r="L35" s="129">
        <v>52</v>
      </c>
      <c r="M35" s="109">
        <f t="shared" si="15"/>
        <v>-2.2692307692307692</v>
      </c>
      <c r="N35" s="130"/>
      <c r="O35" s="462"/>
      <c r="P35" s="462"/>
      <c r="Q35" s="462"/>
      <c r="R35" s="462"/>
      <c r="S35" s="462"/>
      <c r="T35" s="462"/>
      <c r="U35" s="462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59" t="s">
        <v>414</v>
      </c>
      <c r="C36" s="187" t="s">
        <v>61</v>
      </c>
      <c r="D36" s="108">
        <v>5.03</v>
      </c>
      <c r="E36" s="108"/>
      <c r="F36" s="127"/>
      <c r="G36" s="128"/>
      <c r="H36" s="467">
        <f t="shared" si="11"/>
        <v>0</v>
      </c>
      <c r="I36" s="129"/>
      <c r="J36" s="130"/>
      <c r="K36" s="131"/>
      <c r="L36" s="129">
        <v>52</v>
      </c>
      <c r="M36" s="109"/>
      <c r="N36" s="130"/>
      <c r="O36" s="462"/>
      <c r="P36" s="462"/>
      <c r="Q36" s="462"/>
      <c r="R36" s="462"/>
      <c r="S36" s="462"/>
      <c r="T36" s="462"/>
      <c r="U36" s="462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59" t="s">
        <v>208</v>
      </c>
      <c r="C37" s="126" t="s">
        <v>179</v>
      </c>
      <c r="D37" s="108">
        <v>5.08</v>
      </c>
      <c r="E37" s="108"/>
      <c r="F37" s="127"/>
      <c r="G37" s="128"/>
      <c r="H37" s="467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62"/>
      <c r="P37" s="462"/>
      <c r="Q37" s="462"/>
      <c r="R37" s="462"/>
      <c r="S37" s="462"/>
      <c r="T37" s="462"/>
      <c r="U37" s="462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59" t="s">
        <v>208</v>
      </c>
      <c r="C38" s="126" t="s">
        <v>204</v>
      </c>
      <c r="D38" s="108">
        <v>5.08</v>
      </c>
      <c r="E38" s="108"/>
      <c r="F38" s="127"/>
      <c r="G38" s="128"/>
      <c r="H38" s="467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62"/>
      <c r="P38" s="462"/>
      <c r="Q38" s="462"/>
      <c r="R38" s="462"/>
      <c r="S38" s="462"/>
      <c r="T38" s="462"/>
      <c r="U38" s="462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59" t="s">
        <v>208</v>
      </c>
      <c r="C39" s="126" t="s">
        <v>205</v>
      </c>
      <c r="D39" s="108">
        <v>5.08</v>
      </c>
      <c r="E39" s="108"/>
      <c r="F39" s="127"/>
      <c r="G39" s="128"/>
      <c r="H39" s="467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62"/>
      <c r="P39" s="462"/>
      <c r="Q39" s="462"/>
      <c r="R39" s="462"/>
      <c r="S39" s="462"/>
      <c r="T39" s="462"/>
      <c r="U39" s="462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59" t="s">
        <v>208</v>
      </c>
      <c r="C40" s="126" t="s">
        <v>186</v>
      </c>
      <c r="D40" s="108">
        <v>5.08</v>
      </c>
      <c r="E40" s="108"/>
      <c r="F40" s="127"/>
      <c r="G40" s="128"/>
      <c r="H40" s="467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62"/>
      <c r="P40" s="462"/>
      <c r="Q40" s="462"/>
      <c r="R40" s="462"/>
      <c r="S40" s="462"/>
      <c r="T40" s="462"/>
      <c r="U40" s="462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59" t="s">
        <v>208</v>
      </c>
      <c r="C41" s="126" t="s">
        <v>203</v>
      </c>
      <c r="D41" s="108">
        <v>5.08</v>
      </c>
      <c r="E41" s="108"/>
      <c r="F41" s="127"/>
      <c r="G41" s="128"/>
      <c r="H41" s="467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62"/>
      <c r="P41" s="462"/>
      <c r="Q41" s="462"/>
      <c r="R41" s="462"/>
      <c r="S41" s="462"/>
      <c r="T41" s="462"/>
      <c r="U41" s="462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59" t="s">
        <v>208</v>
      </c>
      <c r="C42" s="126" t="s">
        <v>199</v>
      </c>
      <c r="D42" s="108">
        <v>5.08</v>
      </c>
      <c r="E42" s="108"/>
      <c r="F42" s="127"/>
      <c r="G42" s="128"/>
      <c r="H42" s="467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58"/>
      <c r="P42" s="458"/>
      <c r="Q42" s="458"/>
      <c r="R42" s="458"/>
      <c r="S42" s="458"/>
      <c r="T42" s="458"/>
      <c r="U42" s="458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59" t="s">
        <v>208</v>
      </c>
      <c r="C43" s="126" t="s">
        <v>187</v>
      </c>
      <c r="D43" s="108">
        <v>5.08</v>
      </c>
      <c r="E43" s="108"/>
      <c r="F43" s="127"/>
      <c r="G43" s="128"/>
      <c r="H43" s="467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62"/>
      <c r="P43" s="462"/>
      <c r="Q43" s="462"/>
      <c r="R43" s="462"/>
      <c r="S43" s="462"/>
      <c r="T43" s="462"/>
      <c r="U43" s="462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59" t="s">
        <v>208</v>
      </c>
      <c r="C44" s="126" t="s">
        <v>207</v>
      </c>
      <c r="D44" s="108">
        <v>5.08</v>
      </c>
      <c r="E44" s="108"/>
      <c r="F44" s="127"/>
      <c r="G44" s="128"/>
      <c r="H44" s="467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58"/>
      <c r="P44" s="458"/>
      <c r="Q44" s="458"/>
      <c r="R44" s="458"/>
      <c r="S44" s="458"/>
      <c r="T44" s="458"/>
      <c r="U44" s="458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59" t="s">
        <v>209</v>
      </c>
      <c r="C45" s="126" t="s">
        <v>194</v>
      </c>
      <c r="D45" s="108">
        <v>5.03</v>
      </c>
      <c r="E45" s="108"/>
      <c r="F45" s="127"/>
      <c r="G45" s="128"/>
      <c r="H45" s="467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62"/>
      <c r="P45" s="462"/>
      <c r="Q45" s="462"/>
      <c r="R45" s="462"/>
      <c r="S45" s="462"/>
      <c r="T45" s="462"/>
      <c r="U45" s="462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customHeight="1">
      <c r="A46" s="300">
        <v>30100033</v>
      </c>
      <c r="B46" s="459" t="s">
        <v>209</v>
      </c>
      <c r="C46" s="126" t="s">
        <v>179</v>
      </c>
      <c r="D46" s="108">
        <v>5.03</v>
      </c>
      <c r="E46" s="108"/>
      <c r="F46" s="127">
        <v>42715</v>
      </c>
      <c r="G46" s="128">
        <f>108*3+49</f>
        <v>373</v>
      </c>
      <c r="H46" s="467">
        <f t="shared" si="11"/>
        <v>1876.19</v>
      </c>
      <c r="I46" s="129">
        <v>3.5</v>
      </c>
      <c r="J46" s="130">
        <f t="array" ref="J46">IF(ISERROR(G46/I46),"",G46/I46)</f>
        <v>106.57142857142857</v>
      </c>
      <c r="K46" s="131">
        <f t="array" ref="K46">IF(ISERROR(G46/L46),"",G46/L46)</f>
        <v>6.6607142857142856</v>
      </c>
      <c r="L46" s="129">
        <v>56</v>
      </c>
      <c r="M46" s="109">
        <f t="shared" si="19"/>
        <v>-3.1607142857142856</v>
      </c>
      <c r="N46" s="130">
        <f t="shared" si="20"/>
        <v>0</v>
      </c>
      <c r="O46" s="462"/>
      <c r="P46" s="462"/>
      <c r="Q46" s="462"/>
      <c r="R46" s="462"/>
      <c r="S46" s="462"/>
      <c r="T46" s="462"/>
      <c r="U46" s="462"/>
      <c r="V46" s="132">
        <f t="shared" si="21"/>
        <v>0</v>
      </c>
      <c r="W46" s="133">
        <f t="shared" si="22"/>
        <v>0</v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59" t="s">
        <v>209</v>
      </c>
      <c r="C47" s="126" t="s">
        <v>195</v>
      </c>
      <c r="D47" s="108">
        <v>5.03</v>
      </c>
      <c r="E47" s="108"/>
      <c r="F47" s="127"/>
      <c r="G47" s="128"/>
      <c r="H47" s="467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62"/>
      <c r="P47" s="462"/>
      <c r="Q47" s="462"/>
      <c r="R47" s="462"/>
      <c r="S47" s="462"/>
      <c r="T47" s="462"/>
      <c r="U47" s="462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59" t="s">
        <v>209</v>
      </c>
      <c r="C48" s="126" t="s">
        <v>204</v>
      </c>
      <c r="D48" s="108">
        <v>5.03</v>
      </c>
      <c r="E48" s="108"/>
      <c r="F48" s="127"/>
      <c r="G48" s="128"/>
      <c r="H48" s="467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62"/>
      <c r="P48" s="462"/>
      <c r="Q48" s="462"/>
      <c r="R48" s="462"/>
      <c r="S48" s="462"/>
      <c r="T48" s="462"/>
      <c r="U48" s="462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59" t="s">
        <v>382</v>
      </c>
      <c r="C49" s="187" t="s">
        <v>383</v>
      </c>
      <c r="D49" s="108">
        <v>5.03</v>
      </c>
      <c r="E49" s="108"/>
      <c r="F49" s="127"/>
      <c r="G49" s="128"/>
      <c r="H49" s="467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62"/>
      <c r="P49" s="462"/>
      <c r="Q49" s="462"/>
      <c r="R49" s="462"/>
      <c r="S49" s="462"/>
      <c r="T49" s="462"/>
      <c r="U49" s="462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59" t="s">
        <v>382</v>
      </c>
      <c r="C50" s="187" t="s">
        <v>384</v>
      </c>
      <c r="D50" s="108">
        <v>5.03</v>
      </c>
      <c r="E50" s="108"/>
      <c r="F50" s="127"/>
      <c r="G50" s="128"/>
      <c r="H50" s="467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62"/>
      <c r="P50" s="462"/>
      <c r="Q50" s="462"/>
      <c r="R50" s="462"/>
      <c r="S50" s="462"/>
      <c r="T50" s="462"/>
      <c r="U50" s="462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59" t="s">
        <v>382</v>
      </c>
      <c r="C51" s="187" t="s">
        <v>389</v>
      </c>
      <c r="D51" s="108">
        <v>5.03</v>
      </c>
      <c r="E51" s="108"/>
      <c r="F51" s="127"/>
      <c r="G51" s="128"/>
      <c r="H51" s="467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62"/>
      <c r="P51" s="462"/>
      <c r="Q51" s="462"/>
      <c r="R51" s="462"/>
      <c r="S51" s="462"/>
      <c r="T51" s="462"/>
      <c r="U51" s="462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59" t="s">
        <v>382</v>
      </c>
      <c r="C52" s="187" t="s">
        <v>391</v>
      </c>
      <c r="D52" s="108">
        <v>5.03</v>
      </c>
      <c r="E52" s="108"/>
      <c r="F52" s="127"/>
      <c r="G52" s="128"/>
      <c r="H52" s="467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62"/>
      <c r="P52" s="462"/>
      <c r="Q52" s="462"/>
      <c r="R52" s="462"/>
      <c r="S52" s="462"/>
      <c r="T52" s="462"/>
      <c r="U52" s="462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59" t="s">
        <v>418</v>
      </c>
      <c r="C53" s="187" t="s">
        <v>364</v>
      </c>
      <c r="D53" s="108">
        <v>5.03</v>
      </c>
      <c r="E53" s="108"/>
      <c r="F53" s="127"/>
      <c r="G53" s="128"/>
      <c r="H53" s="467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62"/>
      <c r="P53" s="462"/>
      <c r="Q53" s="462"/>
      <c r="R53" s="462"/>
      <c r="S53" s="462"/>
      <c r="T53" s="462"/>
      <c r="U53" s="462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59" t="s">
        <v>418</v>
      </c>
      <c r="C54" s="187" t="s">
        <v>365</v>
      </c>
      <c r="D54" s="108">
        <v>5.03</v>
      </c>
      <c r="E54" s="108"/>
      <c r="F54" s="127"/>
      <c r="G54" s="128"/>
      <c r="H54" s="467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62"/>
      <c r="P54" s="462"/>
      <c r="Q54" s="462"/>
      <c r="R54" s="462"/>
      <c r="S54" s="462"/>
      <c r="T54" s="462"/>
      <c r="U54" s="462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59" t="s">
        <v>418</v>
      </c>
      <c r="C55" s="187" t="s">
        <v>366</v>
      </c>
      <c r="D55" s="108">
        <v>5.03</v>
      </c>
      <c r="E55" s="108"/>
      <c r="F55" s="127"/>
      <c r="G55" s="128"/>
      <c r="H55" s="467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62"/>
      <c r="P55" s="462"/>
      <c r="Q55" s="462"/>
      <c r="R55" s="462"/>
      <c r="S55" s="462"/>
      <c r="T55" s="462"/>
      <c r="U55" s="462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59" t="s">
        <v>418</v>
      </c>
      <c r="C56" s="187" t="s">
        <v>367</v>
      </c>
      <c r="D56" s="108">
        <v>5.03</v>
      </c>
      <c r="E56" s="108"/>
      <c r="F56" s="127"/>
      <c r="G56" s="128"/>
      <c r="H56" s="467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62"/>
      <c r="P56" s="462"/>
      <c r="Q56" s="462"/>
      <c r="R56" s="462"/>
      <c r="S56" s="462"/>
      <c r="T56" s="462"/>
      <c r="U56" s="462"/>
      <c r="V56" s="132"/>
      <c r="W56" s="133"/>
      <c r="X56" s="132"/>
      <c r="Y56" s="132"/>
      <c r="Z56" s="132"/>
      <c r="AA56" s="132"/>
    </row>
    <row r="57" spans="1:27" ht="20.10000000000000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>
        <v>42714</v>
      </c>
      <c r="G57" s="128">
        <f>108+53</f>
        <v>161</v>
      </c>
      <c r="H57" s="467">
        <f t="shared" si="11"/>
        <v>809.83</v>
      </c>
      <c r="I57" s="129">
        <f>5*1</f>
        <v>5</v>
      </c>
      <c r="J57" s="130">
        <f t="array" ref="J57">IF(ISERROR(G57/I57),"",G57/I57)</f>
        <v>32.200000000000003</v>
      </c>
      <c r="K57" s="131">
        <f t="array" ref="K57">IF(ISERROR(G57/L57),"",G57/L57)</f>
        <v>4.0250000000000004</v>
      </c>
      <c r="L57" s="129">
        <v>40</v>
      </c>
      <c r="M57" s="109">
        <f t="shared" si="19"/>
        <v>0.97499999999999964</v>
      </c>
      <c r="N57" s="130">
        <f t="shared" ref="N57:N66" si="23">SUM(O57:U57)</f>
        <v>0</v>
      </c>
      <c r="O57" s="458"/>
      <c r="P57" s="458"/>
      <c r="Q57" s="458"/>
      <c r="R57" s="458"/>
      <c r="S57" s="458"/>
      <c r="T57" s="458"/>
      <c r="U57" s="458"/>
      <c r="V57" s="132">
        <f t="shared" ref="V57:V66" si="24">SUM(X57:AA57)</f>
        <v>0</v>
      </c>
      <c r="W57" s="133">
        <f t="shared" ref="W57:W66" si="25">IF(ISERROR(V57/G57),"",V57/G57)</f>
        <v>0</v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67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58"/>
      <c r="P58" s="458"/>
      <c r="Q58" s="458"/>
      <c r="R58" s="458"/>
      <c r="S58" s="458"/>
      <c r="T58" s="458"/>
      <c r="U58" s="458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67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58"/>
      <c r="P59" s="458"/>
      <c r="Q59" s="458"/>
      <c r="R59" s="458"/>
      <c r="S59" s="458"/>
      <c r="T59" s="458"/>
      <c r="U59" s="458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67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58"/>
      <c r="P60" s="458"/>
      <c r="Q60" s="458"/>
      <c r="R60" s="458"/>
      <c r="S60" s="458"/>
      <c r="T60" s="458"/>
      <c r="U60" s="458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67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58"/>
      <c r="P61" s="458"/>
      <c r="Q61" s="458"/>
      <c r="R61" s="458"/>
      <c r="S61" s="458"/>
      <c r="T61" s="458"/>
      <c r="U61" s="458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67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58"/>
      <c r="P62" s="458"/>
      <c r="Q62" s="458"/>
      <c r="R62" s="458"/>
      <c r="S62" s="458"/>
      <c r="T62" s="458"/>
      <c r="U62" s="458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67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58"/>
      <c r="P63" s="458"/>
      <c r="Q63" s="458"/>
      <c r="R63" s="458"/>
      <c r="S63" s="458"/>
      <c r="T63" s="458"/>
      <c r="U63" s="458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67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58"/>
      <c r="P64" s="458"/>
      <c r="Q64" s="458"/>
      <c r="R64" s="458"/>
      <c r="S64" s="458"/>
      <c r="T64" s="458"/>
      <c r="U64" s="458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67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58"/>
      <c r="P65" s="458"/>
      <c r="Q65" s="458"/>
      <c r="R65" s="458"/>
      <c r="S65" s="458"/>
      <c r="T65" s="458"/>
      <c r="U65" s="458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67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58"/>
      <c r="P66" s="458"/>
      <c r="Q66" s="458"/>
      <c r="R66" s="458"/>
      <c r="S66" s="458"/>
      <c r="T66" s="458"/>
      <c r="U66" s="458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67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58"/>
      <c r="P67" s="458"/>
      <c r="Q67" s="458"/>
      <c r="R67" s="458"/>
      <c r="S67" s="458"/>
      <c r="T67" s="458"/>
      <c r="U67" s="458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67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58"/>
      <c r="P68" s="458"/>
      <c r="Q68" s="458"/>
      <c r="R68" s="458"/>
      <c r="S68" s="458"/>
      <c r="T68" s="458"/>
      <c r="U68" s="458"/>
      <c r="V68" s="132"/>
      <c r="W68" s="133"/>
      <c r="X68" s="132"/>
      <c r="Y68" s="132"/>
      <c r="Z68" s="132"/>
      <c r="AA68" s="132"/>
    </row>
    <row r="69" spans="1:27" ht="20.10000000000000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>
        <v>42714</v>
      </c>
      <c r="G69" s="128">
        <f>100*2+33+100*7</f>
        <v>933</v>
      </c>
      <c r="H69" s="467">
        <f t="shared" si="11"/>
        <v>4692.99</v>
      </c>
      <c r="I69" s="129">
        <f>11*4</f>
        <v>44</v>
      </c>
      <c r="J69" s="130">
        <f t="array" ref="J69">IF(ISERROR(G69/I69),"",G69/I69)</f>
        <v>21.204545454545453</v>
      </c>
      <c r="K69" s="131">
        <f t="array" ref="K69">IF(ISERROR(G69/L69),"",G69/L69)</f>
        <v>43.395348837209305</v>
      </c>
      <c r="L69" s="129">
        <v>21.5</v>
      </c>
      <c r="M69" s="109">
        <f t="shared" ref="M69:M70" si="26">IF(ISERROR(I69-K69),"",I69-K69)</f>
        <v>0.6046511627906952</v>
      </c>
      <c r="N69" s="130">
        <f t="shared" ref="N69:N70" si="27">SUM(O69:U69)</f>
        <v>0</v>
      </c>
      <c r="O69" s="458"/>
      <c r="P69" s="458"/>
      <c r="Q69" s="458"/>
      <c r="R69" s="458"/>
      <c r="S69" s="458"/>
      <c r="T69" s="458"/>
      <c r="U69" s="458"/>
      <c r="V69" s="132">
        <f t="shared" ref="V69:V70" si="28">SUM(X69:AA69)</f>
        <v>0</v>
      </c>
      <c r="W69" s="133">
        <f t="shared" ref="W69:W70" si="29">IF(ISERROR(V69/G69),"",V69/G69)</f>
        <v>0</v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67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58"/>
      <c r="P70" s="458"/>
      <c r="Q70" s="458"/>
      <c r="R70" s="458"/>
      <c r="S70" s="458"/>
      <c r="T70" s="458"/>
      <c r="U70" s="458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67">
        <f t="shared" si="11"/>
        <v>0</v>
      </c>
      <c r="I71" s="129"/>
      <c r="J71" s="130"/>
      <c r="K71" s="131"/>
      <c r="L71" s="129"/>
      <c r="M71" s="109"/>
      <c r="N71" s="130"/>
      <c r="O71" s="458"/>
      <c r="P71" s="458"/>
      <c r="Q71" s="458"/>
      <c r="R71" s="458"/>
      <c r="S71" s="458"/>
      <c r="T71" s="458"/>
      <c r="U71" s="458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67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58"/>
      <c r="P72" s="458"/>
      <c r="Q72" s="458"/>
      <c r="R72" s="458"/>
      <c r="S72" s="458"/>
      <c r="T72" s="458"/>
      <c r="U72" s="458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67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58"/>
      <c r="P73" s="458"/>
      <c r="Q73" s="458"/>
      <c r="R73" s="458"/>
      <c r="S73" s="458"/>
      <c r="T73" s="458"/>
      <c r="U73" s="458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67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58"/>
      <c r="P74" s="458"/>
      <c r="Q74" s="458"/>
      <c r="R74" s="458"/>
      <c r="S74" s="458"/>
      <c r="T74" s="458"/>
      <c r="U74" s="458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67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58"/>
      <c r="P75" s="458"/>
      <c r="Q75" s="458"/>
      <c r="R75" s="458"/>
      <c r="S75" s="458"/>
      <c r="T75" s="458"/>
      <c r="U75" s="458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67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58"/>
      <c r="P76" s="458"/>
      <c r="Q76" s="458"/>
      <c r="R76" s="458"/>
      <c r="S76" s="458"/>
      <c r="T76" s="458"/>
      <c r="U76" s="458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67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58"/>
      <c r="P77" s="458"/>
      <c r="Q77" s="458"/>
      <c r="R77" s="458"/>
      <c r="S77" s="458"/>
      <c r="T77" s="458"/>
      <c r="U77" s="458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67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58"/>
      <c r="P78" s="458"/>
      <c r="Q78" s="458"/>
      <c r="R78" s="458"/>
      <c r="S78" s="458"/>
      <c r="T78" s="458"/>
      <c r="U78" s="458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67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58"/>
      <c r="P79" s="458"/>
      <c r="Q79" s="458"/>
      <c r="R79" s="458"/>
      <c r="S79" s="458"/>
      <c r="T79" s="458"/>
      <c r="U79" s="458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67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58"/>
      <c r="P80" s="458"/>
      <c r="Q80" s="458"/>
      <c r="R80" s="458"/>
      <c r="S80" s="458"/>
      <c r="T80" s="458"/>
      <c r="U80" s="458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67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58"/>
      <c r="P81" s="458"/>
      <c r="Q81" s="458"/>
      <c r="R81" s="458"/>
      <c r="S81" s="458"/>
      <c r="T81" s="458"/>
      <c r="U81" s="458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67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58"/>
      <c r="P82" s="458"/>
      <c r="Q82" s="458"/>
      <c r="R82" s="458"/>
      <c r="S82" s="458"/>
      <c r="T82" s="458"/>
      <c r="U82" s="458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67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58"/>
      <c r="P83" s="458"/>
      <c r="Q83" s="458"/>
      <c r="R83" s="458"/>
      <c r="S83" s="458"/>
      <c r="T83" s="458"/>
      <c r="U83" s="458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67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58"/>
      <c r="P84" s="458"/>
      <c r="Q84" s="458"/>
      <c r="R84" s="458"/>
      <c r="S84" s="458"/>
      <c r="T84" s="458"/>
      <c r="U84" s="458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67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58"/>
      <c r="P85" s="458"/>
      <c r="Q85" s="458"/>
      <c r="R85" s="458"/>
      <c r="S85" s="458"/>
      <c r="T85" s="458"/>
      <c r="U85" s="458"/>
      <c r="V85" s="132"/>
      <c r="W85" s="133"/>
      <c r="X85" s="132"/>
      <c r="Y85" s="132"/>
      <c r="Z85" s="132"/>
      <c r="AA85" s="132"/>
    </row>
    <row r="86" spans="1:27" ht="20.100000000000001" customHeight="1">
      <c r="A86" s="641" t="s">
        <v>216</v>
      </c>
      <c r="B86" s="641"/>
      <c r="C86" s="465" t="s">
        <v>202</v>
      </c>
      <c r="D86" s="143"/>
      <c r="E86" s="143"/>
      <c r="F86" s="144"/>
      <c r="G86" s="145">
        <f>SUM(G29:G85)</f>
        <v>1859</v>
      </c>
      <c r="H86" s="146">
        <f>SUM(H29:H85)</f>
        <v>9350.77</v>
      </c>
      <c r="I86" s="146">
        <f>SUM(I29:I85)</f>
        <v>56.5</v>
      </c>
      <c r="J86" s="130">
        <f t="array" ref="J86">IF(ISERROR(G86/I86),"",G86/I86)</f>
        <v>32.902654867256636</v>
      </c>
      <c r="K86" s="146">
        <f>SUM(K29:K85)</f>
        <v>61.619524661385128</v>
      </c>
      <c r="L86" s="147"/>
      <c r="M86" s="150">
        <f t="shared" ref="M86:V86" si="34">SUM(M29:M85)</f>
        <v>-5.1195246613851291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59" t="s">
        <v>217</v>
      </c>
      <c r="C87" s="126" t="s">
        <v>179</v>
      </c>
      <c r="D87" s="108">
        <v>5.03</v>
      </c>
      <c r="E87" s="108"/>
      <c r="F87" s="127"/>
      <c r="G87" s="128"/>
      <c r="H87" s="467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58"/>
      <c r="P87" s="458"/>
      <c r="Q87" s="458"/>
      <c r="R87" s="458"/>
      <c r="S87" s="458"/>
      <c r="T87" s="458"/>
      <c r="U87" s="458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59" t="s">
        <v>217</v>
      </c>
      <c r="C88" s="126" t="s">
        <v>186</v>
      </c>
      <c r="D88" s="108">
        <v>5.03</v>
      </c>
      <c r="E88" s="108"/>
      <c r="F88" s="127"/>
      <c r="G88" s="128"/>
      <c r="H88" s="467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58"/>
      <c r="P88" s="458"/>
      <c r="Q88" s="458"/>
      <c r="R88" s="458"/>
      <c r="S88" s="458"/>
      <c r="T88" s="458"/>
      <c r="U88" s="458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59" t="s">
        <v>217</v>
      </c>
      <c r="C89" s="126" t="s">
        <v>204</v>
      </c>
      <c r="D89" s="108">
        <v>5.03</v>
      </c>
      <c r="E89" s="108"/>
      <c r="F89" s="127"/>
      <c r="G89" s="128"/>
      <c r="H89" s="467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58"/>
      <c r="P89" s="458"/>
      <c r="Q89" s="458"/>
      <c r="R89" s="458"/>
      <c r="S89" s="458"/>
      <c r="T89" s="458"/>
      <c r="U89" s="458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67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58"/>
      <c r="P90" s="458"/>
      <c r="Q90" s="458"/>
      <c r="R90" s="458"/>
      <c r="S90" s="458"/>
      <c r="T90" s="458"/>
      <c r="U90" s="458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67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58"/>
      <c r="P91" s="458"/>
      <c r="Q91" s="458"/>
      <c r="R91" s="458"/>
      <c r="S91" s="458"/>
      <c r="T91" s="458"/>
      <c r="U91" s="458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67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58"/>
      <c r="P92" s="458"/>
      <c r="Q92" s="458"/>
      <c r="R92" s="458"/>
      <c r="S92" s="458"/>
      <c r="T92" s="458"/>
      <c r="U92" s="458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67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58"/>
      <c r="P93" s="458"/>
      <c r="Q93" s="458"/>
      <c r="R93" s="458"/>
      <c r="S93" s="458"/>
      <c r="T93" s="458"/>
      <c r="U93" s="458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67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58"/>
      <c r="P94" s="458"/>
      <c r="Q94" s="458"/>
      <c r="R94" s="458"/>
      <c r="S94" s="458"/>
      <c r="T94" s="458"/>
      <c r="U94" s="458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67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58"/>
      <c r="P95" s="458"/>
      <c r="Q95" s="458"/>
      <c r="R95" s="458"/>
      <c r="S95" s="458"/>
      <c r="T95" s="458"/>
      <c r="U95" s="458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67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58"/>
      <c r="P96" s="458"/>
      <c r="Q96" s="458"/>
      <c r="R96" s="458"/>
      <c r="S96" s="458"/>
      <c r="T96" s="458"/>
      <c r="U96" s="458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67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58"/>
      <c r="P97" s="458"/>
      <c r="Q97" s="458"/>
      <c r="R97" s="458"/>
      <c r="S97" s="458"/>
      <c r="T97" s="458"/>
      <c r="U97" s="458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67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58"/>
      <c r="P98" s="458"/>
      <c r="Q98" s="458"/>
      <c r="R98" s="458"/>
      <c r="S98" s="458"/>
      <c r="T98" s="458"/>
      <c r="U98" s="458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67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58"/>
      <c r="P99" s="458"/>
      <c r="Q99" s="458"/>
      <c r="R99" s="458"/>
      <c r="S99" s="458"/>
      <c r="T99" s="458"/>
      <c r="U99" s="458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67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58"/>
      <c r="P100" s="458"/>
      <c r="Q100" s="458"/>
      <c r="R100" s="458"/>
      <c r="S100" s="458"/>
      <c r="T100" s="458"/>
      <c r="U100" s="458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67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58"/>
      <c r="P101" s="458"/>
      <c r="Q101" s="458"/>
      <c r="R101" s="458"/>
      <c r="S101" s="458"/>
      <c r="T101" s="458"/>
      <c r="U101" s="458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67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58"/>
      <c r="P102" s="458"/>
      <c r="Q102" s="458"/>
      <c r="R102" s="458"/>
      <c r="S102" s="458"/>
      <c r="T102" s="458"/>
      <c r="U102" s="458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59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67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58"/>
      <c r="P103" s="458"/>
      <c r="Q103" s="458"/>
      <c r="R103" s="458"/>
      <c r="S103" s="458"/>
      <c r="T103" s="458"/>
      <c r="U103" s="458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59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67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58"/>
      <c r="P104" s="458"/>
      <c r="Q104" s="458"/>
      <c r="R104" s="458"/>
      <c r="S104" s="458"/>
      <c r="T104" s="458"/>
      <c r="U104" s="458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59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67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58"/>
      <c r="P105" s="458"/>
      <c r="Q105" s="458"/>
      <c r="R105" s="458"/>
      <c r="S105" s="458"/>
      <c r="T105" s="458"/>
      <c r="U105" s="458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59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67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58"/>
      <c r="P106" s="458"/>
      <c r="Q106" s="458"/>
      <c r="R106" s="458"/>
      <c r="S106" s="458"/>
      <c r="T106" s="458"/>
      <c r="U106" s="458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customHeight="1">
      <c r="A107" s="299">
        <v>30400026</v>
      </c>
      <c r="B107" s="459" t="s">
        <v>393</v>
      </c>
      <c r="C107" s="187" t="s">
        <v>395</v>
      </c>
      <c r="D107" s="108">
        <v>5</v>
      </c>
      <c r="E107" s="108"/>
      <c r="F107" s="127">
        <v>42715</v>
      </c>
      <c r="G107" s="128">
        <f>90*2+26+48*2+90*2</f>
        <v>482</v>
      </c>
      <c r="H107" s="467">
        <f t="shared" si="36"/>
        <v>2410</v>
      </c>
      <c r="I107" s="129">
        <f>4.5*2+8*6+3*4</f>
        <v>69</v>
      </c>
      <c r="J107" s="130">
        <f t="array" ref="J107">IF(ISERROR(G107/I107),"",G107/I107)</f>
        <v>6.9855072463768115</v>
      </c>
      <c r="K107" s="131">
        <f t="array" ref="K107">IF(ISERROR(G107/L107),"",G107/L107)</f>
        <v>96.4</v>
      </c>
      <c r="L107" s="129">
        <v>5</v>
      </c>
      <c r="M107" s="109">
        <f t="shared" si="37"/>
        <v>-27.400000000000006</v>
      </c>
      <c r="N107" s="130">
        <f t="shared" si="40"/>
        <v>0</v>
      </c>
      <c r="O107" s="458"/>
      <c r="P107" s="458"/>
      <c r="Q107" s="458"/>
      <c r="R107" s="458"/>
      <c r="S107" s="458"/>
      <c r="T107" s="458"/>
      <c r="U107" s="458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59" t="s">
        <v>393</v>
      </c>
      <c r="C108" s="187" t="s">
        <v>402</v>
      </c>
      <c r="D108" s="108">
        <v>5</v>
      </c>
      <c r="E108" s="108"/>
      <c r="F108" s="127"/>
      <c r="G108" s="128"/>
      <c r="H108" s="467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58"/>
      <c r="P108" s="458"/>
      <c r="Q108" s="458"/>
      <c r="R108" s="458"/>
      <c r="S108" s="458"/>
      <c r="T108" s="458"/>
      <c r="U108" s="458"/>
      <c r="V108" s="132"/>
      <c r="W108" s="133"/>
      <c r="X108" s="132"/>
      <c r="Y108" s="132"/>
      <c r="Z108" s="132"/>
      <c r="AA108" s="132"/>
    </row>
    <row r="109" spans="1:27" ht="20.100000000000001" customHeight="1">
      <c r="A109" s="299">
        <v>30400027</v>
      </c>
      <c r="B109" s="459" t="s">
        <v>404</v>
      </c>
      <c r="C109" s="187" t="s">
        <v>405</v>
      </c>
      <c r="D109" s="108">
        <v>5</v>
      </c>
      <c r="E109" s="108"/>
      <c r="F109" s="127">
        <v>42715</v>
      </c>
      <c r="G109" s="128">
        <v>60</v>
      </c>
      <c r="H109" s="467">
        <f t="shared" si="36"/>
        <v>300</v>
      </c>
      <c r="I109" s="129">
        <f>1.5*2</f>
        <v>3</v>
      </c>
      <c r="J109" s="130">
        <f t="array" ref="J109">IF(ISERROR(G109/I109),"",G109/I109)</f>
        <v>20</v>
      </c>
      <c r="K109" s="131">
        <f t="array" ref="K109">IF(ISERROR(G109/L109),"",G109/L109)</f>
        <v>12</v>
      </c>
      <c r="L109" s="129">
        <v>5</v>
      </c>
      <c r="M109" s="109">
        <f t="shared" si="37"/>
        <v>-9</v>
      </c>
      <c r="N109" s="130">
        <f t="shared" si="40"/>
        <v>0</v>
      </c>
      <c r="O109" s="458"/>
      <c r="P109" s="458"/>
      <c r="Q109" s="458"/>
      <c r="R109" s="458"/>
      <c r="S109" s="458"/>
      <c r="T109" s="458"/>
      <c r="U109" s="458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59" t="s">
        <v>492</v>
      </c>
      <c r="C110" s="187" t="s">
        <v>372</v>
      </c>
      <c r="D110" s="108">
        <v>5</v>
      </c>
      <c r="E110" s="108"/>
      <c r="F110" s="127"/>
      <c r="G110" s="128"/>
      <c r="H110" s="467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58"/>
      <c r="P110" s="458"/>
      <c r="Q110" s="458"/>
      <c r="R110" s="458"/>
      <c r="S110" s="458"/>
      <c r="T110" s="458"/>
      <c r="U110" s="458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59" t="s">
        <v>343</v>
      </c>
      <c r="C111" s="126" t="s">
        <v>345</v>
      </c>
      <c r="D111" s="108">
        <v>5</v>
      </c>
      <c r="E111" s="108"/>
      <c r="F111" s="127"/>
      <c r="G111" s="128"/>
      <c r="H111" s="467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58"/>
      <c r="P111" s="458"/>
      <c r="Q111" s="458"/>
      <c r="R111" s="458"/>
      <c r="S111" s="458"/>
      <c r="T111" s="458"/>
      <c r="U111" s="458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59" t="s">
        <v>343</v>
      </c>
      <c r="C112" s="126" t="s">
        <v>347</v>
      </c>
      <c r="D112" s="108">
        <v>5</v>
      </c>
      <c r="E112" s="108"/>
      <c r="F112" s="127"/>
      <c r="G112" s="128"/>
      <c r="H112" s="467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58"/>
      <c r="P112" s="458"/>
      <c r="Q112" s="458"/>
      <c r="R112" s="458"/>
      <c r="S112" s="458"/>
      <c r="T112" s="458"/>
      <c r="U112" s="458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67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58"/>
      <c r="P113" s="458"/>
      <c r="Q113" s="458"/>
      <c r="R113" s="458"/>
      <c r="S113" s="458"/>
      <c r="T113" s="458"/>
      <c r="U113" s="458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67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58"/>
      <c r="P114" s="458"/>
      <c r="Q114" s="458"/>
      <c r="R114" s="458"/>
      <c r="S114" s="458"/>
      <c r="T114" s="458"/>
      <c r="U114" s="458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67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58"/>
      <c r="P115" s="458"/>
      <c r="Q115" s="458"/>
      <c r="R115" s="458"/>
      <c r="S115" s="458"/>
      <c r="T115" s="458"/>
      <c r="U115" s="458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67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58"/>
      <c r="P116" s="458"/>
      <c r="Q116" s="458"/>
      <c r="R116" s="458"/>
      <c r="S116" s="458"/>
      <c r="T116" s="458"/>
      <c r="U116" s="458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67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58"/>
      <c r="P117" s="458"/>
      <c r="Q117" s="458"/>
      <c r="R117" s="458"/>
      <c r="S117" s="458"/>
      <c r="T117" s="458"/>
      <c r="U117" s="458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67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58"/>
      <c r="P118" s="458"/>
      <c r="Q118" s="458"/>
      <c r="R118" s="458"/>
      <c r="S118" s="458"/>
      <c r="T118" s="458"/>
      <c r="U118" s="458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67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58"/>
      <c r="P119" s="458"/>
      <c r="Q119" s="458"/>
      <c r="R119" s="458"/>
      <c r="S119" s="458"/>
      <c r="T119" s="458"/>
      <c r="U119" s="458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67">
        <f t="shared" si="36"/>
        <v>0</v>
      </c>
      <c r="I120" s="129"/>
      <c r="J120" s="130" t="str">
        <f t="array" ref="J120">IF(ISERROR(G120/I120),"",G120/I120)</f>
        <v/>
      </c>
      <c r="K120" s="467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58"/>
      <c r="P120" s="458"/>
      <c r="Q120" s="458"/>
      <c r="R120" s="458"/>
      <c r="S120" s="458"/>
      <c r="T120" s="458"/>
      <c r="U120" s="458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30" t="s">
        <v>224</v>
      </c>
      <c r="B121" s="631"/>
      <c r="C121" s="465" t="s">
        <v>202</v>
      </c>
      <c r="D121" s="143"/>
      <c r="E121" s="143"/>
      <c r="F121" s="144"/>
      <c r="G121" s="145">
        <f>SUM(G87:G120)</f>
        <v>542</v>
      </c>
      <c r="H121" s="146">
        <f>SUM(H87:H120)</f>
        <v>2710</v>
      </c>
      <c r="I121" s="146">
        <f>SUM(I87:I120)</f>
        <v>72</v>
      </c>
      <c r="J121" s="130">
        <f t="array" ref="J121">IF(ISERROR(G121/I121),"",G121/I121)</f>
        <v>7.5277777777777777</v>
      </c>
      <c r="K121" s="146">
        <f>SUM(K87:K120)</f>
        <v>108.4</v>
      </c>
      <c r="L121" s="147"/>
      <c r="M121" s="150">
        <f t="shared" ref="M121:V121" si="50">SUM(M87:M120)</f>
        <v>-36.400000000000006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67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58"/>
      <c r="P122" s="458"/>
      <c r="Q122" s="458"/>
      <c r="R122" s="458"/>
      <c r="S122" s="458"/>
      <c r="T122" s="458"/>
      <c r="U122" s="458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67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58"/>
      <c r="P123" s="458"/>
      <c r="Q123" s="458"/>
      <c r="R123" s="458"/>
      <c r="S123" s="458"/>
      <c r="T123" s="458"/>
      <c r="U123" s="458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67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58"/>
      <c r="P124" s="458"/>
      <c r="Q124" s="458"/>
      <c r="R124" s="458"/>
      <c r="S124" s="458"/>
      <c r="T124" s="458"/>
      <c r="U124" s="458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67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58"/>
      <c r="P125" s="458"/>
      <c r="Q125" s="458"/>
      <c r="R125" s="458"/>
      <c r="S125" s="458"/>
      <c r="T125" s="458"/>
      <c r="U125" s="458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63" t="s">
        <v>203</v>
      </c>
      <c r="D126" s="108">
        <v>5.03</v>
      </c>
      <c r="E126" s="108"/>
      <c r="F126" s="127"/>
      <c r="G126" s="128"/>
      <c r="H126" s="467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58"/>
      <c r="P126" s="458"/>
      <c r="Q126" s="458"/>
      <c r="R126" s="458"/>
      <c r="S126" s="458"/>
      <c r="T126" s="458"/>
      <c r="U126" s="458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67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58"/>
      <c r="P127" s="458"/>
      <c r="Q127" s="458"/>
      <c r="R127" s="458"/>
      <c r="S127" s="458"/>
      <c r="T127" s="458"/>
      <c r="U127" s="458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67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58"/>
      <c r="P128" s="458"/>
      <c r="Q128" s="458"/>
      <c r="R128" s="458"/>
      <c r="S128" s="458"/>
      <c r="T128" s="458"/>
      <c r="U128" s="458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63" t="s">
        <v>228</v>
      </c>
      <c r="D129" s="108">
        <v>5.03</v>
      </c>
      <c r="E129" s="108"/>
      <c r="F129" s="127"/>
      <c r="G129" s="128"/>
      <c r="H129" s="467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58"/>
      <c r="P129" s="458"/>
      <c r="Q129" s="458"/>
      <c r="R129" s="458"/>
      <c r="S129" s="458"/>
      <c r="T129" s="458"/>
      <c r="U129" s="458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63" t="s">
        <v>212</v>
      </c>
      <c r="D130" s="108">
        <v>5.03</v>
      </c>
      <c r="E130" s="108"/>
      <c r="F130" s="127"/>
      <c r="G130" s="128"/>
      <c r="H130" s="467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58"/>
      <c r="P130" s="458"/>
      <c r="Q130" s="458"/>
      <c r="R130" s="458"/>
      <c r="S130" s="458"/>
      <c r="T130" s="458"/>
      <c r="U130" s="458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63" t="s">
        <v>203</v>
      </c>
      <c r="D131" s="108">
        <v>5.03</v>
      </c>
      <c r="E131" s="108"/>
      <c r="F131" s="127"/>
      <c r="G131" s="128"/>
      <c r="H131" s="467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58"/>
      <c r="P131" s="458"/>
      <c r="Q131" s="458"/>
      <c r="R131" s="458"/>
      <c r="S131" s="458"/>
      <c r="T131" s="458"/>
      <c r="U131" s="458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63" t="s">
        <v>186</v>
      </c>
      <c r="D132" s="108">
        <v>5.03</v>
      </c>
      <c r="E132" s="108"/>
      <c r="F132" s="127"/>
      <c r="G132" s="128"/>
      <c r="H132" s="467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58"/>
      <c r="P132" s="458"/>
      <c r="Q132" s="458"/>
      <c r="R132" s="458"/>
      <c r="S132" s="458"/>
      <c r="T132" s="458"/>
      <c r="U132" s="458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63" t="s">
        <v>228</v>
      </c>
      <c r="D133" s="108">
        <v>5.03</v>
      </c>
      <c r="E133" s="108"/>
      <c r="F133" s="127"/>
      <c r="G133" s="128"/>
      <c r="H133" s="467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58"/>
      <c r="P133" s="458"/>
      <c r="Q133" s="458"/>
      <c r="R133" s="458"/>
      <c r="S133" s="458"/>
      <c r="T133" s="458"/>
      <c r="U133" s="458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63" t="s">
        <v>199</v>
      </c>
      <c r="D134" s="108">
        <v>5.03</v>
      </c>
      <c r="E134" s="108"/>
      <c r="F134" s="127"/>
      <c r="G134" s="128"/>
      <c r="H134" s="467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58"/>
      <c r="P134" s="458"/>
      <c r="Q134" s="458"/>
      <c r="R134" s="458"/>
      <c r="S134" s="458"/>
      <c r="T134" s="458"/>
      <c r="U134" s="458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67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58"/>
      <c r="P135" s="458"/>
      <c r="Q135" s="458"/>
      <c r="R135" s="458"/>
      <c r="S135" s="458"/>
      <c r="T135" s="458"/>
      <c r="U135" s="458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67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58"/>
      <c r="P136" s="458"/>
      <c r="Q136" s="458"/>
      <c r="R136" s="458"/>
      <c r="S136" s="458"/>
      <c r="T136" s="458"/>
      <c r="U136" s="458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630" t="s">
        <v>231</v>
      </c>
      <c r="B137" s="631"/>
      <c r="C137" s="465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67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58"/>
      <c r="P138" s="458"/>
      <c r="Q138" s="458"/>
      <c r="R138" s="458"/>
      <c r="S138" s="458"/>
      <c r="T138" s="458"/>
      <c r="U138" s="458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67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58"/>
      <c r="P139" s="458"/>
      <c r="Q139" s="458"/>
      <c r="R139" s="458"/>
      <c r="S139" s="458"/>
      <c r="T139" s="458"/>
      <c r="U139" s="458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67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58"/>
      <c r="P140" s="458"/>
      <c r="Q140" s="458"/>
      <c r="R140" s="458"/>
      <c r="S140" s="458"/>
      <c r="T140" s="458"/>
      <c r="U140" s="458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67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58"/>
      <c r="P141" s="458"/>
      <c r="Q141" s="458"/>
      <c r="R141" s="458"/>
      <c r="S141" s="458"/>
      <c r="T141" s="458"/>
      <c r="U141" s="458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67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58"/>
      <c r="P142" s="458"/>
      <c r="Q142" s="458"/>
      <c r="R142" s="458"/>
      <c r="S142" s="458"/>
      <c r="T142" s="458"/>
      <c r="U142" s="458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67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58"/>
      <c r="P143" s="458"/>
      <c r="Q143" s="458"/>
      <c r="R143" s="458"/>
      <c r="S143" s="458"/>
      <c r="T143" s="458"/>
      <c r="U143" s="458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/>
      <c r="G144" s="128"/>
      <c r="H144" s="479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0"/>
      <c r="P144" s="470"/>
      <c r="Q144" s="470"/>
      <c r="R144" s="470"/>
      <c r="S144" s="470"/>
      <c r="T144" s="470"/>
      <c r="U144" s="470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467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458"/>
      <c r="P146" s="458"/>
      <c r="Q146" s="458"/>
      <c r="R146" s="458"/>
      <c r="S146" s="458"/>
      <c r="T146" s="458"/>
      <c r="U146" s="458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hidden="1" customHeight="1">
      <c r="A147" s="630" t="s">
        <v>234</v>
      </c>
      <c r="B147" s="631"/>
      <c r="C147" s="465" t="s">
        <v>202</v>
      </c>
      <c r="D147" s="143"/>
      <c r="E147" s="143"/>
      <c r="F147" s="144"/>
      <c r="G147" s="145">
        <f>SUM(G138:G146)</f>
        <v>0</v>
      </c>
      <c r="H147" s="146">
        <f>SUM(H138:H146)</f>
        <v>0</v>
      </c>
      <c r="I147" s="146">
        <f>SUM(I138:I146)</f>
        <v>0</v>
      </c>
      <c r="J147" s="130" t="str">
        <f t="array" ref="J147">IF(ISERROR(G147/I147),"",G147/I147)</f>
        <v/>
      </c>
      <c r="K147" s="146">
        <f>SUM(K138:K146)</f>
        <v>0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 t="str">
        <f t="shared" si="62"/>
        <v/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457"/>
      <c r="D148" s="108">
        <v>3.65</v>
      </c>
      <c r="E148" s="108"/>
      <c r="F148" s="153"/>
      <c r="G148" s="128"/>
      <c r="H148" s="467">
        <f t="shared" ref="H148:H161" si="63">D148*G148</f>
        <v>0</v>
      </c>
      <c r="I148" s="129"/>
      <c r="J148" s="130" t="str">
        <f t="array" ref="J148">IF(ISERROR(G148/I148),"",G148/I148)</f>
        <v/>
      </c>
      <c r="K148" s="467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458"/>
      <c r="P148" s="458"/>
      <c r="Q148" s="458"/>
      <c r="R148" s="458"/>
      <c r="S148" s="458"/>
      <c r="T148" s="458"/>
      <c r="U148" s="458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457"/>
      <c r="D149" s="108">
        <v>6.58</v>
      </c>
      <c r="E149" s="108"/>
      <c r="F149" s="127"/>
      <c r="G149" s="128"/>
      <c r="H149" s="467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458"/>
      <c r="P149" s="458"/>
      <c r="Q149" s="458"/>
      <c r="R149" s="458"/>
      <c r="S149" s="458"/>
      <c r="T149" s="458"/>
      <c r="U149" s="458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457"/>
      <c r="D150" s="108">
        <v>7.8</v>
      </c>
      <c r="E150" s="108"/>
      <c r="F150" s="127"/>
      <c r="G150" s="128"/>
      <c r="H150" s="467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458"/>
      <c r="P150" s="458"/>
      <c r="Q150" s="458"/>
      <c r="R150" s="458"/>
      <c r="S150" s="458"/>
      <c r="T150" s="458"/>
      <c r="U150" s="458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457"/>
      <c r="D151" s="108">
        <v>4.4000000000000004</v>
      </c>
      <c r="E151" s="108"/>
      <c r="F151" s="127"/>
      <c r="G151" s="128"/>
      <c r="H151" s="467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458"/>
      <c r="P151" s="458"/>
      <c r="Q151" s="458"/>
      <c r="R151" s="458"/>
      <c r="S151" s="458"/>
      <c r="T151" s="458"/>
      <c r="U151" s="458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467">
        <f t="shared" si="63"/>
        <v>0</v>
      </c>
      <c r="I152" s="129"/>
      <c r="J152" s="130"/>
      <c r="K152" s="131"/>
      <c r="L152" s="129">
        <v>6</v>
      </c>
      <c r="M152" s="109"/>
      <c r="N152" s="130"/>
      <c r="O152" s="458"/>
      <c r="P152" s="458"/>
      <c r="Q152" s="458"/>
      <c r="R152" s="458"/>
      <c r="S152" s="458"/>
      <c r="T152" s="458"/>
      <c r="U152" s="458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457" t="s">
        <v>239</v>
      </c>
      <c r="C153" s="457" t="s">
        <v>179</v>
      </c>
      <c r="D153" s="108">
        <v>6.04</v>
      </c>
      <c r="E153" s="108"/>
      <c r="F153" s="127"/>
      <c r="G153" s="128"/>
      <c r="H153" s="467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458"/>
      <c r="P153" s="458"/>
      <c r="Q153" s="458"/>
      <c r="R153" s="458"/>
      <c r="S153" s="458"/>
      <c r="T153" s="458"/>
      <c r="U153" s="458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457" t="s">
        <v>239</v>
      </c>
      <c r="C154" s="457" t="s">
        <v>186</v>
      </c>
      <c r="D154" s="108">
        <v>6.04</v>
      </c>
      <c r="E154" s="108"/>
      <c r="F154" s="127"/>
      <c r="G154" s="128"/>
      <c r="H154" s="467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458"/>
      <c r="P154" s="458"/>
      <c r="Q154" s="458"/>
      <c r="R154" s="458"/>
      <c r="S154" s="458"/>
      <c r="T154" s="458"/>
      <c r="U154" s="458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457" t="s">
        <v>443</v>
      </c>
      <c r="C155" s="457" t="s">
        <v>179</v>
      </c>
      <c r="D155" s="108">
        <v>6</v>
      </c>
      <c r="E155" s="108"/>
      <c r="F155" s="127"/>
      <c r="G155" s="128"/>
      <c r="H155" s="467">
        <f t="shared" si="63"/>
        <v>0</v>
      </c>
      <c r="I155" s="129"/>
      <c r="J155" s="130"/>
      <c r="K155" s="131"/>
      <c r="L155" s="129"/>
      <c r="M155" s="109"/>
      <c r="N155" s="130"/>
      <c r="O155" s="458"/>
      <c r="P155" s="458"/>
      <c r="Q155" s="458"/>
      <c r="R155" s="458"/>
      <c r="S155" s="458"/>
      <c r="T155" s="458"/>
      <c r="U155" s="458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457" t="s">
        <v>443</v>
      </c>
      <c r="C156" s="457" t="s">
        <v>60</v>
      </c>
      <c r="D156" s="108">
        <v>6</v>
      </c>
      <c r="E156" s="108"/>
      <c r="F156" s="127"/>
      <c r="G156" s="128"/>
      <c r="H156" s="467">
        <f t="shared" si="63"/>
        <v>0</v>
      </c>
      <c r="I156" s="129"/>
      <c r="J156" s="130"/>
      <c r="K156" s="131"/>
      <c r="L156" s="129">
        <v>6</v>
      </c>
      <c r="M156" s="109"/>
      <c r="N156" s="130"/>
      <c r="O156" s="458"/>
      <c r="P156" s="458"/>
      <c r="Q156" s="458"/>
      <c r="R156" s="458"/>
      <c r="S156" s="458"/>
      <c r="T156" s="458"/>
      <c r="U156" s="458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459" t="s">
        <v>240</v>
      </c>
      <c r="C157" s="126"/>
      <c r="D157" s="108">
        <v>7.3</v>
      </c>
      <c r="E157" s="108"/>
      <c r="F157" s="127"/>
      <c r="G157" s="128"/>
      <c r="H157" s="467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458"/>
      <c r="P157" s="458"/>
      <c r="Q157" s="458"/>
      <c r="R157" s="458"/>
      <c r="S157" s="458"/>
      <c r="T157" s="458"/>
      <c r="U157" s="458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459" t="s">
        <v>241</v>
      </c>
      <c r="C158" s="126"/>
      <c r="D158" s="108">
        <f>78*120/1000</f>
        <v>9.36</v>
      </c>
      <c r="E158" s="108"/>
      <c r="F158" s="127"/>
      <c r="G158" s="128"/>
      <c r="H158" s="467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458"/>
      <c r="P158" s="458"/>
      <c r="Q158" s="458"/>
      <c r="R158" s="458"/>
      <c r="S158" s="458"/>
      <c r="T158" s="458"/>
      <c r="U158" s="458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459" t="s">
        <v>242</v>
      </c>
      <c r="C159" s="126"/>
      <c r="D159" s="108">
        <v>4.5</v>
      </c>
      <c r="E159" s="108"/>
      <c r="F159" s="127"/>
      <c r="G159" s="128"/>
      <c r="H159" s="467">
        <f t="shared" si="63"/>
        <v>0</v>
      </c>
      <c r="I159" s="129"/>
      <c r="J159" s="130"/>
      <c r="K159" s="131"/>
      <c r="L159" s="129"/>
      <c r="M159" s="109"/>
      <c r="N159" s="130"/>
      <c r="O159" s="458"/>
      <c r="P159" s="458"/>
      <c r="Q159" s="458"/>
      <c r="R159" s="458"/>
      <c r="S159" s="458"/>
      <c r="T159" s="458"/>
      <c r="U159" s="458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459" t="s">
        <v>243</v>
      </c>
      <c r="C160" s="126"/>
      <c r="D160" s="108">
        <v>4.5</v>
      </c>
      <c r="E160" s="108"/>
      <c r="F160" s="127"/>
      <c r="G160" s="128"/>
      <c r="H160" s="467">
        <f t="shared" si="63"/>
        <v>0</v>
      </c>
      <c r="I160" s="129"/>
      <c r="J160" s="130"/>
      <c r="K160" s="131"/>
      <c r="L160" s="129"/>
      <c r="M160" s="109"/>
      <c r="N160" s="130"/>
      <c r="O160" s="458"/>
      <c r="P160" s="458"/>
      <c r="Q160" s="458"/>
      <c r="R160" s="458"/>
      <c r="S160" s="458"/>
      <c r="T160" s="458"/>
      <c r="U160" s="458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467">
        <f t="shared" si="63"/>
        <v>0</v>
      </c>
      <c r="I161" s="129"/>
      <c r="J161" s="130"/>
      <c r="K161" s="131"/>
      <c r="L161" s="129"/>
      <c r="M161" s="109"/>
      <c r="N161" s="130"/>
      <c r="O161" s="458"/>
      <c r="P161" s="458"/>
      <c r="Q161" s="458"/>
      <c r="R161" s="458"/>
      <c r="S161" s="458"/>
      <c r="T161" s="458"/>
      <c r="U161" s="458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630" t="s">
        <v>244</v>
      </c>
      <c r="B162" s="631"/>
      <c r="C162" s="465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32" t="s">
        <v>246</v>
      </c>
      <c r="B163" s="633"/>
      <c r="C163" s="633"/>
      <c r="D163" s="633"/>
      <c r="E163" s="633"/>
      <c r="F163" s="634"/>
      <c r="G163" s="154">
        <f>SUM(G28,G86,G121,G137,G147,G162)</f>
        <v>3463</v>
      </c>
      <c r="H163" s="154">
        <f>SUM(H28,H86,H121,H137,H147,H162)</f>
        <v>17408.75</v>
      </c>
      <c r="I163" s="154">
        <f>SUM(I28,I86,I121,I137,I147,I162)</f>
        <v>206.5</v>
      </c>
      <c r="J163" s="155">
        <f t="array" ref="J163">IF(ISERROR(G163/I163),"",G163/I163)</f>
        <v>16.769975786924938</v>
      </c>
      <c r="K163" s="154">
        <f>SUM(K28,K86,K121,K137,K147,K162)</f>
        <v>222.46745299285209</v>
      </c>
      <c r="L163" s="155">
        <f>IF(ISERROR(G163/K163),"",G163/K163)</f>
        <v>15.566321964909028</v>
      </c>
      <c r="M163" s="154">
        <f t="shared" ref="M163:AA163" si="76">SUM(M28,M86,M121,M137,M147,M162)</f>
        <v>-15.967452992852095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635" t="s">
        <v>476</v>
      </c>
      <c r="B164" s="464" t="s">
        <v>247</v>
      </c>
      <c r="C164" s="638" t="s">
        <v>248</v>
      </c>
      <c r="D164" s="639"/>
      <c r="E164" s="640" t="s">
        <v>249</v>
      </c>
      <c r="F164" s="640"/>
      <c r="G164" s="643" t="s">
        <v>250</v>
      </c>
      <c r="H164" s="643"/>
      <c r="I164" s="640" t="s">
        <v>251</v>
      </c>
      <c r="J164" s="640"/>
      <c r="K164" s="640" t="s">
        <v>252</v>
      </c>
      <c r="L164" s="640"/>
      <c r="M164" s="640" t="s">
        <v>253</v>
      </c>
      <c r="N164" s="640"/>
      <c r="O164" s="640" t="s">
        <v>254</v>
      </c>
      <c r="P164" s="643" t="s">
        <v>255</v>
      </c>
      <c r="Q164" s="643"/>
      <c r="R164" s="643" t="s">
        <v>252</v>
      </c>
      <c r="S164" s="643"/>
      <c r="T164" s="643" t="s">
        <v>256</v>
      </c>
      <c r="U164" s="643"/>
      <c r="V164" s="643" t="s">
        <v>257</v>
      </c>
      <c r="W164" s="643"/>
      <c r="X164" s="643" t="s">
        <v>252</v>
      </c>
      <c r="Y164" s="643"/>
      <c r="Z164" s="643" t="s">
        <v>256</v>
      </c>
      <c r="AA164" s="643"/>
    </row>
    <row r="165" spans="1:27" ht="20.100000000000001" customHeight="1">
      <c r="A165" s="636"/>
      <c r="B165" s="464" t="s">
        <v>258</v>
      </c>
      <c r="C165" s="638">
        <v>1</v>
      </c>
      <c r="D165" s="639"/>
      <c r="E165" s="642">
        <f>C165*11</f>
        <v>11</v>
      </c>
      <c r="F165" s="642"/>
      <c r="G165" s="643">
        <v>1</v>
      </c>
      <c r="H165" s="643"/>
      <c r="I165" s="642">
        <f>G165*11</f>
        <v>11</v>
      </c>
      <c r="J165" s="642"/>
      <c r="K165" s="642">
        <f>E165-I165</f>
        <v>0</v>
      </c>
      <c r="L165" s="642"/>
      <c r="M165" s="644">
        <f>IF(ISERROR(K165/E165),"",K165/E165)</f>
        <v>0</v>
      </c>
      <c r="N165" s="644"/>
      <c r="O165" s="640"/>
      <c r="P165" s="643" t="s">
        <v>201</v>
      </c>
      <c r="Q165" s="643"/>
      <c r="R165" s="645">
        <f>SUM(O28:U28)</f>
        <v>0</v>
      </c>
      <c r="S165" s="645"/>
      <c r="T165" s="646" t="str">
        <f t="array" ref="T165">IF(ISERROR(R165/R172),"",R165/R172)</f>
        <v/>
      </c>
      <c r="U165" s="646"/>
      <c r="V165" s="643" t="s">
        <v>259</v>
      </c>
      <c r="W165" s="643"/>
      <c r="X165" s="647">
        <f>SUM(P27,P85,P120,P136,P146,P160)</f>
        <v>0</v>
      </c>
      <c r="Y165" s="647"/>
      <c r="Z165" s="646" t="str">
        <f t="array" ref="Z165">IF(ISERROR(X165/X172),"",X165/X172)</f>
        <v/>
      </c>
      <c r="AA165" s="646"/>
    </row>
    <row r="166" spans="1:27" ht="20.100000000000001" customHeight="1">
      <c r="A166" s="636"/>
      <c r="B166" s="464" t="s">
        <v>260</v>
      </c>
      <c r="C166" s="638">
        <v>1</v>
      </c>
      <c r="D166" s="639"/>
      <c r="E166" s="642">
        <f>C166*11</f>
        <v>11</v>
      </c>
      <c r="F166" s="642"/>
      <c r="G166" s="643">
        <v>1</v>
      </c>
      <c r="H166" s="643"/>
      <c r="I166" s="642">
        <f>G166*11</f>
        <v>11</v>
      </c>
      <c r="J166" s="642"/>
      <c r="K166" s="642">
        <f>E166-I166</f>
        <v>0</v>
      </c>
      <c r="L166" s="642"/>
      <c r="M166" s="644">
        <f>IF(ISERROR(K166/E166),"",K166/E166)</f>
        <v>0</v>
      </c>
      <c r="N166" s="644"/>
      <c r="O166" s="640"/>
      <c r="P166" s="643" t="s">
        <v>216</v>
      </c>
      <c r="Q166" s="643"/>
      <c r="R166" s="645">
        <f>SUM(O86:U86)</f>
        <v>0</v>
      </c>
      <c r="S166" s="645"/>
      <c r="T166" s="646" t="str">
        <f>IF(ISERROR(R166/R172),"",R166/R172)</f>
        <v/>
      </c>
      <c r="U166" s="646"/>
      <c r="V166" s="643" t="s">
        <v>261</v>
      </c>
      <c r="W166" s="643"/>
      <c r="X166" s="647">
        <f>SUM(P28,P86,P121,P137,P147,P162)</f>
        <v>0</v>
      </c>
      <c r="Y166" s="647"/>
      <c r="Z166" s="646" t="str">
        <f>IF(ISERROR(X166/X172),"",X166/X172)</f>
        <v/>
      </c>
      <c r="AA166" s="646"/>
    </row>
    <row r="167" spans="1:27" ht="20.100000000000001" customHeight="1">
      <c r="A167" s="636"/>
      <c r="B167" s="464" t="s">
        <v>262</v>
      </c>
      <c r="C167" s="638">
        <v>1</v>
      </c>
      <c r="D167" s="639"/>
      <c r="E167" s="642">
        <f>C167*8</f>
        <v>8</v>
      </c>
      <c r="F167" s="642"/>
      <c r="G167" s="643">
        <v>1</v>
      </c>
      <c r="H167" s="643"/>
      <c r="I167" s="642">
        <f>G167*8</f>
        <v>8</v>
      </c>
      <c r="J167" s="642"/>
      <c r="K167" s="642">
        <f>E167-I167</f>
        <v>0</v>
      </c>
      <c r="L167" s="642"/>
      <c r="M167" s="644">
        <f>IF(ISERROR(K167/E167),"",K167/E167)</f>
        <v>0</v>
      </c>
      <c r="N167" s="644"/>
      <c r="O167" s="640"/>
      <c r="P167" s="643" t="s">
        <v>224</v>
      </c>
      <c r="Q167" s="643"/>
      <c r="R167" s="645">
        <f>SUM(O121:U121)</f>
        <v>0</v>
      </c>
      <c r="S167" s="645"/>
      <c r="T167" s="646" t="str">
        <f>IF(ISERROR(R167/R172),"",R167/R172)</f>
        <v/>
      </c>
      <c r="U167" s="646"/>
      <c r="V167" s="643" t="s">
        <v>263</v>
      </c>
      <c r="W167" s="643"/>
      <c r="X167" s="647">
        <f>SUM(P29,P87,P122,P138,P148,P163)</f>
        <v>0</v>
      </c>
      <c r="Y167" s="647"/>
      <c r="Z167" s="646" t="str">
        <f>IF(ISERROR(X167/X172),"",X167/X172)</f>
        <v/>
      </c>
      <c r="AA167" s="646"/>
    </row>
    <row r="168" spans="1:27" ht="20.100000000000001" customHeight="1">
      <c r="A168" s="636"/>
      <c r="B168" s="464" t="s">
        <v>264</v>
      </c>
      <c r="C168" s="638">
        <v>1</v>
      </c>
      <c r="D168" s="639"/>
      <c r="E168" s="642">
        <f>C168*11</f>
        <v>11</v>
      </c>
      <c r="F168" s="642"/>
      <c r="G168" s="643">
        <v>1</v>
      </c>
      <c r="H168" s="643"/>
      <c r="I168" s="642">
        <f>G168*11</f>
        <v>11</v>
      </c>
      <c r="J168" s="642"/>
      <c r="K168" s="642">
        <f>E168-I168</f>
        <v>0</v>
      </c>
      <c r="L168" s="642"/>
      <c r="M168" s="644">
        <f>IF(ISERROR(K168/E168),"",K168/E168)</f>
        <v>0</v>
      </c>
      <c r="N168" s="644"/>
      <c r="O168" s="640"/>
      <c r="P168" s="643" t="s">
        <v>231</v>
      </c>
      <c r="Q168" s="643"/>
      <c r="R168" s="645">
        <f>SUM(O137:U137)</f>
        <v>0</v>
      </c>
      <c r="S168" s="645"/>
      <c r="T168" s="646" t="str">
        <f>IF(ISERROR(R168/R172),"",R168/R172)</f>
        <v/>
      </c>
      <c r="U168" s="646"/>
      <c r="V168" s="643" t="s">
        <v>265</v>
      </c>
      <c r="W168" s="643"/>
      <c r="X168" s="647">
        <f>SUM(P31,P88,P123,P139,P149,P164)</f>
        <v>0</v>
      </c>
      <c r="Y168" s="647"/>
      <c r="Z168" s="646" t="str">
        <f>IF(ISERROR(X168/X172),"",X168/X172)</f>
        <v/>
      </c>
      <c r="AA168" s="646"/>
    </row>
    <row r="169" spans="1:27" ht="20.100000000000001" customHeight="1">
      <c r="A169" s="637"/>
      <c r="B169" s="464" t="s">
        <v>266</v>
      </c>
      <c r="C169" s="648">
        <f>SUM(C165:D168)</f>
        <v>4</v>
      </c>
      <c r="D169" s="649"/>
      <c r="E169" s="642">
        <f>SUM(E165:F168)</f>
        <v>41</v>
      </c>
      <c r="F169" s="642"/>
      <c r="G169" s="643">
        <f>SUM(G165:H168)</f>
        <v>4</v>
      </c>
      <c r="H169" s="643"/>
      <c r="I169" s="642">
        <f>SUM(I165:J168)</f>
        <v>41</v>
      </c>
      <c r="J169" s="642"/>
      <c r="K169" s="642">
        <f>SUM(K165:L168)</f>
        <v>0</v>
      </c>
      <c r="L169" s="642"/>
      <c r="M169" s="644">
        <f>IF(ISERROR(K169/E169),"",K169/E169)</f>
        <v>0</v>
      </c>
      <c r="N169" s="644"/>
      <c r="O169" s="640"/>
      <c r="P169" s="643" t="s">
        <v>234</v>
      </c>
      <c r="Q169" s="643"/>
      <c r="R169" s="645">
        <f>SUM(O147:U147)</f>
        <v>0</v>
      </c>
      <c r="S169" s="645"/>
      <c r="T169" s="646" t="str">
        <f>IF(ISERROR(R169/R172),"",R169/R172)</f>
        <v/>
      </c>
      <c r="U169" s="646"/>
      <c r="V169" s="643" t="s">
        <v>267</v>
      </c>
      <c r="W169" s="643"/>
      <c r="X169" s="647">
        <f>SUM(P32,P89,P124,P140,P150,P165)</f>
        <v>0</v>
      </c>
      <c r="Y169" s="647"/>
      <c r="Z169" s="646" t="str">
        <f>IF(ISERROR(X169/X172),"",X169/X172)</f>
        <v/>
      </c>
      <c r="AA169" s="646"/>
    </row>
    <row r="170" spans="1:27" ht="20.100000000000001" customHeight="1">
      <c r="A170" s="307" t="s">
        <v>477</v>
      </c>
      <c r="B170" s="464">
        <f>G163</f>
        <v>3463</v>
      </c>
      <c r="C170" s="650" t="s">
        <v>269</v>
      </c>
      <c r="D170" s="651"/>
      <c r="E170" s="643">
        <f>H163</f>
        <v>17408.75</v>
      </c>
      <c r="F170" s="643"/>
      <c r="G170" s="643" t="s">
        <v>270</v>
      </c>
      <c r="H170" s="643"/>
      <c r="I170" s="652">
        <f>L163</f>
        <v>15.566321964909028</v>
      </c>
      <c r="J170" s="652"/>
      <c r="K170" s="640" t="s">
        <v>271</v>
      </c>
      <c r="L170" s="640"/>
      <c r="M170" s="652">
        <f>J163</f>
        <v>16.769975786924938</v>
      </c>
      <c r="N170" s="652"/>
      <c r="O170" s="640"/>
      <c r="P170" s="643" t="s">
        <v>244</v>
      </c>
      <c r="Q170" s="643"/>
      <c r="R170" s="645">
        <f>SUM(O162:U162)</f>
        <v>0</v>
      </c>
      <c r="S170" s="645"/>
      <c r="T170" s="646" t="str">
        <f>IF(ISERROR(R170/R172),"",R170/R172)</f>
        <v/>
      </c>
      <c r="U170" s="646"/>
      <c r="V170" s="643" t="s">
        <v>272</v>
      </c>
      <c r="W170" s="643"/>
      <c r="X170" s="647">
        <f>SUM(P33,P90,P125,P141,P151,P166)</f>
        <v>0</v>
      </c>
      <c r="Y170" s="647"/>
      <c r="Z170" s="646" t="str">
        <f>IF(ISERROR(X170/X172),"",X170/X172)</f>
        <v/>
      </c>
      <c r="AA170" s="646"/>
    </row>
    <row r="171" spans="1:27" ht="20.100000000000001" customHeight="1">
      <c r="A171" s="308" t="s">
        <v>478</v>
      </c>
      <c r="B171" s="464">
        <f>I163+C169</f>
        <v>210.5</v>
      </c>
      <c r="C171" s="653" t="s">
        <v>251</v>
      </c>
      <c r="D171" s="654"/>
      <c r="E171" s="655">
        <f>K163+I169</f>
        <v>263.46745299285209</v>
      </c>
      <c r="F171" s="655"/>
      <c r="G171" s="643" t="s">
        <v>274</v>
      </c>
      <c r="H171" s="643"/>
      <c r="I171" s="652">
        <f>B171-E171</f>
        <v>-52.967452992852088</v>
      </c>
      <c r="J171" s="652"/>
      <c r="K171" s="640" t="s">
        <v>275</v>
      </c>
      <c r="L171" s="640"/>
      <c r="M171" s="644">
        <f>IF(ISERROR(I171/E171),"",I171/E171)</f>
        <v>-0.20103983391940675</v>
      </c>
      <c r="N171" s="644"/>
      <c r="O171" s="640"/>
      <c r="P171" s="643" t="s">
        <v>245</v>
      </c>
      <c r="Q171" s="643"/>
      <c r="R171" s="645"/>
      <c r="S171" s="645"/>
      <c r="T171" s="646" t="str">
        <f>IF(ISERROR(R171/R172),"",R171/R172)</f>
        <v/>
      </c>
      <c r="U171" s="646"/>
      <c r="V171" s="643" t="s">
        <v>264</v>
      </c>
      <c r="W171" s="643"/>
      <c r="X171" s="647"/>
      <c r="Y171" s="647"/>
      <c r="Z171" s="646" t="str">
        <f>IF(ISERROR(X171/X172),"",X171/X172)</f>
        <v/>
      </c>
      <c r="AA171" s="646"/>
    </row>
    <row r="172" spans="1:27" ht="20.100000000000001" customHeight="1">
      <c r="A172" s="308" t="s">
        <v>479</v>
      </c>
      <c r="B172" s="464">
        <f>N163</f>
        <v>0</v>
      </c>
      <c r="C172" s="653" t="s">
        <v>277</v>
      </c>
      <c r="D172" s="654"/>
      <c r="E172" s="646">
        <f>IF(ISERROR(B172/B171),"",B172/B171)</f>
        <v>0</v>
      </c>
      <c r="F172" s="646"/>
      <c r="G172" s="643" t="s">
        <v>278</v>
      </c>
      <c r="H172" s="643"/>
      <c r="I172" s="640">
        <f>V163</f>
        <v>0</v>
      </c>
      <c r="J172" s="640"/>
      <c r="K172" s="640" t="s">
        <v>279</v>
      </c>
      <c r="L172" s="640"/>
      <c r="M172" s="644">
        <f t="array" ref="M172">IF(ISERROR(I172/B170),"",I172/B170)</f>
        <v>0</v>
      </c>
      <c r="N172" s="644"/>
      <c r="O172" s="640"/>
      <c r="P172" s="643" t="s">
        <v>266</v>
      </c>
      <c r="Q172" s="643"/>
      <c r="R172" s="645">
        <f>SUM(R165:S171)</f>
        <v>0</v>
      </c>
      <c r="S172" s="645"/>
      <c r="T172" s="646"/>
      <c r="U172" s="646"/>
      <c r="V172" s="643" t="s">
        <v>266</v>
      </c>
      <c r="W172" s="643"/>
      <c r="X172" s="647">
        <f>SUM(X165:Y171)</f>
        <v>0</v>
      </c>
      <c r="Y172" s="647"/>
      <c r="Z172" s="646"/>
      <c r="AA172" s="646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56" t="s">
        <v>480</v>
      </c>
      <c r="B174" s="659" t="s">
        <v>280</v>
      </c>
      <c r="C174" s="659" t="s">
        <v>281</v>
      </c>
      <c r="D174" s="659" t="s">
        <v>282</v>
      </c>
      <c r="E174" s="662" t="s">
        <v>283</v>
      </c>
      <c r="F174" s="675" t="s">
        <v>284</v>
      </c>
      <c r="G174" s="640" t="s">
        <v>285</v>
      </c>
      <c r="H174" s="640"/>
      <c r="I174" s="659" t="s">
        <v>286</v>
      </c>
      <c r="J174" s="665" t="s">
        <v>271</v>
      </c>
      <c r="K174" s="668" t="s">
        <v>287</v>
      </c>
      <c r="L174" s="659" t="s">
        <v>270</v>
      </c>
      <c r="M174" s="671" t="s">
        <v>288</v>
      </c>
      <c r="N174" s="673" t="s">
        <v>252</v>
      </c>
      <c r="O174" s="640" t="s">
        <v>289</v>
      </c>
      <c r="P174" s="640"/>
      <c r="Q174" s="640"/>
      <c r="R174" s="640"/>
      <c r="S174" s="640"/>
      <c r="T174" s="640"/>
      <c r="U174" s="640"/>
      <c r="V174" s="640" t="s">
        <v>290</v>
      </c>
      <c r="W174" s="673" t="s">
        <v>291</v>
      </c>
      <c r="X174" s="640" t="s">
        <v>292</v>
      </c>
      <c r="Y174" s="640"/>
      <c r="Z174" s="640"/>
      <c r="AA174" s="640"/>
    </row>
    <row r="175" spans="1:27" ht="21.95" customHeight="1">
      <c r="A175" s="657"/>
      <c r="B175" s="660"/>
      <c r="C175" s="660"/>
      <c r="D175" s="660"/>
      <c r="E175" s="663"/>
      <c r="F175" s="676"/>
      <c r="G175" s="640"/>
      <c r="H175" s="640"/>
      <c r="I175" s="660"/>
      <c r="J175" s="666"/>
      <c r="K175" s="669"/>
      <c r="L175" s="660"/>
      <c r="M175" s="672"/>
      <c r="N175" s="673"/>
      <c r="O175" s="640" t="s">
        <v>259</v>
      </c>
      <c r="P175" s="640" t="s">
        <v>261</v>
      </c>
      <c r="Q175" s="640" t="s">
        <v>263</v>
      </c>
      <c r="R175" s="674" t="s">
        <v>265</v>
      </c>
      <c r="S175" s="643" t="s">
        <v>267</v>
      </c>
      <c r="T175" s="640" t="s">
        <v>272</v>
      </c>
      <c r="U175" s="640" t="s">
        <v>264</v>
      </c>
      <c r="V175" s="640"/>
      <c r="W175" s="673"/>
      <c r="X175" s="640" t="s">
        <v>293</v>
      </c>
      <c r="Y175" s="640" t="s">
        <v>294</v>
      </c>
      <c r="Z175" s="640" t="s">
        <v>295</v>
      </c>
      <c r="AA175" s="640" t="s">
        <v>264</v>
      </c>
    </row>
    <row r="176" spans="1:27" ht="21.95" customHeight="1">
      <c r="A176" s="658"/>
      <c r="B176" s="661"/>
      <c r="C176" s="661"/>
      <c r="D176" s="661"/>
      <c r="E176" s="664"/>
      <c r="F176" s="677"/>
      <c r="G176" s="348" t="s">
        <v>522</v>
      </c>
      <c r="H176" s="457" t="s">
        <v>297</v>
      </c>
      <c r="I176" s="661"/>
      <c r="J176" s="667"/>
      <c r="K176" s="670"/>
      <c r="L176" s="661"/>
      <c r="M176" s="672"/>
      <c r="N176" s="673"/>
      <c r="O176" s="640"/>
      <c r="P176" s="640"/>
      <c r="Q176" s="640"/>
      <c r="R176" s="674"/>
      <c r="S176" s="643"/>
      <c r="T176" s="640"/>
      <c r="U176" s="640"/>
      <c r="V176" s="640"/>
      <c r="W176" s="673"/>
      <c r="X176" s="640"/>
      <c r="Y176" s="640"/>
      <c r="Z176" s="640"/>
      <c r="AA176" s="640"/>
    </row>
    <row r="177" spans="1:27" ht="20.100000000000001" hidden="1" customHeight="1">
      <c r="A177" s="299">
        <v>30100030</v>
      </c>
      <c r="B177" s="459" t="s">
        <v>178</v>
      </c>
      <c r="C177" s="126" t="s">
        <v>179</v>
      </c>
      <c r="D177" s="108">
        <v>5.03</v>
      </c>
      <c r="E177" s="108"/>
      <c r="F177" s="127"/>
      <c r="G177" s="128"/>
      <c r="H177" s="467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458"/>
      <c r="P177" s="458"/>
      <c r="Q177" s="458"/>
      <c r="R177" s="458"/>
      <c r="S177" s="458"/>
      <c r="T177" s="458"/>
      <c r="U177" s="458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467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458"/>
      <c r="P178" s="458"/>
      <c r="Q178" s="458"/>
      <c r="R178" s="458"/>
      <c r="S178" s="458"/>
      <c r="T178" s="458"/>
      <c r="U178" s="458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467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458"/>
      <c r="P179" s="458"/>
      <c r="Q179" s="458"/>
      <c r="R179" s="458"/>
      <c r="S179" s="458"/>
      <c r="T179" s="458"/>
      <c r="U179" s="458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467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58"/>
      <c r="P180" s="458"/>
      <c r="Q180" s="458"/>
      <c r="R180" s="458"/>
      <c r="S180" s="458"/>
      <c r="T180" s="458"/>
      <c r="U180" s="458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467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458"/>
      <c r="P181" s="458"/>
      <c r="Q181" s="458"/>
      <c r="R181" s="458"/>
      <c r="S181" s="458"/>
      <c r="T181" s="458"/>
      <c r="U181" s="458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27">
        <v>42715</v>
      </c>
      <c r="G182" s="128">
        <v>35</v>
      </c>
      <c r="H182" s="467">
        <f t="shared" si="77"/>
        <v>176.4</v>
      </c>
      <c r="I182" s="129">
        <v>2</v>
      </c>
      <c r="J182" s="130">
        <f t="array" ref="J182">IF(ISERROR(G182/I182),"",G182/I182)</f>
        <v>17.5</v>
      </c>
      <c r="K182" s="131">
        <f t="array" ref="K182">IF(ISERROR(G182/L182),"",G182/L182)</f>
        <v>1.8421052631578947</v>
      </c>
      <c r="L182" s="129">
        <v>19</v>
      </c>
      <c r="M182" s="109">
        <f t="shared" si="78"/>
        <v>0.15789473684210531</v>
      </c>
      <c r="N182" s="130">
        <f t="shared" si="81"/>
        <v>0</v>
      </c>
      <c r="O182" s="458"/>
      <c r="P182" s="458"/>
      <c r="Q182" s="458"/>
      <c r="R182" s="458"/>
      <c r="S182" s="458"/>
      <c r="T182" s="458"/>
      <c r="U182" s="458"/>
      <c r="V182" s="132">
        <f t="shared" si="79"/>
        <v>0</v>
      </c>
      <c r="W182" s="133">
        <f t="shared" si="80"/>
        <v>0</v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467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458"/>
      <c r="P183" s="458"/>
      <c r="Q183" s="458"/>
      <c r="R183" s="458"/>
      <c r="S183" s="458"/>
      <c r="T183" s="458"/>
      <c r="U183" s="458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467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58"/>
      <c r="P184" s="458"/>
      <c r="Q184" s="458"/>
      <c r="R184" s="458"/>
      <c r="S184" s="458"/>
      <c r="T184" s="458"/>
      <c r="U184" s="458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467">
        <f t="shared" si="77"/>
        <v>0</v>
      </c>
      <c r="I185" s="467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458"/>
      <c r="P185" s="458"/>
      <c r="Q185" s="458"/>
      <c r="R185" s="458"/>
      <c r="S185" s="458"/>
      <c r="T185" s="458"/>
      <c r="U185" s="458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467">
        <f t="shared" si="77"/>
        <v>0</v>
      </c>
      <c r="I186" s="467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458"/>
      <c r="P186" s="458"/>
      <c r="Q186" s="458"/>
      <c r="R186" s="458"/>
      <c r="S186" s="458"/>
      <c r="T186" s="458"/>
      <c r="U186" s="458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467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458"/>
      <c r="P187" s="458"/>
      <c r="Q187" s="458"/>
      <c r="R187" s="458"/>
      <c r="S187" s="458"/>
      <c r="T187" s="458"/>
      <c r="U187" s="458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467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58"/>
      <c r="P188" s="458"/>
      <c r="Q188" s="458"/>
      <c r="R188" s="458"/>
      <c r="S188" s="458"/>
      <c r="T188" s="458"/>
      <c r="U188" s="458"/>
      <c r="V188" s="132"/>
      <c r="W188" s="133"/>
      <c r="X188" s="132"/>
      <c r="Y188" s="132"/>
      <c r="Z188" s="132"/>
      <c r="AA188" s="132"/>
    </row>
    <row r="189" spans="1:27" ht="20.10000000000000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>
        <v>42714</v>
      </c>
      <c r="G189" s="128">
        <f>90*2+82+90*8</f>
        <v>982</v>
      </c>
      <c r="H189" s="467">
        <f t="shared" ref="H189:H197" si="82">D189*G189</f>
        <v>4968.9199999999992</v>
      </c>
      <c r="I189" s="129">
        <f>11.5*5</f>
        <v>57.5</v>
      </c>
      <c r="J189" s="130">
        <f t="array" ref="J189">IF(ISERROR(G189/I189),"",G189/I189)</f>
        <v>17.078260869565216</v>
      </c>
      <c r="K189" s="131">
        <f t="array" ref="K189">IF(ISERROR(G189/L189),"",G189/L189)</f>
        <v>51.684210526315788</v>
      </c>
      <c r="L189" s="129">
        <v>19</v>
      </c>
      <c r="M189" s="109">
        <f t="shared" ref="M189:M197" si="83">IF(ISERROR(I189-K189),"",I189-K189)</f>
        <v>5.8157894736842124</v>
      </c>
      <c r="N189" s="130">
        <f t="shared" ref="N189:N191" si="84">SUM(O189:U189)</f>
        <v>0</v>
      </c>
      <c r="O189" s="458"/>
      <c r="P189" s="458"/>
      <c r="Q189" s="458"/>
      <c r="R189" s="458"/>
      <c r="S189" s="458"/>
      <c r="T189" s="458"/>
      <c r="U189" s="458"/>
      <c r="V189" s="132">
        <f t="shared" ref="V189:V191" si="85">SUM(X189:AA189)</f>
        <v>0</v>
      </c>
      <c r="W189" s="133">
        <f t="shared" ref="W189:W191" si="86">IF(ISERROR(V189/G189),"",V189/G189)</f>
        <v>0</v>
      </c>
      <c r="X189" s="132"/>
      <c r="Y189" s="132"/>
      <c r="Z189" s="132"/>
      <c r="AA189" s="132"/>
    </row>
    <row r="190" spans="1:27" ht="20.10000000000000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>
        <v>42716</v>
      </c>
      <c r="G190" s="128">
        <f>99+100*6</f>
        <v>699</v>
      </c>
      <c r="H190" s="467">
        <f t="shared" si="82"/>
        <v>3557.91</v>
      </c>
      <c r="I190" s="129">
        <f>7*5</f>
        <v>35</v>
      </c>
      <c r="J190" s="130">
        <f t="array" ref="J190">IF(ISERROR(G190/I190),"",G190/I190)</f>
        <v>19.971428571428572</v>
      </c>
      <c r="K190" s="131">
        <f t="array" ref="K190">IF(ISERROR(G190/L190),"",G190/L190)</f>
        <v>30.391304347826086</v>
      </c>
      <c r="L190" s="129">
        <v>23</v>
      </c>
      <c r="M190" s="109">
        <f t="shared" si="83"/>
        <v>4.608695652173914</v>
      </c>
      <c r="N190" s="130">
        <f t="shared" si="84"/>
        <v>0</v>
      </c>
      <c r="O190" s="458"/>
      <c r="P190" s="458"/>
      <c r="Q190" s="458"/>
      <c r="R190" s="458"/>
      <c r="S190" s="458"/>
      <c r="T190" s="458"/>
      <c r="U190" s="458"/>
      <c r="V190" s="132">
        <f t="shared" si="85"/>
        <v>0</v>
      </c>
      <c r="W190" s="133">
        <f t="shared" si="86"/>
        <v>0</v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467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458"/>
      <c r="P191" s="458"/>
      <c r="Q191" s="458"/>
      <c r="R191" s="458"/>
      <c r="S191" s="458"/>
      <c r="T191" s="458"/>
      <c r="U191" s="458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457" t="s">
        <v>190</v>
      </c>
      <c r="D192" s="108">
        <v>4.8</v>
      </c>
      <c r="E192" s="108"/>
      <c r="F192" s="127"/>
      <c r="G192" s="128"/>
      <c r="H192" s="467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458"/>
      <c r="P192" s="458"/>
      <c r="Q192" s="458"/>
      <c r="R192" s="458"/>
      <c r="S192" s="458"/>
      <c r="T192" s="458"/>
      <c r="U192" s="458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457" t="s">
        <v>187</v>
      </c>
      <c r="D193" s="108">
        <v>4.8</v>
      </c>
      <c r="E193" s="108"/>
      <c r="F193" s="127"/>
      <c r="G193" s="128"/>
      <c r="H193" s="467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58"/>
      <c r="P193" s="458"/>
      <c r="Q193" s="458"/>
      <c r="R193" s="458"/>
      <c r="S193" s="458"/>
      <c r="T193" s="458"/>
      <c r="U193" s="458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457" t="s">
        <v>179</v>
      </c>
      <c r="D194" s="108">
        <v>4.8</v>
      </c>
      <c r="E194" s="108"/>
      <c r="F194" s="127"/>
      <c r="G194" s="128"/>
      <c r="H194" s="467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58"/>
      <c r="P194" s="458"/>
      <c r="Q194" s="458"/>
      <c r="R194" s="458"/>
      <c r="S194" s="458"/>
      <c r="T194" s="458"/>
      <c r="U194" s="458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457" t="s">
        <v>199</v>
      </c>
      <c r="D195" s="108">
        <v>4.8</v>
      </c>
      <c r="E195" s="108"/>
      <c r="F195" s="127"/>
      <c r="G195" s="128"/>
      <c r="H195" s="467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58"/>
      <c r="P195" s="458"/>
      <c r="Q195" s="458"/>
      <c r="R195" s="458"/>
      <c r="S195" s="458"/>
      <c r="T195" s="458"/>
      <c r="U195" s="458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467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458"/>
      <c r="P196" s="458"/>
      <c r="Q196" s="458"/>
      <c r="R196" s="458"/>
      <c r="S196" s="458"/>
      <c r="T196" s="458"/>
      <c r="U196" s="458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27">
        <v>42716</v>
      </c>
      <c r="G197" s="128">
        <f>83+100+63+100</f>
        <v>346</v>
      </c>
      <c r="H197" s="467">
        <f t="shared" si="82"/>
        <v>1726.54</v>
      </c>
      <c r="I197" s="129">
        <f>4.5*5</f>
        <v>22.5</v>
      </c>
      <c r="J197" s="130">
        <f t="array" ref="J197">IF(ISERROR(G197/I197),"",G197/I197)</f>
        <v>15.377777777777778</v>
      </c>
      <c r="K197" s="131">
        <f t="array" ref="K197">IF(ISERROR(G197/L197),"",G197/L197)</f>
        <v>14.723404255319149</v>
      </c>
      <c r="L197" s="129">
        <v>23.5</v>
      </c>
      <c r="M197" s="109">
        <f t="shared" si="83"/>
        <v>7.7765957446808507</v>
      </c>
      <c r="N197" s="130">
        <f t="shared" si="87"/>
        <v>0</v>
      </c>
      <c r="O197" s="458"/>
      <c r="P197" s="458"/>
      <c r="Q197" s="458"/>
      <c r="R197" s="458"/>
      <c r="S197" s="458"/>
      <c r="T197" s="458"/>
      <c r="U197" s="458"/>
      <c r="V197" s="132">
        <f t="shared" si="88"/>
        <v>0</v>
      </c>
      <c r="W197" s="133">
        <f t="shared" si="89"/>
        <v>0</v>
      </c>
      <c r="X197" s="132"/>
      <c r="Y197" s="132"/>
      <c r="Z197" s="132"/>
      <c r="AA197" s="132"/>
    </row>
    <row r="198" spans="1:27" ht="20.100000000000001" customHeight="1">
      <c r="A198" s="630" t="s">
        <v>201</v>
      </c>
      <c r="B198" s="631"/>
      <c r="C198" s="465" t="s">
        <v>202</v>
      </c>
      <c r="D198" s="143"/>
      <c r="E198" s="143"/>
      <c r="F198" s="144"/>
      <c r="G198" s="145">
        <f>SUM(G177:G197)</f>
        <v>2062</v>
      </c>
      <c r="H198" s="146">
        <f>SUM(H177:H197)</f>
        <v>10429.77</v>
      </c>
      <c r="I198" s="146">
        <f>SUM(I177:I197)</f>
        <v>117</v>
      </c>
      <c r="J198" s="130">
        <f t="array" ref="J198">IF(ISERROR(G198/I198),"",G198/I198)</f>
        <v>17.623931623931625</v>
      </c>
      <c r="K198" s="146">
        <f>SUM(K177:K197)</f>
        <v>98.641024392618917</v>
      </c>
      <c r="L198" s="147"/>
      <c r="M198" s="150">
        <f t="shared" ref="M198:AA198" si="90">SUM(M177:M197)</f>
        <v>18.358975607381083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459" t="s">
        <v>206</v>
      </c>
      <c r="C199" s="126" t="s">
        <v>199</v>
      </c>
      <c r="D199" s="108">
        <v>5.03</v>
      </c>
      <c r="E199" s="108"/>
      <c r="F199" s="127"/>
      <c r="G199" s="128"/>
      <c r="H199" s="467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462"/>
      <c r="P199" s="462"/>
      <c r="Q199" s="462"/>
      <c r="R199" s="462"/>
      <c r="S199" s="462"/>
      <c r="T199" s="462"/>
      <c r="U199" s="462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459" t="s">
        <v>425</v>
      </c>
      <c r="C200" s="187" t="s">
        <v>427</v>
      </c>
      <c r="D200" s="108">
        <v>5.03</v>
      </c>
      <c r="E200" s="108"/>
      <c r="F200" s="127"/>
      <c r="G200" s="128"/>
      <c r="H200" s="467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462"/>
      <c r="P200" s="462"/>
      <c r="Q200" s="462"/>
      <c r="R200" s="462"/>
      <c r="S200" s="462"/>
      <c r="T200" s="462"/>
      <c r="U200" s="462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459" t="s">
        <v>206</v>
      </c>
      <c r="C201" s="126" t="s">
        <v>186</v>
      </c>
      <c r="D201" s="108">
        <v>5.03</v>
      </c>
      <c r="E201" s="108"/>
      <c r="F201" s="127"/>
      <c r="G201" s="128"/>
      <c r="H201" s="467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462"/>
      <c r="P201" s="462"/>
      <c r="Q201" s="462"/>
      <c r="R201" s="462"/>
      <c r="S201" s="462"/>
      <c r="T201" s="462"/>
      <c r="U201" s="462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459" t="s">
        <v>206</v>
      </c>
      <c r="C202" s="126" t="s">
        <v>203</v>
      </c>
      <c r="D202" s="108">
        <v>5.03</v>
      </c>
      <c r="E202" s="108"/>
      <c r="F202" s="127"/>
      <c r="G202" s="128"/>
      <c r="H202" s="467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462"/>
      <c r="P202" s="462"/>
      <c r="Q202" s="462"/>
      <c r="R202" s="462"/>
      <c r="S202" s="462"/>
      <c r="T202" s="462"/>
      <c r="U202" s="462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459" t="s">
        <v>206</v>
      </c>
      <c r="C203" s="126" t="s">
        <v>207</v>
      </c>
      <c r="D203" s="108">
        <v>5.03</v>
      </c>
      <c r="E203" s="108"/>
      <c r="F203" s="127"/>
      <c r="G203" s="128"/>
      <c r="H203" s="467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0">IF(ISERROR(I203-K203),"",I203-K203)</f>
        <v>0</v>
      </c>
      <c r="N203" s="130">
        <f t="shared" si="97"/>
        <v>0</v>
      </c>
      <c r="O203" s="462"/>
      <c r="P203" s="462"/>
      <c r="Q203" s="462"/>
      <c r="R203" s="462"/>
      <c r="S203" s="462"/>
      <c r="T203" s="462"/>
      <c r="U203" s="462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459" t="s">
        <v>414</v>
      </c>
      <c r="C204" s="187" t="s">
        <v>415</v>
      </c>
      <c r="D204" s="108">
        <v>5.03</v>
      </c>
      <c r="E204" s="108"/>
      <c r="F204" s="127"/>
      <c r="G204" s="128"/>
      <c r="H204" s="467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462"/>
      <c r="P204" s="462"/>
      <c r="Q204" s="462"/>
      <c r="R204" s="462"/>
      <c r="S204" s="462"/>
      <c r="T204" s="462"/>
      <c r="U204" s="462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459" t="s">
        <v>414</v>
      </c>
      <c r="C205" s="187" t="s">
        <v>416</v>
      </c>
      <c r="D205" s="108">
        <v>5.03</v>
      </c>
      <c r="E205" s="108"/>
      <c r="F205" s="127"/>
      <c r="G205" s="128"/>
      <c r="H205" s="467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462"/>
      <c r="P205" s="462"/>
      <c r="Q205" s="462"/>
      <c r="R205" s="462"/>
      <c r="S205" s="462"/>
      <c r="T205" s="462"/>
      <c r="U205" s="462"/>
      <c r="V205" s="132"/>
      <c r="W205" s="133"/>
      <c r="X205" s="132"/>
      <c r="Y205" s="132"/>
      <c r="Z205" s="132"/>
      <c r="AA205" s="132"/>
    </row>
    <row r="206" spans="1:27" ht="20.100000000000001" customHeight="1">
      <c r="A206" s="300">
        <v>30100015</v>
      </c>
      <c r="B206" s="459" t="s">
        <v>414</v>
      </c>
      <c r="C206" s="187" t="s">
        <v>61</v>
      </c>
      <c r="D206" s="108">
        <v>5.03</v>
      </c>
      <c r="E206" s="108"/>
      <c r="F206" s="127">
        <v>42715</v>
      </c>
      <c r="G206" s="128">
        <f>72</f>
        <v>72</v>
      </c>
      <c r="H206" s="467">
        <f t="shared" si="91"/>
        <v>362.16</v>
      </c>
      <c r="I206" s="129">
        <f>2*4</f>
        <v>8</v>
      </c>
      <c r="J206" s="130">
        <f t="array" ref="J206">IF(ISERROR(G206/I206),"",G206/I206)</f>
        <v>9</v>
      </c>
      <c r="K206" s="131">
        <f t="array" ref="K206">IF(ISERROR(G206/L206),"",G206/L206)</f>
        <v>1.3846153846153846</v>
      </c>
      <c r="L206" s="129">
        <v>52</v>
      </c>
      <c r="M206" s="109">
        <f t="shared" ref="M206:M236" si="101">IF(ISERROR(I206-K206),"",I206-K206)</f>
        <v>6.615384615384615</v>
      </c>
      <c r="N206" s="130"/>
      <c r="O206" s="462"/>
      <c r="P206" s="462"/>
      <c r="Q206" s="462"/>
      <c r="R206" s="462"/>
      <c r="S206" s="462"/>
      <c r="T206" s="462"/>
      <c r="U206" s="462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459" t="s">
        <v>208</v>
      </c>
      <c r="C207" s="126" t="s">
        <v>179</v>
      </c>
      <c r="D207" s="108">
        <v>5.08</v>
      </c>
      <c r="E207" s="108"/>
      <c r="F207" s="127"/>
      <c r="G207" s="128"/>
      <c r="H207" s="467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si="101"/>
        <v>0</v>
      </c>
      <c r="N207" s="130">
        <f t="shared" ref="N207:N236" si="102">SUM(O207:U207)</f>
        <v>0</v>
      </c>
      <c r="O207" s="462"/>
      <c r="P207" s="462"/>
      <c r="Q207" s="462"/>
      <c r="R207" s="462"/>
      <c r="S207" s="462"/>
      <c r="T207" s="462"/>
      <c r="U207" s="462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459" t="s">
        <v>208</v>
      </c>
      <c r="C208" s="126" t="s">
        <v>204</v>
      </c>
      <c r="D208" s="108">
        <v>5.08</v>
      </c>
      <c r="E208" s="108"/>
      <c r="F208" s="127"/>
      <c r="G208" s="128"/>
      <c r="H208" s="467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462"/>
      <c r="P208" s="462"/>
      <c r="Q208" s="462"/>
      <c r="R208" s="462"/>
      <c r="S208" s="462"/>
      <c r="T208" s="462"/>
      <c r="U208" s="462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459" t="s">
        <v>208</v>
      </c>
      <c r="C209" s="126" t="s">
        <v>205</v>
      </c>
      <c r="D209" s="108">
        <v>5.08</v>
      </c>
      <c r="E209" s="108"/>
      <c r="F209" s="127"/>
      <c r="G209" s="128"/>
      <c r="H209" s="467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62"/>
      <c r="P209" s="462"/>
      <c r="Q209" s="462"/>
      <c r="R209" s="462"/>
      <c r="S209" s="462"/>
      <c r="T209" s="462"/>
      <c r="U209" s="462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459" t="s">
        <v>208</v>
      </c>
      <c r="C210" s="126" t="s">
        <v>186</v>
      </c>
      <c r="D210" s="108">
        <v>5.08</v>
      </c>
      <c r="E210" s="108"/>
      <c r="F210" s="127"/>
      <c r="G210" s="128"/>
      <c r="H210" s="467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62"/>
      <c r="P210" s="462"/>
      <c r="Q210" s="462"/>
      <c r="R210" s="462"/>
      <c r="S210" s="462"/>
      <c r="T210" s="462"/>
      <c r="U210" s="462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459" t="s">
        <v>208</v>
      </c>
      <c r="C211" s="126" t="s">
        <v>203</v>
      </c>
      <c r="D211" s="108">
        <v>5.08</v>
      </c>
      <c r="E211" s="108"/>
      <c r="F211" s="127"/>
      <c r="G211" s="128"/>
      <c r="H211" s="467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62"/>
      <c r="P211" s="462"/>
      <c r="Q211" s="462"/>
      <c r="R211" s="462"/>
      <c r="S211" s="462"/>
      <c r="T211" s="462"/>
      <c r="U211" s="462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459" t="s">
        <v>208</v>
      </c>
      <c r="C212" s="126" t="s">
        <v>199</v>
      </c>
      <c r="D212" s="108">
        <v>5.08</v>
      </c>
      <c r="E212" s="108"/>
      <c r="F212" s="127"/>
      <c r="G212" s="128"/>
      <c r="H212" s="467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58"/>
      <c r="P212" s="458"/>
      <c r="Q212" s="458"/>
      <c r="R212" s="458"/>
      <c r="S212" s="458"/>
      <c r="T212" s="458"/>
      <c r="U212" s="458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459" t="s">
        <v>208</v>
      </c>
      <c r="C213" s="126" t="s">
        <v>187</v>
      </c>
      <c r="D213" s="108">
        <v>5.08</v>
      </c>
      <c r="E213" s="108"/>
      <c r="F213" s="127"/>
      <c r="G213" s="128"/>
      <c r="H213" s="467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462"/>
      <c r="P213" s="462"/>
      <c r="Q213" s="462"/>
      <c r="R213" s="462"/>
      <c r="S213" s="462"/>
      <c r="T213" s="462"/>
      <c r="U213" s="462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459" t="s">
        <v>208</v>
      </c>
      <c r="C214" s="126" t="s">
        <v>207</v>
      </c>
      <c r="D214" s="108">
        <v>5.08</v>
      </c>
      <c r="E214" s="108"/>
      <c r="F214" s="127"/>
      <c r="G214" s="128"/>
      <c r="H214" s="467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58"/>
      <c r="P214" s="458"/>
      <c r="Q214" s="458"/>
      <c r="R214" s="458"/>
      <c r="S214" s="458"/>
      <c r="T214" s="458"/>
      <c r="U214" s="458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459" t="s">
        <v>209</v>
      </c>
      <c r="C215" s="126" t="s">
        <v>194</v>
      </c>
      <c r="D215" s="108">
        <v>5.03</v>
      </c>
      <c r="E215" s="108"/>
      <c r="F215" s="127"/>
      <c r="G215" s="128"/>
      <c r="H215" s="467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462"/>
      <c r="P215" s="462"/>
      <c r="Q215" s="462"/>
      <c r="R215" s="462"/>
      <c r="S215" s="462"/>
      <c r="T215" s="462"/>
      <c r="U215" s="462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customHeight="1">
      <c r="A216" s="300">
        <v>30100033</v>
      </c>
      <c r="B216" s="459" t="s">
        <v>209</v>
      </c>
      <c r="C216" s="126" t="s">
        <v>179</v>
      </c>
      <c r="D216" s="108">
        <v>5.03</v>
      </c>
      <c r="E216" s="108"/>
      <c r="F216" s="127">
        <v>42715</v>
      </c>
      <c r="G216" s="128">
        <f>108*3+94+108*2</f>
        <v>634</v>
      </c>
      <c r="H216" s="467">
        <f t="shared" si="91"/>
        <v>3189.02</v>
      </c>
      <c r="I216" s="129">
        <v>7</v>
      </c>
      <c r="J216" s="130">
        <f t="array" ref="J216">IF(ISERROR(G216/I216),"",G216/I216)</f>
        <v>90.571428571428569</v>
      </c>
      <c r="K216" s="131">
        <f t="array" ref="K216">IF(ISERROR(G216/L216),"",G216/L216)</f>
        <v>11.321428571428571</v>
      </c>
      <c r="L216" s="129">
        <v>56</v>
      </c>
      <c r="M216" s="109">
        <f t="shared" si="101"/>
        <v>-4.3214285714285712</v>
      </c>
      <c r="N216" s="130">
        <f t="shared" si="102"/>
        <v>0</v>
      </c>
      <c r="O216" s="462"/>
      <c r="P216" s="462"/>
      <c r="Q216" s="462"/>
      <c r="R216" s="462"/>
      <c r="S216" s="462"/>
      <c r="T216" s="462"/>
      <c r="U216" s="462"/>
      <c r="V216" s="132">
        <f t="shared" si="103"/>
        <v>0</v>
      </c>
      <c r="W216" s="133">
        <f t="shared" si="104"/>
        <v>0</v>
      </c>
      <c r="X216" s="132"/>
      <c r="Y216" s="132"/>
      <c r="Z216" s="132"/>
      <c r="AA216" s="132"/>
    </row>
    <row r="217" spans="1:27" ht="20.100000000000001" customHeight="1">
      <c r="A217" s="300">
        <v>30100062</v>
      </c>
      <c r="B217" s="459" t="s">
        <v>209</v>
      </c>
      <c r="C217" s="126" t="s">
        <v>195</v>
      </c>
      <c r="D217" s="108">
        <v>5.03</v>
      </c>
      <c r="E217" s="108"/>
      <c r="F217" s="127">
        <v>42715</v>
      </c>
      <c r="G217" s="128">
        <f>108*3+84</f>
        <v>408</v>
      </c>
      <c r="H217" s="467">
        <f t="shared" si="91"/>
        <v>2052.2400000000002</v>
      </c>
      <c r="I217" s="129">
        <v>4.5</v>
      </c>
      <c r="J217" s="130">
        <f t="array" ref="J217">IF(ISERROR(G217/I217),"",G217/I217)</f>
        <v>90.666666666666671</v>
      </c>
      <c r="K217" s="131">
        <f t="array" ref="K217">IF(ISERROR(G217/L217),"",G217/L217)</f>
        <v>7.2857142857142856</v>
      </c>
      <c r="L217" s="129">
        <v>56</v>
      </c>
      <c r="M217" s="109">
        <f t="shared" si="101"/>
        <v>-2.7857142857142856</v>
      </c>
      <c r="N217" s="130">
        <f t="shared" si="102"/>
        <v>0</v>
      </c>
      <c r="O217" s="462"/>
      <c r="P217" s="462"/>
      <c r="Q217" s="462"/>
      <c r="R217" s="462"/>
      <c r="S217" s="462"/>
      <c r="T217" s="462"/>
      <c r="U217" s="462"/>
      <c r="V217" s="132">
        <f t="shared" si="103"/>
        <v>0</v>
      </c>
      <c r="W217" s="133">
        <f t="shared" si="104"/>
        <v>0</v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459" t="s">
        <v>209</v>
      </c>
      <c r="C218" s="126" t="s">
        <v>204</v>
      </c>
      <c r="D218" s="108">
        <v>5.03</v>
      </c>
      <c r="E218" s="108"/>
      <c r="F218" s="127"/>
      <c r="G218" s="128"/>
      <c r="H218" s="467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462"/>
      <c r="P218" s="462"/>
      <c r="Q218" s="462"/>
      <c r="R218" s="462"/>
      <c r="S218" s="462"/>
      <c r="T218" s="462"/>
      <c r="U218" s="462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459" t="s">
        <v>382</v>
      </c>
      <c r="C219" s="187" t="s">
        <v>383</v>
      </c>
      <c r="D219" s="108">
        <v>5.03</v>
      </c>
      <c r="E219" s="108"/>
      <c r="F219" s="127"/>
      <c r="G219" s="128"/>
      <c r="H219" s="467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462"/>
      <c r="P219" s="462"/>
      <c r="Q219" s="462"/>
      <c r="R219" s="462"/>
      <c r="S219" s="462"/>
      <c r="T219" s="462"/>
      <c r="U219" s="462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459" t="s">
        <v>382</v>
      </c>
      <c r="C220" s="187" t="s">
        <v>384</v>
      </c>
      <c r="D220" s="108">
        <v>5.03</v>
      </c>
      <c r="E220" s="108"/>
      <c r="F220" s="127"/>
      <c r="G220" s="128"/>
      <c r="H220" s="467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62"/>
      <c r="P220" s="462"/>
      <c r="Q220" s="462"/>
      <c r="R220" s="462"/>
      <c r="S220" s="462"/>
      <c r="T220" s="462"/>
      <c r="U220" s="462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459" t="s">
        <v>382</v>
      </c>
      <c r="C221" s="187" t="s">
        <v>389</v>
      </c>
      <c r="D221" s="108">
        <v>5.03</v>
      </c>
      <c r="E221" s="108"/>
      <c r="F221" s="127"/>
      <c r="G221" s="128"/>
      <c r="H221" s="467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62"/>
      <c r="P221" s="462"/>
      <c r="Q221" s="462"/>
      <c r="R221" s="462"/>
      <c r="S221" s="462"/>
      <c r="T221" s="462"/>
      <c r="U221" s="462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459" t="s">
        <v>382</v>
      </c>
      <c r="C222" s="187" t="s">
        <v>391</v>
      </c>
      <c r="D222" s="108">
        <v>5.03</v>
      </c>
      <c r="E222" s="108"/>
      <c r="F222" s="127"/>
      <c r="G222" s="128"/>
      <c r="H222" s="467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62"/>
      <c r="P222" s="462"/>
      <c r="Q222" s="462"/>
      <c r="R222" s="462"/>
      <c r="S222" s="462"/>
      <c r="T222" s="462"/>
      <c r="U222" s="462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459" t="s">
        <v>418</v>
      </c>
      <c r="C223" s="187" t="s">
        <v>364</v>
      </c>
      <c r="D223" s="108">
        <v>5.03</v>
      </c>
      <c r="E223" s="108"/>
      <c r="F223" s="127"/>
      <c r="G223" s="128"/>
      <c r="H223" s="467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462"/>
      <c r="P223" s="462"/>
      <c r="Q223" s="462"/>
      <c r="R223" s="462"/>
      <c r="S223" s="462"/>
      <c r="T223" s="462"/>
      <c r="U223" s="462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459" t="s">
        <v>418</v>
      </c>
      <c r="C224" s="187" t="s">
        <v>365</v>
      </c>
      <c r="D224" s="108">
        <v>5.03</v>
      </c>
      <c r="E224" s="108"/>
      <c r="F224" s="127"/>
      <c r="G224" s="128"/>
      <c r="H224" s="467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62"/>
      <c r="P224" s="462"/>
      <c r="Q224" s="462"/>
      <c r="R224" s="462"/>
      <c r="S224" s="462"/>
      <c r="T224" s="462"/>
      <c r="U224" s="462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459" t="s">
        <v>418</v>
      </c>
      <c r="C225" s="187" t="s">
        <v>366</v>
      </c>
      <c r="D225" s="108">
        <v>5.03</v>
      </c>
      <c r="E225" s="108"/>
      <c r="F225" s="127"/>
      <c r="G225" s="128"/>
      <c r="H225" s="467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62"/>
      <c r="P225" s="462"/>
      <c r="Q225" s="462"/>
      <c r="R225" s="462"/>
      <c r="S225" s="462"/>
      <c r="T225" s="462"/>
      <c r="U225" s="462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459" t="s">
        <v>418</v>
      </c>
      <c r="C226" s="187" t="s">
        <v>367</v>
      </c>
      <c r="D226" s="108">
        <v>5.03</v>
      </c>
      <c r="E226" s="108"/>
      <c r="F226" s="127"/>
      <c r="G226" s="128"/>
      <c r="H226" s="467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62"/>
      <c r="P226" s="462"/>
      <c r="Q226" s="462"/>
      <c r="R226" s="462"/>
      <c r="S226" s="462"/>
      <c r="T226" s="462"/>
      <c r="U226" s="462"/>
      <c r="V226" s="132"/>
      <c r="W226" s="133"/>
      <c r="X226" s="132"/>
      <c r="Y226" s="132"/>
      <c r="Z226" s="132"/>
      <c r="AA226" s="132"/>
    </row>
    <row r="227" spans="1:27" ht="20.10000000000000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>
        <v>42714</v>
      </c>
      <c r="G227" s="128">
        <f>38+70</f>
        <v>108</v>
      </c>
      <c r="H227" s="467">
        <f t="shared" si="91"/>
        <v>543.24</v>
      </c>
      <c r="I227" s="129">
        <v>3</v>
      </c>
      <c r="J227" s="130">
        <f t="array" ref="J227">IF(ISERROR(G227/I227),"",G227/I227)</f>
        <v>36</v>
      </c>
      <c r="K227" s="131">
        <f t="array" ref="K227">IF(ISERROR(G227/L227),"",G227/L227)</f>
        <v>2.7</v>
      </c>
      <c r="L227" s="129">
        <v>40</v>
      </c>
      <c r="M227" s="109">
        <f t="shared" si="101"/>
        <v>0.29999999999999982</v>
      </c>
      <c r="N227" s="130">
        <f t="shared" si="102"/>
        <v>0</v>
      </c>
      <c r="O227" s="458"/>
      <c r="P227" s="458"/>
      <c r="Q227" s="458"/>
      <c r="R227" s="458"/>
      <c r="S227" s="458"/>
      <c r="T227" s="458"/>
      <c r="U227" s="458"/>
      <c r="V227" s="132">
        <f t="shared" ref="V227:V236" si="105">SUM(X227:AA227)</f>
        <v>0</v>
      </c>
      <c r="W227" s="133">
        <f t="shared" ref="W227:W236" si="106">IF(ISERROR(V227/G227),"",V227/G227)</f>
        <v>0</v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467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458"/>
      <c r="P228" s="458"/>
      <c r="Q228" s="458"/>
      <c r="R228" s="458"/>
      <c r="S228" s="458"/>
      <c r="T228" s="458"/>
      <c r="U228" s="458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467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458"/>
      <c r="P229" s="458"/>
      <c r="Q229" s="458"/>
      <c r="R229" s="458"/>
      <c r="S229" s="458"/>
      <c r="T229" s="458"/>
      <c r="U229" s="458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467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458"/>
      <c r="P230" s="458"/>
      <c r="Q230" s="458"/>
      <c r="R230" s="458"/>
      <c r="S230" s="458"/>
      <c r="T230" s="458"/>
      <c r="U230" s="458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467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58"/>
      <c r="P231" s="458"/>
      <c r="Q231" s="458"/>
      <c r="R231" s="458"/>
      <c r="S231" s="458"/>
      <c r="T231" s="458"/>
      <c r="U231" s="458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467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58"/>
      <c r="P232" s="458"/>
      <c r="Q232" s="458"/>
      <c r="R232" s="458"/>
      <c r="S232" s="458"/>
      <c r="T232" s="458"/>
      <c r="U232" s="458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467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58"/>
      <c r="P233" s="458"/>
      <c r="Q233" s="458"/>
      <c r="R233" s="458"/>
      <c r="S233" s="458"/>
      <c r="T233" s="458"/>
      <c r="U233" s="458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467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58"/>
      <c r="P234" s="458"/>
      <c r="Q234" s="458"/>
      <c r="R234" s="458"/>
      <c r="S234" s="458"/>
      <c r="T234" s="458"/>
      <c r="U234" s="458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467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58"/>
      <c r="P235" s="458"/>
      <c r="Q235" s="458"/>
      <c r="R235" s="458"/>
      <c r="S235" s="458"/>
      <c r="T235" s="458"/>
      <c r="U235" s="458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467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58"/>
      <c r="P236" s="458"/>
      <c r="Q236" s="458"/>
      <c r="R236" s="458"/>
      <c r="S236" s="458"/>
      <c r="T236" s="458"/>
      <c r="U236" s="458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467">
        <f t="shared" si="91"/>
        <v>0</v>
      </c>
      <c r="I237" s="129"/>
      <c r="J237" s="130" t="str">
        <f t="array" ref="J237">IF(ISERROR(G237/I237),"",G237/I237)</f>
        <v/>
      </c>
      <c r="K237" s="131"/>
      <c r="L237" s="129">
        <v>50</v>
      </c>
      <c r="M237" s="109"/>
      <c r="N237" s="130"/>
      <c r="O237" s="458"/>
      <c r="P237" s="458"/>
      <c r="Q237" s="458"/>
      <c r="R237" s="458"/>
      <c r="S237" s="458"/>
      <c r="T237" s="458"/>
      <c r="U237" s="458"/>
      <c r="V237" s="132"/>
      <c r="W237" s="133"/>
      <c r="X237" s="132"/>
      <c r="Y237" s="132"/>
      <c r="Z237" s="132"/>
      <c r="AA237" s="132"/>
    </row>
    <row r="238" spans="1:27" ht="20.10000000000000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>
        <v>42716</v>
      </c>
      <c r="G238" s="128">
        <f>108*3</f>
        <v>324</v>
      </c>
      <c r="H238" s="467">
        <f t="shared" si="91"/>
        <v>1620</v>
      </c>
      <c r="I238" s="129">
        <f>5.5*3</f>
        <v>16.5</v>
      </c>
      <c r="J238" s="130">
        <f t="array" ref="J238">IF(ISERROR(G238/I238),"",G238/I238)</f>
        <v>19.636363636363637</v>
      </c>
      <c r="K238" s="131">
        <f t="array" ref="K238">IF(ISERROR(G238/L238),"",G238/L238)</f>
        <v>6.48</v>
      </c>
      <c r="L238" s="129">
        <v>50</v>
      </c>
      <c r="M238" s="109">
        <f t="shared" ref="M238:M249" si="107">IF(ISERROR(I238-K238),"",I238-K238)</f>
        <v>10.02</v>
      </c>
      <c r="N238" s="130"/>
      <c r="O238" s="458"/>
      <c r="P238" s="458"/>
      <c r="Q238" s="458"/>
      <c r="R238" s="458"/>
      <c r="S238" s="458"/>
      <c r="T238" s="458"/>
      <c r="U238" s="458"/>
      <c r="V238" s="132"/>
      <c r="W238" s="133"/>
      <c r="X238" s="132"/>
      <c r="Y238" s="132"/>
      <c r="Z238" s="132"/>
      <c r="AA238" s="132"/>
    </row>
    <row r="239" spans="1:27" ht="20.10000000000000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>
        <v>42714</v>
      </c>
      <c r="G239" s="128">
        <f>44+56</f>
        <v>100</v>
      </c>
      <c r="H239" s="467">
        <f t="shared" si="91"/>
        <v>503</v>
      </c>
      <c r="I239" s="129">
        <v>5</v>
      </c>
      <c r="J239" s="130">
        <f t="array" ref="J239">IF(ISERROR(G239/I239),"",G239/I239)</f>
        <v>20</v>
      </c>
      <c r="K239" s="131">
        <f t="array" ref="K239">IF(ISERROR(G239/L239),"",G239/L239)</f>
        <v>4.6511627906976747</v>
      </c>
      <c r="L239" s="129">
        <v>21.5</v>
      </c>
      <c r="M239" s="109">
        <f t="shared" si="107"/>
        <v>0.34883720930232531</v>
      </c>
      <c r="N239" s="130">
        <f t="shared" ref="N239:N240" si="108">SUM(O239:U239)</f>
        <v>0</v>
      </c>
      <c r="O239" s="458"/>
      <c r="P239" s="458"/>
      <c r="Q239" s="458"/>
      <c r="R239" s="458"/>
      <c r="S239" s="458"/>
      <c r="T239" s="458"/>
      <c r="U239" s="458"/>
      <c r="V239" s="132">
        <f t="shared" ref="V239:V240" si="109">SUM(X239:AA239)</f>
        <v>0</v>
      </c>
      <c r="W239" s="133">
        <f t="shared" ref="W239:W240" si="110">IF(ISERROR(V239/G239),"",V239/G239)</f>
        <v>0</v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467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458"/>
      <c r="P240" s="458"/>
      <c r="Q240" s="458"/>
      <c r="R240" s="458"/>
      <c r="S240" s="458"/>
      <c r="T240" s="458"/>
      <c r="U240" s="458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467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458"/>
      <c r="P241" s="458"/>
      <c r="Q241" s="458"/>
      <c r="R241" s="458"/>
      <c r="S241" s="458"/>
      <c r="T241" s="458"/>
      <c r="U241" s="458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467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458"/>
      <c r="P242" s="458"/>
      <c r="Q242" s="458"/>
      <c r="R242" s="458"/>
      <c r="S242" s="458"/>
      <c r="T242" s="458"/>
      <c r="U242" s="458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467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458"/>
      <c r="P243" s="458"/>
      <c r="Q243" s="458"/>
      <c r="R243" s="458"/>
      <c r="S243" s="458"/>
      <c r="T243" s="458"/>
      <c r="U243" s="458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467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58"/>
      <c r="P244" s="458"/>
      <c r="Q244" s="458"/>
      <c r="R244" s="458"/>
      <c r="S244" s="458"/>
      <c r="T244" s="458"/>
      <c r="U244" s="458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467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58"/>
      <c r="P245" s="458"/>
      <c r="Q245" s="458"/>
      <c r="R245" s="458"/>
      <c r="S245" s="458"/>
      <c r="T245" s="458"/>
      <c r="U245" s="458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467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458"/>
      <c r="P246" s="458"/>
      <c r="Q246" s="458"/>
      <c r="R246" s="458"/>
      <c r="S246" s="458"/>
      <c r="T246" s="458"/>
      <c r="U246" s="458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467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58"/>
      <c r="P247" s="458"/>
      <c r="Q247" s="458"/>
      <c r="R247" s="458"/>
      <c r="S247" s="458"/>
      <c r="T247" s="458"/>
      <c r="U247" s="458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467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58"/>
      <c r="P248" s="458"/>
      <c r="Q248" s="458"/>
      <c r="R248" s="458"/>
      <c r="S248" s="458"/>
      <c r="T248" s="458"/>
      <c r="U248" s="458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467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58"/>
      <c r="P249" s="458"/>
      <c r="Q249" s="458"/>
      <c r="R249" s="458"/>
      <c r="S249" s="458"/>
      <c r="T249" s="458"/>
      <c r="U249" s="458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467">
        <f t="shared" si="91"/>
        <v>0</v>
      </c>
      <c r="I250" s="129"/>
      <c r="J250" s="130"/>
      <c r="K250" s="131"/>
      <c r="L250" s="129">
        <v>4</v>
      </c>
      <c r="M250" s="109"/>
      <c r="N250" s="130"/>
      <c r="O250" s="458"/>
      <c r="P250" s="458"/>
      <c r="Q250" s="458"/>
      <c r="R250" s="458"/>
      <c r="S250" s="458"/>
      <c r="T250" s="458"/>
      <c r="U250" s="458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467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58"/>
      <c r="P251" s="458"/>
      <c r="Q251" s="458"/>
      <c r="R251" s="458"/>
      <c r="S251" s="458"/>
      <c r="T251" s="458"/>
      <c r="U251" s="458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467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58"/>
      <c r="P252" s="458"/>
      <c r="Q252" s="458"/>
      <c r="R252" s="458"/>
      <c r="S252" s="458"/>
      <c r="T252" s="458"/>
      <c r="U252" s="458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467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58"/>
      <c r="P253" s="458"/>
      <c r="Q253" s="458"/>
      <c r="R253" s="458"/>
      <c r="S253" s="458"/>
      <c r="T253" s="458"/>
      <c r="U253" s="458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467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58"/>
      <c r="P254" s="458"/>
      <c r="Q254" s="458"/>
      <c r="R254" s="458"/>
      <c r="S254" s="458"/>
      <c r="T254" s="458"/>
      <c r="U254" s="458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467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58"/>
      <c r="P255" s="458"/>
      <c r="Q255" s="458"/>
      <c r="R255" s="458"/>
      <c r="S255" s="458"/>
      <c r="T255" s="458"/>
      <c r="U255" s="458"/>
      <c r="V255" s="132"/>
      <c r="W255" s="133"/>
      <c r="X255" s="132"/>
      <c r="Y255" s="132"/>
      <c r="Z255" s="132"/>
      <c r="AA255" s="132"/>
    </row>
    <row r="256" spans="1:27" ht="20.100000000000001" customHeight="1">
      <c r="A256" s="641" t="s">
        <v>216</v>
      </c>
      <c r="B256" s="641"/>
      <c r="C256" s="465" t="s">
        <v>202</v>
      </c>
      <c r="D256" s="143"/>
      <c r="E256" s="143"/>
      <c r="F256" s="144"/>
      <c r="G256" s="145">
        <f>SUM(G199:G255)</f>
        <v>1646</v>
      </c>
      <c r="H256" s="146">
        <f>SUM(H199:H255)</f>
        <v>8269.66</v>
      </c>
      <c r="I256" s="146">
        <f>SUM(I199:I255)</f>
        <v>44</v>
      </c>
      <c r="J256" s="130">
        <f t="array" ref="J256">IF(ISERROR(G256/I256),"",G256/I256)</f>
        <v>37.409090909090907</v>
      </c>
      <c r="K256" s="146">
        <f>SUM(K199:K255)</f>
        <v>33.822921032455916</v>
      </c>
      <c r="L256" s="147"/>
      <c r="M256" s="150">
        <f t="shared" ref="M256:V256" si="114">SUM(M199:M255)</f>
        <v>10.177078967544084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>
        <f t="shared" ref="W256:W263" si="115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459" t="s">
        <v>217</v>
      </c>
      <c r="C257" s="126" t="s">
        <v>179</v>
      </c>
      <c r="D257" s="108">
        <v>5.03</v>
      </c>
      <c r="E257" s="108"/>
      <c r="F257" s="127"/>
      <c r="G257" s="128"/>
      <c r="H257" s="467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458"/>
      <c r="P257" s="458"/>
      <c r="Q257" s="458"/>
      <c r="R257" s="458"/>
      <c r="S257" s="458"/>
      <c r="T257" s="458"/>
      <c r="U257" s="458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459" t="s">
        <v>217</v>
      </c>
      <c r="C258" s="126" t="s">
        <v>186</v>
      </c>
      <c r="D258" s="108">
        <v>5.03</v>
      </c>
      <c r="E258" s="108"/>
      <c r="F258" s="127"/>
      <c r="G258" s="128"/>
      <c r="H258" s="467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458"/>
      <c r="P258" s="458"/>
      <c r="Q258" s="458"/>
      <c r="R258" s="458"/>
      <c r="S258" s="458"/>
      <c r="T258" s="458"/>
      <c r="U258" s="458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459" t="s">
        <v>217</v>
      </c>
      <c r="C259" s="126" t="s">
        <v>204</v>
      </c>
      <c r="D259" s="108">
        <v>5.03</v>
      </c>
      <c r="E259" s="108"/>
      <c r="F259" s="127"/>
      <c r="G259" s="128"/>
      <c r="H259" s="467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58"/>
      <c r="P259" s="458"/>
      <c r="Q259" s="458"/>
      <c r="R259" s="458"/>
      <c r="S259" s="458"/>
      <c r="T259" s="458"/>
      <c r="U259" s="458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467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458"/>
      <c r="P260" s="458"/>
      <c r="Q260" s="458"/>
      <c r="R260" s="458"/>
      <c r="S260" s="458"/>
      <c r="T260" s="458"/>
      <c r="U260" s="458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467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58"/>
      <c r="P261" s="458"/>
      <c r="Q261" s="458"/>
      <c r="R261" s="458"/>
      <c r="S261" s="458"/>
      <c r="T261" s="458"/>
      <c r="U261" s="458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467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58"/>
      <c r="P262" s="458"/>
      <c r="Q262" s="458"/>
      <c r="R262" s="458"/>
      <c r="S262" s="458"/>
      <c r="T262" s="458"/>
      <c r="U262" s="458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467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58"/>
      <c r="P263" s="458"/>
      <c r="Q263" s="458"/>
      <c r="R263" s="458"/>
      <c r="S263" s="458"/>
      <c r="T263" s="458"/>
      <c r="U263" s="458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467">
        <f t="shared" si="116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58"/>
      <c r="P264" s="458"/>
      <c r="Q264" s="458"/>
      <c r="R264" s="458"/>
      <c r="S264" s="458"/>
      <c r="T264" s="458"/>
      <c r="U264" s="458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467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58"/>
      <c r="P265" s="458"/>
      <c r="Q265" s="458"/>
      <c r="R265" s="458"/>
      <c r="S265" s="458"/>
      <c r="T265" s="458"/>
      <c r="U265" s="458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467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58"/>
      <c r="P266" s="458"/>
      <c r="Q266" s="458"/>
      <c r="R266" s="458"/>
      <c r="S266" s="458"/>
      <c r="T266" s="458"/>
      <c r="U266" s="458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467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58"/>
      <c r="P267" s="458"/>
      <c r="Q267" s="458"/>
      <c r="R267" s="458"/>
      <c r="S267" s="458"/>
      <c r="T267" s="458"/>
      <c r="U267" s="458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467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58"/>
      <c r="P268" s="458"/>
      <c r="Q268" s="458"/>
      <c r="R268" s="458"/>
      <c r="S268" s="458"/>
      <c r="T268" s="458"/>
      <c r="U268" s="458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467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0">IF(ISERROR(I269-K269),"",I269-K269)</f>
        <v>0</v>
      </c>
      <c r="N269" s="130">
        <f t="shared" ref="N269:N284" si="121">SUM(O269:U269)</f>
        <v>0</v>
      </c>
      <c r="O269" s="458"/>
      <c r="P269" s="458"/>
      <c r="Q269" s="458"/>
      <c r="R269" s="458"/>
      <c r="S269" s="458"/>
      <c r="T269" s="458"/>
      <c r="U269" s="458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467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458"/>
      <c r="P270" s="458"/>
      <c r="Q270" s="458"/>
      <c r="R270" s="458"/>
      <c r="S270" s="458"/>
      <c r="T270" s="458"/>
      <c r="U270" s="458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467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58"/>
      <c r="P271" s="458"/>
      <c r="Q271" s="458"/>
      <c r="R271" s="458"/>
      <c r="S271" s="458"/>
      <c r="T271" s="458"/>
      <c r="U271" s="458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467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58"/>
      <c r="P272" s="458"/>
      <c r="Q272" s="458"/>
      <c r="R272" s="458"/>
      <c r="S272" s="458"/>
      <c r="T272" s="458"/>
      <c r="U272" s="458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459" t="s">
        <v>222</v>
      </c>
      <c r="C273" s="126" t="s">
        <v>181</v>
      </c>
      <c r="D273" s="108">
        <v>9.36</v>
      </c>
      <c r="E273" s="108"/>
      <c r="F273" s="127"/>
      <c r="G273" s="128"/>
      <c r="H273" s="467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458"/>
      <c r="P273" s="458"/>
      <c r="Q273" s="458"/>
      <c r="R273" s="458"/>
      <c r="S273" s="458"/>
      <c r="T273" s="458"/>
      <c r="U273" s="458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459" t="s">
        <v>222</v>
      </c>
      <c r="C274" s="126" t="s">
        <v>179</v>
      </c>
      <c r="D274" s="108">
        <v>9.36</v>
      </c>
      <c r="E274" s="108"/>
      <c r="F274" s="127"/>
      <c r="G274" s="128"/>
      <c r="H274" s="467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58"/>
      <c r="P274" s="458"/>
      <c r="Q274" s="458"/>
      <c r="R274" s="458"/>
      <c r="S274" s="458"/>
      <c r="T274" s="458"/>
      <c r="U274" s="458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459" t="s">
        <v>222</v>
      </c>
      <c r="C275" s="126" t="s">
        <v>221</v>
      </c>
      <c r="D275" s="108">
        <v>9.36</v>
      </c>
      <c r="E275" s="108"/>
      <c r="F275" s="127"/>
      <c r="G275" s="128"/>
      <c r="H275" s="467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58"/>
      <c r="P275" s="458"/>
      <c r="Q275" s="458"/>
      <c r="R275" s="458"/>
      <c r="S275" s="458"/>
      <c r="T275" s="458"/>
      <c r="U275" s="458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459" t="s">
        <v>222</v>
      </c>
      <c r="C276" s="126" t="s">
        <v>186</v>
      </c>
      <c r="D276" s="108">
        <v>9.36</v>
      </c>
      <c r="E276" s="108"/>
      <c r="F276" s="127"/>
      <c r="G276" s="128"/>
      <c r="H276" s="467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58"/>
      <c r="P276" s="458"/>
      <c r="Q276" s="458"/>
      <c r="R276" s="458"/>
      <c r="S276" s="458"/>
      <c r="T276" s="458"/>
      <c r="U276" s="458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459" t="s">
        <v>393</v>
      </c>
      <c r="C277" s="187" t="s">
        <v>395</v>
      </c>
      <c r="D277" s="108">
        <v>5</v>
      </c>
      <c r="E277" s="108"/>
      <c r="F277" s="127"/>
      <c r="G277" s="128"/>
      <c r="H277" s="467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458"/>
      <c r="P277" s="458"/>
      <c r="Q277" s="458"/>
      <c r="R277" s="458"/>
      <c r="S277" s="458"/>
      <c r="T277" s="458"/>
      <c r="U277" s="458"/>
      <c r="V277" s="132"/>
      <c r="W277" s="133"/>
      <c r="X277" s="132"/>
      <c r="Y277" s="132"/>
      <c r="Z277" s="132"/>
      <c r="AA277" s="132"/>
    </row>
    <row r="278" spans="1:27" ht="20.100000000000001" customHeight="1">
      <c r="A278" s="299">
        <v>30400028</v>
      </c>
      <c r="B278" s="459" t="s">
        <v>393</v>
      </c>
      <c r="C278" s="187" t="s">
        <v>402</v>
      </c>
      <c r="D278" s="108">
        <v>5</v>
      </c>
      <c r="E278" s="108"/>
      <c r="F278" s="127">
        <v>42716</v>
      </c>
      <c r="G278" s="128">
        <v>50</v>
      </c>
      <c r="H278" s="467">
        <f t="shared" si="116"/>
        <v>250</v>
      </c>
      <c r="I278" s="129">
        <f>1*4</f>
        <v>4</v>
      </c>
      <c r="J278" s="130">
        <f t="array" ref="J278">IF(ISERROR(G278/I278),"",G278/I278)</f>
        <v>12.5</v>
      </c>
      <c r="K278" s="131">
        <f t="array" ref="K278">IF(ISERROR(G278/L278),"",G278/L278)</f>
        <v>10</v>
      </c>
      <c r="L278" s="129">
        <v>5</v>
      </c>
      <c r="M278" s="109">
        <f t="shared" si="120"/>
        <v>-6</v>
      </c>
      <c r="N278" s="130">
        <f t="shared" si="121"/>
        <v>0</v>
      </c>
      <c r="O278" s="458"/>
      <c r="P278" s="458"/>
      <c r="Q278" s="458"/>
      <c r="R278" s="458"/>
      <c r="S278" s="458"/>
      <c r="T278" s="458"/>
      <c r="U278" s="458"/>
      <c r="V278" s="132"/>
      <c r="W278" s="133"/>
      <c r="X278" s="132"/>
      <c r="Y278" s="132"/>
      <c r="Z278" s="132"/>
      <c r="AA278" s="132"/>
    </row>
    <row r="279" spans="1:27" ht="20.100000000000001" customHeight="1">
      <c r="A279" s="299">
        <v>30400027</v>
      </c>
      <c r="B279" s="459" t="s">
        <v>404</v>
      </c>
      <c r="C279" s="187" t="s">
        <v>405</v>
      </c>
      <c r="D279" s="108">
        <v>5</v>
      </c>
      <c r="E279" s="108"/>
      <c r="F279" s="127">
        <v>42715</v>
      </c>
      <c r="G279" s="128">
        <f>90*3</f>
        <v>270</v>
      </c>
      <c r="H279" s="467">
        <f t="shared" si="116"/>
        <v>1350</v>
      </c>
      <c r="I279" s="129">
        <f>8.5*4</f>
        <v>34</v>
      </c>
      <c r="J279" s="130">
        <f t="array" ref="J279">IF(ISERROR(G279/I279),"",G279/I279)</f>
        <v>7.9411764705882355</v>
      </c>
      <c r="K279" s="131">
        <f t="array" ref="K279">IF(ISERROR(G279/L279),"",G279/L279)</f>
        <v>54</v>
      </c>
      <c r="L279" s="129">
        <v>5</v>
      </c>
      <c r="M279" s="109">
        <f t="shared" si="120"/>
        <v>-20</v>
      </c>
      <c r="N279" s="130">
        <f t="shared" si="121"/>
        <v>0</v>
      </c>
      <c r="O279" s="458"/>
      <c r="P279" s="458"/>
      <c r="Q279" s="458"/>
      <c r="R279" s="458"/>
      <c r="S279" s="458"/>
      <c r="T279" s="458"/>
      <c r="U279" s="458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459" t="s">
        <v>342</v>
      </c>
      <c r="C280" s="187" t="s">
        <v>372</v>
      </c>
      <c r="D280" s="108">
        <v>5</v>
      </c>
      <c r="E280" s="108"/>
      <c r="F280" s="127"/>
      <c r="G280" s="128"/>
      <c r="H280" s="467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58"/>
      <c r="P280" s="458"/>
      <c r="Q280" s="458"/>
      <c r="R280" s="458"/>
      <c r="S280" s="458"/>
      <c r="T280" s="458"/>
      <c r="U280" s="458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459" t="s">
        <v>343</v>
      </c>
      <c r="C281" s="126" t="s">
        <v>345</v>
      </c>
      <c r="D281" s="108">
        <v>5</v>
      </c>
      <c r="E281" s="108"/>
      <c r="F281" s="127"/>
      <c r="G281" s="128"/>
      <c r="H281" s="467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58"/>
      <c r="P281" s="458"/>
      <c r="Q281" s="458"/>
      <c r="R281" s="458"/>
      <c r="S281" s="458"/>
      <c r="T281" s="458"/>
      <c r="U281" s="458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459" t="s">
        <v>343</v>
      </c>
      <c r="C282" s="126" t="s">
        <v>347</v>
      </c>
      <c r="D282" s="108">
        <v>5</v>
      </c>
      <c r="E282" s="108"/>
      <c r="F282" s="127"/>
      <c r="G282" s="128"/>
      <c r="H282" s="467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58"/>
      <c r="P282" s="458"/>
      <c r="Q282" s="458"/>
      <c r="R282" s="458"/>
      <c r="S282" s="458"/>
      <c r="T282" s="458"/>
      <c r="U282" s="458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467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458"/>
      <c r="P283" s="458"/>
      <c r="Q283" s="458"/>
      <c r="R283" s="458"/>
      <c r="S283" s="458"/>
      <c r="T283" s="458"/>
      <c r="U283" s="458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467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458"/>
      <c r="P284" s="458"/>
      <c r="Q284" s="458"/>
      <c r="R284" s="458"/>
      <c r="S284" s="458"/>
      <c r="T284" s="458"/>
      <c r="U284" s="458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/>
      <c r="G285" s="128"/>
      <c r="H285" s="467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458"/>
      <c r="P285" s="458"/>
      <c r="Q285" s="458"/>
      <c r="R285" s="458"/>
      <c r="S285" s="458"/>
      <c r="T285" s="458"/>
      <c r="U285" s="458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467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458"/>
      <c r="P286" s="458"/>
      <c r="Q286" s="458"/>
      <c r="R286" s="458"/>
      <c r="S286" s="458"/>
      <c r="T286" s="458"/>
      <c r="U286" s="458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467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58"/>
      <c r="P287" s="458"/>
      <c r="Q287" s="458"/>
      <c r="R287" s="458"/>
      <c r="S287" s="458"/>
      <c r="T287" s="458"/>
      <c r="U287" s="458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467">
        <f t="shared" si="116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7">IF(ISERROR(I288-K288),"",I288-K288)</f>
        <v>0</v>
      </c>
      <c r="N288" s="130">
        <f t="shared" ref="N288:N290" si="128">SUM(O288:U288)</f>
        <v>0</v>
      </c>
      <c r="O288" s="458"/>
      <c r="P288" s="458"/>
      <c r="Q288" s="458"/>
      <c r="R288" s="458"/>
      <c r="S288" s="458"/>
      <c r="T288" s="458"/>
      <c r="U288" s="458"/>
      <c r="V288" s="132">
        <f t="shared" ref="V288:V290" si="129">SUM(X288:AA288)</f>
        <v>0</v>
      </c>
      <c r="W288" s="133" t="str">
        <f t="shared" ref="W288:W312" si="130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467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458"/>
      <c r="P289" s="458"/>
      <c r="Q289" s="458"/>
      <c r="R289" s="458"/>
      <c r="S289" s="458"/>
      <c r="T289" s="458"/>
      <c r="U289" s="458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467">
        <f t="shared" si="116"/>
        <v>0</v>
      </c>
      <c r="I290" s="129"/>
      <c r="J290" s="130" t="str">
        <f t="array" ref="J290">IF(ISERROR(G290/I290),"",G290/I290)</f>
        <v/>
      </c>
      <c r="K290" s="467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58"/>
      <c r="P290" s="458"/>
      <c r="Q290" s="458"/>
      <c r="R290" s="458"/>
      <c r="S290" s="458"/>
      <c r="T290" s="458"/>
      <c r="U290" s="458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630" t="s">
        <v>224</v>
      </c>
      <c r="B291" s="631"/>
      <c r="C291" s="465" t="s">
        <v>202</v>
      </c>
      <c r="D291" s="143"/>
      <c r="E291" s="143"/>
      <c r="F291" s="144"/>
      <c r="G291" s="145">
        <f>SUM(G257:G290)</f>
        <v>320</v>
      </c>
      <c r="H291" s="146">
        <f>SUM(H257:H290)</f>
        <v>1600</v>
      </c>
      <c r="I291" s="146">
        <f>SUM(I257:I290)</f>
        <v>38</v>
      </c>
      <c r="J291" s="130">
        <f t="array" ref="J291">IF(ISERROR(G291/I291),"",G291/I291)</f>
        <v>8.4210526315789469</v>
      </c>
      <c r="K291" s="146">
        <f>SUM(K257:K290)</f>
        <v>64</v>
      </c>
      <c r="L291" s="147"/>
      <c r="M291" s="150">
        <f t="shared" ref="M291:V291" si="131">SUM(M257:M290)</f>
        <v>-26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>
        <f t="shared" si="130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467">
        <f t="shared" ref="H292:H306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3">IF(ISERROR(I292-K292),"",I292-K292)</f>
        <v>0</v>
      </c>
      <c r="N292" s="130">
        <f t="shared" ref="N292:N306" si="134">SUM(O292:U292)</f>
        <v>0</v>
      </c>
      <c r="O292" s="458"/>
      <c r="P292" s="458"/>
      <c r="Q292" s="458"/>
      <c r="R292" s="458"/>
      <c r="S292" s="458"/>
      <c r="T292" s="458"/>
      <c r="U292" s="458"/>
      <c r="V292" s="132">
        <f t="shared" ref="V292:V306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467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458"/>
      <c r="P293" s="458"/>
      <c r="Q293" s="458"/>
      <c r="R293" s="458"/>
      <c r="S293" s="458"/>
      <c r="T293" s="458"/>
      <c r="U293" s="458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467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3"/>
        <v>0</v>
      </c>
      <c r="N294" s="130">
        <f t="shared" si="134"/>
        <v>0</v>
      </c>
      <c r="O294" s="458"/>
      <c r="P294" s="458"/>
      <c r="Q294" s="458"/>
      <c r="R294" s="458"/>
      <c r="S294" s="458"/>
      <c r="T294" s="458"/>
      <c r="U294" s="458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467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458"/>
      <c r="P295" s="458"/>
      <c r="Q295" s="458"/>
      <c r="R295" s="458"/>
      <c r="S295" s="458"/>
      <c r="T295" s="458"/>
      <c r="U295" s="458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463" t="s">
        <v>203</v>
      </c>
      <c r="D296" s="108">
        <v>5.03</v>
      </c>
      <c r="E296" s="108"/>
      <c r="F296" s="127"/>
      <c r="G296" s="128"/>
      <c r="H296" s="467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58"/>
      <c r="P296" s="458"/>
      <c r="Q296" s="458"/>
      <c r="R296" s="458"/>
      <c r="S296" s="458"/>
      <c r="T296" s="458"/>
      <c r="U296" s="458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467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58"/>
      <c r="P297" s="458"/>
      <c r="Q297" s="458"/>
      <c r="R297" s="458"/>
      <c r="S297" s="458"/>
      <c r="T297" s="458"/>
      <c r="U297" s="458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467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58"/>
      <c r="P298" s="458"/>
      <c r="Q298" s="458"/>
      <c r="R298" s="458"/>
      <c r="S298" s="458"/>
      <c r="T298" s="458"/>
      <c r="U298" s="458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463" t="s">
        <v>228</v>
      </c>
      <c r="D299" s="108">
        <v>5.03</v>
      </c>
      <c r="E299" s="108"/>
      <c r="F299" s="127"/>
      <c r="G299" s="128"/>
      <c r="H299" s="467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58"/>
      <c r="P299" s="458"/>
      <c r="Q299" s="458"/>
      <c r="R299" s="458"/>
      <c r="S299" s="458"/>
      <c r="T299" s="458"/>
      <c r="U299" s="458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463" t="s">
        <v>212</v>
      </c>
      <c r="D300" s="108">
        <v>5.03</v>
      </c>
      <c r="E300" s="108"/>
      <c r="F300" s="127"/>
      <c r="G300" s="128"/>
      <c r="H300" s="467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458"/>
      <c r="P300" s="458"/>
      <c r="Q300" s="458"/>
      <c r="R300" s="458"/>
      <c r="S300" s="458"/>
      <c r="T300" s="458"/>
      <c r="U300" s="458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463" t="s">
        <v>203</v>
      </c>
      <c r="D301" s="108">
        <v>5.03</v>
      </c>
      <c r="E301" s="108"/>
      <c r="F301" s="127"/>
      <c r="G301" s="128"/>
      <c r="H301" s="467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58"/>
      <c r="P301" s="458"/>
      <c r="Q301" s="458"/>
      <c r="R301" s="458"/>
      <c r="S301" s="458"/>
      <c r="T301" s="458"/>
      <c r="U301" s="458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463" t="s">
        <v>186</v>
      </c>
      <c r="D302" s="108">
        <v>5.03</v>
      </c>
      <c r="E302" s="108"/>
      <c r="F302" s="127"/>
      <c r="G302" s="128"/>
      <c r="H302" s="467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58"/>
      <c r="P302" s="458"/>
      <c r="Q302" s="458"/>
      <c r="R302" s="458"/>
      <c r="S302" s="458"/>
      <c r="T302" s="458"/>
      <c r="U302" s="458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463" t="s">
        <v>228</v>
      </c>
      <c r="D303" s="108">
        <v>5.03</v>
      </c>
      <c r="E303" s="108"/>
      <c r="F303" s="127"/>
      <c r="G303" s="128"/>
      <c r="H303" s="467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58"/>
      <c r="P303" s="458"/>
      <c r="Q303" s="458"/>
      <c r="R303" s="458"/>
      <c r="S303" s="458"/>
      <c r="T303" s="458"/>
      <c r="U303" s="458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463" t="s">
        <v>199</v>
      </c>
      <c r="D304" s="108">
        <v>5.03</v>
      </c>
      <c r="E304" s="108"/>
      <c r="F304" s="127"/>
      <c r="G304" s="128"/>
      <c r="H304" s="467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58"/>
      <c r="P304" s="458"/>
      <c r="Q304" s="458"/>
      <c r="R304" s="458"/>
      <c r="S304" s="458"/>
      <c r="T304" s="458"/>
      <c r="U304" s="458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467">
        <f t="shared" si="132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3"/>
        <v>0</v>
      </c>
      <c r="N305" s="130">
        <f t="shared" si="134"/>
        <v>0</v>
      </c>
      <c r="O305" s="458"/>
      <c r="P305" s="458"/>
      <c r="Q305" s="458"/>
      <c r="R305" s="458"/>
      <c r="S305" s="458"/>
      <c r="T305" s="458"/>
      <c r="U305" s="458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467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458"/>
      <c r="P306" s="458"/>
      <c r="Q306" s="458"/>
      <c r="R306" s="458"/>
      <c r="S306" s="458"/>
      <c r="T306" s="458"/>
      <c r="U306" s="458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630" t="s">
        <v>231</v>
      </c>
      <c r="B307" s="631"/>
      <c r="C307" s="465" t="s">
        <v>202</v>
      </c>
      <c r="D307" s="143"/>
      <c r="E307" s="143"/>
      <c r="F307" s="144"/>
      <c r="G307" s="145">
        <f>SUM(G292:G306)</f>
        <v>0</v>
      </c>
      <c r="H307" s="146">
        <f>SUM(H292:H306)</f>
        <v>0</v>
      </c>
      <c r="I307" s="146">
        <f>SUM(I292:I306)</f>
        <v>0</v>
      </c>
      <c r="J307" s="130" t="str">
        <f t="array" ref="J307">IF(ISERROR(G307/I307),"",G307/I307)</f>
        <v/>
      </c>
      <c r="K307" s="146">
        <f>SUM(K292:K306)</f>
        <v>0</v>
      </c>
      <c r="L307" s="146"/>
      <c r="M307" s="150">
        <f>SUM(M292:M306)</f>
        <v>0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 t="str">
        <f t="shared" si="130"/>
        <v/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467">
        <f t="shared" ref="H308:H315" si="136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7">IF(ISERROR(I308-K308),"",I308-K308)</f>
        <v>0</v>
      </c>
      <c r="N308" s="130">
        <f t="shared" ref="N308:N312" si="138">SUM(O308:U308)</f>
        <v>0</v>
      </c>
      <c r="O308" s="458"/>
      <c r="P308" s="458"/>
      <c r="Q308" s="458"/>
      <c r="R308" s="458"/>
      <c r="S308" s="458"/>
      <c r="T308" s="458"/>
      <c r="U308" s="458"/>
      <c r="V308" s="132">
        <f t="shared" ref="V308:V312" si="139">SUM(X308:AA308)</f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467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458"/>
      <c r="P309" s="458"/>
      <c r="Q309" s="458"/>
      <c r="R309" s="458"/>
      <c r="S309" s="458"/>
      <c r="T309" s="458"/>
      <c r="U309" s="458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467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58"/>
      <c r="P310" s="458"/>
      <c r="Q310" s="458"/>
      <c r="R310" s="458"/>
      <c r="S310" s="458"/>
      <c r="T310" s="458"/>
      <c r="U310" s="458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467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58"/>
      <c r="P311" s="458"/>
      <c r="Q311" s="458"/>
      <c r="R311" s="458"/>
      <c r="S311" s="458"/>
      <c r="T311" s="458"/>
      <c r="U311" s="458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467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58"/>
      <c r="P312" s="458"/>
      <c r="Q312" s="458"/>
      <c r="R312" s="458"/>
      <c r="S312" s="458"/>
      <c r="T312" s="458"/>
      <c r="U312" s="458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79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458"/>
      <c r="P313" s="458"/>
      <c r="Q313" s="458"/>
      <c r="R313" s="458"/>
      <c r="S313" s="458"/>
      <c r="T313" s="458"/>
      <c r="U313" s="458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/>
      <c r="G314" s="128"/>
      <c r="H314" s="479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70"/>
      <c r="P314" s="470"/>
      <c r="Q314" s="470"/>
      <c r="R314" s="470"/>
      <c r="S314" s="470"/>
      <c r="T314" s="470"/>
      <c r="U314" s="470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467">
        <f t="shared" ref="H316" si="140">D316*G316</f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1">IF(ISERROR(I316-K316),"",I316-K316)</f>
        <v>0</v>
      </c>
      <c r="N316" s="130">
        <f t="shared" ref="N316" si="142">SUM(O316:U316)</f>
        <v>0</v>
      </c>
      <c r="O316" s="458"/>
      <c r="P316" s="458"/>
      <c r="Q316" s="458"/>
      <c r="R316" s="458"/>
      <c r="S316" s="458"/>
      <c r="T316" s="458"/>
      <c r="U316" s="458"/>
      <c r="V316" s="132">
        <f t="shared" ref="V316" si="143">SUM(X316:AA316)</f>
        <v>0</v>
      </c>
      <c r="W316" s="133" t="str">
        <f t="shared" ref="W316:W321" si="144">IF(ISERROR(V316/G316),"",V316/G316)</f>
        <v/>
      </c>
      <c r="X316" s="132"/>
      <c r="Y316" s="132"/>
      <c r="Z316" s="132"/>
      <c r="AA316" s="132"/>
    </row>
    <row r="317" spans="1:27" ht="20.100000000000001" hidden="1" customHeight="1">
      <c r="A317" s="630" t="s">
        <v>234</v>
      </c>
      <c r="B317" s="631"/>
      <c r="C317" s="465" t="s">
        <v>202</v>
      </c>
      <c r="D317" s="143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4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457"/>
      <c r="D318" s="108">
        <v>3.65</v>
      </c>
      <c r="E318" s="108"/>
      <c r="F318" s="153"/>
      <c r="G318" s="128"/>
      <c r="H318" s="467">
        <f t="shared" ref="H318:H331" si="145">D318*G318</f>
        <v>0</v>
      </c>
      <c r="I318" s="129"/>
      <c r="J318" s="130" t="str">
        <f t="array" ref="J318">IF(ISERROR(G318/I318),"",G318/I318)</f>
        <v/>
      </c>
      <c r="K318" s="467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458"/>
      <c r="P318" s="458"/>
      <c r="Q318" s="458"/>
      <c r="R318" s="458"/>
      <c r="S318" s="458"/>
      <c r="T318" s="458"/>
      <c r="U318" s="458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457"/>
      <c r="D319" s="108">
        <v>6.58</v>
      </c>
      <c r="E319" s="108"/>
      <c r="F319" s="127"/>
      <c r="G319" s="128"/>
      <c r="H319" s="467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458"/>
      <c r="P319" s="458"/>
      <c r="Q319" s="458"/>
      <c r="R319" s="458"/>
      <c r="S319" s="458"/>
      <c r="T319" s="458"/>
      <c r="U319" s="458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457"/>
      <c r="D320" s="108">
        <v>7.8</v>
      </c>
      <c r="E320" s="108"/>
      <c r="F320" s="127"/>
      <c r="G320" s="128"/>
      <c r="H320" s="467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458"/>
      <c r="P320" s="458"/>
      <c r="Q320" s="458"/>
      <c r="R320" s="458"/>
      <c r="S320" s="458"/>
      <c r="T320" s="458"/>
      <c r="U320" s="458"/>
      <c r="V320" s="132">
        <f t="shared" si="148"/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457"/>
      <c r="D321" s="108">
        <v>4.4000000000000004</v>
      </c>
      <c r="E321" s="108"/>
      <c r="F321" s="127"/>
      <c r="G321" s="128"/>
      <c r="H321" s="467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458"/>
      <c r="P321" s="458"/>
      <c r="Q321" s="458"/>
      <c r="R321" s="458"/>
      <c r="S321" s="458"/>
      <c r="T321" s="458"/>
      <c r="U321" s="458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457"/>
      <c r="D322" s="108"/>
      <c r="E322" s="108"/>
      <c r="F322" s="127"/>
      <c r="G322" s="128"/>
      <c r="H322" s="467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458"/>
      <c r="P322" s="458"/>
      <c r="Q322" s="458"/>
      <c r="R322" s="458"/>
      <c r="S322" s="458"/>
      <c r="T322" s="458"/>
      <c r="U322" s="458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457" t="s">
        <v>239</v>
      </c>
      <c r="C323" s="457" t="s">
        <v>179</v>
      </c>
      <c r="D323" s="108">
        <v>6.04</v>
      </c>
      <c r="E323" s="108"/>
      <c r="F323" s="127"/>
      <c r="G323" s="128"/>
      <c r="H323" s="467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458"/>
      <c r="P323" s="458"/>
      <c r="Q323" s="458"/>
      <c r="R323" s="458"/>
      <c r="S323" s="458"/>
      <c r="T323" s="458"/>
      <c r="U323" s="458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457" t="s">
        <v>239</v>
      </c>
      <c r="C324" s="457" t="s">
        <v>186</v>
      </c>
      <c r="D324" s="108">
        <v>6.04</v>
      </c>
      <c r="E324" s="108"/>
      <c r="F324" s="127"/>
      <c r="G324" s="128"/>
      <c r="H324" s="467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458"/>
      <c r="P324" s="458"/>
      <c r="Q324" s="458"/>
      <c r="R324" s="458"/>
      <c r="S324" s="458"/>
      <c r="T324" s="458"/>
      <c r="U324" s="458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457" t="s">
        <v>443</v>
      </c>
      <c r="C325" s="457" t="s">
        <v>179</v>
      </c>
      <c r="D325" s="108">
        <v>6</v>
      </c>
      <c r="E325" s="108"/>
      <c r="F325" s="127"/>
      <c r="G325" s="128"/>
      <c r="H325" s="467">
        <f t="shared" si="145"/>
        <v>0</v>
      </c>
      <c r="I325" s="129"/>
      <c r="J325" s="130"/>
      <c r="K325" s="131"/>
      <c r="L325" s="129"/>
      <c r="M325" s="109"/>
      <c r="N325" s="130"/>
      <c r="O325" s="458"/>
      <c r="P325" s="458"/>
      <c r="Q325" s="458"/>
      <c r="R325" s="458"/>
      <c r="S325" s="458"/>
      <c r="T325" s="458"/>
      <c r="U325" s="458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457" t="s">
        <v>443</v>
      </c>
      <c r="C326" s="457" t="s">
        <v>60</v>
      </c>
      <c r="D326" s="108">
        <v>6</v>
      </c>
      <c r="E326" s="108"/>
      <c r="F326" s="127"/>
      <c r="G326" s="128"/>
      <c r="H326" s="467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458"/>
      <c r="P326" s="458"/>
      <c r="Q326" s="458"/>
      <c r="R326" s="458"/>
      <c r="S326" s="458"/>
      <c r="T326" s="458"/>
      <c r="U326" s="458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459" t="s">
        <v>240</v>
      </c>
      <c r="C327" s="126"/>
      <c r="D327" s="108">
        <v>7.3</v>
      </c>
      <c r="E327" s="108"/>
      <c r="F327" s="127"/>
      <c r="G327" s="128"/>
      <c r="H327" s="467">
        <f t="shared" si="145"/>
        <v>0</v>
      </c>
      <c r="I327" s="129"/>
      <c r="J327" s="130"/>
      <c r="K327" s="131"/>
      <c r="L327" s="129"/>
      <c r="M327" s="109"/>
      <c r="N327" s="130"/>
      <c r="O327" s="458"/>
      <c r="P327" s="458"/>
      <c r="Q327" s="458"/>
      <c r="R327" s="458"/>
      <c r="S327" s="458"/>
      <c r="T327" s="458"/>
      <c r="U327" s="458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459" t="s">
        <v>241</v>
      </c>
      <c r="C328" s="126"/>
      <c r="D328" s="108">
        <f>78*120/1000</f>
        <v>9.36</v>
      </c>
      <c r="E328" s="108"/>
      <c r="F328" s="127"/>
      <c r="G328" s="128"/>
      <c r="H328" s="467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458"/>
      <c r="P328" s="458"/>
      <c r="Q328" s="458"/>
      <c r="R328" s="458"/>
      <c r="S328" s="458"/>
      <c r="T328" s="458"/>
      <c r="U328" s="458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459" t="s">
        <v>242</v>
      </c>
      <c r="C329" s="126"/>
      <c r="D329" s="108">
        <v>4.5</v>
      </c>
      <c r="E329" s="108"/>
      <c r="F329" s="127"/>
      <c r="G329" s="128"/>
      <c r="H329" s="467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458"/>
      <c r="P329" s="458"/>
      <c r="Q329" s="458"/>
      <c r="R329" s="458"/>
      <c r="S329" s="458"/>
      <c r="T329" s="458"/>
      <c r="U329" s="458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459" t="s">
        <v>243</v>
      </c>
      <c r="C330" s="126"/>
      <c r="D330" s="108">
        <v>4.5</v>
      </c>
      <c r="E330" s="108"/>
      <c r="F330" s="127"/>
      <c r="G330" s="128"/>
      <c r="H330" s="467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458"/>
      <c r="P330" s="458"/>
      <c r="Q330" s="458"/>
      <c r="R330" s="458"/>
      <c r="S330" s="458"/>
      <c r="T330" s="458"/>
      <c r="U330" s="458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467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58"/>
      <c r="P331" s="458"/>
      <c r="Q331" s="458"/>
      <c r="R331" s="458"/>
      <c r="S331" s="458"/>
      <c r="T331" s="458"/>
      <c r="U331" s="458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630" t="s">
        <v>244</v>
      </c>
      <c r="B332" s="631"/>
      <c r="C332" s="465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6">SUM(M318:M328)</f>
        <v>0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632" t="s">
        <v>246</v>
      </c>
      <c r="B333" s="633"/>
      <c r="C333" s="633"/>
      <c r="D333" s="633"/>
      <c r="E333" s="633"/>
      <c r="F333" s="634"/>
      <c r="G333" s="154">
        <f>SUM(G198,G256,G291,G307,G317,G332)</f>
        <v>4028</v>
      </c>
      <c r="H333" s="154">
        <f>SUM(H198,H256,H291,H307,H317,H332)</f>
        <v>20299.43</v>
      </c>
      <c r="I333" s="154">
        <f>SUM(I198,I256,I291,I307,I317,I332)</f>
        <v>199</v>
      </c>
      <c r="J333" s="155">
        <f t="array" ref="J333">IF(ISERROR(G333/I333),"",G333/I333)</f>
        <v>20.241206030150753</v>
      </c>
      <c r="K333" s="154">
        <f>SUM(K198,K256,K291,K307,K317,K332)</f>
        <v>196.46394542507483</v>
      </c>
      <c r="L333" s="155">
        <f>IF(ISERROR(G333/K333),"",G333/K333)</f>
        <v>20.502489610930432</v>
      </c>
      <c r="M333" s="154">
        <f t="shared" ref="M333:AA333" si="157">SUM(M198,M256,M291,M307,M317,M332)</f>
        <v>2.5360545749251671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635" t="s">
        <v>476</v>
      </c>
      <c r="B334" s="464" t="s">
        <v>247</v>
      </c>
      <c r="C334" s="638" t="s">
        <v>248</v>
      </c>
      <c r="D334" s="639"/>
      <c r="E334" s="640" t="s">
        <v>249</v>
      </c>
      <c r="F334" s="640"/>
      <c r="G334" s="643" t="s">
        <v>250</v>
      </c>
      <c r="H334" s="643"/>
      <c r="I334" s="640" t="s">
        <v>251</v>
      </c>
      <c r="J334" s="640"/>
      <c r="K334" s="640" t="s">
        <v>252</v>
      </c>
      <c r="L334" s="640"/>
      <c r="M334" s="640" t="s">
        <v>253</v>
      </c>
      <c r="N334" s="640"/>
      <c r="O334" s="640" t="s">
        <v>254</v>
      </c>
      <c r="P334" s="643" t="s">
        <v>255</v>
      </c>
      <c r="Q334" s="643"/>
      <c r="R334" s="643" t="s">
        <v>252</v>
      </c>
      <c r="S334" s="643"/>
      <c r="T334" s="643" t="s">
        <v>256</v>
      </c>
      <c r="U334" s="643"/>
      <c r="V334" s="643" t="s">
        <v>257</v>
      </c>
      <c r="W334" s="643"/>
      <c r="X334" s="643" t="s">
        <v>252</v>
      </c>
      <c r="Y334" s="643"/>
      <c r="Z334" s="643" t="s">
        <v>256</v>
      </c>
      <c r="AA334" s="643"/>
    </row>
    <row r="335" spans="1:27" ht="20.100000000000001" customHeight="1">
      <c r="A335" s="636"/>
      <c r="B335" s="464" t="s">
        <v>258</v>
      </c>
      <c r="C335" s="678">
        <v>1</v>
      </c>
      <c r="D335" s="679"/>
      <c r="E335" s="642">
        <f>C335*11</f>
        <v>11</v>
      </c>
      <c r="F335" s="642"/>
      <c r="G335" s="643">
        <v>1</v>
      </c>
      <c r="H335" s="643"/>
      <c r="I335" s="642">
        <f>G335*11</f>
        <v>11</v>
      </c>
      <c r="J335" s="642"/>
      <c r="K335" s="642">
        <f>E335-I335</f>
        <v>0</v>
      </c>
      <c r="L335" s="642"/>
      <c r="M335" s="644">
        <f>IF(ISERROR(K335/E335),"",K335/E335)</f>
        <v>0</v>
      </c>
      <c r="N335" s="644"/>
      <c r="O335" s="640"/>
      <c r="P335" s="643" t="s">
        <v>201</v>
      </c>
      <c r="Q335" s="643"/>
      <c r="R335" s="645">
        <f>SUM(O198:U198)</f>
        <v>0</v>
      </c>
      <c r="S335" s="645"/>
      <c r="T335" s="646" t="str">
        <f t="array" ref="T335">IF(ISERROR(R335/R342),"",R335/R342)</f>
        <v/>
      </c>
      <c r="U335" s="646"/>
      <c r="V335" s="643" t="s">
        <v>259</v>
      </c>
      <c r="W335" s="643"/>
      <c r="X335" s="680">
        <f>SUM(P197,P255,P290,P306,P316,P331)</f>
        <v>0</v>
      </c>
      <c r="Y335" s="681"/>
      <c r="Z335" s="646" t="str">
        <f t="array" ref="Z335">IF(ISERROR(X335/X342),"",X335/X342)</f>
        <v/>
      </c>
      <c r="AA335" s="646"/>
    </row>
    <row r="336" spans="1:27" ht="20.100000000000001" customHeight="1">
      <c r="A336" s="636"/>
      <c r="B336" s="464" t="s">
        <v>260</v>
      </c>
      <c r="C336" s="638">
        <v>0</v>
      </c>
      <c r="D336" s="639"/>
      <c r="E336" s="642">
        <f>C336*11</f>
        <v>0</v>
      </c>
      <c r="F336" s="642"/>
      <c r="G336" s="643">
        <v>0</v>
      </c>
      <c r="H336" s="643"/>
      <c r="I336" s="642">
        <f>G336*11</f>
        <v>0</v>
      </c>
      <c r="J336" s="642"/>
      <c r="K336" s="642">
        <f>E336-I336</f>
        <v>0</v>
      </c>
      <c r="L336" s="642"/>
      <c r="M336" s="644" t="str">
        <f>IF(ISERROR(K336/E336),"",K336/E336)</f>
        <v/>
      </c>
      <c r="N336" s="644"/>
      <c r="O336" s="640"/>
      <c r="P336" s="643" t="s">
        <v>216</v>
      </c>
      <c r="Q336" s="643"/>
      <c r="R336" s="645">
        <f>SUM(O256:U256)</f>
        <v>0</v>
      </c>
      <c r="S336" s="645"/>
      <c r="T336" s="646" t="str">
        <f>IF(ISERROR(R336/R342),"",R336/R342)</f>
        <v/>
      </c>
      <c r="U336" s="646"/>
      <c r="V336" s="643" t="s">
        <v>261</v>
      </c>
      <c r="W336" s="643"/>
      <c r="X336" s="680">
        <f>SUM(P198,P256,P291,P307,P317,P332)</f>
        <v>0</v>
      </c>
      <c r="Y336" s="681"/>
      <c r="Z336" s="646" t="str">
        <f>IF(ISERROR(X336/X342),"",X336/X342)</f>
        <v/>
      </c>
      <c r="AA336" s="646"/>
    </row>
    <row r="337" spans="1:27" ht="20.100000000000001" customHeight="1">
      <c r="A337" s="636"/>
      <c r="B337" s="464" t="s">
        <v>262</v>
      </c>
      <c r="C337" s="638">
        <v>0</v>
      </c>
      <c r="D337" s="639"/>
      <c r="E337" s="642">
        <f>C337*8</f>
        <v>0</v>
      </c>
      <c r="F337" s="642"/>
      <c r="G337" s="643">
        <v>1</v>
      </c>
      <c r="H337" s="643"/>
      <c r="I337" s="642">
        <f>G337*8</f>
        <v>8</v>
      </c>
      <c r="J337" s="642"/>
      <c r="K337" s="642">
        <f>E337-I337</f>
        <v>-8</v>
      </c>
      <c r="L337" s="642"/>
      <c r="M337" s="644" t="str">
        <f>IF(ISERROR(K337/E337),"",K337/E337)</f>
        <v/>
      </c>
      <c r="N337" s="644"/>
      <c r="O337" s="640"/>
      <c r="P337" s="643" t="s">
        <v>224</v>
      </c>
      <c r="Q337" s="643"/>
      <c r="R337" s="645">
        <f>SUM(O291:U291)</f>
        <v>0</v>
      </c>
      <c r="S337" s="645"/>
      <c r="T337" s="646" t="str">
        <f>IF(ISERROR(R337/R342),"",R337/R342)</f>
        <v/>
      </c>
      <c r="U337" s="646"/>
      <c r="V337" s="643" t="s">
        <v>263</v>
      </c>
      <c r="W337" s="643"/>
      <c r="X337" s="680">
        <f>SUM(P199,P257,P292,P308,P318,P333)</f>
        <v>0</v>
      </c>
      <c r="Y337" s="681"/>
      <c r="Z337" s="646" t="str">
        <f>IF(ISERROR(X337/X342),"",X337/X342)</f>
        <v/>
      </c>
      <c r="AA337" s="646"/>
    </row>
    <row r="338" spans="1:27" ht="20.100000000000001" customHeight="1">
      <c r="A338" s="636"/>
      <c r="B338" s="464" t="s">
        <v>264</v>
      </c>
      <c r="C338" s="638">
        <v>1</v>
      </c>
      <c r="D338" s="639"/>
      <c r="E338" s="642">
        <f>C338*11</f>
        <v>11</v>
      </c>
      <c r="F338" s="642"/>
      <c r="G338" s="643">
        <v>1</v>
      </c>
      <c r="H338" s="643"/>
      <c r="I338" s="642">
        <f>G338*11</f>
        <v>11</v>
      </c>
      <c r="J338" s="642"/>
      <c r="K338" s="642">
        <f>E338-I338</f>
        <v>0</v>
      </c>
      <c r="L338" s="642"/>
      <c r="M338" s="644">
        <f>IF(ISERROR(K338/E338),"",K338/E338)</f>
        <v>0</v>
      </c>
      <c r="N338" s="644"/>
      <c r="O338" s="640"/>
      <c r="P338" s="643" t="s">
        <v>231</v>
      </c>
      <c r="Q338" s="643"/>
      <c r="R338" s="645">
        <f>SUM(O307:U307)</f>
        <v>0</v>
      </c>
      <c r="S338" s="645"/>
      <c r="T338" s="646" t="str">
        <f>IF(ISERROR(R338/R342),"",R338/R342)</f>
        <v/>
      </c>
      <c r="U338" s="646"/>
      <c r="V338" s="643" t="s">
        <v>265</v>
      </c>
      <c r="W338" s="643"/>
      <c r="X338" s="680">
        <f>SUM(P201,P258,P293,P309,P319,P334)</f>
        <v>0</v>
      </c>
      <c r="Y338" s="681"/>
      <c r="Z338" s="646" t="str">
        <f>IF(ISERROR(X338/X342),"",X338/X342)</f>
        <v/>
      </c>
      <c r="AA338" s="646"/>
    </row>
    <row r="339" spans="1:27" ht="20.100000000000001" customHeight="1">
      <c r="A339" s="637"/>
      <c r="B339" s="464" t="s">
        <v>266</v>
      </c>
      <c r="C339" s="648">
        <f>SUM(C335:D338)</f>
        <v>2</v>
      </c>
      <c r="D339" s="649"/>
      <c r="E339" s="642">
        <f>SUM(E335:F338)</f>
        <v>22</v>
      </c>
      <c r="F339" s="642"/>
      <c r="G339" s="643">
        <f>SUM(G335:H338)</f>
        <v>3</v>
      </c>
      <c r="H339" s="643"/>
      <c r="I339" s="642">
        <f>SUM(I335:J338)</f>
        <v>30</v>
      </c>
      <c r="J339" s="642"/>
      <c r="K339" s="642">
        <f>SUM(K335:L338)</f>
        <v>-8</v>
      </c>
      <c r="L339" s="642"/>
      <c r="M339" s="644">
        <f>IF(ISERROR(K339/E339),"",K339/E339)</f>
        <v>-0.36363636363636365</v>
      </c>
      <c r="N339" s="644"/>
      <c r="O339" s="640"/>
      <c r="P339" s="643" t="s">
        <v>234</v>
      </c>
      <c r="Q339" s="643"/>
      <c r="R339" s="645">
        <f>SUM(O317:U317)</f>
        <v>0</v>
      </c>
      <c r="S339" s="645"/>
      <c r="T339" s="646" t="str">
        <f>IF(ISERROR(R339/R342),"",R339/R342)</f>
        <v/>
      </c>
      <c r="U339" s="646"/>
      <c r="V339" s="643" t="s">
        <v>267</v>
      </c>
      <c r="W339" s="643"/>
      <c r="X339" s="680">
        <f>SUM(P202,P259,P294,P310,P320,P335)</f>
        <v>0</v>
      </c>
      <c r="Y339" s="681"/>
      <c r="Z339" s="646" t="str">
        <f>IF(ISERROR(X339/X342),"",X339/X342)</f>
        <v/>
      </c>
      <c r="AA339" s="646"/>
    </row>
    <row r="340" spans="1:27" ht="20.100000000000001" customHeight="1">
      <c r="A340" s="309" t="s">
        <v>477</v>
      </c>
      <c r="B340" s="464">
        <f>G333</f>
        <v>4028</v>
      </c>
      <c r="C340" s="650" t="s">
        <v>269</v>
      </c>
      <c r="D340" s="651"/>
      <c r="E340" s="643">
        <f>H333</f>
        <v>20299.43</v>
      </c>
      <c r="F340" s="643"/>
      <c r="G340" s="643" t="s">
        <v>270</v>
      </c>
      <c r="H340" s="643"/>
      <c r="I340" s="652">
        <f>L333</f>
        <v>20.502489610930432</v>
      </c>
      <c r="J340" s="652"/>
      <c r="K340" s="640" t="s">
        <v>271</v>
      </c>
      <c r="L340" s="640"/>
      <c r="M340" s="652">
        <f>J333</f>
        <v>20.241206030150753</v>
      </c>
      <c r="N340" s="652"/>
      <c r="O340" s="640"/>
      <c r="P340" s="643" t="s">
        <v>244</v>
      </c>
      <c r="Q340" s="643"/>
      <c r="R340" s="645">
        <f>SUM(O332:U332)</f>
        <v>0</v>
      </c>
      <c r="S340" s="645"/>
      <c r="T340" s="646" t="str">
        <f>IF(ISERROR(R340/R342),"",R340/R342)</f>
        <v/>
      </c>
      <c r="U340" s="646"/>
      <c r="V340" s="643" t="s">
        <v>272</v>
      </c>
      <c r="W340" s="643"/>
      <c r="X340" s="680">
        <f>SUM(P203,P260,P295,P311,P321,P336)</f>
        <v>0</v>
      </c>
      <c r="Y340" s="681"/>
      <c r="Z340" s="646" t="str">
        <f>IF(ISERROR(X340/X342),"",X340/X342)</f>
        <v/>
      </c>
      <c r="AA340" s="646"/>
    </row>
    <row r="341" spans="1:27" ht="20.100000000000001" customHeight="1">
      <c r="A341" s="310" t="s">
        <v>478</v>
      </c>
      <c r="B341" s="464">
        <f>I333+C339</f>
        <v>201</v>
      </c>
      <c r="C341" s="653" t="s">
        <v>251</v>
      </c>
      <c r="D341" s="654"/>
      <c r="E341" s="655">
        <f>K333+I339</f>
        <v>226.46394542507483</v>
      </c>
      <c r="F341" s="655"/>
      <c r="G341" s="643" t="s">
        <v>274</v>
      </c>
      <c r="H341" s="643"/>
      <c r="I341" s="652">
        <f>B341-E341</f>
        <v>-25.463945425074826</v>
      </c>
      <c r="J341" s="652"/>
      <c r="K341" s="640" t="s">
        <v>275</v>
      </c>
      <c r="L341" s="640"/>
      <c r="M341" s="644">
        <f>IF(ISERROR(I341/E341),"",I341/E341)</f>
        <v>-0.11244149869984282</v>
      </c>
      <c r="N341" s="644"/>
      <c r="O341" s="640"/>
      <c r="P341" s="643" t="s">
        <v>245</v>
      </c>
      <c r="Q341" s="643"/>
      <c r="R341" s="645"/>
      <c r="S341" s="645"/>
      <c r="T341" s="646" t="str">
        <f>IF(ISERROR(R341/R342),"",R341/R342)</f>
        <v/>
      </c>
      <c r="U341" s="646"/>
      <c r="V341" s="643" t="s">
        <v>264</v>
      </c>
      <c r="W341" s="643"/>
      <c r="X341" s="680">
        <f>SUM(P204,P261,P296,P312,P322,P337)</f>
        <v>0</v>
      </c>
      <c r="Y341" s="681"/>
      <c r="Z341" s="646" t="str">
        <f>IF(ISERROR(X341/X342),"",X341/X342)</f>
        <v/>
      </c>
      <c r="AA341" s="646"/>
    </row>
    <row r="342" spans="1:27" ht="20.100000000000001" customHeight="1">
      <c r="A342" s="310" t="s">
        <v>479</v>
      </c>
      <c r="B342" s="464">
        <f>N333</f>
        <v>0</v>
      </c>
      <c r="C342" s="653" t="s">
        <v>277</v>
      </c>
      <c r="D342" s="654"/>
      <c r="E342" s="646">
        <f>IF(ISERROR(B342/B341),"",B342/B341)</f>
        <v>0</v>
      </c>
      <c r="F342" s="646"/>
      <c r="G342" s="643" t="s">
        <v>278</v>
      </c>
      <c r="H342" s="643"/>
      <c r="I342" s="640">
        <f>V333</f>
        <v>0</v>
      </c>
      <c r="J342" s="640"/>
      <c r="K342" s="640" t="s">
        <v>279</v>
      </c>
      <c r="L342" s="640"/>
      <c r="M342" s="644">
        <f t="array" ref="M342">IF(ISERROR(I342/B340),"",I342/B340)</f>
        <v>0</v>
      </c>
      <c r="N342" s="644"/>
      <c r="O342" s="640"/>
      <c r="P342" s="643" t="s">
        <v>266</v>
      </c>
      <c r="Q342" s="643"/>
      <c r="R342" s="645">
        <f>SUM(R335:S341)</f>
        <v>0</v>
      </c>
      <c r="S342" s="645"/>
      <c r="T342" s="646"/>
      <c r="U342" s="646"/>
      <c r="V342" s="643" t="s">
        <v>266</v>
      </c>
      <c r="W342" s="643"/>
      <c r="X342" s="647">
        <f>SUM(X335:Y341)</f>
        <v>0</v>
      </c>
      <c r="Y342" s="647"/>
      <c r="Z342" s="646"/>
      <c r="AA342" s="646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56" t="s">
        <v>480</v>
      </c>
      <c r="B344" s="659" t="s">
        <v>280</v>
      </c>
      <c r="C344" s="659" t="s">
        <v>281</v>
      </c>
      <c r="D344" s="659" t="s">
        <v>282</v>
      </c>
      <c r="E344" s="662" t="s">
        <v>283</v>
      </c>
      <c r="F344" s="675" t="s">
        <v>284</v>
      </c>
      <c r="G344" s="640" t="s">
        <v>285</v>
      </c>
      <c r="H344" s="640"/>
      <c r="I344" s="659" t="s">
        <v>286</v>
      </c>
      <c r="J344" s="665" t="s">
        <v>271</v>
      </c>
      <c r="K344" s="668" t="s">
        <v>287</v>
      </c>
      <c r="L344" s="659" t="s">
        <v>270</v>
      </c>
      <c r="M344" s="671" t="s">
        <v>288</v>
      </c>
      <c r="N344" s="673" t="s">
        <v>252</v>
      </c>
      <c r="O344" s="640" t="s">
        <v>289</v>
      </c>
      <c r="P344" s="640"/>
      <c r="Q344" s="640"/>
      <c r="R344" s="640"/>
      <c r="S344" s="640"/>
      <c r="T344" s="640"/>
      <c r="U344" s="640"/>
      <c r="V344" s="640" t="s">
        <v>290</v>
      </c>
      <c r="W344" s="673" t="s">
        <v>291</v>
      </c>
      <c r="X344" s="640" t="s">
        <v>292</v>
      </c>
      <c r="Y344" s="640"/>
      <c r="Z344" s="640"/>
      <c r="AA344" s="640"/>
    </row>
    <row r="345" spans="1:27" ht="21.95" customHeight="1">
      <c r="A345" s="657"/>
      <c r="B345" s="660"/>
      <c r="C345" s="660"/>
      <c r="D345" s="660"/>
      <c r="E345" s="663"/>
      <c r="F345" s="676"/>
      <c r="G345" s="640"/>
      <c r="H345" s="640"/>
      <c r="I345" s="660"/>
      <c r="J345" s="666"/>
      <c r="K345" s="669"/>
      <c r="L345" s="660"/>
      <c r="M345" s="672"/>
      <c r="N345" s="673"/>
      <c r="O345" s="640" t="s">
        <v>259</v>
      </c>
      <c r="P345" s="640" t="s">
        <v>261</v>
      </c>
      <c r="Q345" s="640" t="s">
        <v>263</v>
      </c>
      <c r="R345" s="674" t="s">
        <v>265</v>
      </c>
      <c r="S345" s="643" t="s">
        <v>267</v>
      </c>
      <c r="T345" s="640" t="s">
        <v>272</v>
      </c>
      <c r="U345" s="640" t="s">
        <v>264</v>
      </c>
      <c r="V345" s="640"/>
      <c r="W345" s="673"/>
      <c r="X345" s="640" t="s">
        <v>293</v>
      </c>
      <c r="Y345" s="640" t="s">
        <v>294</v>
      </c>
      <c r="Z345" s="640" t="s">
        <v>295</v>
      </c>
      <c r="AA345" s="640" t="s">
        <v>264</v>
      </c>
    </row>
    <row r="346" spans="1:27" ht="21.95" customHeight="1">
      <c r="A346" s="658"/>
      <c r="B346" s="661"/>
      <c r="C346" s="661"/>
      <c r="D346" s="661"/>
      <c r="E346" s="664"/>
      <c r="F346" s="677"/>
      <c r="G346" s="348" t="s">
        <v>522</v>
      </c>
      <c r="H346" s="457" t="s">
        <v>297</v>
      </c>
      <c r="I346" s="661"/>
      <c r="J346" s="667"/>
      <c r="K346" s="670"/>
      <c r="L346" s="661"/>
      <c r="M346" s="672"/>
      <c r="N346" s="673"/>
      <c r="O346" s="640"/>
      <c r="P346" s="640"/>
      <c r="Q346" s="640"/>
      <c r="R346" s="674"/>
      <c r="S346" s="643"/>
      <c r="T346" s="640"/>
      <c r="U346" s="640"/>
      <c r="V346" s="640"/>
      <c r="W346" s="673"/>
      <c r="X346" s="640"/>
      <c r="Y346" s="640"/>
      <c r="Z346" s="640"/>
      <c r="AA346" s="640"/>
    </row>
    <row r="347" spans="1:27" ht="20.100000000000001" hidden="1" customHeight="1">
      <c r="A347" s="299">
        <v>30100030</v>
      </c>
      <c r="B347" s="459" t="s">
        <v>178</v>
      </c>
      <c r="C347" s="126" t="s">
        <v>179</v>
      </c>
      <c r="D347" s="108">
        <v>5.03</v>
      </c>
      <c r="E347" s="108"/>
      <c r="F347" s="127"/>
      <c r="G347" s="128"/>
      <c r="H347" s="467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458"/>
      <c r="P347" s="458"/>
      <c r="Q347" s="458"/>
      <c r="R347" s="458"/>
      <c r="S347" s="458"/>
      <c r="T347" s="458"/>
      <c r="U347" s="458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467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458"/>
      <c r="P348" s="458"/>
      <c r="Q348" s="458"/>
      <c r="R348" s="458"/>
      <c r="S348" s="458"/>
      <c r="T348" s="458"/>
      <c r="U348" s="458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467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458"/>
      <c r="P349" s="458"/>
      <c r="Q349" s="458"/>
      <c r="R349" s="458"/>
      <c r="S349" s="458"/>
      <c r="T349" s="458"/>
      <c r="U349" s="458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467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458"/>
      <c r="P350" s="458"/>
      <c r="Q350" s="458"/>
      <c r="R350" s="458"/>
      <c r="S350" s="458"/>
      <c r="T350" s="458"/>
      <c r="U350" s="458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467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458"/>
      <c r="P351" s="458"/>
      <c r="Q351" s="458"/>
      <c r="R351" s="458"/>
      <c r="S351" s="458"/>
      <c r="T351" s="458"/>
      <c r="U351" s="458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467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458"/>
      <c r="P352" s="458"/>
      <c r="Q352" s="458"/>
      <c r="R352" s="458"/>
      <c r="S352" s="458"/>
      <c r="T352" s="458"/>
      <c r="U352" s="458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467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458"/>
      <c r="P353" s="458"/>
      <c r="Q353" s="458"/>
      <c r="R353" s="458"/>
      <c r="S353" s="458"/>
      <c r="T353" s="458"/>
      <c r="U353" s="458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467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458"/>
      <c r="P354" s="458"/>
      <c r="Q354" s="458"/>
      <c r="R354" s="458"/>
      <c r="S354" s="458"/>
      <c r="T354" s="458"/>
      <c r="U354" s="458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467">
        <f t="shared" si="158"/>
        <v>0</v>
      </c>
      <c r="I355" s="467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458"/>
      <c r="P355" s="458"/>
      <c r="Q355" s="458"/>
      <c r="R355" s="458"/>
      <c r="S355" s="458"/>
      <c r="T355" s="458"/>
      <c r="U355" s="458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467">
        <f t="shared" si="158"/>
        <v>0</v>
      </c>
      <c r="I356" s="467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458"/>
      <c r="P356" s="458"/>
      <c r="Q356" s="458"/>
      <c r="R356" s="458"/>
      <c r="S356" s="458"/>
      <c r="T356" s="458"/>
      <c r="U356" s="458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467">
        <f t="shared" si="158"/>
        <v>0</v>
      </c>
      <c r="I357" s="467"/>
      <c r="J357" s="130"/>
      <c r="K357" s="131"/>
      <c r="L357" s="129"/>
      <c r="M357" s="109"/>
      <c r="N357" s="130"/>
      <c r="O357" s="458"/>
      <c r="P357" s="458"/>
      <c r="Q357" s="458"/>
      <c r="R357" s="458"/>
      <c r="S357" s="458"/>
      <c r="T357" s="458"/>
      <c r="U357" s="458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467">
        <f t="shared" si="158"/>
        <v>0</v>
      </c>
      <c r="I358" s="467"/>
      <c r="J358" s="130"/>
      <c r="K358" s="131"/>
      <c r="L358" s="129"/>
      <c r="M358" s="109"/>
      <c r="N358" s="130"/>
      <c r="O358" s="458"/>
      <c r="P358" s="458"/>
      <c r="Q358" s="458"/>
      <c r="R358" s="458"/>
      <c r="S358" s="458"/>
      <c r="T358" s="458"/>
      <c r="U358" s="458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467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458"/>
      <c r="P359" s="458"/>
      <c r="Q359" s="458"/>
      <c r="R359" s="458"/>
      <c r="S359" s="458"/>
      <c r="T359" s="458"/>
      <c r="U359" s="458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467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458"/>
      <c r="P360" s="458"/>
      <c r="Q360" s="458"/>
      <c r="R360" s="458"/>
      <c r="S360" s="458"/>
      <c r="T360" s="458"/>
      <c r="U360" s="458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467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458"/>
      <c r="P361" s="458"/>
      <c r="Q361" s="458"/>
      <c r="R361" s="458"/>
      <c r="S361" s="458"/>
      <c r="T361" s="458"/>
      <c r="U361" s="458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457" t="s">
        <v>190</v>
      </c>
      <c r="D362" s="108">
        <v>4.8</v>
      </c>
      <c r="E362" s="108"/>
      <c r="F362" s="127"/>
      <c r="G362" s="128"/>
      <c r="H362" s="467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458"/>
      <c r="P362" s="458"/>
      <c r="Q362" s="458"/>
      <c r="R362" s="458"/>
      <c r="S362" s="458"/>
      <c r="T362" s="458"/>
      <c r="U362" s="458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457" t="s">
        <v>187</v>
      </c>
      <c r="D363" s="108">
        <v>4.8</v>
      </c>
      <c r="E363" s="108"/>
      <c r="F363" s="127"/>
      <c r="G363" s="128"/>
      <c r="H363" s="467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458"/>
      <c r="P363" s="458"/>
      <c r="Q363" s="458"/>
      <c r="R363" s="458"/>
      <c r="S363" s="458"/>
      <c r="T363" s="458"/>
      <c r="U363" s="458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457" t="s">
        <v>179</v>
      </c>
      <c r="D364" s="108">
        <v>4.8</v>
      </c>
      <c r="E364" s="108"/>
      <c r="F364" s="127"/>
      <c r="G364" s="128"/>
      <c r="H364" s="467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458"/>
      <c r="P364" s="458"/>
      <c r="Q364" s="458"/>
      <c r="R364" s="458"/>
      <c r="S364" s="458"/>
      <c r="T364" s="458"/>
      <c r="U364" s="458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457" t="s">
        <v>199</v>
      </c>
      <c r="D365" s="108">
        <v>4.8</v>
      </c>
      <c r="E365" s="108"/>
      <c r="F365" s="127"/>
      <c r="G365" s="128"/>
      <c r="H365" s="467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458"/>
      <c r="P365" s="458"/>
      <c r="Q365" s="458"/>
      <c r="R365" s="458"/>
      <c r="S365" s="458"/>
      <c r="T365" s="458"/>
      <c r="U365" s="458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467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458"/>
      <c r="P366" s="458"/>
      <c r="Q366" s="458"/>
      <c r="R366" s="458"/>
      <c r="S366" s="458"/>
      <c r="T366" s="458"/>
      <c r="U366" s="458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467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458"/>
      <c r="P367" s="458"/>
      <c r="Q367" s="458"/>
      <c r="R367" s="458"/>
      <c r="S367" s="458"/>
      <c r="T367" s="458"/>
      <c r="U367" s="458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630" t="s">
        <v>201</v>
      </c>
      <c r="B368" s="631"/>
      <c r="C368" s="465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459" t="s">
        <v>206</v>
      </c>
      <c r="C369" s="126" t="s">
        <v>199</v>
      </c>
      <c r="D369" s="108">
        <v>5.03</v>
      </c>
      <c r="E369" s="108"/>
      <c r="F369" s="127"/>
      <c r="G369" s="128"/>
      <c r="H369" s="467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462"/>
      <c r="P369" s="462"/>
      <c r="Q369" s="462"/>
      <c r="R369" s="462"/>
      <c r="S369" s="462"/>
      <c r="T369" s="462"/>
      <c r="U369" s="462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459" t="s">
        <v>425</v>
      </c>
      <c r="C370" s="187" t="s">
        <v>427</v>
      </c>
      <c r="D370" s="108">
        <v>5.03</v>
      </c>
      <c r="E370" s="108"/>
      <c r="F370" s="127"/>
      <c r="G370" s="128"/>
      <c r="H370" s="467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462"/>
      <c r="P370" s="462"/>
      <c r="Q370" s="462"/>
      <c r="R370" s="462"/>
      <c r="S370" s="462"/>
      <c r="T370" s="462"/>
      <c r="U370" s="462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459" t="s">
        <v>206</v>
      </c>
      <c r="C371" s="126" t="s">
        <v>186</v>
      </c>
      <c r="D371" s="108">
        <v>5.03</v>
      </c>
      <c r="E371" s="108"/>
      <c r="F371" s="127"/>
      <c r="G371" s="128"/>
      <c r="H371" s="467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462"/>
      <c r="P371" s="462"/>
      <c r="Q371" s="462"/>
      <c r="R371" s="462"/>
      <c r="S371" s="462"/>
      <c r="T371" s="462"/>
      <c r="U371" s="462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459" t="s">
        <v>206</v>
      </c>
      <c r="C372" s="126" t="s">
        <v>203</v>
      </c>
      <c r="D372" s="108">
        <v>5.03</v>
      </c>
      <c r="E372" s="108"/>
      <c r="F372" s="127"/>
      <c r="G372" s="128"/>
      <c r="H372" s="467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462"/>
      <c r="P372" s="462"/>
      <c r="Q372" s="462"/>
      <c r="R372" s="462"/>
      <c r="S372" s="462"/>
      <c r="T372" s="462"/>
      <c r="U372" s="462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459" t="s">
        <v>206</v>
      </c>
      <c r="C373" s="126" t="s">
        <v>207</v>
      </c>
      <c r="D373" s="108">
        <v>5.03</v>
      </c>
      <c r="E373" s="108"/>
      <c r="F373" s="127"/>
      <c r="G373" s="128"/>
      <c r="H373" s="467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462"/>
      <c r="P373" s="462"/>
      <c r="Q373" s="462"/>
      <c r="R373" s="462"/>
      <c r="S373" s="462"/>
      <c r="T373" s="462"/>
      <c r="U373" s="462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459" t="s">
        <v>414</v>
      </c>
      <c r="C374" s="187" t="s">
        <v>415</v>
      </c>
      <c r="D374" s="108"/>
      <c r="E374" s="108"/>
      <c r="F374" s="127"/>
      <c r="G374" s="128"/>
      <c r="H374" s="467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462"/>
      <c r="P374" s="462"/>
      <c r="Q374" s="462"/>
      <c r="R374" s="462"/>
      <c r="S374" s="462"/>
      <c r="T374" s="462"/>
      <c r="U374" s="462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459" t="s">
        <v>414</v>
      </c>
      <c r="C375" s="187" t="s">
        <v>416</v>
      </c>
      <c r="D375" s="108"/>
      <c r="E375" s="108"/>
      <c r="F375" s="127"/>
      <c r="G375" s="128"/>
      <c r="H375" s="467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462"/>
      <c r="P375" s="462"/>
      <c r="Q375" s="462"/>
      <c r="R375" s="462"/>
      <c r="S375" s="462"/>
      <c r="T375" s="462"/>
      <c r="U375" s="462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459" t="s">
        <v>414</v>
      </c>
      <c r="C376" s="187" t="s">
        <v>61</v>
      </c>
      <c r="D376" s="108"/>
      <c r="E376" s="108"/>
      <c r="F376" s="127"/>
      <c r="G376" s="128"/>
      <c r="H376" s="467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462"/>
      <c r="P376" s="462"/>
      <c r="Q376" s="462"/>
      <c r="R376" s="462"/>
      <c r="S376" s="462"/>
      <c r="T376" s="462"/>
      <c r="U376" s="462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459" t="s">
        <v>208</v>
      </c>
      <c r="C377" s="126" t="s">
        <v>179</v>
      </c>
      <c r="D377" s="108">
        <v>5.08</v>
      </c>
      <c r="E377" s="108"/>
      <c r="F377" s="127"/>
      <c r="G377" s="128"/>
      <c r="H377" s="467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462"/>
      <c r="P377" s="462"/>
      <c r="Q377" s="462"/>
      <c r="R377" s="462"/>
      <c r="S377" s="462"/>
      <c r="T377" s="462"/>
      <c r="U377" s="462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459" t="s">
        <v>208</v>
      </c>
      <c r="C378" s="126" t="s">
        <v>204</v>
      </c>
      <c r="D378" s="108">
        <v>5.08</v>
      </c>
      <c r="E378" s="108"/>
      <c r="F378" s="127"/>
      <c r="G378" s="128"/>
      <c r="H378" s="467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462"/>
      <c r="P378" s="462"/>
      <c r="Q378" s="462"/>
      <c r="R378" s="462"/>
      <c r="S378" s="462"/>
      <c r="T378" s="462"/>
      <c r="U378" s="462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459" t="s">
        <v>208</v>
      </c>
      <c r="C379" s="126" t="s">
        <v>205</v>
      </c>
      <c r="D379" s="108">
        <v>5.08</v>
      </c>
      <c r="E379" s="108"/>
      <c r="F379" s="127"/>
      <c r="G379" s="128"/>
      <c r="H379" s="467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462"/>
      <c r="P379" s="462"/>
      <c r="Q379" s="462"/>
      <c r="R379" s="462"/>
      <c r="S379" s="462"/>
      <c r="T379" s="462"/>
      <c r="U379" s="462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459" t="s">
        <v>208</v>
      </c>
      <c r="C380" s="126" t="s">
        <v>186</v>
      </c>
      <c r="D380" s="108">
        <v>5.08</v>
      </c>
      <c r="E380" s="108"/>
      <c r="F380" s="127"/>
      <c r="G380" s="128"/>
      <c r="H380" s="467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462"/>
      <c r="P380" s="462"/>
      <c r="Q380" s="462"/>
      <c r="R380" s="462"/>
      <c r="S380" s="462"/>
      <c r="T380" s="462"/>
      <c r="U380" s="462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459" t="s">
        <v>208</v>
      </c>
      <c r="C381" s="126" t="s">
        <v>203</v>
      </c>
      <c r="D381" s="108">
        <v>5.08</v>
      </c>
      <c r="E381" s="108"/>
      <c r="F381" s="127"/>
      <c r="G381" s="128"/>
      <c r="H381" s="467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462"/>
      <c r="P381" s="462"/>
      <c r="Q381" s="462"/>
      <c r="R381" s="462"/>
      <c r="S381" s="462"/>
      <c r="T381" s="462"/>
      <c r="U381" s="462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459" t="s">
        <v>208</v>
      </c>
      <c r="C382" s="126" t="s">
        <v>199</v>
      </c>
      <c r="D382" s="108">
        <v>5.08</v>
      </c>
      <c r="E382" s="108"/>
      <c r="F382" s="127"/>
      <c r="G382" s="128"/>
      <c r="H382" s="467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458"/>
      <c r="P382" s="458"/>
      <c r="Q382" s="458"/>
      <c r="R382" s="458"/>
      <c r="S382" s="458"/>
      <c r="T382" s="458"/>
      <c r="U382" s="458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459" t="s">
        <v>208</v>
      </c>
      <c r="C383" s="126" t="s">
        <v>187</v>
      </c>
      <c r="D383" s="108">
        <v>5.08</v>
      </c>
      <c r="E383" s="108"/>
      <c r="F383" s="127"/>
      <c r="G383" s="128"/>
      <c r="H383" s="467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462"/>
      <c r="P383" s="462"/>
      <c r="Q383" s="462"/>
      <c r="R383" s="462"/>
      <c r="S383" s="462"/>
      <c r="T383" s="462"/>
      <c r="U383" s="462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459" t="s">
        <v>208</v>
      </c>
      <c r="C384" s="126" t="s">
        <v>207</v>
      </c>
      <c r="D384" s="108">
        <v>5.08</v>
      </c>
      <c r="E384" s="108"/>
      <c r="F384" s="127"/>
      <c r="G384" s="128"/>
      <c r="H384" s="467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458"/>
      <c r="P384" s="458"/>
      <c r="Q384" s="458"/>
      <c r="R384" s="458"/>
      <c r="S384" s="458"/>
      <c r="T384" s="458"/>
      <c r="U384" s="458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459" t="s">
        <v>209</v>
      </c>
      <c r="C385" s="126" t="s">
        <v>194</v>
      </c>
      <c r="D385" s="108">
        <v>5.03</v>
      </c>
      <c r="E385" s="108"/>
      <c r="F385" s="127"/>
      <c r="G385" s="128"/>
      <c r="H385" s="467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462"/>
      <c r="P385" s="462"/>
      <c r="Q385" s="462"/>
      <c r="R385" s="462"/>
      <c r="S385" s="462"/>
      <c r="T385" s="462"/>
      <c r="U385" s="462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459" t="s">
        <v>209</v>
      </c>
      <c r="C386" s="126" t="s">
        <v>179</v>
      </c>
      <c r="D386" s="108">
        <v>5.03</v>
      </c>
      <c r="E386" s="108"/>
      <c r="F386" s="127"/>
      <c r="G386" s="128"/>
      <c r="H386" s="467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462"/>
      <c r="P386" s="462"/>
      <c r="Q386" s="462"/>
      <c r="R386" s="462"/>
      <c r="S386" s="462"/>
      <c r="T386" s="462"/>
      <c r="U386" s="462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459" t="s">
        <v>209</v>
      </c>
      <c r="C387" s="126" t="s">
        <v>195</v>
      </c>
      <c r="D387" s="108">
        <v>5.03</v>
      </c>
      <c r="E387" s="108"/>
      <c r="F387" s="127"/>
      <c r="G387" s="128"/>
      <c r="H387" s="467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462"/>
      <c r="P387" s="462"/>
      <c r="Q387" s="462"/>
      <c r="R387" s="462"/>
      <c r="S387" s="462"/>
      <c r="T387" s="462"/>
      <c r="U387" s="462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459" t="s">
        <v>209</v>
      </c>
      <c r="C388" s="126" t="s">
        <v>204</v>
      </c>
      <c r="D388" s="108">
        <v>5.03</v>
      </c>
      <c r="E388" s="108"/>
      <c r="F388" s="127"/>
      <c r="G388" s="128"/>
      <c r="H388" s="467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462"/>
      <c r="P388" s="462"/>
      <c r="Q388" s="462"/>
      <c r="R388" s="462"/>
      <c r="S388" s="462"/>
      <c r="T388" s="462"/>
      <c r="U388" s="462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459" t="s">
        <v>382</v>
      </c>
      <c r="C389" s="187" t="s">
        <v>383</v>
      </c>
      <c r="D389" s="108">
        <v>5.03</v>
      </c>
      <c r="E389" s="108"/>
      <c r="F389" s="127"/>
      <c r="G389" s="128"/>
      <c r="H389" s="467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462"/>
      <c r="P389" s="462"/>
      <c r="Q389" s="462"/>
      <c r="R389" s="462"/>
      <c r="S389" s="462"/>
      <c r="T389" s="462"/>
      <c r="U389" s="462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459" t="s">
        <v>382</v>
      </c>
      <c r="C390" s="187" t="s">
        <v>384</v>
      </c>
      <c r="D390" s="108">
        <v>5.03</v>
      </c>
      <c r="E390" s="108"/>
      <c r="F390" s="127"/>
      <c r="G390" s="128"/>
      <c r="H390" s="467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462"/>
      <c r="P390" s="462"/>
      <c r="Q390" s="462"/>
      <c r="R390" s="462"/>
      <c r="S390" s="462"/>
      <c r="T390" s="462"/>
      <c r="U390" s="462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459" t="s">
        <v>382</v>
      </c>
      <c r="C391" s="187" t="s">
        <v>389</v>
      </c>
      <c r="D391" s="108">
        <v>5.03</v>
      </c>
      <c r="E391" s="108"/>
      <c r="F391" s="127"/>
      <c r="G391" s="128"/>
      <c r="H391" s="467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462"/>
      <c r="P391" s="462"/>
      <c r="Q391" s="462"/>
      <c r="R391" s="462"/>
      <c r="S391" s="462"/>
      <c r="T391" s="462"/>
      <c r="U391" s="462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459" t="s">
        <v>382</v>
      </c>
      <c r="C392" s="187" t="s">
        <v>391</v>
      </c>
      <c r="D392" s="108">
        <v>5.03</v>
      </c>
      <c r="E392" s="108"/>
      <c r="F392" s="127"/>
      <c r="G392" s="128"/>
      <c r="H392" s="467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462"/>
      <c r="P392" s="462"/>
      <c r="Q392" s="462"/>
      <c r="R392" s="462"/>
      <c r="S392" s="462"/>
      <c r="T392" s="462"/>
      <c r="U392" s="462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459" t="s">
        <v>418</v>
      </c>
      <c r="C393" s="187" t="s">
        <v>364</v>
      </c>
      <c r="D393" s="108">
        <v>5.03</v>
      </c>
      <c r="E393" s="108"/>
      <c r="F393" s="127"/>
      <c r="G393" s="128"/>
      <c r="H393" s="467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462"/>
      <c r="P393" s="462"/>
      <c r="Q393" s="462"/>
      <c r="R393" s="462"/>
      <c r="S393" s="462"/>
      <c r="T393" s="462"/>
      <c r="U393" s="462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459" t="s">
        <v>418</v>
      </c>
      <c r="C394" s="187" t="s">
        <v>365</v>
      </c>
      <c r="D394" s="108">
        <v>5.03</v>
      </c>
      <c r="E394" s="108"/>
      <c r="F394" s="127"/>
      <c r="G394" s="128"/>
      <c r="H394" s="467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462"/>
      <c r="P394" s="462"/>
      <c r="Q394" s="462"/>
      <c r="R394" s="462"/>
      <c r="S394" s="462"/>
      <c r="T394" s="462"/>
      <c r="U394" s="462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459" t="s">
        <v>418</v>
      </c>
      <c r="C395" s="187" t="s">
        <v>366</v>
      </c>
      <c r="D395" s="108">
        <v>5.03</v>
      </c>
      <c r="E395" s="108"/>
      <c r="F395" s="127"/>
      <c r="G395" s="128"/>
      <c r="H395" s="467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462"/>
      <c r="P395" s="462"/>
      <c r="Q395" s="462"/>
      <c r="R395" s="462"/>
      <c r="S395" s="462"/>
      <c r="T395" s="462"/>
      <c r="U395" s="462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459" t="s">
        <v>418</v>
      </c>
      <c r="C396" s="187" t="s">
        <v>367</v>
      </c>
      <c r="D396" s="108">
        <v>5.03</v>
      </c>
      <c r="E396" s="108"/>
      <c r="F396" s="127"/>
      <c r="G396" s="128"/>
      <c r="H396" s="467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462"/>
      <c r="P396" s="462"/>
      <c r="Q396" s="462"/>
      <c r="R396" s="462"/>
      <c r="S396" s="462"/>
      <c r="T396" s="462"/>
      <c r="U396" s="462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467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458"/>
      <c r="P397" s="458"/>
      <c r="Q397" s="458"/>
      <c r="R397" s="458"/>
      <c r="S397" s="458"/>
      <c r="T397" s="458"/>
      <c r="U397" s="458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467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458"/>
      <c r="P398" s="458"/>
      <c r="Q398" s="458"/>
      <c r="R398" s="458"/>
      <c r="S398" s="458"/>
      <c r="T398" s="458"/>
      <c r="U398" s="458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467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458"/>
      <c r="P399" s="458"/>
      <c r="Q399" s="458"/>
      <c r="R399" s="458"/>
      <c r="S399" s="458"/>
      <c r="T399" s="458"/>
      <c r="U399" s="458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467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458"/>
      <c r="P400" s="458"/>
      <c r="Q400" s="458"/>
      <c r="R400" s="458"/>
      <c r="S400" s="458"/>
      <c r="T400" s="458"/>
      <c r="U400" s="458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467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458"/>
      <c r="P401" s="458"/>
      <c r="Q401" s="458"/>
      <c r="R401" s="458"/>
      <c r="S401" s="458"/>
      <c r="T401" s="458"/>
      <c r="U401" s="458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467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458"/>
      <c r="P402" s="458"/>
      <c r="Q402" s="458"/>
      <c r="R402" s="458"/>
      <c r="S402" s="458"/>
      <c r="T402" s="458"/>
      <c r="U402" s="458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467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458"/>
      <c r="P403" s="458"/>
      <c r="Q403" s="458"/>
      <c r="R403" s="458"/>
      <c r="S403" s="458"/>
      <c r="T403" s="458"/>
      <c r="U403" s="458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467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458"/>
      <c r="P404" s="458"/>
      <c r="Q404" s="458"/>
      <c r="R404" s="458"/>
      <c r="S404" s="458"/>
      <c r="T404" s="458"/>
      <c r="U404" s="458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467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458"/>
      <c r="P405" s="458"/>
      <c r="Q405" s="458"/>
      <c r="R405" s="458"/>
      <c r="S405" s="458"/>
      <c r="T405" s="458"/>
      <c r="U405" s="458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467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458"/>
      <c r="P406" s="458"/>
      <c r="Q406" s="458"/>
      <c r="R406" s="458"/>
      <c r="S406" s="458"/>
      <c r="T406" s="458"/>
      <c r="U406" s="458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467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458"/>
      <c r="P407" s="458"/>
      <c r="Q407" s="458"/>
      <c r="R407" s="458"/>
      <c r="S407" s="458"/>
      <c r="T407" s="458"/>
      <c r="U407" s="458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467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458"/>
      <c r="P408" s="458"/>
      <c r="Q408" s="458"/>
      <c r="R408" s="458"/>
      <c r="S408" s="458"/>
      <c r="T408" s="458"/>
      <c r="U408" s="458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467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458"/>
      <c r="P409" s="458"/>
      <c r="Q409" s="458"/>
      <c r="R409" s="458"/>
      <c r="S409" s="458"/>
      <c r="T409" s="458"/>
      <c r="U409" s="458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467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458"/>
      <c r="P410" s="458"/>
      <c r="Q410" s="458"/>
      <c r="R410" s="458"/>
      <c r="S410" s="458"/>
      <c r="T410" s="458"/>
      <c r="U410" s="458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467">
        <f t="shared" si="171"/>
        <v>0</v>
      </c>
      <c r="I411" s="129"/>
      <c r="J411" s="130"/>
      <c r="K411" s="131"/>
      <c r="L411" s="129"/>
      <c r="M411" s="109"/>
      <c r="N411" s="130"/>
      <c r="O411" s="458"/>
      <c r="P411" s="458"/>
      <c r="Q411" s="458"/>
      <c r="R411" s="458"/>
      <c r="S411" s="458"/>
      <c r="T411" s="458"/>
      <c r="U411" s="458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467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458"/>
      <c r="P412" s="458"/>
      <c r="Q412" s="458"/>
      <c r="R412" s="458"/>
      <c r="S412" s="458"/>
      <c r="T412" s="458"/>
      <c r="U412" s="458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467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458"/>
      <c r="P413" s="458"/>
      <c r="Q413" s="458"/>
      <c r="R413" s="458"/>
      <c r="S413" s="458"/>
      <c r="T413" s="458"/>
      <c r="U413" s="458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467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458"/>
      <c r="P414" s="458"/>
      <c r="Q414" s="458"/>
      <c r="R414" s="458"/>
      <c r="S414" s="458"/>
      <c r="T414" s="458"/>
      <c r="U414" s="458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467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458"/>
      <c r="P415" s="458"/>
      <c r="Q415" s="458"/>
      <c r="R415" s="458"/>
      <c r="S415" s="458"/>
      <c r="T415" s="458"/>
      <c r="U415" s="458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467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458"/>
      <c r="P416" s="458"/>
      <c r="Q416" s="458"/>
      <c r="R416" s="458"/>
      <c r="S416" s="458"/>
      <c r="T416" s="458"/>
      <c r="U416" s="458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467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458"/>
      <c r="P417" s="458"/>
      <c r="Q417" s="458"/>
      <c r="R417" s="458"/>
      <c r="S417" s="458"/>
      <c r="T417" s="458"/>
      <c r="U417" s="458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467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458"/>
      <c r="P418" s="458"/>
      <c r="Q418" s="458"/>
      <c r="R418" s="458"/>
      <c r="S418" s="458"/>
      <c r="T418" s="458"/>
      <c r="U418" s="458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467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458"/>
      <c r="P419" s="458"/>
      <c r="Q419" s="458"/>
      <c r="R419" s="458"/>
      <c r="S419" s="458"/>
      <c r="T419" s="458"/>
      <c r="U419" s="458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467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458"/>
      <c r="P420" s="458"/>
      <c r="Q420" s="458"/>
      <c r="R420" s="458"/>
      <c r="S420" s="458"/>
      <c r="T420" s="458"/>
      <c r="U420" s="458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467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458"/>
      <c r="P421" s="458"/>
      <c r="Q421" s="458"/>
      <c r="R421" s="458"/>
      <c r="S421" s="458"/>
      <c r="T421" s="458"/>
      <c r="U421" s="458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467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458"/>
      <c r="P422" s="458"/>
      <c r="Q422" s="458"/>
      <c r="R422" s="458"/>
      <c r="S422" s="458"/>
      <c r="T422" s="458"/>
      <c r="U422" s="458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467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458"/>
      <c r="P423" s="458"/>
      <c r="Q423" s="458"/>
      <c r="R423" s="458"/>
      <c r="S423" s="458"/>
      <c r="T423" s="458"/>
      <c r="U423" s="458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467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458"/>
      <c r="P424" s="458"/>
      <c r="Q424" s="458"/>
      <c r="R424" s="458"/>
      <c r="S424" s="458"/>
      <c r="T424" s="458"/>
      <c r="U424" s="458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467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458"/>
      <c r="P425" s="458"/>
      <c r="Q425" s="458"/>
      <c r="R425" s="458"/>
      <c r="S425" s="458"/>
      <c r="T425" s="458"/>
      <c r="U425" s="458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41" t="s">
        <v>216</v>
      </c>
      <c r="B426" s="641"/>
      <c r="C426" s="465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459" t="s">
        <v>217</v>
      </c>
      <c r="C427" s="126" t="s">
        <v>179</v>
      </c>
      <c r="D427" s="108">
        <v>5.03</v>
      </c>
      <c r="E427" s="108"/>
      <c r="F427" s="127"/>
      <c r="G427" s="128"/>
      <c r="H427" s="467">
        <f t="shared" ref="H427:H460" si="196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7">IF(ISERROR(I427-K427),"",I427-K427)</f>
        <v>0</v>
      </c>
      <c r="N427" s="130">
        <f t="shared" ref="N427:N434" si="198">SUM(O427:U427)</f>
        <v>0</v>
      </c>
      <c r="O427" s="458"/>
      <c r="P427" s="458"/>
      <c r="Q427" s="458"/>
      <c r="R427" s="458"/>
      <c r="S427" s="458"/>
      <c r="T427" s="458"/>
      <c r="U427" s="458"/>
      <c r="V427" s="132">
        <f t="shared" ref="V427:V433" si="199">SUM(X427:AA427)</f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459" t="s">
        <v>217</v>
      </c>
      <c r="C428" s="126" t="s">
        <v>186</v>
      </c>
      <c r="D428" s="108">
        <v>5.03</v>
      </c>
      <c r="E428" s="108"/>
      <c r="F428" s="127"/>
      <c r="G428" s="128"/>
      <c r="H428" s="467">
        <f t="shared" si="196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7"/>
        <v>0</v>
      </c>
      <c r="N428" s="130">
        <f t="shared" si="198"/>
        <v>0</v>
      </c>
      <c r="O428" s="458"/>
      <c r="P428" s="458"/>
      <c r="Q428" s="458"/>
      <c r="R428" s="458"/>
      <c r="S428" s="458"/>
      <c r="T428" s="458"/>
      <c r="U428" s="458"/>
      <c r="V428" s="132">
        <f t="shared" si="199"/>
        <v>0</v>
      </c>
      <c r="W428" s="133" t="str">
        <f t="shared" si="195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459" t="s">
        <v>217</v>
      </c>
      <c r="C429" s="126" t="s">
        <v>204</v>
      </c>
      <c r="D429" s="108">
        <v>5.03</v>
      </c>
      <c r="E429" s="108"/>
      <c r="F429" s="127"/>
      <c r="G429" s="128"/>
      <c r="H429" s="467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7"/>
        <v>0</v>
      </c>
      <c r="N429" s="130">
        <f t="shared" si="198"/>
        <v>0</v>
      </c>
      <c r="O429" s="458"/>
      <c r="P429" s="458"/>
      <c r="Q429" s="458"/>
      <c r="R429" s="458"/>
      <c r="S429" s="458"/>
      <c r="T429" s="458"/>
      <c r="U429" s="458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467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458"/>
      <c r="P430" s="458"/>
      <c r="Q430" s="458"/>
      <c r="R430" s="458"/>
      <c r="S430" s="458"/>
      <c r="T430" s="458"/>
      <c r="U430" s="458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467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7"/>
        <v>0</v>
      </c>
      <c r="N431" s="130">
        <f t="shared" si="198"/>
        <v>0</v>
      </c>
      <c r="O431" s="458"/>
      <c r="P431" s="458"/>
      <c r="Q431" s="458"/>
      <c r="R431" s="458"/>
      <c r="S431" s="458"/>
      <c r="T431" s="458"/>
      <c r="U431" s="458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467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7"/>
        <v>0</v>
      </c>
      <c r="N432" s="130">
        <f t="shared" si="198"/>
        <v>0</v>
      </c>
      <c r="O432" s="458"/>
      <c r="P432" s="458"/>
      <c r="Q432" s="458"/>
      <c r="R432" s="458"/>
      <c r="S432" s="458"/>
      <c r="T432" s="458"/>
      <c r="U432" s="458"/>
      <c r="V432" s="132">
        <f t="shared" si="199"/>
        <v>0</v>
      </c>
      <c r="W432" s="133" t="str">
        <f t="shared" si="195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467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458"/>
      <c r="P433" s="458"/>
      <c r="Q433" s="458"/>
      <c r="R433" s="458"/>
      <c r="S433" s="458"/>
      <c r="T433" s="458"/>
      <c r="U433" s="458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467">
        <f t="shared" si="196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458"/>
      <c r="P434" s="458"/>
      <c r="Q434" s="458"/>
      <c r="R434" s="458"/>
      <c r="S434" s="458"/>
      <c r="T434" s="458"/>
      <c r="U434" s="458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467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458"/>
      <c r="P435" s="458"/>
      <c r="Q435" s="458"/>
      <c r="R435" s="458"/>
      <c r="S435" s="458"/>
      <c r="T435" s="458"/>
      <c r="U435" s="458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467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458"/>
      <c r="P436" s="458"/>
      <c r="Q436" s="458"/>
      <c r="R436" s="458"/>
      <c r="S436" s="458"/>
      <c r="T436" s="458"/>
      <c r="U436" s="458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467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58"/>
      <c r="P437" s="458"/>
      <c r="Q437" s="458"/>
      <c r="R437" s="458"/>
      <c r="S437" s="458"/>
      <c r="T437" s="458"/>
      <c r="U437" s="458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467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58"/>
      <c r="P438" s="458"/>
      <c r="Q438" s="458"/>
      <c r="R438" s="458"/>
      <c r="S438" s="458"/>
      <c r="T438" s="458"/>
      <c r="U438" s="458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467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458"/>
      <c r="P439" s="458"/>
      <c r="Q439" s="458"/>
      <c r="R439" s="458"/>
      <c r="S439" s="458"/>
      <c r="T439" s="458"/>
      <c r="U439" s="458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467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458"/>
      <c r="P440" s="458"/>
      <c r="Q440" s="458"/>
      <c r="R440" s="458"/>
      <c r="S440" s="458"/>
      <c r="T440" s="458"/>
      <c r="U440" s="458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467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458"/>
      <c r="P441" s="458"/>
      <c r="Q441" s="458"/>
      <c r="R441" s="458"/>
      <c r="S441" s="458"/>
      <c r="T441" s="458"/>
      <c r="U441" s="458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467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458"/>
      <c r="P442" s="458"/>
      <c r="Q442" s="458"/>
      <c r="R442" s="458"/>
      <c r="S442" s="458"/>
      <c r="T442" s="458"/>
      <c r="U442" s="458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459" t="s">
        <v>222</v>
      </c>
      <c r="C443" s="126" t="s">
        <v>181</v>
      </c>
      <c r="D443" s="108">
        <v>9.36</v>
      </c>
      <c r="E443" s="108"/>
      <c r="F443" s="127"/>
      <c r="G443" s="128"/>
      <c r="H443" s="467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458"/>
      <c r="P443" s="458"/>
      <c r="Q443" s="458"/>
      <c r="R443" s="458"/>
      <c r="S443" s="458"/>
      <c r="T443" s="458"/>
      <c r="U443" s="458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459" t="s">
        <v>222</v>
      </c>
      <c r="C444" s="126" t="s">
        <v>179</v>
      </c>
      <c r="D444" s="108">
        <v>9.36</v>
      </c>
      <c r="E444" s="108"/>
      <c r="F444" s="127"/>
      <c r="G444" s="128"/>
      <c r="H444" s="467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458"/>
      <c r="P444" s="458"/>
      <c r="Q444" s="458"/>
      <c r="R444" s="458"/>
      <c r="S444" s="458"/>
      <c r="T444" s="458"/>
      <c r="U444" s="458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459" t="s">
        <v>222</v>
      </c>
      <c r="C445" s="126" t="s">
        <v>221</v>
      </c>
      <c r="D445" s="108">
        <v>9.36</v>
      </c>
      <c r="E445" s="108"/>
      <c r="F445" s="127"/>
      <c r="G445" s="128"/>
      <c r="H445" s="467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458"/>
      <c r="P445" s="458"/>
      <c r="Q445" s="458"/>
      <c r="R445" s="458"/>
      <c r="S445" s="458"/>
      <c r="T445" s="458"/>
      <c r="U445" s="458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459" t="s">
        <v>222</v>
      </c>
      <c r="C446" s="126" t="s">
        <v>186</v>
      </c>
      <c r="D446" s="108">
        <v>9.36</v>
      </c>
      <c r="E446" s="108"/>
      <c r="F446" s="127"/>
      <c r="G446" s="128"/>
      <c r="H446" s="467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458"/>
      <c r="P446" s="458"/>
      <c r="Q446" s="458"/>
      <c r="R446" s="458"/>
      <c r="S446" s="458"/>
      <c r="T446" s="458"/>
      <c r="U446" s="458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459" t="s">
        <v>393</v>
      </c>
      <c r="C447" s="187" t="s">
        <v>395</v>
      </c>
      <c r="D447" s="108">
        <v>5</v>
      </c>
      <c r="E447" s="108"/>
      <c r="F447" s="127"/>
      <c r="G447" s="128"/>
      <c r="H447" s="467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458"/>
      <c r="P447" s="458"/>
      <c r="Q447" s="458"/>
      <c r="R447" s="458"/>
      <c r="S447" s="458"/>
      <c r="T447" s="458"/>
      <c r="U447" s="458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459" t="s">
        <v>393</v>
      </c>
      <c r="C448" s="187" t="s">
        <v>402</v>
      </c>
      <c r="D448" s="108">
        <v>5</v>
      </c>
      <c r="E448" s="108"/>
      <c r="F448" s="127"/>
      <c r="G448" s="128"/>
      <c r="H448" s="467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458"/>
      <c r="P448" s="458"/>
      <c r="Q448" s="458"/>
      <c r="R448" s="458"/>
      <c r="S448" s="458"/>
      <c r="T448" s="458"/>
      <c r="U448" s="458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459" t="s">
        <v>404</v>
      </c>
      <c r="C449" s="187" t="s">
        <v>405</v>
      </c>
      <c r="D449" s="108">
        <v>5</v>
      </c>
      <c r="E449" s="108"/>
      <c r="F449" s="127"/>
      <c r="G449" s="128"/>
      <c r="H449" s="467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458"/>
      <c r="P449" s="458"/>
      <c r="Q449" s="458"/>
      <c r="R449" s="458"/>
      <c r="S449" s="458"/>
      <c r="T449" s="458"/>
      <c r="U449" s="458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459" t="s">
        <v>342</v>
      </c>
      <c r="C450" s="187" t="s">
        <v>372</v>
      </c>
      <c r="D450" s="108">
        <v>5</v>
      </c>
      <c r="E450" s="108"/>
      <c r="F450" s="127"/>
      <c r="G450" s="128"/>
      <c r="H450" s="467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458"/>
      <c r="P450" s="458"/>
      <c r="Q450" s="458"/>
      <c r="R450" s="458"/>
      <c r="S450" s="458"/>
      <c r="T450" s="458"/>
      <c r="U450" s="458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459" t="s">
        <v>343</v>
      </c>
      <c r="C451" s="126" t="s">
        <v>345</v>
      </c>
      <c r="D451" s="108">
        <v>5</v>
      </c>
      <c r="E451" s="108"/>
      <c r="F451" s="127"/>
      <c r="G451" s="128"/>
      <c r="H451" s="467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458"/>
      <c r="P451" s="458"/>
      <c r="Q451" s="458"/>
      <c r="R451" s="458"/>
      <c r="S451" s="458"/>
      <c r="T451" s="458"/>
      <c r="U451" s="458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459" t="s">
        <v>343</v>
      </c>
      <c r="C452" s="126" t="s">
        <v>347</v>
      </c>
      <c r="D452" s="108">
        <v>5</v>
      </c>
      <c r="E452" s="108"/>
      <c r="F452" s="127"/>
      <c r="G452" s="128"/>
      <c r="H452" s="467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458"/>
      <c r="P452" s="458"/>
      <c r="Q452" s="458"/>
      <c r="R452" s="458"/>
      <c r="S452" s="458"/>
      <c r="T452" s="458"/>
      <c r="U452" s="458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467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458"/>
      <c r="P453" s="458"/>
      <c r="Q453" s="458"/>
      <c r="R453" s="458"/>
      <c r="S453" s="458"/>
      <c r="T453" s="458"/>
      <c r="U453" s="458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467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458"/>
      <c r="P454" s="458"/>
      <c r="Q454" s="458"/>
      <c r="R454" s="458"/>
      <c r="S454" s="458"/>
      <c r="T454" s="458"/>
      <c r="U454" s="458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467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458"/>
      <c r="P455" s="458"/>
      <c r="Q455" s="458"/>
      <c r="R455" s="458"/>
      <c r="S455" s="458"/>
      <c r="T455" s="458"/>
      <c r="U455" s="458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467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458"/>
      <c r="P456" s="458"/>
      <c r="Q456" s="458"/>
      <c r="R456" s="458"/>
      <c r="S456" s="458"/>
      <c r="T456" s="458"/>
      <c r="U456" s="458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467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458"/>
      <c r="P457" s="458"/>
      <c r="Q457" s="458"/>
      <c r="R457" s="458"/>
      <c r="S457" s="458"/>
      <c r="T457" s="458"/>
      <c r="U457" s="458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467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458"/>
      <c r="P458" s="458"/>
      <c r="Q458" s="458"/>
      <c r="R458" s="458"/>
      <c r="S458" s="458"/>
      <c r="T458" s="458"/>
      <c r="U458" s="458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467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458"/>
      <c r="P459" s="458"/>
      <c r="Q459" s="458"/>
      <c r="R459" s="458"/>
      <c r="S459" s="458"/>
      <c r="T459" s="458"/>
      <c r="U459" s="458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467">
        <f t="shared" si="196"/>
        <v>0</v>
      </c>
      <c r="I460" s="129"/>
      <c r="J460" s="130" t="str">
        <f t="array" ref="J460">IF(ISERROR(G460/I460),"",G460/I460)</f>
        <v/>
      </c>
      <c r="K460" s="467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458"/>
      <c r="P460" s="458"/>
      <c r="Q460" s="458"/>
      <c r="R460" s="458"/>
      <c r="S460" s="458"/>
      <c r="T460" s="458"/>
      <c r="U460" s="458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hidden="1" customHeight="1">
      <c r="A461" s="630" t="s">
        <v>224</v>
      </c>
      <c r="B461" s="631"/>
      <c r="C461" s="465" t="s">
        <v>202</v>
      </c>
      <c r="D461" s="143"/>
      <c r="E461" s="143"/>
      <c r="F461" s="144"/>
      <c r="G461" s="145">
        <f>SUM(G427:G460)</f>
        <v>0</v>
      </c>
      <c r="H461" s="146">
        <f>SUM(H427:H460)</f>
        <v>0</v>
      </c>
      <c r="I461" s="146">
        <f>SUM(I427:I460)</f>
        <v>0</v>
      </c>
      <c r="J461" s="130" t="str">
        <f t="array" ref="J461">IF(ISERROR(G461/I461),"",G461/I461)</f>
        <v/>
      </c>
      <c r="K461" s="146">
        <f>SUM(K427:K460)</f>
        <v>0</v>
      </c>
      <c r="L461" s="147"/>
      <c r="M461" s="150">
        <f t="shared" ref="M461:V461" si="210">SUM(M427:M460)</f>
        <v>0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 t="str">
        <f t="shared" si="209"/>
        <v/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467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458"/>
      <c r="P462" s="458"/>
      <c r="Q462" s="458"/>
      <c r="R462" s="458"/>
      <c r="S462" s="458"/>
      <c r="T462" s="458"/>
      <c r="U462" s="458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467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458"/>
      <c r="P463" s="458"/>
      <c r="Q463" s="458"/>
      <c r="R463" s="458"/>
      <c r="S463" s="458"/>
      <c r="T463" s="458"/>
      <c r="U463" s="458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467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458"/>
      <c r="P464" s="458"/>
      <c r="Q464" s="458"/>
      <c r="R464" s="458"/>
      <c r="S464" s="458"/>
      <c r="T464" s="458"/>
      <c r="U464" s="458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467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458"/>
      <c r="P465" s="458"/>
      <c r="Q465" s="458"/>
      <c r="R465" s="458"/>
      <c r="S465" s="458"/>
      <c r="T465" s="458"/>
      <c r="U465" s="458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463" t="s">
        <v>203</v>
      </c>
      <c r="D466" s="108">
        <v>5.03</v>
      </c>
      <c r="E466" s="108"/>
      <c r="F466" s="127"/>
      <c r="G466" s="128"/>
      <c r="H466" s="467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458"/>
      <c r="P466" s="458"/>
      <c r="Q466" s="458"/>
      <c r="R466" s="458"/>
      <c r="S466" s="458"/>
      <c r="T466" s="458"/>
      <c r="U466" s="458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467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458"/>
      <c r="P467" s="458"/>
      <c r="Q467" s="458"/>
      <c r="R467" s="458"/>
      <c r="S467" s="458"/>
      <c r="T467" s="458"/>
      <c r="U467" s="458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467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458"/>
      <c r="P468" s="458"/>
      <c r="Q468" s="458"/>
      <c r="R468" s="458"/>
      <c r="S468" s="458"/>
      <c r="T468" s="458"/>
      <c r="U468" s="458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463" t="s">
        <v>228</v>
      </c>
      <c r="D469" s="108">
        <v>5.03</v>
      </c>
      <c r="E469" s="108"/>
      <c r="F469" s="127"/>
      <c r="G469" s="128"/>
      <c r="H469" s="467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458"/>
      <c r="P469" s="458"/>
      <c r="Q469" s="458"/>
      <c r="R469" s="458"/>
      <c r="S469" s="458"/>
      <c r="T469" s="458"/>
      <c r="U469" s="458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463" t="s">
        <v>212</v>
      </c>
      <c r="D470" s="108">
        <v>5.03</v>
      </c>
      <c r="E470" s="108"/>
      <c r="F470" s="127"/>
      <c r="G470" s="128"/>
      <c r="H470" s="467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458"/>
      <c r="P470" s="458"/>
      <c r="Q470" s="458"/>
      <c r="R470" s="458"/>
      <c r="S470" s="458"/>
      <c r="T470" s="458"/>
      <c r="U470" s="458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463" t="s">
        <v>203</v>
      </c>
      <c r="D471" s="108">
        <v>5.03</v>
      </c>
      <c r="E471" s="108"/>
      <c r="F471" s="127"/>
      <c r="G471" s="128"/>
      <c r="H471" s="467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458"/>
      <c r="P471" s="458"/>
      <c r="Q471" s="458"/>
      <c r="R471" s="458"/>
      <c r="S471" s="458"/>
      <c r="T471" s="458"/>
      <c r="U471" s="458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463" t="s">
        <v>186</v>
      </c>
      <c r="D472" s="108">
        <v>5.03</v>
      </c>
      <c r="E472" s="108"/>
      <c r="F472" s="127"/>
      <c r="G472" s="128"/>
      <c r="H472" s="467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458"/>
      <c r="P472" s="458"/>
      <c r="Q472" s="458"/>
      <c r="R472" s="458"/>
      <c r="S472" s="458"/>
      <c r="T472" s="458"/>
      <c r="U472" s="458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463" t="s">
        <v>228</v>
      </c>
      <c r="D473" s="108">
        <v>5.03</v>
      </c>
      <c r="E473" s="108"/>
      <c r="F473" s="127"/>
      <c r="G473" s="128"/>
      <c r="H473" s="467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458"/>
      <c r="P473" s="458"/>
      <c r="Q473" s="458"/>
      <c r="R473" s="458"/>
      <c r="S473" s="458"/>
      <c r="T473" s="458"/>
      <c r="U473" s="458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463" t="s">
        <v>199</v>
      </c>
      <c r="D474" s="108">
        <v>5.03</v>
      </c>
      <c r="E474" s="108"/>
      <c r="F474" s="127"/>
      <c r="G474" s="128"/>
      <c r="H474" s="467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458"/>
      <c r="P474" s="458"/>
      <c r="Q474" s="458"/>
      <c r="R474" s="458"/>
      <c r="S474" s="458"/>
      <c r="T474" s="458"/>
      <c r="U474" s="458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467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458"/>
      <c r="P475" s="458"/>
      <c r="Q475" s="458"/>
      <c r="R475" s="458"/>
      <c r="S475" s="458"/>
      <c r="T475" s="458"/>
      <c r="U475" s="458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467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458"/>
      <c r="P476" s="458"/>
      <c r="Q476" s="458"/>
      <c r="R476" s="458"/>
      <c r="S476" s="458"/>
      <c r="T476" s="458"/>
      <c r="U476" s="458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630" t="s">
        <v>231</v>
      </c>
      <c r="B477" s="631"/>
      <c r="C477" s="465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467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458"/>
      <c r="P478" s="458"/>
      <c r="Q478" s="458"/>
      <c r="R478" s="458"/>
      <c r="S478" s="458"/>
      <c r="T478" s="458"/>
      <c r="U478" s="458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467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458"/>
      <c r="P479" s="458"/>
      <c r="Q479" s="458"/>
      <c r="R479" s="458"/>
      <c r="S479" s="458"/>
      <c r="T479" s="458"/>
      <c r="U479" s="458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467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458"/>
      <c r="P480" s="458"/>
      <c r="Q480" s="458"/>
      <c r="R480" s="458"/>
      <c r="S480" s="458"/>
      <c r="T480" s="458"/>
      <c r="U480" s="458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467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458"/>
      <c r="P481" s="458"/>
      <c r="Q481" s="458"/>
      <c r="R481" s="458"/>
      <c r="S481" s="458"/>
      <c r="T481" s="458"/>
      <c r="U481" s="458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467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458"/>
      <c r="P482" s="458"/>
      <c r="Q482" s="458"/>
      <c r="R482" s="458"/>
      <c r="S482" s="458"/>
      <c r="T482" s="458"/>
      <c r="U482" s="458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467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458"/>
      <c r="P483" s="458"/>
      <c r="Q483" s="458"/>
      <c r="R483" s="458"/>
      <c r="S483" s="458"/>
      <c r="T483" s="458"/>
      <c r="U483" s="458"/>
      <c r="V483" s="132"/>
      <c r="W483" s="133"/>
      <c r="X483" s="132"/>
      <c r="Y483" s="132"/>
      <c r="Z483" s="132"/>
      <c r="AA483" s="132"/>
    </row>
    <row r="484" spans="1:27" ht="20.10000000000000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470"/>
      <c r="P484" s="470"/>
      <c r="Q484" s="470"/>
      <c r="R484" s="470"/>
      <c r="S484" s="470"/>
      <c r="T484" s="470"/>
      <c r="U484" s="470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467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458"/>
      <c r="P486" s="458"/>
      <c r="Q486" s="458"/>
      <c r="R486" s="458"/>
      <c r="S486" s="458"/>
      <c r="T486" s="458"/>
      <c r="U486" s="458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30" t="s">
        <v>234</v>
      </c>
      <c r="B487" s="631"/>
      <c r="C487" s="465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457"/>
      <c r="D488" s="108">
        <v>3.65</v>
      </c>
      <c r="E488" s="108"/>
      <c r="F488" s="153"/>
      <c r="G488" s="128"/>
      <c r="H488" s="467">
        <f t="shared" ref="H488:H502" si="223">D488*G488</f>
        <v>0</v>
      </c>
      <c r="I488" s="129"/>
      <c r="J488" s="130" t="str">
        <f t="array" ref="J488">IF(ISERROR(G488/I488),"",G488/I488)</f>
        <v/>
      </c>
      <c r="K488" s="467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458"/>
      <c r="P488" s="458"/>
      <c r="Q488" s="458"/>
      <c r="R488" s="458"/>
      <c r="S488" s="458"/>
      <c r="T488" s="458"/>
      <c r="U488" s="458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457"/>
      <c r="D489" s="108">
        <v>6.58</v>
      </c>
      <c r="E489" s="108"/>
      <c r="F489" s="127"/>
      <c r="G489" s="128"/>
      <c r="H489" s="467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458"/>
      <c r="P489" s="458"/>
      <c r="Q489" s="458"/>
      <c r="R489" s="458"/>
      <c r="S489" s="458"/>
      <c r="T489" s="458"/>
      <c r="U489" s="458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457"/>
      <c r="D490" s="108">
        <v>7.8</v>
      </c>
      <c r="E490" s="108"/>
      <c r="F490" s="127"/>
      <c r="G490" s="128"/>
      <c r="H490" s="467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458"/>
      <c r="P490" s="458"/>
      <c r="Q490" s="458"/>
      <c r="R490" s="458"/>
      <c r="S490" s="458"/>
      <c r="T490" s="458"/>
      <c r="U490" s="458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457"/>
      <c r="D491" s="108">
        <v>4.4000000000000004</v>
      </c>
      <c r="E491" s="108"/>
      <c r="F491" s="127"/>
      <c r="G491" s="128"/>
      <c r="H491" s="467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458"/>
      <c r="P491" s="458"/>
      <c r="Q491" s="458"/>
      <c r="R491" s="458"/>
      <c r="S491" s="458"/>
      <c r="T491" s="458"/>
      <c r="U491" s="458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467">
        <f t="shared" si="223"/>
        <v>0</v>
      </c>
      <c r="I492" s="129"/>
      <c r="J492" s="130"/>
      <c r="K492" s="131"/>
      <c r="L492" s="129"/>
      <c r="M492" s="109"/>
      <c r="N492" s="130"/>
      <c r="O492" s="458"/>
      <c r="P492" s="458"/>
      <c r="Q492" s="458"/>
      <c r="R492" s="458"/>
      <c r="S492" s="458"/>
      <c r="T492" s="458"/>
      <c r="U492" s="458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457"/>
      <c r="D493" s="108"/>
      <c r="E493" s="108"/>
      <c r="F493" s="127"/>
      <c r="G493" s="128"/>
      <c r="H493" s="467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458"/>
      <c r="P493" s="458"/>
      <c r="Q493" s="458"/>
      <c r="R493" s="458"/>
      <c r="S493" s="458"/>
      <c r="T493" s="458"/>
      <c r="U493" s="458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457" t="s">
        <v>239</v>
      </c>
      <c r="C494" s="457" t="s">
        <v>179</v>
      </c>
      <c r="D494" s="108">
        <v>6.04</v>
      </c>
      <c r="E494" s="108"/>
      <c r="F494" s="127"/>
      <c r="G494" s="128"/>
      <c r="H494" s="467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458"/>
      <c r="P494" s="458"/>
      <c r="Q494" s="458"/>
      <c r="R494" s="458"/>
      <c r="S494" s="458"/>
      <c r="T494" s="458"/>
      <c r="U494" s="458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457" t="s">
        <v>239</v>
      </c>
      <c r="C495" s="457" t="s">
        <v>186</v>
      </c>
      <c r="D495" s="108">
        <v>6.04</v>
      </c>
      <c r="E495" s="108"/>
      <c r="F495" s="127"/>
      <c r="G495" s="128"/>
      <c r="H495" s="467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458"/>
      <c r="P495" s="458"/>
      <c r="Q495" s="458"/>
      <c r="R495" s="458"/>
      <c r="S495" s="458"/>
      <c r="T495" s="458"/>
      <c r="U495" s="458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457" t="s">
        <v>443</v>
      </c>
      <c r="C496" s="457" t="s">
        <v>179</v>
      </c>
      <c r="D496" s="108"/>
      <c r="E496" s="108"/>
      <c r="F496" s="127"/>
      <c r="G496" s="128"/>
      <c r="H496" s="467">
        <f t="shared" si="223"/>
        <v>0</v>
      </c>
      <c r="I496" s="129"/>
      <c r="J496" s="130"/>
      <c r="K496" s="131"/>
      <c r="L496" s="129"/>
      <c r="M496" s="109"/>
      <c r="N496" s="130"/>
      <c r="O496" s="458"/>
      <c r="P496" s="458"/>
      <c r="Q496" s="458"/>
      <c r="R496" s="458"/>
      <c r="S496" s="458"/>
      <c r="T496" s="458"/>
      <c r="U496" s="458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457" t="s">
        <v>443</v>
      </c>
      <c r="C497" s="457" t="s">
        <v>186</v>
      </c>
      <c r="D497" s="108"/>
      <c r="E497" s="108"/>
      <c r="F497" s="127"/>
      <c r="G497" s="128"/>
      <c r="H497" s="467">
        <f t="shared" si="223"/>
        <v>0</v>
      </c>
      <c r="I497" s="129"/>
      <c r="J497" s="130"/>
      <c r="K497" s="131"/>
      <c r="L497" s="129"/>
      <c r="M497" s="109"/>
      <c r="N497" s="130"/>
      <c r="O497" s="458"/>
      <c r="P497" s="458"/>
      <c r="Q497" s="458"/>
      <c r="R497" s="458"/>
      <c r="S497" s="458"/>
      <c r="T497" s="458"/>
      <c r="U497" s="458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459" t="s">
        <v>240</v>
      </c>
      <c r="C498" s="126"/>
      <c r="D498" s="108">
        <v>7.3</v>
      </c>
      <c r="E498" s="108"/>
      <c r="F498" s="127"/>
      <c r="G498" s="128"/>
      <c r="H498" s="467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458"/>
      <c r="P498" s="458"/>
      <c r="Q498" s="458"/>
      <c r="R498" s="458"/>
      <c r="S498" s="458"/>
      <c r="T498" s="458"/>
      <c r="U498" s="458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459" t="s">
        <v>241</v>
      </c>
      <c r="C499" s="126"/>
      <c r="D499" s="108">
        <f>78*120/1000</f>
        <v>9.36</v>
      </c>
      <c r="E499" s="108"/>
      <c r="F499" s="127"/>
      <c r="G499" s="128"/>
      <c r="H499" s="467">
        <f t="shared" si="223"/>
        <v>0</v>
      </c>
      <c r="I499" s="129"/>
      <c r="J499" s="130"/>
      <c r="K499" s="131"/>
      <c r="L499" s="129"/>
      <c r="M499" s="109"/>
      <c r="N499" s="130"/>
      <c r="O499" s="458"/>
      <c r="P499" s="458"/>
      <c r="Q499" s="458"/>
      <c r="R499" s="458"/>
      <c r="S499" s="458"/>
      <c r="T499" s="458"/>
      <c r="U499" s="458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459" t="s">
        <v>242</v>
      </c>
      <c r="C500" s="126"/>
      <c r="D500" s="108">
        <v>4.5</v>
      </c>
      <c r="E500" s="108"/>
      <c r="F500" s="127"/>
      <c r="G500" s="128"/>
      <c r="H500" s="467">
        <f t="shared" si="223"/>
        <v>0</v>
      </c>
      <c r="I500" s="129"/>
      <c r="J500" s="130"/>
      <c r="K500" s="131"/>
      <c r="L500" s="129"/>
      <c r="M500" s="109"/>
      <c r="N500" s="130"/>
      <c r="O500" s="458"/>
      <c r="P500" s="458"/>
      <c r="Q500" s="458"/>
      <c r="R500" s="458"/>
      <c r="S500" s="458"/>
      <c r="T500" s="458"/>
      <c r="U500" s="458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459" t="s">
        <v>243</v>
      </c>
      <c r="C501" s="126"/>
      <c r="D501" s="108">
        <v>4.5</v>
      </c>
      <c r="E501" s="108"/>
      <c r="F501" s="127"/>
      <c r="G501" s="128"/>
      <c r="H501" s="467">
        <f t="shared" si="223"/>
        <v>0</v>
      </c>
      <c r="I501" s="129"/>
      <c r="J501" s="130"/>
      <c r="K501" s="131"/>
      <c r="L501" s="129"/>
      <c r="M501" s="109"/>
      <c r="N501" s="130"/>
      <c r="O501" s="458"/>
      <c r="P501" s="458"/>
      <c r="Q501" s="458"/>
      <c r="R501" s="458"/>
      <c r="S501" s="458"/>
      <c r="T501" s="458"/>
      <c r="U501" s="458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459"/>
      <c r="C502" s="126"/>
      <c r="D502" s="108"/>
      <c r="E502" s="108"/>
      <c r="F502" s="127"/>
      <c r="G502" s="128"/>
      <c r="H502" s="467">
        <f t="shared" si="223"/>
        <v>0</v>
      </c>
      <c r="I502" s="129"/>
      <c r="J502" s="130"/>
      <c r="K502" s="131"/>
      <c r="L502" s="129"/>
      <c r="M502" s="109"/>
      <c r="N502" s="130"/>
      <c r="O502" s="458"/>
      <c r="P502" s="458"/>
      <c r="Q502" s="458"/>
      <c r="R502" s="458"/>
      <c r="S502" s="458"/>
      <c r="T502" s="458"/>
      <c r="U502" s="458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30" t="s">
        <v>244</v>
      </c>
      <c r="B503" s="631"/>
      <c r="C503" s="465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632" t="s">
        <v>246</v>
      </c>
      <c r="B504" s="633"/>
      <c r="C504" s="633"/>
      <c r="D504" s="633"/>
      <c r="E504" s="633"/>
      <c r="F504" s="634"/>
      <c r="G504" s="154">
        <f>SUM(G368,G426,G461,G477,G487,G503)</f>
        <v>0</v>
      </c>
      <c r="H504" s="154">
        <f>SUM(H368,H426,H461,H477,H487,H503)</f>
        <v>0</v>
      </c>
      <c r="I504" s="154">
        <f>SUM(I368,I426,I461,I477,I487,I503)</f>
        <v>0</v>
      </c>
      <c r="J504" s="155" t="str">
        <f t="array" ref="J504">IF(ISERROR(G504/I504),"",G504/I504)</f>
        <v/>
      </c>
      <c r="K504" s="154">
        <f>SUM(K368,K426,K461,K477,K487,K503)</f>
        <v>0</v>
      </c>
      <c r="L504" s="155" t="str">
        <f>IF(ISERROR(G504/K504),"",G504/K504)</f>
        <v/>
      </c>
      <c r="M504" s="154">
        <f t="shared" ref="M504:V504" si="236">SUM(M368,M426,M461,M477,M487,M503)</f>
        <v>0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 t="str">
        <f t="shared" ref="W504" si="237">IF(ISERROR(V504/G504),"",V504/G504)</f>
        <v/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35" t="s">
        <v>476</v>
      </c>
      <c r="B505" s="464" t="s">
        <v>247</v>
      </c>
      <c r="C505" s="638" t="s">
        <v>248</v>
      </c>
      <c r="D505" s="639"/>
      <c r="E505" s="640" t="s">
        <v>249</v>
      </c>
      <c r="F505" s="640"/>
      <c r="G505" s="643" t="s">
        <v>250</v>
      </c>
      <c r="H505" s="643"/>
      <c r="I505" s="640" t="s">
        <v>251</v>
      </c>
      <c r="J505" s="640"/>
      <c r="K505" s="640" t="s">
        <v>252</v>
      </c>
      <c r="L505" s="640"/>
      <c r="M505" s="640" t="s">
        <v>253</v>
      </c>
      <c r="N505" s="640"/>
      <c r="O505" s="640" t="s">
        <v>254</v>
      </c>
      <c r="P505" s="643" t="s">
        <v>255</v>
      </c>
      <c r="Q505" s="643"/>
      <c r="R505" s="643" t="s">
        <v>252</v>
      </c>
      <c r="S505" s="643"/>
      <c r="T505" s="643" t="s">
        <v>256</v>
      </c>
      <c r="U505" s="643"/>
      <c r="V505" s="643" t="s">
        <v>257</v>
      </c>
      <c r="W505" s="643"/>
      <c r="X505" s="643" t="s">
        <v>252</v>
      </c>
      <c r="Y505" s="643"/>
      <c r="Z505" s="643" t="s">
        <v>256</v>
      </c>
      <c r="AA505" s="643"/>
    </row>
    <row r="506" spans="1:27" ht="20.100000000000001" customHeight="1">
      <c r="A506" s="636"/>
      <c r="B506" s="464" t="s">
        <v>258</v>
      </c>
      <c r="C506" s="638">
        <v>0</v>
      </c>
      <c r="D506" s="639"/>
      <c r="E506" s="642">
        <f>C506*11</f>
        <v>0</v>
      </c>
      <c r="F506" s="642"/>
      <c r="G506" s="643">
        <v>0</v>
      </c>
      <c r="H506" s="643"/>
      <c r="I506" s="642">
        <f>G506*11</f>
        <v>0</v>
      </c>
      <c r="J506" s="642"/>
      <c r="K506" s="642">
        <f>E506-I506</f>
        <v>0</v>
      </c>
      <c r="L506" s="642"/>
      <c r="M506" s="644" t="str">
        <f>IF(ISERROR(K506/E506),"",K506/E506)</f>
        <v/>
      </c>
      <c r="N506" s="644"/>
      <c r="O506" s="640"/>
      <c r="P506" s="643" t="s">
        <v>201</v>
      </c>
      <c r="Q506" s="643"/>
      <c r="R506" s="645">
        <f>SUM(O368:U368)</f>
        <v>0</v>
      </c>
      <c r="S506" s="645"/>
      <c r="T506" s="646" t="str">
        <f t="array" ref="T506">IF(ISERROR(R506/R513),"",R506/R513)</f>
        <v/>
      </c>
      <c r="U506" s="646"/>
      <c r="V506" s="643" t="s">
        <v>259</v>
      </c>
      <c r="W506" s="643"/>
      <c r="X506" s="647">
        <f>SUM(O368,O426,O461,O477,O487,O503)</f>
        <v>0</v>
      </c>
      <c r="Y506" s="647"/>
      <c r="Z506" s="646" t="str">
        <f t="array" ref="Z506">IF(ISERROR(X506/X513),"",X506/X513)</f>
        <v/>
      </c>
      <c r="AA506" s="646"/>
    </row>
    <row r="507" spans="1:27" ht="20.100000000000001" customHeight="1">
      <c r="A507" s="636"/>
      <c r="B507" s="464" t="s">
        <v>260</v>
      </c>
      <c r="C507" s="638">
        <v>0</v>
      </c>
      <c r="D507" s="639"/>
      <c r="E507" s="642">
        <f>C507*11</f>
        <v>0</v>
      </c>
      <c r="F507" s="642"/>
      <c r="G507" s="643">
        <v>0</v>
      </c>
      <c r="H507" s="643"/>
      <c r="I507" s="642">
        <f>G507*11</f>
        <v>0</v>
      </c>
      <c r="J507" s="642"/>
      <c r="K507" s="642">
        <f>E507-I507</f>
        <v>0</v>
      </c>
      <c r="L507" s="642"/>
      <c r="M507" s="644" t="str">
        <f>IF(ISERROR(K507/E507),"",K507/E507)</f>
        <v/>
      </c>
      <c r="N507" s="644"/>
      <c r="O507" s="640"/>
      <c r="P507" s="643" t="s">
        <v>216</v>
      </c>
      <c r="Q507" s="643"/>
      <c r="R507" s="645">
        <f>SUM(O426:U426)</f>
        <v>0</v>
      </c>
      <c r="S507" s="645"/>
      <c r="T507" s="646" t="str">
        <f>IF(ISERROR(R507/R513),"",R507/R513)</f>
        <v/>
      </c>
      <c r="U507" s="646"/>
      <c r="V507" s="643" t="s">
        <v>261</v>
      </c>
      <c r="W507" s="643"/>
      <c r="X507" s="647">
        <f>SUM(O369,O427,O462,O478,O488,O504)</f>
        <v>0</v>
      </c>
      <c r="Y507" s="647"/>
      <c r="Z507" s="646" t="str">
        <f>IF(ISERROR(X507/X513),"",X507/X513)</f>
        <v/>
      </c>
      <c r="AA507" s="646"/>
    </row>
    <row r="508" spans="1:27" ht="20.100000000000001" customHeight="1">
      <c r="A508" s="636"/>
      <c r="B508" s="464" t="s">
        <v>262</v>
      </c>
      <c r="C508" s="638">
        <v>0</v>
      </c>
      <c r="D508" s="639"/>
      <c r="E508" s="642">
        <f>C508*11</f>
        <v>0</v>
      </c>
      <c r="F508" s="642"/>
      <c r="G508" s="643">
        <v>0</v>
      </c>
      <c r="H508" s="643"/>
      <c r="I508" s="642">
        <f>G508*11</f>
        <v>0</v>
      </c>
      <c r="J508" s="642"/>
      <c r="K508" s="642">
        <f>E508-I508</f>
        <v>0</v>
      </c>
      <c r="L508" s="642"/>
      <c r="M508" s="644" t="str">
        <f>IF(ISERROR(K508/E508),"",K508/E508)</f>
        <v/>
      </c>
      <c r="N508" s="644"/>
      <c r="O508" s="640"/>
      <c r="P508" s="643" t="s">
        <v>224</v>
      </c>
      <c r="Q508" s="643"/>
      <c r="R508" s="645">
        <f>SUM(O461:U461)</f>
        <v>0</v>
      </c>
      <c r="S508" s="645"/>
      <c r="T508" s="646" t="str">
        <f>IF(ISERROR(R508/R513),"",R508/R513)</f>
        <v/>
      </c>
      <c r="U508" s="646"/>
      <c r="V508" s="643" t="s">
        <v>263</v>
      </c>
      <c r="W508" s="643"/>
      <c r="X508" s="647">
        <f>SUM(O371,O428,O463,O479,O489,O505)</f>
        <v>0</v>
      </c>
      <c r="Y508" s="647"/>
      <c r="Z508" s="646" t="str">
        <f>IF(ISERROR(X508/X513),"",X508/X513)</f>
        <v/>
      </c>
      <c r="AA508" s="646"/>
    </row>
    <row r="509" spans="1:27" ht="20.100000000000001" customHeight="1">
      <c r="A509" s="636"/>
      <c r="B509" s="464" t="s">
        <v>264</v>
      </c>
      <c r="C509" s="638">
        <v>1</v>
      </c>
      <c r="D509" s="639"/>
      <c r="E509" s="642">
        <f>C509*11</f>
        <v>11</v>
      </c>
      <c r="F509" s="642"/>
      <c r="G509" s="643">
        <v>1</v>
      </c>
      <c r="H509" s="643"/>
      <c r="I509" s="642">
        <f>G509*11</f>
        <v>11</v>
      </c>
      <c r="J509" s="642"/>
      <c r="K509" s="642">
        <f>E509-I509</f>
        <v>0</v>
      </c>
      <c r="L509" s="642"/>
      <c r="M509" s="644">
        <f>IF(ISERROR(K509/E509),"",K509/E509)</f>
        <v>0</v>
      </c>
      <c r="N509" s="644"/>
      <c r="O509" s="640"/>
      <c r="P509" s="643" t="s">
        <v>231</v>
      </c>
      <c r="Q509" s="643"/>
      <c r="R509" s="645">
        <f>SUM(O477:U477)</f>
        <v>0</v>
      </c>
      <c r="S509" s="645"/>
      <c r="T509" s="646" t="str">
        <f>IF(ISERROR(R509/R513),"",R509/R513)</f>
        <v/>
      </c>
      <c r="U509" s="646"/>
      <c r="V509" s="643" t="s">
        <v>265</v>
      </c>
      <c r="W509" s="643"/>
      <c r="X509" s="647">
        <f>SUM(O372,O429,O464,O480,O490,O506)</f>
        <v>0</v>
      </c>
      <c r="Y509" s="647"/>
      <c r="Z509" s="646" t="str">
        <f>IF(ISERROR(X509/X513),"",X509/X513)</f>
        <v/>
      </c>
      <c r="AA509" s="646"/>
    </row>
    <row r="510" spans="1:27" ht="20.100000000000001" customHeight="1">
      <c r="A510" s="637"/>
      <c r="B510" s="464" t="s">
        <v>266</v>
      </c>
      <c r="C510" s="648">
        <f>SUM(C506:D509)</f>
        <v>1</v>
      </c>
      <c r="D510" s="649"/>
      <c r="E510" s="642">
        <f>SUM(E506:F509)</f>
        <v>11</v>
      </c>
      <c r="F510" s="642"/>
      <c r="G510" s="643">
        <f>SUM(G506:H509)</f>
        <v>1</v>
      </c>
      <c r="H510" s="643"/>
      <c r="I510" s="642">
        <f>SUM(I506:J509)</f>
        <v>11</v>
      </c>
      <c r="J510" s="642"/>
      <c r="K510" s="642">
        <f>SUM(K506:L509)</f>
        <v>0</v>
      </c>
      <c r="L510" s="642"/>
      <c r="M510" s="644">
        <f>IF(ISERROR(K510/E510),"",K510/E510)</f>
        <v>0</v>
      </c>
      <c r="N510" s="644"/>
      <c r="O510" s="640"/>
      <c r="P510" s="643" t="s">
        <v>234</v>
      </c>
      <c r="Q510" s="643"/>
      <c r="R510" s="645">
        <f>SUM(O487:U487)</f>
        <v>0</v>
      </c>
      <c r="S510" s="645"/>
      <c r="T510" s="646" t="str">
        <f>IF(ISERROR(R510/R513),"",R510/R513)</f>
        <v/>
      </c>
      <c r="U510" s="646"/>
      <c r="V510" s="643" t="s">
        <v>267</v>
      </c>
      <c r="W510" s="643"/>
      <c r="X510" s="647">
        <f>SUM(O373,O430,O465,O481,O491,O507)</f>
        <v>0</v>
      </c>
      <c r="Y510" s="647"/>
      <c r="Z510" s="646" t="str">
        <f>IF(ISERROR(X510/X513),"",X510/X513)</f>
        <v/>
      </c>
      <c r="AA510" s="646"/>
    </row>
    <row r="511" spans="1:27" ht="20.100000000000001" customHeight="1">
      <c r="A511" s="307" t="s">
        <v>477</v>
      </c>
      <c r="B511" s="464">
        <f>G504</f>
        <v>0</v>
      </c>
      <c r="C511" s="650" t="s">
        <v>269</v>
      </c>
      <c r="D511" s="651"/>
      <c r="E511" s="643">
        <f>H504</f>
        <v>0</v>
      </c>
      <c r="F511" s="643"/>
      <c r="G511" s="643" t="s">
        <v>270</v>
      </c>
      <c r="H511" s="643"/>
      <c r="I511" s="652" t="str">
        <f>L504</f>
        <v/>
      </c>
      <c r="J511" s="652"/>
      <c r="K511" s="640" t="s">
        <v>271</v>
      </c>
      <c r="L511" s="640"/>
      <c r="M511" s="652" t="str">
        <f>J504</f>
        <v/>
      </c>
      <c r="N511" s="652"/>
      <c r="O511" s="640"/>
      <c r="P511" s="643" t="s">
        <v>244</v>
      </c>
      <c r="Q511" s="643"/>
      <c r="R511" s="645">
        <f>SUM(O503:U503)</f>
        <v>0</v>
      </c>
      <c r="S511" s="645"/>
      <c r="T511" s="646" t="str">
        <f>IF(ISERROR(R511/R513),"",R511/R513)</f>
        <v/>
      </c>
      <c r="U511" s="646"/>
      <c r="V511" s="643" t="s">
        <v>272</v>
      </c>
      <c r="W511" s="643"/>
      <c r="X511" s="647">
        <f>SUM(O374,O431,O466,O482,O492,O508)</f>
        <v>0</v>
      </c>
      <c r="Y511" s="647"/>
      <c r="Z511" s="646" t="str">
        <f>IF(ISERROR(X511/X513),"",X511/X513)</f>
        <v/>
      </c>
      <c r="AA511" s="646"/>
    </row>
    <row r="512" spans="1:27" ht="20.100000000000001" customHeight="1">
      <c r="A512" s="308" t="s">
        <v>478</v>
      </c>
      <c r="B512" s="464">
        <f>I504+C510</f>
        <v>1</v>
      </c>
      <c r="C512" s="653" t="s">
        <v>251</v>
      </c>
      <c r="D512" s="654"/>
      <c r="E512" s="655">
        <f>K504+I510</f>
        <v>11</v>
      </c>
      <c r="F512" s="655"/>
      <c r="G512" s="643" t="s">
        <v>274</v>
      </c>
      <c r="H512" s="643"/>
      <c r="I512" s="652">
        <f>B512-E512</f>
        <v>-10</v>
      </c>
      <c r="J512" s="652"/>
      <c r="K512" s="640" t="s">
        <v>275</v>
      </c>
      <c r="L512" s="640"/>
      <c r="M512" s="644">
        <f>IF(ISERROR(I512/E512),"",I512/E512)</f>
        <v>-0.90909090909090906</v>
      </c>
      <c r="N512" s="644"/>
      <c r="O512" s="640"/>
      <c r="P512" s="643" t="s">
        <v>245</v>
      </c>
      <c r="Q512" s="643"/>
      <c r="R512" s="645"/>
      <c r="S512" s="645"/>
      <c r="T512" s="646" t="str">
        <f>IF(ISERROR(R512/R513),"",R512/R513)</f>
        <v/>
      </c>
      <c r="U512" s="646"/>
      <c r="V512" s="643" t="s">
        <v>264</v>
      </c>
      <c r="W512" s="643"/>
      <c r="X512" s="647">
        <f>SUM(O375,O432,O467,O486,O493,O509)</f>
        <v>0</v>
      </c>
      <c r="Y512" s="647"/>
      <c r="Z512" s="646" t="str">
        <f>IF(ISERROR(X512/X513),"",X512/X513)</f>
        <v/>
      </c>
      <c r="AA512" s="646"/>
    </row>
    <row r="513" spans="1:27" ht="20.100000000000001" customHeight="1">
      <c r="A513" s="308" t="s">
        <v>479</v>
      </c>
      <c r="B513" s="464">
        <f>N504</f>
        <v>0</v>
      </c>
      <c r="C513" s="653" t="s">
        <v>277</v>
      </c>
      <c r="D513" s="654"/>
      <c r="E513" s="646">
        <f>IF(ISERROR(B513/B512),"",B513/B512)</f>
        <v>0</v>
      </c>
      <c r="F513" s="646"/>
      <c r="G513" s="643" t="s">
        <v>278</v>
      </c>
      <c r="H513" s="643"/>
      <c r="I513" s="640">
        <f>V504</f>
        <v>0</v>
      </c>
      <c r="J513" s="640"/>
      <c r="K513" s="640" t="s">
        <v>279</v>
      </c>
      <c r="L513" s="640"/>
      <c r="M513" s="644" t="str">
        <f t="array" ref="M513">IF(ISERROR(I513/B511),"",I513/B511)</f>
        <v/>
      </c>
      <c r="N513" s="644"/>
      <c r="O513" s="640"/>
      <c r="P513" s="643" t="s">
        <v>266</v>
      </c>
      <c r="Q513" s="643"/>
      <c r="R513" s="645">
        <f>SUM(R506:S512)</f>
        <v>0</v>
      </c>
      <c r="S513" s="645"/>
      <c r="T513" s="646"/>
      <c r="U513" s="646"/>
      <c r="V513" s="643" t="s">
        <v>266</v>
      </c>
      <c r="W513" s="643"/>
      <c r="X513" s="647">
        <f>SUM(X506:Y512)</f>
        <v>0</v>
      </c>
      <c r="Y513" s="647"/>
      <c r="Z513" s="646"/>
      <c r="AA513" s="646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682" t="str">
        <f>IF(ISERROR(#REF!/#REF!),"",#REF!/#REF!)</f>
        <v/>
      </c>
      <c r="H514" s="682"/>
      <c r="I514" s="682"/>
      <c r="J514" s="125"/>
      <c r="K514" s="160"/>
      <c r="L514" s="122"/>
      <c r="M514" s="122"/>
      <c r="N514" s="682" t="str">
        <f>IF(ISERROR(G514/#REF!),"",G514/#REF!)</f>
        <v/>
      </c>
      <c r="O514" s="682"/>
      <c r="P514" s="682"/>
      <c r="Q514" s="682"/>
      <c r="R514" s="682"/>
      <c r="S514" s="466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685" t="s">
        <v>268</v>
      </c>
      <c r="B516" s="685"/>
      <c r="C516" s="638">
        <f>SUM(B170,B340,B511)</f>
        <v>7491</v>
      </c>
      <c r="D516" s="639"/>
      <c r="E516" s="685" t="s">
        <v>269</v>
      </c>
      <c r="F516" s="685"/>
      <c r="G516" s="655">
        <f>SUM(E170,E340,E511)</f>
        <v>37708.18</v>
      </c>
      <c r="H516" s="655"/>
      <c r="I516" s="643" t="s">
        <v>270</v>
      </c>
      <c r="J516" s="685"/>
      <c r="K516" s="638">
        <f>IF(ISERROR(C516/G517),"",C516/G517)</f>
        <v>14.954143468863297</v>
      </c>
      <c r="L516" s="639"/>
      <c r="M516" s="643" t="s">
        <v>271</v>
      </c>
      <c r="N516" s="643"/>
      <c r="O516" s="680">
        <f t="array" ref="O516">IF(ISERROR(C516/C517),"",C516/C517)</f>
        <v>18.16</v>
      </c>
      <c r="P516" s="681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643" t="s">
        <v>273</v>
      </c>
      <c r="B517" s="643"/>
      <c r="C517" s="638">
        <f>SUM(B171,B341,B512)</f>
        <v>412.5</v>
      </c>
      <c r="D517" s="639"/>
      <c r="E517" s="643" t="s">
        <v>251</v>
      </c>
      <c r="F517" s="643"/>
      <c r="G517" s="655">
        <f>SUM(E171,E341,E512)</f>
        <v>500.93139841792691</v>
      </c>
      <c r="H517" s="655"/>
      <c r="I517" s="653" t="s">
        <v>274</v>
      </c>
      <c r="J517" s="654"/>
      <c r="K517" s="650">
        <f>C517-G517</f>
        <v>-88.431398417926914</v>
      </c>
      <c r="L517" s="651"/>
      <c r="M517" s="650" t="s">
        <v>275</v>
      </c>
      <c r="N517" s="651"/>
      <c r="O517" s="683">
        <f>IF(ISERROR(K517/C517),"",K517/C517)</f>
        <v>-0.21437914767982283</v>
      </c>
      <c r="P517" s="684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653" t="s">
        <v>276</v>
      </c>
      <c r="B518" s="654"/>
      <c r="C518" s="638">
        <f>SUM(B172,B342,B513)</f>
        <v>0</v>
      </c>
      <c r="D518" s="639"/>
      <c r="E518" s="653" t="s">
        <v>277</v>
      </c>
      <c r="F518" s="654"/>
      <c r="G518" s="646">
        <f>IF(ISERROR(C518/C517),"",C518/C517)</f>
        <v>0</v>
      </c>
      <c r="H518" s="646"/>
      <c r="I518" s="643" t="s">
        <v>278</v>
      </c>
      <c r="J518" s="685"/>
      <c r="K518" s="655">
        <f>SUM(I172,I342,I513)</f>
        <v>0</v>
      </c>
      <c r="L518" s="655"/>
      <c r="M518" s="685" t="s">
        <v>279</v>
      </c>
      <c r="N518" s="685"/>
      <c r="O518" s="683">
        <f t="array" ref="O518">IF(ISERROR(K518/C516),"",K518/C516)</f>
        <v>0</v>
      </c>
      <c r="P518" s="684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466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653" t="s">
        <v>298</v>
      </c>
      <c r="B520" s="654"/>
      <c r="C520" s="653" t="s">
        <v>299</v>
      </c>
      <c r="D520" s="654"/>
      <c r="E520" s="653" t="s">
        <v>256</v>
      </c>
      <c r="F520" s="654"/>
      <c r="G520" s="686" t="s">
        <v>254</v>
      </c>
      <c r="H520" s="687"/>
      <c r="I520" s="653" t="s">
        <v>255</v>
      </c>
      <c r="J520" s="651"/>
      <c r="K520" s="653" t="s">
        <v>300</v>
      </c>
      <c r="L520" s="654"/>
      <c r="M520" s="653" t="s">
        <v>256</v>
      </c>
      <c r="N520" s="654"/>
      <c r="O520" s="643" t="s">
        <v>257</v>
      </c>
      <c r="P520" s="643"/>
      <c r="Q520" s="653" t="s">
        <v>300</v>
      </c>
      <c r="R520" s="654"/>
      <c r="S520" s="653" t="s">
        <v>256</v>
      </c>
      <c r="T520" s="654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692" t="s">
        <v>201</v>
      </c>
      <c r="B521" s="654"/>
      <c r="C521" s="653">
        <f>SUM(G28,G198,G368)</f>
        <v>3124</v>
      </c>
      <c r="D521" s="654"/>
      <c r="E521" s="693">
        <f>IF(ISERROR(C521/C527),"",C521/C527)</f>
        <v>0.41703377386196772</v>
      </c>
      <c r="F521" s="694"/>
      <c r="G521" s="688"/>
      <c r="H521" s="689"/>
      <c r="I521" s="695" t="s">
        <v>301</v>
      </c>
      <c r="J521" s="696"/>
      <c r="K521" s="650">
        <f t="shared" ref="K521:K526" si="238">SUM(R165,U335,U506)</f>
        <v>0</v>
      </c>
      <c r="L521" s="651"/>
      <c r="M521" s="693" t="str">
        <f t="array" ref="M521">IF(ISERROR(K521/K527),"",K521/K527)</f>
        <v/>
      </c>
      <c r="N521" s="694"/>
      <c r="O521" s="643" t="s">
        <v>259</v>
      </c>
      <c r="P521" s="643"/>
      <c r="Q521" s="680">
        <f t="shared" ref="Q521:Q526" si="239">SUM(X165,AA335,AA506)</f>
        <v>0</v>
      </c>
      <c r="R521" s="681"/>
      <c r="S521" s="693" t="str">
        <f t="array" ref="S521">IF(ISERROR(Q521/Q527),"",Q521/Q527)</f>
        <v/>
      </c>
      <c r="T521" s="694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692" t="s">
        <v>216</v>
      </c>
      <c r="B522" s="654"/>
      <c r="C522" s="653">
        <f>SUM(G86,G256,G426)</f>
        <v>3505</v>
      </c>
      <c r="D522" s="654"/>
      <c r="E522" s="693">
        <f>IF(ISERROR(C522/C527),"",C522/C527)</f>
        <v>0.46789480710185555</v>
      </c>
      <c r="F522" s="694"/>
      <c r="G522" s="688"/>
      <c r="H522" s="689"/>
      <c r="I522" s="695" t="s">
        <v>302</v>
      </c>
      <c r="J522" s="696"/>
      <c r="K522" s="650">
        <f t="shared" si="238"/>
        <v>0</v>
      </c>
      <c r="L522" s="651"/>
      <c r="M522" s="693" t="str">
        <f>IF(ISERROR(K522/K527),"",K522/K527)</f>
        <v/>
      </c>
      <c r="N522" s="694"/>
      <c r="O522" s="643" t="s">
        <v>261</v>
      </c>
      <c r="P522" s="643"/>
      <c r="Q522" s="680">
        <f t="shared" si="239"/>
        <v>0</v>
      </c>
      <c r="R522" s="681"/>
      <c r="S522" s="693" t="str">
        <f>IF(ISERROR(Q522/Q527),"",Q522/Q527)</f>
        <v/>
      </c>
      <c r="T522" s="694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692" t="s">
        <v>224</v>
      </c>
      <c r="B523" s="654"/>
      <c r="C523" s="653">
        <f>SUM(G121,G291,G461)</f>
        <v>862</v>
      </c>
      <c r="D523" s="654"/>
      <c r="E523" s="693">
        <f>IF(ISERROR(C523/C527),"",C523/C527)</f>
        <v>0.11507141903617675</v>
      </c>
      <c r="F523" s="694"/>
      <c r="G523" s="688"/>
      <c r="H523" s="689"/>
      <c r="I523" s="695" t="s">
        <v>303</v>
      </c>
      <c r="J523" s="696"/>
      <c r="K523" s="650">
        <f t="shared" si="238"/>
        <v>0</v>
      </c>
      <c r="L523" s="651"/>
      <c r="M523" s="693" t="str">
        <f>IF(ISERROR(K523/K527),"",K523/K527)</f>
        <v/>
      </c>
      <c r="N523" s="694"/>
      <c r="O523" s="643" t="s">
        <v>263</v>
      </c>
      <c r="P523" s="643"/>
      <c r="Q523" s="680">
        <f t="shared" si="239"/>
        <v>0</v>
      </c>
      <c r="R523" s="681"/>
      <c r="S523" s="693" t="str">
        <f>IF(ISERROR(Q523/Q527),"",Q523/Q527)</f>
        <v/>
      </c>
      <c r="T523" s="694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692" t="s">
        <v>231</v>
      </c>
      <c r="B524" s="654"/>
      <c r="C524" s="653">
        <f>SUM(G137,G307,G477)</f>
        <v>0</v>
      </c>
      <c r="D524" s="654"/>
      <c r="E524" s="693">
        <f>IF(ISERROR(C524/C527),"",C524/C527)</f>
        <v>0</v>
      </c>
      <c r="F524" s="694"/>
      <c r="G524" s="688"/>
      <c r="H524" s="689"/>
      <c r="I524" s="695" t="s">
        <v>304</v>
      </c>
      <c r="J524" s="696"/>
      <c r="K524" s="650">
        <f t="shared" si="238"/>
        <v>0</v>
      </c>
      <c r="L524" s="651"/>
      <c r="M524" s="693" t="str">
        <f>IF(ISERROR(K524/K527),"",K524/K527)</f>
        <v/>
      </c>
      <c r="N524" s="694"/>
      <c r="O524" s="643" t="s">
        <v>305</v>
      </c>
      <c r="P524" s="643"/>
      <c r="Q524" s="680">
        <f t="shared" si="239"/>
        <v>0</v>
      </c>
      <c r="R524" s="681"/>
      <c r="S524" s="693" t="str">
        <f>IF(ISERROR(Q524/Q527),"",Q524/Q527)</f>
        <v/>
      </c>
      <c r="T524" s="694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92" t="s">
        <v>234</v>
      </c>
      <c r="B525" s="654"/>
      <c r="C525" s="653">
        <f>SUM(G147,G317,G487)</f>
        <v>0</v>
      </c>
      <c r="D525" s="654"/>
      <c r="E525" s="693">
        <f>IF(ISERROR(C525/C527),"",C525/C527)</f>
        <v>0</v>
      </c>
      <c r="F525" s="694"/>
      <c r="G525" s="688"/>
      <c r="H525" s="689"/>
      <c r="I525" s="695" t="s">
        <v>306</v>
      </c>
      <c r="J525" s="696"/>
      <c r="K525" s="650">
        <f t="shared" si="238"/>
        <v>0</v>
      </c>
      <c r="L525" s="651"/>
      <c r="M525" s="693" t="str">
        <f>IF(ISERROR(K525/K527),"",K525/K527)</f>
        <v/>
      </c>
      <c r="N525" s="694"/>
      <c r="O525" s="643" t="s">
        <v>267</v>
      </c>
      <c r="P525" s="643"/>
      <c r="Q525" s="680">
        <f t="shared" si="239"/>
        <v>0</v>
      </c>
      <c r="R525" s="681"/>
      <c r="S525" s="693" t="str">
        <f>IF(ISERROR(Q525/Q527),"",Q525/Q527)</f>
        <v/>
      </c>
      <c r="T525" s="694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92" t="s">
        <v>244</v>
      </c>
      <c r="B526" s="654"/>
      <c r="C526" s="653">
        <f>SUM(G162,G332,G503)</f>
        <v>0</v>
      </c>
      <c r="D526" s="654"/>
      <c r="E526" s="693">
        <f>IF(ISERROR(C526/C527),"",C526/C527)</f>
        <v>0</v>
      </c>
      <c r="F526" s="694"/>
      <c r="G526" s="688"/>
      <c r="H526" s="689"/>
      <c r="I526" s="695" t="s">
        <v>307</v>
      </c>
      <c r="J526" s="696"/>
      <c r="K526" s="650">
        <f t="shared" si="238"/>
        <v>0</v>
      </c>
      <c r="L526" s="651"/>
      <c r="M526" s="693" t="str">
        <f>IF(ISERROR(K526/K527),"",K526/K527)</f>
        <v/>
      </c>
      <c r="N526" s="694"/>
      <c r="O526" s="643" t="s">
        <v>272</v>
      </c>
      <c r="P526" s="643"/>
      <c r="Q526" s="680">
        <f t="shared" si="239"/>
        <v>0</v>
      </c>
      <c r="R526" s="681"/>
      <c r="S526" s="693" t="str">
        <f>IF(ISERROR(Q526/Q527),"",Q526/Q527)</f>
        <v/>
      </c>
      <c r="T526" s="694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53" t="s">
        <v>266</v>
      </c>
      <c r="B527" s="654"/>
      <c r="C527" s="653">
        <f>SUM(C521:C526)</f>
        <v>7491</v>
      </c>
      <c r="D527" s="654"/>
      <c r="E527" s="693">
        <f>SUM(E521:F526)</f>
        <v>1</v>
      </c>
      <c r="F527" s="694"/>
      <c r="G527" s="690"/>
      <c r="H527" s="691"/>
      <c r="I527" s="653" t="s">
        <v>266</v>
      </c>
      <c r="J527" s="651"/>
      <c r="K527" s="650">
        <f>SUM(R172,U342,U513)</f>
        <v>0</v>
      </c>
      <c r="L527" s="651"/>
      <c r="M527" s="693"/>
      <c r="N527" s="694"/>
      <c r="O527" s="643" t="s">
        <v>266</v>
      </c>
      <c r="P527" s="643"/>
      <c r="Q527" s="680">
        <f>SUM(Q521:R526)</f>
        <v>0</v>
      </c>
      <c r="R527" s="681"/>
      <c r="S527" s="693">
        <f>SUM(S521:T526)</f>
        <v>0</v>
      </c>
      <c r="T527" s="694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695" t="s">
        <v>308</v>
      </c>
      <c r="B529" s="649"/>
      <c r="C529" s="457" t="s">
        <v>309</v>
      </c>
      <c r="D529" s="457" t="s">
        <v>310</v>
      </c>
      <c r="E529" s="457" t="s">
        <v>311</v>
      </c>
      <c r="F529" s="457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458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467" t="s">
        <v>322</v>
      </c>
      <c r="Q529" s="129" t="s">
        <v>323</v>
      </c>
      <c r="R529" s="109" t="s">
        <v>324</v>
      </c>
      <c r="S529" s="457" t="s">
        <v>325</v>
      </c>
      <c r="T529" s="457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697" t="s">
        <v>327</v>
      </c>
      <c r="B530" s="698"/>
      <c r="C530" s="106">
        <f>D530+E530+F530-G530-O530-P530</f>
        <v>33</v>
      </c>
      <c r="D530" s="106">
        <f>+'11'!D530</f>
        <v>33</v>
      </c>
      <c r="E530" s="106"/>
      <c r="F530" s="106"/>
      <c r="G530" s="107"/>
      <c r="H530" s="106"/>
      <c r="I530" s="106"/>
      <c r="J530" s="106">
        <f>C530-H530-I530</f>
        <v>33</v>
      </c>
      <c r="K530" s="106">
        <v>3</v>
      </c>
      <c r="L530" s="106"/>
      <c r="M530" s="106"/>
      <c r="N530" s="106"/>
      <c r="O530" s="106"/>
      <c r="P530" s="108"/>
      <c r="Q530" s="106">
        <f>J530-K530-L530</f>
        <v>30</v>
      </c>
      <c r="R530" s="109">
        <f>Q530*11-M530-N530</f>
        <v>330</v>
      </c>
      <c r="S530" s="460">
        <f t="array" ref="S530">IF(ISERROR(Q530/J530),"",Q530/J530)</f>
        <v>0.90909090909090906</v>
      </c>
      <c r="T530" s="460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697" t="s">
        <v>328</v>
      </c>
      <c r="B531" s="698"/>
      <c r="C531" s="106">
        <f>D531+E531+F531-G531-O531-P531</f>
        <v>30</v>
      </c>
      <c r="D531" s="106">
        <f>+'11'!D531</f>
        <v>30</v>
      </c>
      <c r="E531" s="110"/>
      <c r="F531" s="110"/>
      <c r="G531" s="107"/>
      <c r="H531" s="106"/>
      <c r="I531" s="106"/>
      <c r="J531" s="106">
        <f>C531-H531-I531</f>
        <v>30</v>
      </c>
      <c r="K531" s="106"/>
      <c r="L531" s="106"/>
      <c r="M531" s="106"/>
      <c r="N531" s="106"/>
      <c r="O531" s="110"/>
      <c r="P531" s="111"/>
      <c r="Q531" s="106">
        <f>J531-K531-L531</f>
        <v>30</v>
      </c>
      <c r="R531" s="109">
        <f>Q531*11-M531-N531</f>
        <v>330</v>
      </c>
      <c r="S531" s="460">
        <f t="array" ref="S531">IF(ISERROR(Q531/J531),"",Q531/J531)</f>
        <v>1</v>
      </c>
      <c r="T531" s="460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697" t="s">
        <v>329</v>
      </c>
      <c r="B532" s="698"/>
      <c r="C532" s="106">
        <f>D532+E532+F532-G532-O532-P532</f>
        <v>10</v>
      </c>
      <c r="D532" s="106">
        <f>+'11'!D532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460">
        <f t="array" ref="S532">IF(ISERROR(Q532/J532),"",Q532/J532)</f>
        <v>1</v>
      </c>
      <c r="T532" s="460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699" t="s">
        <v>330</v>
      </c>
      <c r="B533" s="700"/>
      <c r="C533" s="112">
        <f>SUM(C530:C532)</f>
        <v>73</v>
      </c>
      <c r="D533" s="112">
        <f t="shared" ref="D533:N533" si="240">SUM(D530:D532)</f>
        <v>73</v>
      </c>
      <c r="E533" s="112">
        <f t="shared" si="240"/>
        <v>0</v>
      </c>
      <c r="F533" s="112">
        <f t="shared" si="240"/>
        <v>0</v>
      </c>
      <c r="G533" s="113">
        <f t="shared" si="240"/>
        <v>0</v>
      </c>
      <c r="H533" s="112">
        <f t="shared" si="240"/>
        <v>0</v>
      </c>
      <c r="I533" s="112">
        <f t="shared" si="240"/>
        <v>0</v>
      </c>
      <c r="J533" s="112">
        <f t="shared" si="240"/>
        <v>73</v>
      </c>
      <c r="K533" s="112">
        <f t="shared" si="240"/>
        <v>3</v>
      </c>
      <c r="L533" s="112">
        <f t="shared" si="240"/>
        <v>0</v>
      </c>
      <c r="M533" s="112">
        <f t="shared" si="240"/>
        <v>0</v>
      </c>
      <c r="N533" s="112">
        <f t="shared" si="240"/>
        <v>0</v>
      </c>
      <c r="O533" s="112">
        <f>SUM(O530:O532)</f>
        <v>0</v>
      </c>
      <c r="P533" s="112">
        <f>SUM(P530:P532)</f>
        <v>0</v>
      </c>
      <c r="Q533" s="112">
        <f>SUM(Q530:Q532)</f>
        <v>70</v>
      </c>
      <c r="R533" s="114">
        <f>SUM(R530:R532)</f>
        <v>770</v>
      </c>
      <c r="S533" s="115">
        <f t="array" ref="S533">IF(ISERROR(Q533/J533),"",Q533/J533)</f>
        <v>0.95890410958904104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121" activePane="bottomRight" state="frozen"/>
      <selection activeCell="F484" sqref="F484"/>
      <selection pane="topRight" activeCell="F484" sqref="F484"/>
      <selection pane="bottomLeft" activeCell="F484" sqref="F484"/>
      <selection pane="bottomRight" activeCell="F484" sqref="F48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07" t="s">
        <v>413</v>
      </c>
      <c r="B1" s="607"/>
      <c r="C1" s="607"/>
      <c r="D1" s="607"/>
      <c r="E1" s="607"/>
      <c r="F1" s="607"/>
      <c r="G1" s="607"/>
      <c r="H1" s="607"/>
      <c r="I1" s="607"/>
      <c r="J1" s="607"/>
      <c r="K1" s="607"/>
      <c r="L1" s="607"/>
      <c r="M1" s="607"/>
      <c r="N1" s="607"/>
      <c r="O1" s="607"/>
      <c r="P1" s="607"/>
      <c r="Q1" s="607"/>
      <c r="R1" s="607"/>
      <c r="S1" s="607"/>
      <c r="T1" s="607"/>
      <c r="U1" s="607"/>
      <c r="V1" s="607"/>
      <c r="W1" s="607"/>
      <c r="X1" s="607"/>
      <c r="Y1" s="607"/>
      <c r="Z1" s="607"/>
      <c r="AA1" s="607"/>
    </row>
    <row r="2" spans="1:27" ht="18.75">
      <c r="A2" s="608"/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09" t="s">
        <v>12</v>
      </c>
      <c r="B4" s="609" t="s">
        <v>25</v>
      </c>
      <c r="C4" s="609" t="s">
        <v>26</v>
      </c>
      <c r="D4" s="609" t="s">
        <v>27</v>
      </c>
      <c r="E4" s="612" t="s">
        <v>28</v>
      </c>
      <c r="F4" s="615" t="s">
        <v>29</v>
      </c>
      <c r="G4" s="618" t="s">
        <v>30</v>
      </c>
      <c r="H4" s="618"/>
      <c r="I4" s="609" t="s">
        <v>31</v>
      </c>
      <c r="J4" s="621" t="s">
        <v>32</v>
      </c>
      <c r="K4" s="624" t="s">
        <v>33</v>
      </c>
      <c r="L4" s="609" t="s">
        <v>34</v>
      </c>
      <c r="M4" s="627" t="s">
        <v>35</v>
      </c>
      <c r="N4" s="629" t="s">
        <v>36</v>
      </c>
      <c r="O4" s="618" t="s">
        <v>37</v>
      </c>
      <c r="P4" s="618"/>
      <c r="Q4" s="618"/>
      <c r="R4" s="618"/>
      <c r="S4" s="618"/>
      <c r="T4" s="618"/>
      <c r="U4" s="618"/>
      <c r="V4" s="618" t="s">
        <v>38</v>
      </c>
      <c r="W4" s="629" t="s">
        <v>39</v>
      </c>
      <c r="X4" s="618" t="s">
        <v>40</v>
      </c>
      <c r="Y4" s="618"/>
      <c r="Z4" s="618"/>
      <c r="AA4" s="618"/>
    </row>
    <row r="5" spans="1:27" s="104" customFormat="1" ht="15" customHeight="1">
      <c r="A5" s="610"/>
      <c r="B5" s="610"/>
      <c r="C5" s="610"/>
      <c r="D5" s="610"/>
      <c r="E5" s="613"/>
      <c r="F5" s="616"/>
      <c r="G5" s="618"/>
      <c r="H5" s="618"/>
      <c r="I5" s="610"/>
      <c r="J5" s="622"/>
      <c r="K5" s="625"/>
      <c r="L5" s="610"/>
      <c r="M5" s="628"/>
      <c r="N5" s="629"/>
      <c r="O5" s="618" t="s">
        <v>41</v>
      </c>
      <c r="P5" s="618" t="s">
        <v>42</v>
      </c>
      <c r="Q5" s="618" t="s">
        <v>43</v>
      </c>
      <c r="R5" s="619" t="s">
        <v>44</v>
      </c>
      <c r="S5" s="620" t="s">
        <v>45</v>
      </c>
      <c r="T5" s="618" t="s">
        <v>46</v>
      </c>
      <c r="U5" s="618" t="s">
        <v>47</v>
      </c>
      <c r="V5" s="618"/>
      <c r="W5" s="629"/>
      <c r="X5" s="618" t="s">
        <v>13</v>
      </c>
      <c r="Y5" s="618" t="s">
        <v>48</v>
      </c>
      <c r="Z5" s="618" t="s">
        <v>49</v>
      </c>
      <c r="AA5" s="618" t="s">
        <v>47</v>
      </c>
    </row>
    <row r="6" spans="1:27" s="104" customFormat="1" ht="27.75" customHeight="1">
      <c r="A6" s="611"/>
      <c r="B6" s="611"/>
      <c r="C6" s="611"/>
      <c r="D6" s="611"/>
      <c r="E6" s="614"/>
      <c r="F6" s="617"/>
      <c r="G6" s="350" t="s">
        <v>50</v>
      </c>
      <c r="H6" s="468" t="s">
        <v>51</v>
      </c>
      <c r="I6" s="611"/>
      <c r="J6" s="623"/>
      <c r="K6" s="626"/>
      <c r="L6" s="611"/>
      <c r="M6" s="628"/>
      <c r="N6" s="629"/>
      <c r="O6" s="618"/>
      <c r="P6" s="618"/>
      <c r="Q6" s="618"/>
      <c r="R6" s="619"/>
      <c r="S6" s="620"/>
      <c r="T6" s="618"/>
      <c r="U6" s="618"/>
      <c r="V6" s="618"/>
      <c r="W6" s="629"/>
      <c r="X6" s="618"/>
      <c r="Y6" s="618"/>
      <c r="Z6" s="618"/>
      <c r="AA6" s="618"/>
    </row>
    <row r="7" spans="1:27" ht="20.100000000000001" hidden="1" customHeight="1">
      <c r="A7" s="299">
        <v>30100030</v>
      </c>
      <c r="B7" s="471" t="s">
        <v>178</v>
      </c>
      <c r="C7" s="126" t="s">
        <v>179</v>
      </c>
      <c r="D7" s="108">
        <v>5.03</v>
      </c>
      <c r="E7" s="108"/>
      <c r="F7" s="127"/>
      <c r="G7" s="128"/>
      <c r="H7" s="479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70"/>
      <c r="P7" s="470"/>
      <c r="Q7" s="470"/>
      <c r="R7" s="470"/>
      <c r="S7" s="470"/>
      <c r="T7" s="470"/>
      <c r="U7" s="470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79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70"/>
      <c r="Q8" s="470"/>
      <c r="R8" s="470"/>
      <c r="S8" s="470"/>
      <c r="T8" s="470"/>
      <c r="U8" s="470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79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70"/>
      <c r="P9" s="470"/>
      <c r="Q9" s="470"/>
      <c r="R9" s="470"/>
      <c r="S9" s="470"/>
      <c r="T9" s="470"/>
      <c r="U9" s="470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79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70"/>
      <c r="P10" s="470"/>
      <c r="Q10" s="470"/>
      <c r="R10" s="470"/>
      <c r="S10" s="470"/>
      <c r="T10" s="470"/>
      <c r="U10" s="470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79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70"/>
      <c r="P11" s="470"/>
      <c r="Q11" s="470"/>
      <c r="R11" s="470"/>
      <c r="S11" s="470"/>
      <c r="T11" s="470"/>
      <c r="U11" s="470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79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70"/>
      <c r="P12" s="470"/>
      <c r="Q12" s="470"/>
      <c r="R12" s="470"/>
      <c r="S12" s="470"/>
      <c r="T12" s="470"/>
      <c r="U12" s="470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79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70"/>
      <c r="P13" s="470"/>
      <c r="Q13" s="470"/>
      <c r="R13" s="470"/>
      <c r="S13" s="470"/>
      <c r="T13" s="470"/>
      <c r="U13" s="470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79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70"/>
      <c r="P14" s="470"/>
      <c r="Q14" s="470"/>
      <c r="R14" s="470"/>
      <c r="S14" s="470"/>
      <c r="T14" s="470"/>
      <c r="U14" s="470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79">
        <f t="shared" si="0"/>
        <v>0</v>
      </c>
      <c r="I15" s="479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70"/>
      <c r="P15" s="470"/>
      <c r="Q15" s="470"/>
      <c r="R15" s="470"/>
      <c r="S15" s="470"/>
      <c r="T15" s="470"/>
      <c r="U15" s="470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79">
        <f t="shared" si="0"/>
        <v>0</v>
      </c>
      <c r="I16" s="479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70"/>
      <c r="P16" s="470"/>
      <c r="Q16" s="470"/>
      <c r="R16" s="470"/>
      <c r="S16" s="470"/>
      <c r="T16" s="470"/>
      <c r="U16" s="470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79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70"/>
      <c r="P17" s="470"/>
      <c r="Q17" s="470"/>
      <c r="R17" s="470"/>
      <c r="S17" s="470"/>
      <c r="T17" s="470"/>
      <c r="U17" s="470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79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70"/>
      <c r="P18" s="470"/>
      <c r="Q18" s="470"/>
      <c r="R18" s="470"/>
      <c r="S18" s="470"/>
      <c r="T18" s="470"/>
      <c r="U18" s="470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42714</v>
      </c>
      <c r="G19" s="128">
        <f>90*8+68</f>
        <v>788</v>
      </c>
      <c r="H19" s="479">
        <f t="shared" si="0"/>
        <v>3987.2799999999997</v>
      </c>
      <c r="I19" s="129">
        <f>11*5</f>
        <v>55</v>
      </c>
      <c r="J19" s="129">
        <f t="array" ref="J19">IF(ISERROR(G19/I19),"",G19/I19)</f>
        <v>14.327272727272728</v>
      </c>
      <c r="K19" s="131">
        <f t="array" ref="K19">IF(ISERROR(G19/L19),"",G19/L19)</f>
        <v>41.473684210526315</v>
      </c>
      <c r="L19" s="129">
        <v>19</v>
      </c>
      <c r="M19" s="109">
        <f t="shared" si="1"/>
        <v>13.526315789473685</v>
      </c>
      <c r="N19" s="129">
        <f t="shared" si="4"/>
        <v>0</v>
      </c>
      <c r="O19" s="470"/>
      <c r="P19" s="470"/>
      <c r="Q19" s="470"/>
      <c r="R19" s="470"/>
      <c r="S19" s="470"/>
      <c r="T19" s="470"/>
      <c r="U19" s="470"/>
      <c r="V19" s="132">
        <f t="shared" ref="V19:V21" si="5">SUM(X19:AA19)</f>
        <v>0</v>
      </c>
      <c r="W19" s="473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>
        <v>42716</v>
      </c>
      <c r="G20" s="128">
        <f>90+100*3</f>
        <v>390</v>
      </c>
      <c r="H20" s="479">
        <f t="shared" si="0"/>
        <v>1985.1</v>
      </c>
      <c r="I20" s="129">
        <f>4.5*5</f>
        <v>22.5</v>
      </c>
      <c r="J20" s="130">
        <f t="array" ref="J20">IF(ISERROR(G20/I20),"",G20/I20)</f>
        <v>17.333333333333332</v>
      </c>
      <c r="K20" s="131">
        <f t="array" ref="K20">IF(ISERROR(G20/L20),"",G20/L20)</f>
        <v>16.956521739130434</v>
      </c>
      <c r="L20" s="129">
        <v>23</v>
      </c>
      <c r="M20" s="109">
        <f t="shared" si="1"/>
        <v>5.5434782608695663</v>
      </c>
      <c r="N20" s="130">
        <f t="shared" si="4"/>
        <v>0</v>
      </c>
      <c r="O20" s="470"/>
      <c r="P20" s="470"/>
      <c r="Q20" s="470"/>
      <c r="R20" s="470"/>
      <c r="S20" s="470"/>
      <c r="T20" s="470"/>
      <c r="U20" s="470"/>
      <c r="V20" s="132">
        <f t="shared" si="5"/>
        <v>0</v>
      </c>
      <c r="W20" s="133">
        <f t="shared" si="6"/>
        <v>0</v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79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70"/>
      <c r="P21" s="470"/>
      <c r="Q21" s="470"/>
      <c r="R21" s="470"/>
      <c r="S21" s="470"/>
      <c r="T21" s="470"/>
      <c r="U21" s="470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69" t="s">
        <v>190</v>
      </c>
      <c r="D22" s="108">
        <v>4.8</v>
      </c>
      <c r="E22" s="108"/>
      <c r="F22" s="127"/>
      <c r="G22" s="128"/>
      <c r="H22" s="479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70"/>
      <c r="P22" s="470"/>
      <c r="Q22" s="470"/>
      <c r="R22" s="470"/>
      <c r="S22" s="470"/>
      <c r="T22" s="470"/>
      <c r="U22" s="470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69" t="s">
        <v>187</v>
      </c>
      <c r="D23" s="108">
        <v>4.8</v>
      </c>
      <c r="E23" s="108"/>
      <c r="F23" s="127"/>
      <c r="G23" s="128"/>
      <c r="H23" s="479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70"/>
      <c r="P23" s="470"/>
      <c r="Q23" s="470"/>
      <c r="R23" s="470"/>
      <c r="S23" s="470"/>
      <c r="T23" s="470"/>
      <c r="U23" s="470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69" t="s">
        <v>179</v>
      </c>
      <c r="D24" s="108">
        <v>4.8</v>
      </c>
      <c r="E24" s="108"/>
      <c r="F24" s="127"/>
      <c r="G24" s="128"/>
      <c r="H24" s="479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70"/>
      <c r="P24" s="470"/>
      <c r="Q24" s="470"/>
      <c r="R24" s="470"/>
      <c r="S24" s="470"/>
      <c r="T24" s="470"/>
      <c r="U24" s="470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69" t="s">
        <v>199</v>
      </c>
      <c r="D25" s="108">
        <v>4.8</v>
      </c>
      <c r="E25" s="108"/>
      <c r="F25" s="127"/>
      <c r="G25" s="128"/>
      <c r="H25" s="479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70"/>
      <c r="P25" s="470"/>
      <c r="Q25" s="470"/>
      <c r="R25" s="470"/>
      <c r="S25" s="470"/>
      <c r="T25" s="470"/>
      <c r="U25" s="470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79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70"/>
      <c r="P26" s="470"/>
      <c r="Q26" s="470"/>
      <c r="R26" s="470"/>
      <c r="S26" s="470"/>
      <c r="T26" s="470"/>
      <c r="U26" s="470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79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70"/>
      <c r="P27" s="470"/>
      <c r="Q27" s="470"/>
      <c r="R27" s="470"/>
      <c r="S27" s="470"/>
      <c r="T27" s="470"/>
      <c r="U27" s="470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30" t="s">
        <v>201</v>
      </c>
      <c r="B28" s="631"/>
      <c r="C28" s="477" t="s">
        <v>202</v>
      </c>
      <c r="D28" s="143"/>
      <c r="E28" s="143"/>
      <c r="F28" s="144"/>
      <c r="G28" s="145">
        <f>SUM(G7:G27)</f>
        <v>1178</v>
      </c>
      <c r="H28" s="146">
        <f>SUM(H7:H27)</f>
        <v>5972.3799999999992</v>
      </c>
      <c r="I28" s="146">
        <f>SUM(I7:I27)</f>
        <v>77.5</v>
      </c>
      <c r="J28" s="130">
        <f t="array" ref="J28">IF(ISERROR(G28/I28),"",G28/I28)</f>
        <v>15.2</v>
      </c>
      <c r="K28" s="146">
        <f>SUM(K7:K27)</f>
        <v>58.430205949656752</v>
      </c>
      <c r="L28" s="147"/>
      <c r="M28" s="146">
        <f t="shared" ref="M28:V28" si="10">SUM(M7:M27)</f>
        <v>19.069794050343251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71" t="s">
        <v>206</v>
      </c>
      <c r="C29" s="126" t="s">
        <v>199</v>
      </c>
      <c r="D29" s="108">
        <v>5.03</v>
      </c>
      <c r="E29" s="108"/>
      <c r="F29" s="127"/>
      <c r="G29" s="128"/>
      <c r="H29" s="479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74"/>
      <c r="P29" s="474"/>
      <c r="Q29" s="474"/>
      <c r="R29" s="474"/>
      <c r="S29" s="474"/>
      <c r="T29" s="474"/>
      <c r="U29" s="474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71" t="s">
        <v>425</v>
      </c>
      <c r="C30" s="187" t="s">
        <v>427</v>
      </c>
      <c r="D30" s="108">
        <v>5.03</v>
      </c>
      <c r="E30" s="108"/>
      <c r="F30" s="127"/>
      <c r="G30" s="128"/>
      <c r="H30" s="479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74"/>
      <c r="P30" s="474"/>
      <c r="Q30" s="474"/>
      <c r="R30" s="474"/>
      <c r="S30" s="474"/>
      <c r="T30" s="474"/>
      <c r="U30" s="474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71" t="s">
        <v>206</v>
      </c>
      <c r="C31" s="126" t="s">
        <v>186</v>
      </c>
      <c r="D31" s="108">
        <v>5.03</v>
      </c>
      <c r="E31" s="108"/>
      <c r="F31" s="127"/>
      <c r="G31" s="128"/>
      <c r="H31" s="479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74"/>
      <c r="P31" s="474"/>
      <c r="Q31" s="474"/>
      <c r="R31" s="474"/>
      <c r="S31" s="474"/>
      <c r="T31" s="474"/>
      <c r="U31" s="474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71" t="s">
        <v>206</v>
      </c>
      <c r="C32" s="126" t="s">
        <v>203</v>
      </c>
      <c r="D32" s="108">
        <v>5.03</v>
      </c>
      <c r="E32" s="108"/>
      <c r="F32" s="127"/>
      <c r="G32" s="128"/>
      <c r="H32" s="479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74"/>
      <c r="P32" s="474"/>
      <c r="Q32" s="474"/>
      <c r="R32" s="474"/>
      <c r="S32" s="474"/>
      <c r="T32" s="474"/>
      <c r="U32" s="474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71" t="s">
        <v>206</v>
      </c>
      <c r="C33" s="126" t="s">
        <v>207</v>
      </c>
      <c r="D33" s="108">
        <v>5.03</v>
      </c>
      <c r="E33" s="108"/>
      <c r="F33" s="127"/>
      <c r="G33" s="128"/>
      <c r="H33" s="479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74"/>
      <c r="P33" s="474"/>
      <c r="Q33" s="474"/>
      <c r="R33" s="474"/>
      <c r="S33" s="474"/>
      <c r="T33" s="474"/>
      <c r="U33" s="474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71" t="s">
        <v>414</v>
      </c>
      <c r="C34" s="187" t="s">
        <v>415</v>
      </c>
      <c r="D34" s="108">
        <v>5.03</v>
      </c>
      <c r="E34" s="108"/>
      <c r="F34" s="127"/>
      <c r="G34" s="128"/>
      <c r="H34" s="479">
        <f t="shared" si="11"/>
        <v>0</v>
      </c>
      <c r="I34" s="129"/>
      <c r="J34" s="130"/>
      <c r="K34" s="131"/>
      <c r="L34" s="129">
        <v>52</v>
      </c>
      <c r="M34" s="109"/>
      <c r="N34" s="130"/>
      <c r="O34" s="474"/>
      <c r="P34" s="474"/>
      <c r="Q34" s="474"/>
      <c r="R34" s="474"/>
      <c r="S34" s="474"/>
      <c r="T34" s="474"/>
      <c r="U34" s="474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71" t="s">
        <v>414</v>
      </c>
      <c r="C35" s="187" t="s">
        <v>416</v>
      </c>
      <c r="D35" s="108">
        <v>5.03</v>
      </c>
      <c r="E35" s="108"/>
      <c r="F35" s="127"/>
      <c r="G35" s="128"/>
      <c r="H35" s="479">
        <f t="shared" si="11"/>
        <v>0</v>
      </c>
      <c r="I35" s="129"/>
      <c r="J35" s="130"/>
      <c r="K35" s="131"/>
      <c r="L35" s="129">
        <v>52</v>
      </c>
      <c r="M35" s="109"/>
      <c r="N35" s="130"/>
      <c r="O35" s="474"/>
      <c r="P35" s="474"/>
      <c r="Q35" s="474"/>
      <c r="R35" s="474"/>
      <c r="S35" s="474"/>
      <c r="T35" s="474"/>
      <c r="U35" s="474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71" t="s">
        <v>414</v>
      </c>
      <c r="C36" s="187" t="s">
        <v>61</v>
      </c>
      <c r="D36" s="108">
        <v>5.03</v>
      </c>
      <c r="E36" s="108"/>
      <c r="F36" s="127"/>
      <c r="G36" s="128"/>
      <c r="H36" s="479">
        <f t="shared" si="11"/>
        <v>0</v>
      </c>
      <c r="I36" s="129"/>
      <c r="J36" s="130"/>
      <c r="K36" s="131"/>
      <c r="L36" s="129">
        <v>52</v>
      </c>
      <c r="M36" s="109"/>
      <c r="N36" s="130"/>
      <c r="O36" s="474"/>
      <c r="P36" s="474"/>
      <c r="Q36" s="474"/>
      <c r="R36" s="474"/>
      <c r="S36" s="474"/>
      <c r="T36" s="474"/>
      <c r="U36" s="474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71" t="s">
        <v>208</v>
      </c>
      <c r="C37" s="126" t="s">
        <v>179</v>
      </c>
      <c r="D37" s="108">
        <v>5.08</v>
      </c>
      <c r="E37" s="108"/>
      <c r="F37" s="127"/>
      <c r="G37" s="128"/>
      <c r="H37" s="479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74"/>
      <c r="P37" s="474"/>
      <c r="Q37" s="474"/>
      <c r="R37" s="474"/>
      <c r="S37" s="474"/>
      <c r="T37" s="474"/>
      <c r="U37" s="474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71" t="s">
        <v>208</v>
      </c>
      <c r="C38" s="126" t="s">
        <v>204</v>
      </c>
      <c r="D38" s="108">
        <v>5.08</v>
      </c>
      <c r="E38" s="108"/>
      <c r="F38" s="127"/>
      <c r="G38" s="128"/>
      <c r="H38" s="479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74"/>
      <c r="P38" s="474"/>
      <c r="Q38" s="474"/>
      <c r="R38" s="474"/>
      <c r="S38" s="474"/>
      <c r="T38" s="474"/>
      <c r="U38" s="474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71" t="s">
        <v>208</v>
      </c>
      <c r="C39" s="126" t="s">
        <v>205</v>
      </c>
      <c r="D39" s="108">
        <v>5.08</v>
      </c>
      <c r="E39" s="108"/>
      <c r="F39" s="127"/>
      <c r="G39" s="128"/>
      <c r="H39" s="479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74"/>
      <c r="P39" s="474"/>
      <c r="Q39" s="474"/>
      <c r="R39" s="474"/>
      <c r="S39" s="474"/>
      <c r="T39" s="474"/>
      <c r="U39" s="474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71" t="s">
        <v>208</v>
      </c>
      <c r="C40" s="126" t="s">
        <v>186</v>
      </c>
      <c r="D40" s="108">
        <v>5.08</v>
      </c>
      <c r="E40" s="108"/>
      <c r="F40" s="127"/>
      <c r="G40" s="128"/>
      <c r="H40" s="479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74"/>
      <c r="P40" s="474"/>
      <c r="Q40" s="474"/>
      <c r="R40" s="474"/>
      <c r="S40" s="474"/>
      <c r="T40" s="474"/>
      <c r="U40" s="474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71" t="s">
        <v>208</v>
      </c>
      <c r="C41" s="126" t="s">
        <v>203</v>
      </c>
      <c r="D41" s="108">
        <v>5.08</v>
      </c>
      <c r="E41" s="108"/>
      <c r="F41" s="127"/>
      <c r="G41" s="128"/>
      <c r="H41" s="479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74"/>
      <c r="P41" s="474"/>
      <c r="Q41" s="474"/>
      <c r="R41" s="474"/>
      <c r="S41" s="474"/>
      <c r="T41" s="474"/>
      <c r="U41" s="474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71" t="s">
        <v>208</v>
      </c>
      <c r="C42" s="126" t="s">
        <v>199</v>
      </c>
      <c r="D42" s="108">
        <v>5.08</v>
      </c>
      <c r="E42" s="108"/>
      <c r="F42" s="127"/>
      <c r="G42" s="128"/>
      <c r="H42" s="479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70"/>
      <c r="P42" s="470"/>
      <c r="Q42" s="470"/>
      <c r="R42" s="470"/>
      <c r="S42" s="470"/>
      <c r="T42" s="470"/>
      <c r="U42" s="470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71" t="s">
        <v>208</v>
      </c>
      <c r="C43" s="126" t="s">
        <v>187</v>
      </c>
      <c r="D43" s="108">
        <v>5.08</v>
      </c>
      <c r="E43" s="108"/>
      <c r="F43" s="127"/>
      <c r="G43" s="128"/>
      <c r="H43" s="479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74"/>
      <c r="P43" s="474"/>
      <c r="Q43" s="474"/>
      <c r="R43" s="474"/>
      <c r="S43" s="474"/>
      <c r="T43" s="474"/>
      <c r="U43" s="474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71" t="s">
        <v>208</v>
      </c>
      <c r="C44" s="126" t="s">
        <v>207</v>
      </c>
      <c r="D44" s="108">
        <v>5.08</v>
      </c>
      <c r="E44" s="108"/>
      <c r="F44" s="127"/>
      <c r="G44" s="128"/>
      <c r="H44" s="479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70"/>
      <c r="P44" s="470"/>
      <c r="Q44" s="470"/>
      <c r="R44" s="470"/>
      <c r="S44" s="470"/>
      <c r="T44" s="470"/>
      <c r="U44" s="470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customHeight="1">
      <c r="A45" s="300">
        <v>30100032</v>
      </c>
      <c r="B45" s="471" t="s">
        <v>209</v>
      </c>
      <c r="C45" s="126" t="s">
        <v>194</v>
      </c>
      <c r="D45" s="108">
        <v>5.03</v>
      </c>
      <c r="E45" s="108"/>
      <c r="F45" s="127">
        <v>42715</v>
      </c>
      <c r="G45" s="128">
        <f>108*5+108</f>
        <v>648</v>
      </c>
      <c r="H45" s="479">
        <f t="shared" si="11"/>
        <v>3259.44</v>
      </c>
      <c r="I45" s="129">
        <v>5.5</v>
      </c>
      <c r="J45" s="130">
        <f t="array" ref="J45">IF(ISERROR(G45/I45),"",G45/I45)</f>
        <v>117.81818181818181</v>
      </c>
      <c r="K45" s="131">
        <f t="array" ref="K45">IF(ISERROR(G45/L45),"",G45/L45)</f>
        <v>11.571428571428571</v>
      </c>
      <c r="L45" s="129">
        <v>56</v>
      </c>
      <c r="M45" s="109">
        <f t="shared" si="19"/>
        <v>-6.0714285714285712</v>
      </c>
      <c r="N45" s="130">
        <f t="shared" si="20"/>
        <v>0</v>
      </c>
      <c r="O45" s="474"/>
      <c r="P45" s="474"/>
      <c r="Q45" s="474"/>
      <c r="R45" s="474"/>
      <c r="S45" s="474"/>
      <c r="T45" s="474"/>
      <c r="U45" s="474"/>
      <c r="V45" s="132">
        <f t="shared" si="21"/>
        <v>0</v>
      </c>
      <c r="W45" s="133">
        <f t="shared" si="22"/>
        <v>0</v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71" t="s">
        <v>209</v>
      </c>
      <c r="C46" s="126" t="s">
        <v>179</v>
      </c>
      <c r="D46" s="108">
        <v>5.03</v>
      </c>
      <c r="E46" s="108"/>
      <c r="F46" s="127"/>
      <c r="G46" s="128"/>
      <c r="H46" s="479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74"/>
      <c r="P46" s="474"/>
      <c r="Q46" s="474"/>
      <c r="R46" s="474"/>
      <c r="S46" s="474"/>
      <c r="T46" s="474"/>
      <c r="U46" s="474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customHeight="1">
      <c r="A47" s="300">
        <v>30100062</v>
      </c>
      <c r="B47" s="471" t="s">
        <v>209</v>
      </c>
      <c r="C47" s="126" t="s">
        <v>195</v>
      </c>
      <c r="D47" s="108">
        <v>5.03</v>
      </c>
      <c r="E47" s="108"/>
      <c r="F47" s="127">
        <v>42715</v>
      </c>
      <c r="G47" s="128">
        <f>108*5+65</f>
        <v>605</v>
      </c>
      <c r="H47" s="479">
        <f t="shared" si="11"/>
        <v>3043.15</v>
      </c>
      <c r="I47" s="129">
        <v>3.5</v>
      </c>
      <c r="J47" s="130">
        <f t="array" ref="J47">IF(ISERROR(G47/I47),"",G47/I47)</f>
        <v>172.85714285714286</v>
      </c>
      <c r="K47" s="131">
        <f t="array" ref="K47">IF(ISERROR(G47/L47),"",G47/L47)</f>
        <v>10.803571428571429</v>
      </c>
      <c r="L47" s="129">
        <v>56</v>
      </c>
      <c r="M47" s="109">
        <f t="shared" si="19"/>
        <v>-7.3035714285714288</v>
      </c>
      <c r="N47" s="130">
        <f t="shared" si="20"/>
        <v>0</v>
      </c>
      <c r="O47" s="474"/>
      <c r="P47" s="474"/>
      <c r="Q47" s="474"/>
      <c r="R47" s="474"/>
      <c r="S47" s="474"/>
      <c r="T47" s="474"/>
      <c r="U47" s="474"/>
      <c r="V47" s="132">
        <f t="shared" si="21"/>
        <v>0</v>
      </c>
      <c r="W47" s="133">
        <f t="shared" si="22"/>
        <v>0</v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71" t="s">
        <v>209</v>
      </c>
      <c r="C48" s="126" t="s">
        <v>204</v>
      </c>
      <c r="D48" s="108">
        <v>5.03</v>
      </c>
      <c r="E48" s="108"/>
      <c r="F48" s="127"/>
      <c r="G48" s="128"/>
      <c r="H48" s="479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74"/>
      <c r="P48" s="474"/>
      <c r="Q48" s="474"/>
      <c r="R48" s="474"/>
      <c r="S48" s="474"/>
      <c r="T48" s="474"/>
      <c r="U48" s="474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customHeight="1">
      <c r="A49" s="300">
        <v>30100019</v>
      </c>
      <c r="B49" s="471" t="s">
        <v>382</v>
      </c>
      <c r="C49" s="187" t="s">
        <v>383</v>
      </c>
      <c r="D49" s="108">
        <v>5.03</v>
      </c>
      <c r="E49" s="108"/>
      <c r="F49" s="127">
        <v>42716</v>
      </c>
      <c r="G49" s="128">
        <f>90*2+52</f>
        <v>232</v>
      </c>
      <c r="H49" s="479">
        <f t="shared" si="11"/>
        <v>1166.96</v>
      </c>
      <c r="I49" s="129">
        <v>3.5</v>
      </c>
      <c r="J49" s="130">
        <f t="array" ref="J49">IF(ISERROR(G49/I49),"",G49/I49)</f>
        <v>66.285714285714292</v>
      </c>
      <c r="K49" s="131">
        <f t="array" ref="K49">IF(ISERROR(G49/L49),"",G49/L49)</f>
        <v>4.2962962962962967</v>
      </c>
      <c r="L49" s="129">
        <v>54</v>
      </c>
      <c r="M49" s="109">
        <f t="shared" si="19"/>
        <v>-0.79629629629629672</v>
      </c>
      <c r="N49" s="130">
        <f t="shared" si="20"/>
        <v>0</v>
      </c>
      <c r="O49" s="474"/>
      <c r="P49" s="474"/>
      <c r="Q49" s="474"/>
      <c r="R49" s="474"/>
      <c r="S49" s="474"/>
      <c r="T49" s="474"/>
      <c r="U49" s="474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71" t="s">
        <v>382</v>
      </c>
      <c r="C50" s="187" t="s">
        <v>384</v>
      </c>
      <c r="D50" s="108">
        <v>5.03</v>
      </c>
      <c r="E50" s="108"/>
      <c r="F50" s="127"/>
      <c r="G50" s="128"/>
      <c r="H50" s="479">
        <f t="shared" si="11"/>
        <v>0</v>
      </c>
      <c r="I50" s="129"/>
      <c r="J50" s="130" t="str">
        <f t="array" ref="J50">IF(ISERROR(G50/I50),"",G50/I50)</f>
        <v/>
      </c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74"/>
      <c r="P50" s="474"/>
      <c r="Q50" s="474"/>
      <c r="R50" s="474"/>
      <c r="S50" s="474"/>
      <c r="T50" s="474"/>
      <c r="U50" s="474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71" t="s">
        <v>382</v>
      </c>
      <c r="C51" s="187" t="s">
        <v>389</v>
      </c>
      <c r="D51" s="108">
        <v>5.03</v>
      </c>
      <c r="E51" s="108"/>
      <c r="F51" s="127"/>
      <c r="G51" s="128"/>
      <c r="H51" s="479">
        <f t="shared" si="11"/>
        <v>0</v>
      </c>
      <c r="I51" s="129"/>
      <c r="J51" s="130" t="str">
        <f t="array" ref="J51">IF(ISERROR(G51/I51),"",G51/I51)</f>
        <v/>
      </c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74"/>
      <c r="P51" s="474"/>
      <c r="Q51" s="474"/>
      <c r="R51" s="474"/>
      <c r="S51" s="474"/>
      <c r="T51" s="474"/>
      <c r="U51" s="474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71" t="s">
        <v>382</v>
      </c>
      <c r="C52" s="187" t="s">
        <v>391</v>
      </c>
      <c r="D52" s="108">
        <v>5.03</v>
      </c>
      <c r="E52" s="108"/>
      <c r="F52" s="127"/>
      <c r="G52" s="128"/>
      <c r="H52" s="479">
        <f t="shared" si="11"/>
        <v>0</v>
      </c>
      <c r="I52" s="129"/>
      <c r="J52" s="130" t="str">
        <f t="array" ref="J52">IF(ISERROR(G52/I52),"",G52/I52)</f>
        <v/>
      </c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74"/>
      <c r="P52" s="474"/>
      <c r="Q52" s="474"/>
      <c r="R52" s="474"/>
      <c r="S52" s="474"/>
      <c r="T52" s="474"/>
      <c r="U52" s="474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71" t="s">
        <v>418</v>
      </c>
      <c r="C53" s="187" t="s">
        <v>364</v>
      </c>
      <c r="D53" s="108">
        <v>5.03</v>
      </c>
      <c r="E53" s="108"/>
      <c r="F53" s="127"/>
      <c r="G53" s="128"/>
      <c r="H53" s="479">
        <f t="shared" si="11"/>
        <v>0</v>
      </c>
      <c r="I53" s="129"/>
      <c r="J53" s="130" t="str">
        <f t="array" ref="J53">IF(ISERROR(G53/I53),"",G53/I53)</f>
        <v/>
      </c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74"/>
      <c r="P53" s="474"/>
      <c r="Q53" s="474"/>
      <c r="R53" s="474"/>
      <c r="S53" s="474"/>
      <c r="T53" s="474"/>
      <c r="U53" s="474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71" t="s">
        <v>418</v>
      </c>
      <c r="C54" s="187" t="s">
        <v>365</v>
      </c>
      <c r="D54" s="108">
        <v>5.03</v>
      </c>
      <c r="E54" s="108"/>
      <c r="F54" s="127"/>
      <c r="G54" s="128"/>
      <c r="H54" s="479">
        <f t="shared" si="11"/>
        <v>0</v>
      </c>
      <c r="I54" s="129"/>
      <c r="J54" s="130" t="str">
        <f t="array" ref="J54">IF(ISERROR(G54/I54),"",G54/I54)</f>
        <v/>
      </c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74"/>
      <c r="P54" s="474"/>
      <c r="Q54" s="474"/>
      <c r="R54" s="474"/>
      <c r="S54" s="474"/>
      <c r="T54" s="474"/>
      <c r="U54" s="474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71" t="s">
        <v>418</v>
      </c>
      <c r="C55" s="187" t="s">
        <v>366</v>
      </c>
      <c r="D55" s="108">
        <v>5.03</v>
      </c>
      <c r="E55" s="108"/>
      <c r="F55" s="127"/>
      <c r="G55" s="128"/>
      <c r="H55" s="479">
        <f t="shared" si="11"/>
        <v>0</v>
      </c>
      <c r="I55" s="129"/>
      <c r="J55" s="130" t="str">
        <f t="array" ref="J55">IF(ISERROR(G55/I55),"",G55/I55)</f>
        <v/>
      </c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74"/>
      <c r="P55" s="474"/>
      <c r="Q55" s="474"/>
      <c r="R55" s="474"/>
      <c r="S55" s="474"/>
      <c r="T55" s="474"/>
      <c r="U55" s="474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71" t="s">
        <v>418</v>
      </c>
      <c r="C56" s="187" t="s">
        <v>367</v>
      </c>
      <c r="D56" s="108">
        <v>5.03</v>
      </c>
      <c r="E56" s="108"/>
      <c r="F56" s="127"/>
      <c r="G56" s="128"/>
      <c r="H56" s="479">
        <f t="shared" si="11"/>
        <v>0</v>
      </c>
      <c r="I56" s="129"/>
      <c r="J56" s="130" t="str">
        <f t="array" ref="J56">IF(ISERROR(G56/I56),"",G56/I56)</f>
        <v/>
      </c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74"/>
      <c r="P56" s="474"/>
      <c r="Q56" s="474"/>
      <c r="R56" s="474"/>
      <c r="S56" s="474"/>
      <c r="T56" s="474"/>
      <c r="U56" s="474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79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70"/>
      <c r="P57" s="470"/>
      <c r="Q57" s="470"/>
      <c r="R57" s="470"/>
      <c r="S57" s="470"/>
      <c r="T57" s="470"/>
      <c r="U57" s="470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79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70"/>
      <c r="P58" s="470"/>
      <c r="Q58" s="470"/>
      <c r="R58" s="470"/>
      <c r="S58" s="470"/>
      <c r="T58" s="470"/>
      <c r="U58" s="470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79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70"/>
      <c r="P59" s="470"/>
      <c r="Q59" s="470"/>
      <c r="R59" s="470"/>
      <c r="S59" s="470"/>
      <c r="T59" s="470"/>
      <c r="U59" s="470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79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70"/>
      <c r="P60" s="470"/>
      <c r="Q60" s="470"/>
      <c r="R60" s="470"/>
      <c r="S60" s="470"/>
      <c r="T60" s="470"/>
      <c r="U60" s="470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79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70"/>
      <c r="P61" s="470"/>
      <c r="Q61" s="470"/>
      <c r="R61" s="470"/>
      <c r="S61" s="470"/>
      <c r="T61" s="470"/>
      <c r="U61" s="470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79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70"/>
      <c r="P62" s="470"/>
      <c r="Q62" s="470"/>
      <c r="R62" s="470"/>
      <c r="S62" s="470"/>
      <c r="T62" s="470"/>
      <c r="U62" s="470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79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70"/>
      <c r="P63" s="470"/>
      <c r="Q63" s="470"/>
      <c r="R63" s="470"/>
      <c r="S63" s="470"/>
      <c r="T63" s="470"/>
      <c r="U63" s="470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79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70"/>
      <c r="P64" s="470"/>
      <c r="Q64" s="470"/>
      <c r="R64" s="470"/>
      <c r="S64" s="470"/>
      <c r="T64" s="470"/>
      <c r="U64" s="470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79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70"/>
      <c r="P65" s="470"/>
      <c r="Q65" s="470"/>
      <c r="R65" s="470"/>
      <c r="S65" s="470"/>
      <c r="T65" s="470"/>
      <c r="U65" s="470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79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70"/>
      <c r="P66" s="470"/>
      <c r="Q66" s="470"/>
      <c r="R66" s="470"/>
      <c r="S66" s="470"/>
      <c r="T66" s="470"/>
      <c r="U66" s="470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79">
        <f t="shared" si="11"/>
        <v>0</v>
      </c>
      <c r="I67" s="129"/>
      <c r="J67" s="130" t="str">
        <f t="array" ref="J67">IF(ISERROR(G67/I67),"",G67/I67)</f>
        <v/>
      </c>
      <c r="K67" s="131">
        <f t="array" ref="K67">IF(ISERROR(G67/L67),"",G67/L67)</f>
        <v>0</v>
      </c>
      <c r="L67" s="129">
        <v>50</v>
      </c>
      <c r="M67" s="109"/>
      <c r="N67" s="130"/>
      <c r="O67" s="470"/>
      <c r="P67" s="470"/>
      <c r="Q67" s="470"/>
      <c r="R67" s="470"/>
      <c r="S67" s="470"/>
      <c r="T67" s="470"/>
      <c r="U67" s="470"/>
      <c r="V67" s="132"/>
      <c r="W67" s="133"/>
      <c r="X67" s="132"/>
      <c r="Y67" s="132"/>
      <c r="Z67" s="132"/>
      <c r="AA67" s="132"/>
    </row>
    <row r="68" spans="1:27" ht="20.10000000000000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>
        <v>42716</v>
      </c>
      <c r="G68" s="128">
        <f>108+41+87+108</f>
        <v>344</v>
      </c>
      <c r="H68" s="479">
        <f t="shared" si="11"/>
        <v>1720</v>
      </c>
      <c r="I68" s="129">
        <v>6.5</v>
      </c>
      <c r="J68" s="130">
        <f t="array" ref="J68">IF(ISERROR(G68/I68),"",G68/I68)</f>
        <v>52.92307692307692</v>
      </c>
      <c r="K68" s="131">
        <f t="array" ref="K68">IF(ISERROR(G68/L68),"",G68/L68)</f>
        <v>6.88</v>
      </c>
      <c r="L68" s="129">
        <v>50</v>
      </c>
      <c r="M68" s="109"/>
      <c r="N68" s="130"/>
      <c r="O68" s="470"/>
      <c r="P68" s="470"/>
      <c r="Q68" s="470"/>
      <c r="R68" s="470"/>
      <c r="S68" s="470"/>
      <c r="T68" s="470"/>
      <c r="U68" s="470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79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70"/>
      <c r="P69" s="470"/>
      <c r="Q69" s="470"/>
      <c r="R69" s="470"/>
      <c r="S69" s="470"/>
      <c r="T69" s="470"/>
      <c r="U69" s="470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79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70"/>
      <c r="P70" s="470"/>
      <c r="Q70" s="470"/>
      <c r="R70" s="470"/>
      <c r="S70" s="470"/>
      <c r="T70" s="470"/>
      <c r="U70" s="470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79">
        <f t="shared" si="11"/>
        <v>0</v>
      </c>
      <c r="I71" s="129"/>
      <c r="J71" s="130"/>
      <c r="K71" s="131"/>
      <c r="L71" s="129"/>
      <c r="M71" s="109"/>
      <c r="N71" s="130"/>
      <c r="O71" s="470"/>
      <c r="P71" s="470"/>
      <c r="Q71" s="470"/>
      <c r="R71" s="470"/>
      <c r="S71" s="470"/>
      <c r="T71" s="470"/>
      <c r="U71" s="470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79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70"/>
      <c r="P72" s="470"/>
      <c r="Q72" s="470"/>
      <c r="R72" s="470"/>
      <c r="S72" s="470"/>
      <c r="T72" s="470"/>
      <c r="U72" s="470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79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70"/>
      <c r="P73" s="470"/>
      <c r="Q73" s="470"/>
      <c r="R73" s="470"/>
      <c r="S73" s="470"/>
      <c r="T73" s="470"/>
      <c r="U73" s="470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79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70"/>
      <c r="P74" s="470"/>
      <c r="Q74" s="470"/>
      <c r="R74" s="470"/>
      <c r="S74" s="470"/>
      <c r="T74" s="470"/>
      <c r="U74" s="470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79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70"/>
      <c r="P75" s="470"/>
      <c r="Q75" s="470"/>
      <c r="R75" s="470"/>
      <c r="S75" s="470"/>
      <c r="T75" s="470"/>
      <c r="U75" s="470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79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70"/>
      <c r="P76" s="470"/>
      <c r="Q76" s="470"/>
      <c r="R76" s="470"/>
      <c r="S76" s="470"/>
      <c r="T76" s="470"/>
      <c r="U76" s="470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79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70"/>
      <c r="P77" s="470"/>
      <c r="Q77" s="470"/>
      <c r="R77" s="470"/>
      <c r="S77" s="470"/>
      <c r="T77" s="470"/>
      <c r="U77" s="470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79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70"/>
      <c r="P78" s="470"/>
      <c r="Q78" s="470"/>
      <c r="R78" s="470"/>
      <c r="S78" s="470"/>
      <c r="T78" s="470"/>
      <c r="U78" s="470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79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70"/>
      <c r="P79" s="470"/>
      <c r="Q79" s="470"/>
      <c r="R79" s="470"/>
      <c r="S79" s="470"/>
      <c r="T79" s="470"/>
      <c r="U79" s="470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79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70"/>
      <c r="P80" s="470"/>
      <c r="Q80" s="470"/>
      <c r="R80" s="470"/>
      <c r="S80" s="470"/>
      <c r="T80" s="470"/>
      <c r="U80" s="470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79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70"/>
      <c r="P81" s="470"/>
      <c r="Q81" s="470"/>
      <c r="R81" s="470"/>
      <c r="S81" s="470"/>
      <c r="T81" s="470"/>
      <c r="U81" s="470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79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70"/>
      <c r="P82" s="470"/>
      <c r="Q82" s="470"/>
      <c r="R82" s="470"/>
      <c r="S82" s="470"/>
      <c r="T82" s="470"/>
      <c r="U82" s="470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79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70"/>
      <c r="P83" s="470"/>
      <c r="Q83" s="470"/>
      <c r="R83" s="470"/>
      <c r="S83" s="470"/>
      <c r="T83" s="470"/>
      <c r="U83" s="470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79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70"/>
      <c r="P84" s="470"/>
      <c r="Q84" s="470"/>
      <c r="R84" s="470"/>
      <c r="S84" s="470"/>
      <c r="T84" s="470"/>
      <c r="U84" s="470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79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70"/>
      <c r="P85" s="470"/>
      <c r="Q85" s="470"/>
      <c r="R85" s="470"/>
      <c r="S85" s="470"/>
      <c r="T85" s="470"/>
      <c r="U85" s="470"/>
      <c r="V85" s="132"/>
      <c r="W85" s="133"/>
      <c r="X85" s="132"/>
      <c r="Y85" s="132"/>
      <c r="Z85" s="132"/>
      <c r="AA85" s="132"/>
    </row>
    <row r="86" spans="1:27" ht="20.100000000000001" customHeight="1">
      <c r="A86" s="641" t="s">
        <v>216</v>
      </c>
      <c r="B86" s="641"/>
      <c r="C86" s="477" t="s">
        <v>202</v>
      </c>
      <c r="D86" s="143"/>
      <c r="E86" s="143"/>
      <c r="F86" s="144"/>
      <c r="G86" s="145">
        <f>SUM(G29:G85)</f>
        <v>1829</v>
      </c>
      <c r="H86" s="146">
        <f>SUM(H29:H85)</f>
        <v>9189.5499999999993</v>
      </c>
      <c r="I86" s="146">
        <f>SUM(I29:I85)</f>
        <v>19</v>
      </c>
      <c r="J86" s="130">
        <f t="array" ref="J86">IF(ISERROR(G86/I86),"",G86/I86)</f>
        <v>96.263157894736835</v>
      </c>
      <c r="K86" s="146">
        <f>SUM(K29:K85)</f>
        <v>33.5512962962963</v>
      </c>
      <c r="L86" s="147"/>
      <c r="M86" s="150">
        <f t="shared" ref="M86:V86" si="34">SUM(M29:M85)</f>
        <v>-14.171296296296298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71" t="s">
        <v>217</v>
      </c>
      <c r="C87" s="126" t="s">
        <v>179</v>
      </c>
      <c r="D87" s="108">
        <v>5.03</v>
      </c>
      <c r="E87" s="108"/>
      <c r="F87" s="127"/>
      <c r="G87" s="128"/>
      <c r="H87" s="479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70"/>
      <c r="P87" s="470"/>
      <c r="Q87" s="470"/>
      <c r="R87" s="470"/>
      <c r="S87" s="470"/>
      <c r="T87" s="470"/>
      <c r="U87" s="470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71" t="s">
        <v>217</v>
      </c>
      <c r="C88" s="126" t="s">
        <v>186</v>
      </c>
      <c r="D88" s="108">
        <v>5.03</v>
      </c>
      <c r="E88" s="108"/>
      <c r="F88" s="127"/>
      <c r="G88" s="128"/>
      <c r="H88" s="479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70"/>
      <c r="P88" s="470"/>
      <c r="Q88" s="470"/>
      <c r="R88" s="470"/>
      <c r="S88" s="470"/>
      <c r="T88" s="470"/>
      <c r="U88" s="470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71" t="s">
        <v>217</v>
      </c>
      <c r="C89" s="126" t="s">
        <v>204</v>
      </c>
      <c r="D89" s="108">
        <v>5.03</v>
      </c>
      <c r="E89" s="108"/>
      <c r="F89" s="127"/>
      <c r="G89" s="128"/>
      <c r="H89" s="479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70"/>
      <c r="P89" s="470"/>
      <c r="Q89" s="470"/>
      <c r="R89" s="470"/>
      <c r="S89" s="470"/>
      <c r="T89" s="470"/>
      <c r="U89" s="470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79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70"/>
      <c r="P90" s="470"/>
      <c r="Q90" s="470"/>
      <c r="R90" s="470"/>
      <c r="S90" s="470"/>
      <c r="T90" s="470"/>
      <c r="U90" s="470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79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70"/>
      <c r="P91" s="470"/>
      <c r="Q91" s="470"/>
      <c r="R91" s="470"/>
      <c r="S91" s="470"/>
      <c r="T91" s="470"/>
      <c r="U91" s="470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79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70"/>
      <c r="P92" s="470"/>
      <c r="Q92" s="470"/>
      <c r="R92" s="470"/>
      <c r="S92" s="470"/>
      <c r="T92" s="470"/>
      <c r="U92" s="470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79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70"/>
      <c r="P93" s="470"/>
      <c r="Q93" s="470"/>
      <c r="R93" s="470"/>
      <c r="S93" s="470"/>
      <c r="T93" s="470"/>
      <c r="U93" s="470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79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70"/>
      <c r="P94" s="470"/>
      <c r="Q94" s="470"/>
      <c r="R94" s="470"/>
      <c r="S94" s="470"/>
      <c r="T94" s="470"/>
      <c r="U94" s="470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79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70"/>
      <c r="P95" s="470"/>
      <c r="Q95" s="470"/>
      <c r="R95" s="470"/>
      <c r="S95" s="470"/>
      <c r="T95" s="470"/>
      <c r="U95" s="470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79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70"/>
      <c r="P96" s="470"/>
      <c r="Q96" s="470"/>
      <c r="R96" s="470"/>
      <c r="S96" s="470"/>
      <c r="T96" s="470"/>
      <c r="U96" s="470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79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70"/>
      <c r="P97" s="470"/>
      <c r="Q97" s="470"/>
      <c r="R97" s="470"/>
      <c r="S97" s="470"/>
      <c r="T97" s="470"/>
      <c r="U97" s="470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79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70"/>
      <c r="P98" s="470"/>
      <c r="Q98" s="470"/>
      <c r="R98" s="470"/>
      <c r="S98" s="470"/>
      <c r="T98" s="470"/>
      <c r="U98" s="470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79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70"/>
      <c r="P99" s="470"/>
      <c r="Q99" s="470"/>
      <c r="R99" s="470"/>
      <c r="S99" s="470"/>
      <c r="T99" s="470"/>
      <c r="U99" s="470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79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70"/>
      <c r="P100" s="470"/>
      <c r="Q100" s="470"/>
      <c r="R100" s="470"/>
      <c r="S100" s="470"/>
      <c r="T100" s="470"/>
      <c r="U100" s="470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79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70"/>
      <c r="P101" s="470"/>
      <c r="Q101" s="470"/>
      <c r="R101" s="470"/>
      <c r="S101" s="470"/>
      <c r="T101" s="470"/>
      <c r="U101" s="470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79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70"/>
      <c r="P102" s="470"/>
      <c r="Q102" s="470"/>
      <c r="R102" s="470"/>
      <c r="S102" s="470"/>
      <c r="T102" s="470"/>
      <c r="U102" s="470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71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79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70"/>
      <c r="P103" s="470"/>
      <c r="Q103" s="470"/>
      <c r="R103" s="470"/>
      <c r="S103" s="470"/>
      <c r="T103" s="470"/>
      <c r="U103" s="470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71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79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70"/>
      <c r="P104" s="470"/>
      <c r="Q104" s="470"/>
      <c r="R104" s="470"/>
      <c r="S104" s="470"/>
      <c r="T104" s="470"/>
      <c r="U104" s="470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71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79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70"/>
      <c r="P105" s="470"/>
      <c r="Q105" s="470"/>
      <c r="R105" s="470"/>
      <c r="S105" s="470"/>
      <c r="T105" s="470"/>
      <c r="U105" s="470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71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79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70"/>
      <c r="P106" s="470"/>
      <c r="Q106" s="470"/>
      <c r="R106" s="470"/>
      <c r="S106" s="470"/>
      <c r="T106" s="470"/>
      <c r="U106" s="470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customHeight="1">
      <c r="A107" s="299">
        <v>30400026</v>
      </c>
      <c r="B107" s="471" t="s">
        <v>393</v>
      </c>
      <c r="C107" s="187" t="s">
        <v>395</v>
      </c>
      <c r="D107" s="108">
        <v>5</v>
      </c>
      <c r="E107" s="108"/>
      <c r="F107" s="127">
        <v>42715</v>
      </c>
      <c r="G107" s="128">
        <v>102</v>
      </c>
      <c r="H107" s="479">
        <f t="shared" si="36"/>
        <v>510</v>
      </c>
      <c r="I107" s="129">
        <f>3.5*4</f>
        <v>14</v>
      </c>
      <c r="J107" s="130">
        <f t="array" ref="J107">IF(ISERROR(G107/I107),"",G107/I107)</f>
        <v>7.2857142857142856</v>
      </c>
      <c r="K107" s="131">
        <f t="array" ref="K107">IF(ISERROR(G107/L107),"",G107/L107)</f>
        <v>20.399999999999999</v>
      </c>
      <c r="L107" s="129">
        <v>5</v>
      </c>
      <c r="M107" s="109">
        <f t="shared" si="37"/>
        <v>-6.3999999999999986</v>
      </c>
      <c r="N107" s="130">
        <f t="shared" si="40"/>
        <v>0</v>
      </c>
      <c r="O107" s="470"/>
      <c r="P107" s="470"/>
      <c r="Q107" s="470"/>
      <c r="R107" s="470"/>
      <c r="S107" s="470"/>
      <c r="T107" s="470"/>
      <c r="U107" s="470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471" t="s">
        <v>393</v>
      </c>
      <c r="C108" s="187" t="s">
        <v>402</v>
      </c>
      <c r="D108" s="108">
        <v>5</v>
      </c>
      <c r="E108" s="108"/>
      <c r="F108" s="127">
        <v>42716</v>
      </c>
      <c r="G108" s="128">
        <f>90*4+92</f>
        <v>452</v>
      </c>
      <c r="H108" s="479">
        <f t="shared" si="36"/>
        <v>2260</v>
      </c>
      <c r="I108" s="129">
        <f>7*3</f>
        <v>21</v>
      </c>
      <c r="J108" s="130">
        <f t="array" ref="J108">IF(ISERROR(G108/I108),"",G108/I108)</f>
        <v>21.523809523809526</v>
      </c>
      <c r="K108" s="131">
        <f t="array" ref="K108">IF(ISERROR(G108/L108),"",G108/L108)</f>
        <v>90.4</v>
      </c>
      <c r="L108" s="129">
        <v>5</v>
      </c>
      <c r="M108" s="109">
        <f t="shared" si="37"/>
        <v>-69.400000000000006</v>
      </c>
      <c r="N108" s="130">
        <f t="shared" si="40"/>
        <v>0</v>
      </c>
      <c r="O108" s="470"/>
      <c r="P108" s="470"/>
      <c r="Q108" s="470"/>
      <c r="R108" s="470"/>
      <c r="S108" s="470"/>
      <c r="T108" s="470"/>
      <c r="U108" s="470"/>
      <c r="V108" s="132"/>
      <c r="W108" s="133"/>
      <c r="X108" s="132"/>
      <c r="Y108" s="132"/>
      <c r="Z108" s="132"/>
      <c r="AA108" s="132"/>
    </row>
    <row r="109" spans="1:27" ht="20.100000000000001" customHeight="1">
      <c r="A109" s="299">
        <v>30400027</v>
      </c>
      <c r="B109" s="471" t="s">
        <v>404</v>
      </c>
      <c r="C109" s="187" t="s">
        <v>405</v>
      </c>
      <c r="D109" s="108">
        <v>5</v>
      </c>
      <c r="E109" s="108"/>
      <c r="F109" s="127">
        <v>42715</v>
      </c>
      <c r="G109" s="128">
        <f>90*4</f>
        <v>360</v>
      </c>
      <c r="H109" s="479">
        <f t="shared" si="36"/>
        <v>1800</v>
      </c>
      <c r="I109" s="129">
        <f>4.5*6+7*2</f>
        <v>41</v>
      </c>
      <c r="J109" s="130">
        <f t="array" ref="J109">IF(ISERROR(G109/I109),"",G109/I109)</f>
        <v>8.7804878048780495</v>
      </c>
      <c r="K109" s="131">
        <f t="array" ref="K109">IF(ISERROR(G109/L109),"",G109/L109)</f>
        <v>72</v>
      </c>
      <c r="L109" s="129">
        <v>5</v>
      </c>
      <c r="M109" s="109">
        <f t="shared" si="37"/>
        <v>-31</v>
      </c>
      <c r="N109" s="130">
        <f t="shared" si="40"/>
        <v>0</v>
      </c>
      <c r="O109" s="470"/>
      <c r="P109" s="470"/>
      <c r="Q109" s="470"/>
      <c r="R109" s="470"/>
      <c r="S109" s="470"/>
      <c r="T109" s="470"/>
      <c r="U109" s="470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71" t="s">
        <v>492</v>
      </c>
      <c r="C110" s="187" t="s">
        <v>372</v>
      </c>
      <c r="D110" s="108">
        <v>5</v>
      </c>
      <c r="E110" s="108"/>
      <c r="F110" s="127"/>
      <c r="G110" s="128"/>
      <c r="H110" s="479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70"/>
      <c r="P110" s="470"/>
      <c r="Q110" s="470"/>
      <c r="R110" s="470"/>
      <c r="S110" s="470"/>
      <c r="T110" s="470"/>
      <c r="U110" s="470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71" t="s">
        <v>343</v>
      </c>
      <c r="C111" s="126" t="s">
        <v>345</v>
      </c>
      <c r="D111" s="108">
        <v>5</v>
      </c>
      <c r="E111" s="108"/>
      <c r="F111" s="127"/>
      <c r="G111" s="128"/>
      <c r="H111" s="479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70"/>
      <c r="P111" s="470"/>
      <c r="Q111" s="470"/>
      <c r="R111" s="470"/>
      <c r="S111" s="470"/>
      <c r="T111" s="470"/>
      <c r="U111" s="470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71" t="s">
        <v>343</v>
      </c>
      <c r="C112" s="126" t="s">
        <v>347</v>
      </c>
      <c r="D112" s="108">
        <v>5</v>
      </c>
      <c r="E112" s="108"/>
      <c r="F112" s="127"/>
      <c r="G112" s="128"/>
      <c r="H112" s="479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70"/>
      <c r="P112" s="470"/>
      <c r="Q112" s="470"/>
      <c r="R112" s="470"/>
      <c r="S112" s="470"/>
      <c r="T112" s="470"/>
      <c r="U112" s="470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79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70"/>
      <c r="P113" s="470"/>
      <c r="Q113" s="470"/>
      <c r="R113" s="470"/>
      <c r="S113" s="470"/>
      <c r="T113" s="470"/>
      <c r="U113" s="470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79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70"/>
      <c r="P114" s="470"/>
      <c r="Q114" s="470"/>
      <c r="R114" s="470"/>
      <c r="S114" s="470"/>
      <c r="T114" s="470"/>
      <c r="U114" s="470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79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70"/>
      <c r="P115" s="470"/>
      <c r="Q115" s="470"/>
      <c r="R115" s="470"/>
      <c r="S115" s="470"/>
      <c r="T115" s="470"/>
      <c r="U115" s="470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79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70"/>
      <c r="P116" s="470"/>
      <c r="Q116" s="470"/>
      <c r="R116" s="470"/>
      <c r="S116" s="470"/>
      <c r="T116" s="470"/>
      <c r="U116" s="470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79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70"/>
      <c r="P117" s="470"/>
      <c r="Q117" s="470"/>
      <c r="R117" s="470"/>
      <c r="S117" s="470"/>
      <c r="T117" s="470"/>
      <c r="U117" s="470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79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70"/>
      <c r="P118" s="470"/>
      <c r="Q118" s="470"/>
      <c r="R118" s="470"/>
      <c r="S118" s="470"/>
      <c r="T118" s="470"/>
      <c r="U118" s="470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79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70"/>
      <c r="P119" s="470"/>
      <c r="Q119" s="470"/>
      <c r="R119" s="470"/>
      <c r="S119" s="470"/>
      <c r="T119" s="470"/>
      <c r="U119" s="470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79">
        <f t="shared" si="36"/>
        <v>0</v>
      </c>
      <c r="I120" s="129"/>
      <c r="J120" s="130" t="str">
        <f t="array" ref="J120">IF(ISERROR(G120/I120),"",G120/I120)</f>
        <v/>
      </c>
      <c r="K120" s="479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70"/>
      <c r="P120" s="470"/>
      <c r="Q120" s="470"/>
      <c r="R120" s="470"/>
      <c r="S120" s="470"/>
      <c r="T120" s="470"/>
      <c r="U120" s="470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30" t="s">
        <v>224</v>
      </c>
      <c r="B121" s="631"/>
      <c r="C121" s="477" t="s">
        <v>202</v>
      </c>
      <c r="D121" s="143"/>
      <c r="E121" s="143"/>
      <c r="F121" s="144"/>
      <c r="G121" s="145">
        <f>SUM(G87:G120)</f>
        <v>914</v>
      </c>
      <c r="H121" s="146">
        <f>SUM(H87:H120)</f>
        <v>4570</v>
      </c>
      <c r="I121" s="146">
        <f>SUM(I87:I120)</f>
        <v>76</v>
      </c>
      <c r="J121" s="130">
        <f t="array" ref="J121">IF(ISERROR(G121/I121),"",G121/I121)</f>
        <v>12.026315789473685</v>
      </c>
      <c r="K121" s="146">
        <f>SUM(K87:K120)</f>
        <v>182.8</v>
      </c>
      <c r="L121" s="147"/>
      <c r="M121" s="150">
        <f t="shared" ref="M121:V121" si="50">SUM(M87:M120)</f>
        <v>-106.80000000000001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79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70"/>
      <c r="P122" s="470"/>
      <c r="Q122" s="470"/>
      <c r="R122" s="470"/>
      <c r="S122" s="470"/>
      <c r="T122" s="470"/>
      <c r="U122" s="470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79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70"/>
      <c r="P123" s="470"/>
      <c r="Q123" s="470"/>
      <c r="R123" s="470"/>
      <c r="S123" s="470"/>
      <c r="T123" s="470"/>
      <c r="U123" s="470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79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70"/>
      <c r="P124" s="470"/>
      <c r="Q124" s="470"/>
      <c r="R124" s="470"/>
      <c r="S124" s="470"/>
      <c r="T124" s="470"/>
      <c r="U124" s="470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79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70"/>
      <c r="P125" s="470"/>
      <c r="Q125" s="470"/>
      <c r="R125" s="470"/>
      <c r="S125" s="470"/>
      <c r="T125" s="470"/>
      <c r="U125" s="470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75" t="s">
        <v>203</v>
      </c>
      <c r="D126" s="108">
        <v>5.03</v>
      </c>
      <c r="E126" s="108"/>
      <c r="F126" s="127"/>
      <c r="G126" s="128"/>
      <c r="H126" s="479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70"/>
      <c r="P126" s="470"/>
      <c r="Q126" s="470"/>
      <c r="R126" s="470"/>
      <c r="S126" s="470"/>
      <c r="T126" s="470"/>
      <c r="U126" s="470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79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70"/>
      <c r="P127" s="470"/>
      <c r="Q127" s="470"/>
      <c r="R127" s="470"/>
      <c r="S127" s="470"/>
      <c r="T127" s="470"/>
      <c r="U127" s="470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79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70"/>
      <c r="P128" s="470"/>
      <c r="Q128" s="470"/>
      <c r="R128" s="470"/>
      <c r="S128" s="470"/>
      <c r="T128" s="470"/>
      <c r="U128" s="470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75" t="s">
        <v>228</v>
      </c>
      <c r="D129" s="108">
        <v>5.03</v>
      </c>
      <c r="E129" s="108"/>
      <c r="F129" s="127"/>
      <c r="G129" s="128"/>
      <c r="H129" s="479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70"/>
      <c r="P129" s="470"/>
      <c r="Q129" s="470"/>
      <c r="R129" s="470"/>
      <c r="S129" s="470"/>
      <c r="T129" s="470"/>
      <c r="U129" s="470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75" t="s">
        <v>212</v>
      </c>
      <c r="D130" s="108">
        <v>5.03</v>
      </c>
      <c r="E130" s="108"/>
      <c r="F130" s="127"/>
      <c r="G130" s="128"/>
      <c r="H130" s="479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70"/>
      <c r="P130" s="470"/>
      <c r="Q130" s="470"/>
      <c r="R130" s="470"/>
      <c r="S130" s="470"/>
      <c r="T130" s="470"/>
      <c r="U130" s="470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75" t="s">
        <v>203</v>
      </c>
      <c r="D131" s="108">
        <v>5.03</v>
      </c>
      <c r="E131" s="108"/>
      <c r="F131" s="127"/>
      <c r="G131" s="128"/>
      <c r="H131" s="479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70"/>
      <c r="P131" s="470"/>
      <c r="Q131" s="470"/>
      <c r="R131" s="470"/>
      <c r="S131" s="470"/>
      <c r="T131" s="470"/>
      <c r="U131" s="470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75" t="s">
        <v>186</v>
      </c>
      <c r="D132" s="108">
        <v>5.03</v>
      </c>
      <c r="E132" s="108"/>
      <c r="F132" s="127"/>
      <c r="G132" s="128"/>
      <c r="H132" s="479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70"/>
      <c r="P132" s="470"/>
      <c r="Q132" s="470"/>
      <c r="R132" s="470"/>
      <c r="S132" s="470"/>
      <c r="T132" s="470"/>
      <c r="U132" s="470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75" t="s">
        <v>228</v>
      </c>
      <c r="D133" s="108">
        <v>5.03</v>
      </c>
      <c r="E133" s="108"/>
      <c r="F133" s="127"/>
      <c r="G133" s="128"/>
      <c r="H133" s="479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70"/>
      <c r="P133" s="470"/>
      <c r="Q133" s="470"/>
      <c r="R133" s="470"/>
      <c r="S133" s="470"/>
      <c r="T133" s="470"/>
      <c r="U133" s="470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75" t="s">
        <v>199</v>
      </c>
      <c r="D134" s="108">
        <v>5.03</v>
      </c>
      <c r="E134" s="108"/>
      <c r="F134" s="127"/>
      <c r="G134" s="128"/>
      <c r="H134" s="479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70"/>
      <c r="P134" s="470"/>
      <c r="Q134" s="470"/>
      <c r="R134" s="470"/>
      <c r="S134" s="470"/>
      <c r="T134" s="470"/>
      <c r="U134" s="470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79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70"/>
      <c r="P135" s="470"/>
      <c r="Q135" s="470"/>
      <c r="R135" s="470"/>
      <c r="S135" s="470"/>
      <c r="T135" s="470"/>
      <c r="U135" s="470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79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70"/>
      <c r="P136" s="470"/>
      <c r="Q136" s="470"/>
      <c r="R136" s="470"/>
      <c r="S136" s="470"/>
      <c r="T136" s="470"/>
      <c r="U136" s="470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630" t="s">
        <v>231</v>
      </c>
      <c r="B137" s="631"/>
      <c r="C137" s="477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79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70"/>
      <c r="P138" s="470"/>
      <c r="Q138" s="470"/>
      <c r="R138" s="470"/>
      <c r="S138" s="470"/>
      <c r="T138" s="470"/>
      <c r="U138" s="470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79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70"/>
      <c r="P139" s="470"/>
      <c r="Q139" s="470"/>
      <c r="R139" s="470"/>
      <c r="S139" s="470"/>
      <c r="T139" s="470"/>
      <c r="U139" s="470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79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70"/>
      <c r="P140" s="470"/>
      <c r="Q140" s="470"/>
      <c r="R140" s="470"/>
      <c r="S140" s="470"/>
      <c r="T140" s="470"/>
      <c r="U140" s="470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79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70"/>
      <c r="P141" s="470"/>
      <c r="Q141" s="470"/>
      <c r="R141" s="470"/>
      <c r="S141" s="470"/>
      <c r="T141" s="470"/>
      <c r="U141" s="470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79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70"/>
      <c r="P142" s="470"/>
      <c r="Q142" s="470"/>
      <c r="R142" s="470"/>
      <c r="S142" s="470"/>
      <c r="T142" s="470"/>
      <c r="U142" s="470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79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70"/>
      <c r="P143" s="470"/>
      <c r="Q143" s="470"/>
      <c r="R143" s="470"/>
      <c r="S143" s="470"/>
      <c r="T143" s="470"/>
      <c r="U143" s="470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>
        <v>42712</v>
      </c>
      <c r="G144" s="128">
        <f>11+53+90*3</f>
        <v>334</v>
      </c>
      <c r="H144" s="479">
        <f t="shared" si="55"/>
        <v>1683.36</v>
      </c>
      <c r="I144" s="129">
        <f>8*4</f>
        <v>32</v>
      </c>
      <c r="J144" s="130">
        <f t="array" ref="J144">IF(ISERROR(G144/I144),"",G144/I144)</f>
        <v>10.4375</v>
      </c>
      <c r="K144" s="131">
        <f t="array" ref="K144">IF(ISERROR(G144/L144),"",G144/L144)</f>
        <v>24.74074074074074</v>
      </c>
      <c r="L144" s="129">
        <v>13.5</v>
      </c>
      <c r="M144" s="109"/>
      <c r="N144" s="130"/>
      <c r="O144" s="470"/>
      <c r="P144" s="470"/>
      <c r="Q144" s="470"/>
      <c r="R144" s="470"/>
      <c r="S144" s="470"/>
      <c r="T144" s="470"/>
      <c r="U144" s="470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479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470"/>
      <c r="P146" s="470"/>
      <c r="Q146" s="470"/>
      <c r="R146" s="470"/>
      <c r="S146" s="470"/>
      <c r="T146" s="470"/>
      <c r="U146" s="470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customHeight="1">
      <c r="A147" s="630" t="s">
        <v>234</v>
      </c>
      <c r="B147" s="631"/>
      <c r="C147" s="477" t="s">
        <v>202</v>
      </c>
      <c r="D147" s="143"/>
      <c r="E147" s="143"/>
      <c r="F147" s="144"/>
      <c r="G147" s="145">
        <f>SUM(G138:G146)</f>
        <v>334</v>
      </c>
      <c r="H147" s="146">
        <f>SUM(H138:H146)</f>
        <v>1683.36</v>
      </c>
      <c r="I147" s="146">
        <f>SUM(I138:I146)</f>
        <v>32</v>
      </c>
      <c r="J147" s="130">
        <f t="array" ref="J147">IF(ISERROR(G147/I147),"",G147/I147)</f>
        <v>10.4375</v>
      </c>
      <c r="K147" s="146">
        <f>SUM(K138:K146)</f>
        <v>24.74074074074074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>
        <f t="shared" si="62"/>
        <v>0</v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469"/>
      <c r="D148" s="108">
        <v>3.65</v>
      </c>
      <c r="E148" s="108"/>
      <c r="F148" s="153"/>
      <c r="G148" s="128"/>
      <c r="H148" s="479">
        <f t="shared" ref="H148:H161" si="63">D148*G148</f>
        <v>0</v>
      </c>
      <c r="I148" s="129"/>
      <c r="J148" s="130" t="str">
        <f t="array" ref="J148">IF(ISERROR(G148/I148),"",G148/I148)</f>
        <v/>
      </c>
      <c r="K148" s="479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470"/>
      <c r="P148" s="470"/>
      <c r="Q148" s="470"/>
      <c r="R148" s="470"/>
      <c r="S148" s="470"/>
      <c r="T148" s="470"/>
      <c r="U148" s="470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469"/>
      <c r="D149" s="108">
        <v>6.58</v>
      </c>
      <c r="E149" s="108"/>
      <c r="F149" s="127"/>
      <c r="G149" s="128"/>
      <c r="H149" s="479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470"/>
      <c r="P149" s="470"/>
      <c r="Q149" s="470"/>
      <c r="R149" s="470"/>
      <c r="S149" s="470"/>
      <c r="T149" s="470"/>
      <c r="U149" s="470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469"/>
      <c r="D150" s="108">
        <v>7.8</v>
      </c>
      <c r="E150" s="108"/>
      <c r="F150" s="127"/>
      <c r="G150" s="128"/>
      <c r="H150" s="479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470"/>
      <c r="P150" s="470"/>
      <c r="Q150" s="470"/>
      <c r="R150" s="470"/>
      <c r="S150" s="470"/>
      <c r="T150" s="470"/>
      <c r="U150" s="470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469"/>
      <c r="D151" s="108">
        <v>4.4000000000000004</v>
      </c>
      <c r="E151" s="108"/>
      <c r="F151" s="127"/>
      <c r="G151" s="128"/>
      <c r="H151" s="479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470"/>
      <c r="P151" s="470"/>
      <c r="Q151" s="470"/>
      <c r="R151" s="470"/>
      <c r="S151" s="470"/>
      <c r="T151" s="470"/>
      <c r="U151" s="470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479">
        <f t="shared" si="63"/>
        <v>0</v>
      </c>
      <c r="I152" s="129"/>
      <c r="J152" s="130"/>
      <c r="K152" s="131"/>
      <c r="L152" s="129">
        <v>6</v>
      </c>
      <c r="M152" s="109"/>
      <c r="N152" s="130"/>
      <c r="O152" s="470"/>
      <c r="P152" s="470"/>
      <c r="Q152" s="470"/>
      <c r="R152" s="470"/>
      <c r="S152" s="470"/>
      <c r="T152" s="470"/>
      <c r="U152" s="470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469" t="s">
        <v>239</v>
      </c>
      <c r="C153" s="469" t="s">
        <v>179</v>
      </c>
      <c r="D153" s="108">
        <v>6.04</v>
      </c>
      <c r="E153" s="108"/>
      <c r="F153" s="127"/>
      <c r="G153" s="128"/>
      <c r="H153" s="479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470"/>
      <c r="P153" s="470"/>
      <c r="Q153" s="470"/>
      <c r="R153" s="470"/>
      <c r="S153" s="470"/>
      <c r="T153" s="470"/>
      <c r="U153" s="470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469" t="s">
        <v>239</v>
      </c>
      <c r="C154" s="469" t="s">
        <v>186</v>
      </c>
      <c r="D154" s="108">
        <v>6.04</v>
      </c>
      <c r="E154" s="108"/>
      <c r="F154" s="127"/>
      <c r="G154" s="128"/>
      <c r="H154" s="479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470"/>
      <c r="P154" s="470"/>
      <c r="Q154" s="470"/>
      <c r="R154" s="470"/>
      <c r="S154" s="470"/>
      <c r="T154" s="470"/>
      <c r="U154" s="470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469" t="s">
        <v>443</v>
      </c>
      <c r="C155" s="469" t="s">
        <v>179</v>
      </c>
      <c r="D155" s="108">
        <v>6</v>
      </c>
      <c r="E155" s="108"/>
      <c r="F155" s="127"/>
      <c r="G155" s="128"/>
      <c r="H155" s="479">
        <f t="shared" si="63"/>
        <v>0</v>
      </c>
      <c r="I155" s="129"/>
      <c r="J155" s="130"/>
      <c r="K155" s="131"/>
      <c r="L155" s="129"/>
      <c r="M155" s="109"/>
      <c r="N155" s="130"/>
      <c r="O155" s="470"/>
      <c r="P155" s="470"/>
      <c r="Q155" s="470"/>
      <c r="R155" s="470"/>
      <c r="S155" s="470"/>
      <c r="T155" s="470"/>
      <c r="U155" s="470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469" t="s">
        <v>443</v>
      </c>
      <c r="C156" s="469" t="s">
        <v>60</v>
      </c>
      <c r="D156" s="108">
        <v>6</v>
      </c>
      <c r="E156" s="108"/>
      <c r="F156" s="127"/>
      <c r="G156" s="128"/>
      <c r="H156" s="479">
        <f t="shared" si="63"/>
        <v>0</v>
      </c>
      <c r="I156" s="129"/>
      <c r="J156" s="130"/>
      <c r="K156" s="131"/>
      <c r="L156" s="129">
        <v>6</v>
      </c>
      <c r="M156" s="109"/>
      <c r="N156" s="130"/>
      <c r="O156" s="470"/>
      <c r="P156" s="470"/>
      <c r="Q156" s="470"/>
      <c r="R156" s="470"/>
      <c r="S156" s="470"/>
      <c r="T156" s="470"/>
      <c r="U156" s="470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471" t="s">
        <v>240</v>
      </c>
      <c r="C157" s="126"/>
      <c r="D157" s="108">
        <v>7.3</v>
      </c>
      <c r="E157" s="108"/>
      <c r="F157" s="127"/>
      <c r="G157" s="128"/>
      <c r="H157" s="479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470"/>
      <c r="P157" s="470"/>
      <c r="Q157" s="470"/>
      <c r="R157" s="470"/>
      <c r="S157" s="470"/>
      <c r="T157" s="470"/>
      <c r="U157" s="470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471" t="s">
        <v>241</v>
      </c>
      <c r="C158" s="126"/>
      <c r="D158" s="108">
        <f>78*120/1000</f>
        <v>9.36</v>
      </c>
      <c r="E158" s="108"/>
      <c r="F158" s="127"/>
      <c r="G158" s="128"/>
      <c r="H158" s="479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470"/>
      <c r="P158" s="470"/>
      <c r="Q158" s="470"/>
      <c r="R158" s="470"/>
      <c r="S158" s="470"/>
      <c r="T158" s="470"/>
      <c r="U158" s="470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471" t="s">
        <v>242</v>
      </c>
      <c r="C159" s="126"/>
      <c r="D159" s="108">
        <v>4.5</v>
      </c>
      <c r="E159" s="108"/>
      <c r="F159" s="127"/>
      <c r="G159" s="128"/>
      <c r="H159" s="479">
        <f t="shared" si="63"/>
        <v>0</v>
      </c>
      <c r="I159" s="129"/>
      <c r="J159" s="130"/>
      <c r="K159" s="131"/>
      <c r="L159" s="129"/>
      <c r="M159" s="109"/>
      <c r="N159" s="130"/>
      <c r="O159" s="470"/>
      <c r="P159" s="470"/>
      <c r="Q159" s="470"/>
      <c r="R159" s="470"/>
      <c r="S159" s="470"/>
      <c r="T159" s="470"/>
      <c r="U159" s="470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471" t="s">
        <v>243</v>
      </c>
      <c r="C160" s="126"/>
      <c r="D160" s="108">
        <v>4.5</v>
      </c>
      <c r="E160" s="108"/>
      <c r="F160" s="127"/>
      <c r="G160" s="128"/>
      <c r="H160" s="479">
        <f t="shared" si="63"/>
        <v>0</v>
      </c>
      <c r="I160" s="129"/>
      <c r="J160" s="130"/>
      <c r="K160" s="131"/>
      <c r="L160" s="129"/>
      <c r="M160" s="109"/>
      <c r="N160" s="130"/>
      <c r="O160" s="470"/>
      <c r="P160" s="470"/>
      <c r="Q160" s="470"/>
      <c r="R160" s="470"/>
      <c r="S160" s="470"/>
      <c r="T160" s="470"/>
      <c r="U160" s="470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479">
        <f t="shared" si="63"/>
        <v>0</v>
      </c>
      <c r="I161" s="129"/>
      <c r="J161" s="130"/>
      <c r="K161" s="131"/>
      <c r="L161" s="129"/>
      <c r="M161" s="109"/>
      <c r="N161" s="130"/>
      <c r="O161" s="470"/>
      <c r="P161" s="470"/>
      <c r="Q161" s="470"/>
      <c r="R161" s="470"/>
      <c r="S161" s="470"/>
      <c r="T161" s="470"/>
      <c r="U161" s="470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630" t="s">
        <v>244</v>
      </c>
      <c r="B162" s="631"/>
      <c r="C162" s="477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32" t="s">
        <v>246</v>
      </c>
      <c r="B163" s="633"/>
      <c r="C163" s="633"/>
      <c r="D163" s="633"/>
      <c r="E163" s="633"/>
      <c r="F163" s="634"/>
      <c r="G163" s="154">
        <f>SUM(G28,G86,G121,G137,G147,G162)</f>
        <v>4255</v>
      </c>
      <c r="H163" s="154">
        <f>SUM(H28,H86,H121,H137,H147,H162)</f>
        <v>21415.29</v>
      </c>
      <c r="I163" s="154">
        <f>SUM(I28,I86,I121,I137,I147,I162)</f>
        <v>204.5</v>
      </c>
      <c r="J163" s="155">
        <f t="array" ref="J163">IF(ISERROR(G163/I163),"",G163/I163)</f>
        <v>20.806845965770172</v>
      </c>
      <c r="K163" s="154">
        <f>SUM(K28,K86,K121,K137,K147,K162)</f>
        <v>299.52224298669381</v>
      </c>
      <c r="L163" s="155">
        <f>IF(ISERROR(G163/K163),"",G163/K163)</f>
        <v>14.205956651403104</v>
      </c>
      <c r="M163" s="154">
        <f t="shared" ref="M163:AA163" si="76">SUM(M28,M86,M121,M137,M147,M162)</f>
        <v>-101.90150224595305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635" t="s">
        <v>476</v>
      </c>
      <c r="B164" s="476" t="s">
        <v>247</v>
      </c>
      <c r="C164" s="638" t="s">
        <v>248</v>
      </c>
      <c r="D164" s="639"/>
      <c r="E164" s="640" t="s">
        <v>249</v>
      </c>
      <c r="F164" s="640"/>
      <c r="G164" s="643" t="s">
        <v>250</v>
      </c>
      <c r="H164" s="643"/>
      <c r="I164" s="640" t="s">
        <v>251</v>
      </c>
      <c r="J164" s="640"/>
      <c r="K164" s="640" t="s">
        <v>252</v>
      </c>
      <c r="L164" s="640"/>
      <c r="M164" s="640" t="s">
        <v>253</v>
      </c>
      <c r="N164" s="640"/>
      <c r="O164" s="640" t="s">
        <v>254</v>
      </c>
      <c r="P164" s="643" t="s">
        <v>255</v>
      </c>
      <c r="Q164" s="643"/>
      <c r="R164" s="643" t="s">
        <v>252</v>
      </c>
      <c r="S164" s="643"/>
      <c r="T164" s="643" t="s">
        <v>256</v>
      </c>
      <c r="U164" s="643"/>
      <c r="V164" s="643" t="s">
        <v>257</v>
      </c>
      <c r="W164" s="643"/>
      <c r="X164" s="643" t="s">
        <v>252</v>
      </c>
      <c r="Y164" s="643"/>
      <c r="Z164" s="643" t="s">
        <v>256</v>
      </c>
      <c r="AA164" s="643"/>
    </row>
    <row r="165" spans="1:27" ht="20.100000000000001" customHeight="1">
      <c r="A165" s="636"/>
      <c r="B165" s="476" t="s">
        <v>258</v>
      </c>
      <c r="C165" s="638">
        <v>1</v>
      </c>
      <c r="D165" s="639"/>
      <c r="E165" s="642">
        <f>C165*11</f>
        <v>11</v>
      </c>
      <c r="F165" s="642"/>
      <c r="G165" s="643">
        <v>1</v>
      </c>
      <c r="H165" s="643"/>
      <c r="I165" s="642">
        <f>G165*11</f>
        <v>11</v>
      </c>
      <c r="J165" s="642"/>
      <c r="K165" s="642">
        <f>E165-I165</f>
        <v>0</v>
      </c>
      <c r="L165" s="642"/>
      <c r="M165" s="644">
        <f>IF(ISERROR(K165/E165),"",K165/E165)</f>
        <v>0</v>
      </c>
      <c r="N165" s="644"/>
      <c r="O165" s="640"/>
      <c r="P165" s="643" t="s">
        <v>201</v>
      </c>
      <c r="Q165" s="643"/>
      <c r="R165" s="645">
        <f>SUM(O28:U28)</f>
        <v>0</v>
      </c>
      <c r="S165" s="645"/>
      <c r="T165" s="646" t="str">
        <f t="array" ref="T165">IF(ISERROR(R165/R172),"",R165/R172)</f>
        <v/>
      </c>
      <c r="U165" s="646"/>
      <c r="V165" s="643" t="s">
        <v>259</v>
      </c>
      <c r="W165" s="643"/>
      <c r="X165" s="647">
        <f>SUM(P27,P85,P120,P136,P146,P160)</f>
        <v>0</v>
      </c>
      <c r="Y165" s="647"/>
      <c r="Z165" s="646" t="str">
        <f t="array" ref="Z165">IF(ISERROR(X165/X172),"",X165/X172)</f>
        <v/>
      </c>
      <c r="AA165" s="646"/>
    </row>
    <row r="166" spans="1:27" ht="20.100000000000001" customHeight="1">
      <c r="A166" s="636"/>
      <c r="B166" s="476" t="s">
        <v>260</v>
      </c>
      <c r="C166" s="638">
        <v>1</v>
      </c>
      <c r="D166" s="639"/>
      <c r="E166" s="642">
        <f>C166*11</f>
        <v>11</v>
      </c>
      <c r="F166" s="642"/>
      <c r="G166" s="643">
        <v>1</v>
      </c>
      <c r="H166" s="643"/>
      <c r="I166" s="642">
        <f>G166*11</f>
        <v>11</v>
      </c>
      <c r="J166" s="642"/>
      <c r="K166" s="642">
        <f>E166-I166</f>
        <v>0</v>
      </c>
      <c r="L166" s="642"/>
      <c r="M166" s="644">
        <f>IF(ISERROR(K166/E166),"",K166/E166)</f>
        <v>0</v>
      </c>
      <c r="N166" s="644"/>
      <c r="O166" s="640"/>
      <c r="P166" s="643" t="s">
        <v>216</v>
      </c>
      <c r="Q166" s="643"/>
      <c r="R166" s="645">
        <f>SUM(O86:U86)</f>
        <v>0</v>
      </c>
      <c r="S166" s="645"/>
      <c r="T166" s="646" t="str">
        <f>IF(ISERROR(R166/R172),"",R166/R172)</f>
        <v/>
      </c>
      <c r="U166" s="646"/>
      <c r="V166" s="643" t="s">
        <v>261</v>
      </c>
      <c r="W166" s="643"/>
      <c r="X166" s="647">
        <f>SUM(P28,P86,P121,P137,P147,P162)</f>
        <v>0</v>
      </c>
      <c r="Y166" s="647"/>
      <c r="Z166" s="646" t="str">
        <f>IF(ISERROR(X166/X172),"",X166/X172)</f>
        <v/>
      </c>
      <c r="AA166" s="646"/>
    </row>
    <row r="167" spans="1:27" ht="20.100000000000001" customHeight="1">
      <c r="A167" s="636"/>
      <c r="B167" s="476" t="s">
        <v>262</v>
      </c>
      <c r="C167" s="638">
        <v>1</v>
      </c>
      <c r="D167" s="639"/>
      <c r="E167" s="642">
        <f>C167*8</f>
        <v>8</v>
      </c>
      <c r="F167" s="642"/>
      <c r="G167" s="643">
        <v>1</v>
      </c>
      <c r="H167" s="643"/>
      <c r="I167" s="642">
        <f>G167*8</f>
        <v>8</v>
      </c>
      <c r="J167" s="642"/>
      <c r="K167" s="642">
        <f>E167-I167</f>
        <v>0</v>
      </c>
      <c r="L167" s="642"/>
      <c r="M167" s="644">
        <f>IF(ISERROR(K167/E167),"",K167/E167)</f>
        <v>0</v>
      </c>
      <c r="N167" s="644"/>
      <c r="O167" s="640"/>
      <c r="P167" s="643" t="s">
        <v>224</v>
      </c>
      <c r="Q167" s="643"/>
      <c r="R167" s="645">
        <f>SUM(O121:U121)</f>
        <v>0</v>
      </c>
      <c r="S167" s="645"/>
      <c r="T167" s="646" t="str">
        <f>IF(ISERROR(R167/R172),"",R167/R172)</f>
        <v/>
      </c>
      <c r="U167" s="646"/>
      <c r="V167" s="643" t="s">
        <v>263</v>
      </c>
      <c r="W167" s="643"/>
      <c r="X167" s="647">
        <f>SUM(P29,P87,P122,P138,P148,P163)</f>
        <v>0</v>
      </c>
      <c r="Y167" s="647"/>
      <c r="Z167" s="646" t="str">
        <f>IF(ISERROR(X167/X172),"",X167/X172)</f>
        <v/>
      </c>
      <c r="AA167" s="646"/>
    </row>
    <row r="168" spans="1:27" ht="20.100000000000001" customHeight="1">
      <c r="A168" s="636"/>
      <c r="B168" s="476" t="s">
        <v>264</v>
      </c>
      <c r="C168" s="638">
        <v>1</v>
      </c>
      <c r="D168" s="639"/>
      <c r="E168" s="642">
        <f>C168*11</f>
        <v>11</v>
      </c>
      <c r="F168" s="642"/>
      <c r="G168" s="643">
        <v>1</v>
      </c>
      <c r="H168" s="643"/>
      <c r="I168" s="642">
        <f>G168*11</f>
        <v>11</v>
      </c>
      <c r="J168" s="642"/>
      <c r="K168" s="642">
        <f>E168-I168</f>
        <v>0</v>
      </c>
      <c r="L168" s="642"/>
      <c r="M168" s="644">
        <f>IF(ISERROR(K168/E168),"",K168/E168)</f>
        <v>0</v>
      </c>
      <c r="N168" s="644"/>
      <c r="O168" s="640"/>
      <c r="P168" s="643" t="s">
        <v>231</v>
      </c>
      <c r="Q168" s="643"/>
      <c r="R168" s="645">
        <f>SUM(O137:U137)</f>
        <v>0</v>
      </c>
      <c r="S168" s="645"/>
      <c r="T168" s="646" t="str">
        <f>IF(ISERROR(R168/R172),"",R168/R172)</f>
        <v/>
      </c>
      <c r="U168" s="646"/>
      <c r="V168" s="643" t="s">
        <v>265</v>
      </c>
      <c r="W168" s="643"/>
      <c r="X168" s="647">
        <f>SUM(P31,P88,P123,P139,P149,P164)</f>
        <v>0</v>
      </c>
      <c r="Y168" s="647"/>
      <c r="Z168" s="646" t="str">
        <f>IF(ISERROR(X168/X172),"",X168/X172)</f>
        <v/>
      </c>
      <c r="AA168" s="646"/>
    </row>
    <row r="169" spans="1:27" ht="20.100000000000001" customHeight="1">
      <c r="A169" s="637"/>
      <c r="B169" s="476" t="s">
        <v>266</v>
      </c>
      <c r="C169" s="648">
        <f>SUM(C165:D168)</f>
        <v>4</v>
      </c>
      <c r="D169" s="649"/>
      <c r="E169" s="642">
        <f>SUM(E165:F168)</f>
        <v>41</v>
      </c>
      <c r="F169" s="642"/>
      <c r="G169" s="643">
        <f>SUM(G165:H168)</f>
        <v>4</v>
      </c>
      <c r="H169" s="643"/>
      <c r="I169" s="642">
        <f>SUM(I165:J168)</f>
        <v>41</v>
      </c>
      <c r="J169" s="642"/>
      <c r="K169" s="642">
        <f>SUM(K165:L168)</f>
        <v>0</v>
      </c>
      <c r="L169" s="642"/>
      <c r="M169" s="644">
        <f>IF(ISERROR(K169/E169),"",K169/E169)</f>
        <v>0</v>
      </c>
      <c r="N169" s="644"/>
      <c r="O169" s="640"/>
      <c r="P169" s="643" t="s">
        <v>234</v>
      </c>
      <c r="Q169" s="643"/>
      <c r="R169" s="645">
        <f>SUM(O147:U147)</f>
        <v>0</v>
      </c>
      <c r="S169" s="645"/>
      <c r="T169" s="646" t="str">
        <f>IF(ISERROR(R169/R172),"",R169/R172)</f>
        <v/>
      </c>
      <c r="U169" s="646"/>
      <c r="V169" s="643" t="s">
        <v>267</v>
      </c>
      <c r="W169" s="643"/>
      <c r="X169" s="647">
        <f>SUM(P32,P89,P124,P140,P150,P165)</f>
        <v>0</v>
      </c>
      <c r="Y169" s="647"/>
      <c r="Z169" s="646" t="str">
        <f>IF(ISERROR(X169/X172),"",X169/X172)</f>
        <v/>
      </c>
      <c r="AA169" s="646"/>
    </row>
    <row r="170" spans="1:27" ht="20.100000000000001" customHeight="1">
      <c r="A170" s="307" t="s">
        <v>477</v>
      </c>
      <c r="B170" s="476">
        <f>G163</f>
        <v>4255</v>
      </c>
      <c r="C170" s="650" t="s">
        <v>269</v>
      </c>
      <c r="D170" s="651"/>
      <c r="E170" s="643">
        <f>H163</f>
        <v>21415.29</v>
      </c>
      <c r="F170" s="643"/>
      <c r="G170" s="643" t="s">
        <v>270</v>
      </c>
      <c r="H170" s="643"/>
      <c r="I170" s="652">
        <f>L163</f>
        <v>14.205956651403104</v>
      </c>
      <c r="J170" s="652"/>
      <c r="K170" s="640" t="s">
        <v>271</v>
      </c>
      <c r="L170" s="640"/>
      <c r="M170" s="652">
        <f>J163</f>
        <v>20.806845965770172</v>
      </c>
      <c r="N170" s="652"/>
      <c r="O170" s="640"/>
      <c r="P170" s="643" t="s">
        <v>244</v>
      </c>
      <c r="Q170" s="643"/>
      <c r="R170" s="645">
        <f>SUM(O162:U162)</f>
        <v>0</v>
      </c>
      <c r="S170" s="645"/>
      <c r="T170" s="646" t="str">
        <f>IF(ISERROR(R170/R172),"",R170/R172)</f>
        <v/>
      </c>
      <c r="U170" s="646"/>
      <c r="V170" s="643" t="s">
        <v>272</v>
      </c>
      <c r="W170" s="643"/>
      <c r="X170" s="647">
        <f>SUM(P33,P90,P125,P141,P151,P166)</f>
        <v>0</v>
      </c>
      <c r="Y170" s="647"/>
      <c r="Z170" s="646" t="str">
        <f>IF(ISERROR(X170/X172),"",X170/X172)</f>
        <v/>
      </c>
      <c r="AA170" s="646"/>
    </row>
    <row r="171" spans="1:27" ht="20.100000000000001" customHeight="1">
      <c r="A171" s="308" t="s">
        <v>478</v>
      </c>
      <c r="B171" s="476">
        <f>I163+C169</f>
        <v>208.5</v>
      </c>
      <c r="C171" s="653" t="s">
        <v>251</v>
      </c>
      <c r="D171" s="654"/>
      <c r="E171" s="655">
        <f>K163+I169</f>
        <v>340.52224298669381</v>
      </c>
      <c r="F171" s="655"/>
      <c r="G171" s="643" t="s">
        <v>274</v>
      </c>
      <c r="H171" s="643"/>
      <c r="I171" s="652">
        <f>B171-E171</f>
        <v>-132.02224298669381</v>
      </c>
      <c r="J171" s="652"/>
      <c r="K171" s="640" t="s">
        <v>275</v>
      </c>
      <c r="L171" s="640"/>
      <c r="M171" s="644">
        <f>IF(ISERROR(I171/E171),"",I171/E171)</f>
        <v>-0.38770519607981291</v>
      </c>
      <c r="N171" s="644"/>
      <c r="O171" s="640"/>
      <c r="P171" s="643" t="s">
        <v>245</v>
      </c>
      <c r="Q171" s="643"/>
      <c r="R171" s="645"/>
      <c r="S171" s="645"/>
      <c r="T171" s="646" t="str">
        <f>IF(ISERROR(R171/R172),"",R171/R172)</f>
        <v/>
      </c>
      <c r="U171" s="646"/>
      <c r="V171" s="643" t="s">
        <v>264</v>
      </c>
      <c r="W171" s="643"/>
      <c r="X171" s="647"/>
      <c r="Y171" s="647"/>
      <c r="Z171" s="646" t="str">
        <f>IF(ISERROR(X171/X172),"",X171/X172)</f>
        <v/>
      </c>
      <c r="AA171" s="646"/>
    </row>
    <row r="172" spans="1:27" ht="20.100000000000001" customHeight="1">
      <c r="A172" s="308" t="s">
        <v>479</v>
      </c>
      <c r="B172" s="476">
        <f>N163</f>
        <v>0</v>
      </c>
      <c r="C172" s="653" t="s">
        <v>277</v>
      </c>
      <c r="D172" s="654"/>
      <c r="E172" s="646">
        <f>IF(ISERROR(B172/B171),"",B172/B171)</f>
        <v>0</v>
      </c>
      <c r="F172" s="646"/>
      <c r="G172" s="643" t="s">
        <v>278</v>
      </c>
      <c r="H172" s="643"/>
      <c r="I172" s="640">
        <f>V163</f>
        <v>0</v>
      </c>
      <c r="J172" s="640"/>
      <c r="K172" s="640" t="s">
        <v>279</v>
      </c>
      <c r="L172" s="640"/>
      <c r="M172" s="644">
        <f t="array" ref="M172">IF(ISERROR(I172/B170),"",I172/B170)</f>
        <v>0</v>
      </c>
      <c r="N172" s="644"/>
      <c r="O172" s="640"/>
      <c r="P172" s="643" t="s">
        <v>266</v>
      </c>
      <c r="Q172" s="643"/>
      <c r="R172" s="645">
        <f>SUM(R165:S171)</f>
        <v>0</v>
      </c>
      <c r="S172" s="645"/>
      <c r="T172" s="646"/>
      <c r="U172" s="646"/>
      <c r="V172" s="643" t="s">
        <v>266</v>
      </c>
      <c r="W172" s="643"/>
      <c r="X172" s="647">
        <f>SUM(X165:Y171)</f>
        <v>0</v>
      </c>
      <c r="Y172" s="647"/>
      <c r="Z172" s="646"/>
      <c r="AA172" s="646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56" t="s">
        <v>480</v>
      </c>
      <c r="B174" s="659" t="s">
        <v>280</v>
      </c>
      <c r="C174" s="659" t="s">
        <v>281</v>
      </c>
      <c r="D174" s="659" t="s">
        <v>282</v>
      </c>
      <c r="E174" s="662" t="s">
        <v>283</v>
      </c>
      <c r="F174" s="675" t="s">
        <v>284</v>
      </c>
      <c r="G174" s="640" t="s">
        <v>285</v>
      </c>
      <c r="H174" s="640"/>
      <c r="I174" s="659" t="s">
        <v>286</v>
      </c>
      <c r="J174" s="665" t="s">
        <v>271</v>
      </c>
      <c r="K174" s="668" t="s">
        <v>287</v>
      </c>
      <c r="L174" s="659" t="s">
        <v>270</v>
      </c>
      <c r="M174" s="671" t="s">
        <v>288</v>
      </c>
      <c r="N174" s="673" t="s">
        <v>252</v>
      </c>
      <c r="O174" s="640" t="s">
        <v>289</v>
      </c>
      <c r="P174" s="640"/>
      <c r="Q174" s="640"/>
      <c r="R174" s="640"/>
      <c r="S174" s="640"/>
      <c r="T174" s="640"/>
      <c r="U174" s="640"/>
      <c r="V174" s="640" t="s">
        <v>290</v>
      </c>
      <c r="W174" s="673" t="s">
        <v>291</v>
      </c>
      <c r="X174" s="640" t="s">
        <v>292</v>
      </c>
      <c r="Y174" s="640"/>
      <c r="Z174" s="640"/>
      <c r="AA174" s="640"/>
    </row>
    <row r="175" spans="1:27" ht="21.95" customHeight="1">
      <c r="A175" s="657"/>
      <c r="B175" s="660"/>
      <c r="C175" s="660"/>
      <c r="D175" s="660"/>
      <c r="E175" s="663"/>
      <c r="F175" s="676"/>
      <c r="G175" s="640"/>
      <c r="H175" s="640"/>
      <c r="I175" s="660"/>
      <c r="J175" s="666"/>
      <c r="K175" s="669"/>
      <c r="L175" s="660"/>
      <c r="M175" s="672"/>
      <c r="N175" s="673"/>
      <c r="O175" s="640" t="s">
        <v>259</v>
      </c>
      <c r="P175" s="640" t="s">
        <v>261</v>
      </c>
      <c r="Q175" s="640" t="s">
        <v>263</v>
      </c>
      <c r="R175" s="674" t="s">
        <v>265</v>
      </c>
      <c r="S175" s="643" t="s">
        <v>267</v>
      </c>
      <c r="T175" s="640" t="s">
        <v>272</v>
      </c>
      <c r="U175" s="640" t="s">
        <v>264</v>
      </c>
      <c r="V175" s="640"/>
      <c r="W175" s="673"/>
      <c r="X175" s="640" t="s">
        <v>293</v>
      </c>
      <c r="Y175" s="640" t="s">
        <v>294</v>
      </c>
      <c r="Z175" s="640" t="s">
        <v>295</v>
      </c>
      <c r="AA175" s="640" t="s">
        <v>264</v>
      </c>
    </row>
    <row r="176" spans="1:27" ht="21.95" customHeight="1">
      <c r="A176" s="658"/>
      <c r="B176" s="661"/>
      <c r="C176" s="661"/>
      <c r="D176" s="661"/>
      <c r="E176" s="664"/>
      <c r="F176" s="677"/>
      <c r="G176" s="348" t="s">
        <v>296</v>
      </c>
      <c r="H176" s="469" t="s">
        <v>297</v>
      </c>
      <c r="I176" s="661"/>
      <c r="J176" s="667"/>
      <c r="K176" s="670"/>
      <c r="L176" s="661"/>
      <c r="M176" s="672"/>
      <c r="N176" s="673"/>
      <c r="O176" s="640"/>
      <c r="P176" s="640"/>
      <c r="Q176" s="640"/>
      <c r="R176" s="674"/>
      <c r="S176" s="643"/>
      <c r="T176" s="640"/>
      <c r="U176" s="640"/>
      <c r="V176" s="640"/>
      <c r="W176" s="673"/>
      <c r="X176" s="640"/>
      <c r="Y176" s="640"/>
      <c r="Z176" s="640"/>
      <c r="AA176" s="640"/>
    </row>
    <row r="177" spans="1:27" ht="20.100000000000001" hidden="1" customHeight="1">
      <c r="A177" s="299">
        <v>30100030</v>
      </c>
      <c r="B177" s="471" t="s">
        <v>178</v>
      </c>
      <c r="C177" s="126" t="s">
        <v>179</v>
      </c>
      <c r="D177" s="108">
        <v>5.03</v>
      </c>
      <c r="E177" s="108"/>
      <c r="F177" s="127"/>
      <c r="G177" s="128"/>
      <c r="H177" s="479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470"/>
      <c r="P177" s="470"/>
      <c r="Q177" s="470"/>
      <c r="R177" s="470"/>
      <c r="S177" s="470"/>
      <c r="T177" s="470"/>
      <c r="U177" s="470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479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470"/>
      <c r="P178" s="470"/>
      <c r="Q178" s="470"/>
      <c r="R178" s="470"/>
      <c r="S178" s="470"/>
      <c r="T178" s="470"/>
      <c r="U178" s="470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479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470"/>
      <c r="P179" s="470"/>
      <c r="Q179" s="470"/>
      <c r="R179" s="470"/>
      <c r="S179" s="470"/>
      <c r="T179" s="470"/>
      <c r="U179" s="470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479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70"/>
      <c r="P180" s="470"/>
      <c r="Q180" s="470"/>
      <c r="R180" s="470"/>
      <c r="S180" s="470"/>
      <c r="T180" s="470"/>
      <c r="U180" s="470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479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470"/>
      <c r="P181" s="470"/>
      <c r="Q181" s="470"/>
      <c r="R181" s="470"/>
      <c r="S181" s="470"/>
      <c r="T181" s="470"/>
      <c r="U181" s="470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479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470"/>
      <c r="P182" s="470"/>
      <c r="Q182" s="470"/>
      <c r="R182" s="470"/>
      <c r="S182" s="470"/>
      <c r="T182" s="470"/>
      <c r="U182" s="470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479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470"/>
      <c r="P183" s="470"/>
      <c r="Q183" s="470"/>
      <c r="R183" s="470"/>
      <c r="S183" s="470"/>
      <c r="T183" s="470"/>
      <c r="U183" s="470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479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70"/>
      <c r="P184" s="470"/>
      <c r="Q184" s="470"/>
      <c r="R184" s="470"/>
      <c r="S184" s="470"/>
      <c r="T184" s="470"/>
      <c r="U184" s="470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479">
        <f t="shared" si="77"/>
        <v>0</v>
      </c>
      <c r="I185" s="479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470"/>
      <c r="P185" s="470"/>
      <c r="Q185" s="470"/>
      <c r="R185" s="470"/>
      <c r="S185" s="470"/>
      <c r="T185" s="470"/>
      <c r="U185" s="470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479">
        <f t="shared" si="77"/>
        <v>0</v>
      </c>
      <c r="I186" s="479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470"/>
      <c r="P186" s="470"/>
      <c r="Q186" s="470"/>
      <c r="R186" s="470"/>
      <c r="S186" s="470"/>
      <c r="T186" s="470"/>
      <c r="U186" s="470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479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470"/>
      <c r="P187" s="470"/>
      <c r="Q187" s="470"/>
      <c r="R187" s="470"/>
      <c r="S187" s="470"/>
      <c r="T187" s="470"/>
      <c r="U187" s="470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479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70"/>
      <c r="P188" s="470"/>
      <c r="Q188" s="470"/>
      <c r="R188" s="470"/>
      <c r="S188" s="470"/>
      <c r="T188" s="470"/>
      <c r="U188" s="470"/>
      <c r="V188" s="132"/>
      <c r="W188" s="133"/>
      <c r="X188" s="132"/>
      <c r="Y188" s="132"/>
      <c r="Z188" s="132"/>
      <c r="AA188" s="132"/>
    </row>
    <row r="189" spans="1:27" ht="20.10000000000000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>
        <v>42714</v>
      </c>
      <c r="G189" s="128">
        <f>90*8+22</f>
        <v>742</v>
      </c>
      <c r="H189" s="479">
        <f t="shared" ref="H189:H197" si="82">D189*G189</f>
        <v>3754.5199999999995</v>
      </c>
      <c r="I189" s="129">
        <f>11.5*5</f>
        <v>57.5</v>
      </c>
      <c r="J189" s="130">
        <f t="array" ref="J189">IF(ISERROR(G189/I189),"",G189/I189)</f>
        <v>12.904347826086957</v>
      </c>
      <c r="K189" s="131">
        <f t="array" ref="K189">IF(ISERROR(G189/L189),"",G189/L189)</f>
        <v>39.05263157894737</v>
      </c>
      <c r="L189" s="129">
        <v>19</v>
      </c>
      <c r="M189" s="109">
        <f t="shared" ref="M189:M197" si="83">IF(ISERROR(I189-K189),"",I189-K189)</f>
        <v>18.44736842105263</v>
      </c>
      <c r="N189" s="130">
        <f t="shared" ref="N189:N191" si="84">SUM(O189:U189)</f>
        <v>0</v>
      </c>
      <c r="O189" s="470"/>
      <c r="P189" s="470"/>
      <c r="Q189" s="470"/>
      <c r="R189" s="470"/>
      <c r="S189" s="470"/>
      <c r="T189" s="470"/>
      <c r="U189" s="470"/>
      <c r="V189" s="132">
        <f t="shared" ref="V189:V191" si="85">SUM(X189:AA189)</f>
        <v>0</v>
      </c>
      <c r="W189" s="133">
        <f t="shared" ref="W189:W191" si="86">IF(ISERROR(V189/G189),"",V189/G189)</f>
        <v>0</v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479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470"/>
      <c r="P190" s="470"/>
      <c r="Q190" s="470"/>
      <c r="R190" s="470"/>
      <c r="S190" s="470"/>
      <c r="T190" s="470"/>
      <c r="U190" s="470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479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470"/>
      <c r="P191" s="470"/>
      <c r="Q191" s="470"/>
      <c r="R191" s="470"/>
      <c r="S191" s="470"/>
      <c r="T191" s="470"/>
      <c r="U191" s="470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469" t="s">
        <v>190</v>
      </c>
      <c r="D192" s="108">
        <v>4.8</v>
      </c>
      <c r="E192" s="108"/>
      <c r="F192" s="127"/>
      <c r="G192" s="128"/>
      <c r="H192" s="479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470"/>
      <c r="P192" s="470"/>
      <c r="Q192" s="470"/>
      <c r="R192" s="470"/>
      <c r="S192" s="470"/>
      <c r="T192" s="470"/>
      <c r="U192" s="470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469" t="s">
        <v>187</v>
      </c>
      <c r="D193" s="108">
        <v>4.8</v>
      </c>
      <c r="E193" s="108"/>
      <c r="F193" s="127"/>
      <c r="G193" s="128"/>
      <c r="H193" s="479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70"/>
      <c r="P193" s="470"/>
      <c r="Q193" s="470"/>
      <c r="R193" s="470"/>
      <c r="S193" s="470"/>
      <c r="T193" s="470"/>
      <c r="U193" s="470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469" t="s">
        <v>179</v>
      </c>
      <c r="D194" s="108">
        <v>4.8</v>
      </c>
      <c r="E194" s="108"/>
      <c r="F194" s="127"/>
      <c r="G194" s="128"/>
      <c r="H194" s="479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70"/>
      <c r="P194" s="470"/>
      <c r="Q194" s="470"/>
      <c r="R194" s="470"/>
      <c r="S194" s="470"/>
      <c r="T194" s="470"/>
      <c r="U194" s="470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469" t="s">
        <v>199</v>
      </c>
      <c r="D195" s="108">
        <v>4.8</v>
      </c>
      <c r="E195" s="108"/>
      <c r="F195" s="127"/>
      <c r="G195" s="128"/>
      <c r="H195" s="479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70"/>
      <c r="P195" s="470"/>
      <c r="Q195" s="470"/>
      <c r="R195" s="470"/>
      <c r="S195" s="470"/>
      <c r="T195" s="470"/>
      <c r="U195" s="470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479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470"/>
      <c r="P196" s="470"/>
      <c r="Q196" s="470"/>
      <c r="R196" s="470"/>
      <c r="S196" s="470"/>
      <c r="T196" s="470"/>
      <c r="U196" s="470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479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470"/>
      <c r="P197" s="470"/>
      <c r="Q197" s="470"/>
      <c r="R197" s="470"/>
      <c r="S197" s="470"/>
      <c r="T197" s="470"/>
      <c r="U197" s="470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customHeight="1">
      <c r="A198" s="630" t="s">
        <v>201</v>
      </c>
      <c r="B198" s="631"/>
      <c r="C198" s="477" t="s">
        <v>202</v>
      </c>
      <c r="D198" s="143"/>
      <c r="E198" s="143"/>
      <c r="F198" s="144"/>
      <c r="G198" s="145">
        <f>SUM(G177:G197)</f>
        <v>742</v>
      </c>
      <c r="H198" s="146">
        <f>SUM(H177:H197)</f>
        <v>3754.5199999999995</v>
      </c>
      <c r="I198" s="146">
        <f>SUM(I177:I197)</f>
        <v>57.5</v>
      </c>
      <c r="J198" s="130">
        <f t="array" ref="J198">IF(ISERROR(G198/I198),"",G198/I198)</f>
        <v>12.904347826086957</v>
      </c>
      <c r="K198" s="146">
        <f>SUM(K177:K197)</f>
        <v>39.05263157894737</v>
      </c>
      <c r="L198" s="147"/>
      <c r="M198" s="150">
        <f t="shared" ref="M198:AA198" si="90">SUM(M177:M197)</f>
        <v>18.44736842105263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471" t="s">
        <v>206</v>
      </c>
      <c r="C199" s="126" t="s">
        <v>199</v>
      </c>
      <c r="D199" s="108">
        <v>5.03</v>
      </c>
      <c r="E199" s="108"/>
      <c r="F199" s="127"/>
      <c r="G199" s="128"/>
      <c r="H199" s="479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474"/>
      <c r="P199" s="474"/>
      <c r="Q199" s="474"/>
      <c r="R199" s="474"/>
      <c r="S199" s="474"/>
      <c r="T199" s="474"/>
      <c r="U199" s="474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471" t="s">
        <v>425</v>
      </c>
      <c r="C200" s="187" t="s">
        <v>427</v>
      </c>
      <c r="D200" s="108">
        <v>5.03</v>
      </c>
      <c r="E200" s="108"/>
      <c r="F200" s="127"/>
      <c r="G200" s="128"/>
      <c r="H200" s="479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474"/>
      <c r="P200" s="474"/>
      <c r="Q200" s="474"/>
      <c r="R200" s="474"/>
      <c r="S200" s="474"/>
      <c r="T200" s="474"/>
      <c r="U200" s="474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471" t="s">
        <v>206</v>
      </c>
      <c r="C201" s="126" t="s">
        <v>186</v>
      </c>
      <c r="D201" s="108">
        <v>5.03</v>
      </c>
      <c r="E201" s="108"/>
      <c r="F201" s="127"/>
      <c r="G201" s="128"/>
      <c r="H201" s="479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474"/>
      <c r="P201" s="474"/>
      <c r="Q201" s="474"/>
      <c r="R201" s="474"/>
      <c r="S201" s="474"/>
      <c r="T201" s="474"/>
      <c r="U201" s="474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471" t="s">
        <v>206</v>
      </c>
      <c r="C202" s="126" t="s">
        <v>203</v>
      </c>
      <c r="D202" s="108">
        <v>5.03</v>
      </c>
      <c r="E202" s="108"/>
      <c r="F202" s="127"/>
      <c r="G202" s="128"/>
      <c r="H202" s="479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474"/>
      <c r="P202" s="474"/>
      <c r="Q202" s="474"/>
      <c r="R202" s="474"/>
      <c r="S202" s="474"/>
      <c r="T202" s="474"/>
      <c r="U202" s="474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471" t="s">
        <v>206</v>
      </c>
      <c r="C203" s="126" t="s">
        <v>207</v>
      </c>
      <c r="D203" s="108">
        <v>5.03</v>
      </c>
      <c r="E203" s="108"/>
      <c r="F203" s="127"/>
      <c r="G203" s="128"/>
      <c r="H203" s="479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0">IF(ISERROR(I203-K203),"",I203-K203)</f>
        <v>0</v>
      </c>
      <c r="N203" s="130">
        <f t="shared" si="97"/>
        <v>0</v>
      </c>
      <c r="O203" s="474"/>
      <c r="P203" s="474"/>
      <c r="Q203" s="474"/>
      <c r="R203" s="474"/>
      <c r="S203" s="474"/>
      <c r="T203" s="474"/>
      <c r="U203" s="474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471" t="s">
        <v>414</v>
      </c>
      <c r="C204" s="187" t="s">
        <v>415</v>
      </c>
      <c r="D204" s="108">
        <v>5.03</v>
      </c>
      <c r="E204" s="108"/>
      <c r="F204" s="127"/>
      <c r="G204" s="128"/>
      <c r="H204" s="479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474"/>
      <c r="P204" s="474"/>
      <c r="Q204" s="474"/>
      <c r="R204" s="474"/>
      <c r="S204" s="474"/>
      <c r="T204" s="474"/>
      <c r="U204" s="474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471" t="s">
        <v>414</v>
      </c>
      <c r="C205" s="187" t="s">
        <v>416</v>
      </c>
      <c r="D205" s="108">
        <v>5.03</v>
      </c>
      <c r="E205" s="108"/>
      <c r="F205" s="127"/>
      <c r="G205" s="128"/>
      <c r="H205" s="479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474"/>
      <c r="P205" s="474"/>
      <c r="Q205" s="474"/>
      <c r="R205" s="474"/>
      <c r="S205" s="474"/>
      <c r="T205" s="474"/>
      <c r="U205" s="474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471" t="s">
        <v>414</v>
      </c>
      <c r="C206" s="187" t="s">
        <v>61</v>
      </c>
      <c r="D206" s="108">
        <v>5.03</v>
      </c>
      <c r="E206" s="108"/>
      <c r="F206" s="127"/>
      <c r="G206" s="128"/>
      <c r="H206" s="479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474"/>
      <c r="P206" s="474"/>
      <c r="Q206" s="474"/>
      <c r="R206" s="474"/>
      <c r="S206" s="474"/>
      <c r="T206" s="474"/>
      <c r="U206" s="474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471" t="s">
        <v>208</v>
      </c>
      <c r="C207" s="126" t="s">
        <v>179</v>
      </c>
      <c r="D207" s="108">
        <v>5.08</v>
      </c>
      <c r="E207" s="108"/>
      <c r="F207" s="127"/>
      <c r="G207" s="128"/>
      <c r="H207" s="479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1">IF(ISERROR(I207-K207),"",I207-K207)</f>
        <v>0</v>
      </c>
      <c r="N207" s="130">
        <f t="shared" ref="N207:N236" si="102">SUM(O207:U207)</f>
        <v>0</v>
      </c>
      <c r="O207" s="474"/>
      <c r="P207" s="474"/>
      <c r="Q207" s="474"/>
      <c r="R207" s="474"/>
      <c r="S207" s="474"/>
      <c r="T207" s="474"/>
      <c r="U207" s="474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471" t="s">
        <v>208</v>
      </c>
      <c r="C208" s="126" t="s">
        <v>204</v>
      </c>
      <c r="D208" s="108">
        <v>5.08</v>
      </c>
      <c r="E208" s="108"/>
      <c r="F208" s="127"/>
      <c r="G208" s="128"/>
      <c r="H208" s="479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474"/>
      <c r="P208" s="474"/>
      <c r="Q208" s="474"/>
      <c r="R208" s="474"/>
      <c r="S208" s="474"/>
      <c r="T208" s="474"/>
      <c r="U208" s="474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471" t="s">
        <v>208</v>
      </c>
      <c r="C209" s="126" t="s">
        <v>205</v>
      </c>
      <c r="D209" s="108">
        <v>5.08</v>
      </c>
      <c r="E209" s="108"/>
      <c r="F209" s="127"/>
      <c r="G209" s="128"/>
      <c r="H209" s="479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74"/>
      <c r="P209" s="474"/>
      <c r="Q209" s="474"/>
      <c r="R209" s="474"/>
      <c r="S209" s="474"/>
      <c r="T209" s="474"/>
      <c r="U209" s="474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471" t="s">
        <v>208</v>
      </c>
      <c r="C210" s="126" t="s">
        <v>186</v>
      </c>
      <c r="D210" s="108">
        <v>5.08</v>
      </c>
      <c r="E210" s="108"/>
      <c r="F210" s="127"/>
      <c r="G210" s="128"/>
      <c r="H210" s="479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74"/>
      <c r="P210" s="474"/>
      <c r="Q210" s="474"/>
      <c r="R210" s="474"/>
      <c r="S210" s="474"/>
      <c r="T210" s="474"/>
      <c r="U210" s="474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471" t="s">
        <v>208</v>
      </c>
      <c r="C211" s="126" t="s">
        <v>203</v>
      </c>
      <c r="D211" s="108">
        <v>5.08</v>
      </c>
      <c r="E211" s="108"/>
      <c r="F211" s="127"/>
      <c r="G211" s="128"/>
      <c r="H211" s="479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74"/>
      <c r="P211" s="474"/>
      <c r="Q211" s="474"/>
      <c r="R211" s="474"/>
      <c r="S211" s="474"/>
      <c r="T211" s="474"/>
      <c r="U211" s="474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471" t="s">
        <v>208</v>
      </c>
      <c r="C212" s="126" t="s">
        <v>199</v>
      </c>
      <c r="D212" s="108">
        <v>5.08</v>
      </c>
      <c r="E212" s="108"/>
      <c r="F212" s="127"/>
      <c r="G212" s="128"/>
      <c r="H212" s="479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70"/>
      <c r="P212" s="470"/>
      <c r="Q212" s="470"/>
      <c r="R212" s="470"/>
      <c r="S212" s="470"/>
      <c r="T212" s="470"/>
      <c r="U212" s="470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471" t="s">
        <v>208</v>
      </c>
      <c r="C213" s="126" t="s">
        <v>187</v>
      </c>
      <c r="D213" s="108">
        <v>5.08</v>
      </c>
      <c r="E213" s="108"/>
      <c r="F213" s="127"/>
      <c r="G213" s="128"/>
      <c r="H213" s="479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474"/>
      <c r="P213" s="474"/>
      <c r="Q213" s="474"/>
      <c r="R213" s="474"/>
      <c r="S213" s="474"/>
      <c r="T213" s="474"/>
      <c r="U213" s="474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471" t="s">
        <v>208</v>
      </c>
      <c r="C214" s="126" t="s">
        <v>207</v>
      </c>
      <c r="D214" s="108">
        <v>5.08</v>
      </c>
      <c r="E214" s="108"/>
      <c r="F214" s="127"/>
      <c r="G214" s="128"/>
      <c r="H214" s="479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70"/>
      <c r="P214" s="470"/>
      <c r="Q214" s="470"/>
      <c r="R214" s="470"/>
      <c r="S214" s="470"/>
      <c r="T214" s="470"/>
      <c r="U214" s="470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customHeight="1">
      <c r="A215" s="300">
        <v>30100032</v>
      </c>
      <c r="B215" s="471" t="s">
        <v>209</v>
      </c>
      <c r="C215" s="126" t="s">
        <v>194</v>
      </c>
      <c r="D215" s="108">
        <v>5.03</v>
      </c>
      <c r="E215" s="108"/>
      <c r="F215" s="127">
        <v>42715</v>
      </c>
      <c r="G215" s="128">
        <f>108+31+108*2</f>
        <v>355</v>
      </c>
      <c r="H215" s="479">
        <f t="shared" si="91"/>
        <v>1785.65</v>
      </c>
      <c r="I215" s="129">
        <v>4.5</v>
      </c>
      <c r="J215" s="130">
        <f t="array" ref="J215">IF(ISERROR(G215/I215),"",G215/I215)</f>
        <v>78.888888888888886</v>
      </c>
      <c r="K215" s="131">
        <f t="array" ref="K215">IF(ISERROR(G215/L215),"",G215/L215)</f>
        <v>6.3392857142857144</v>
      </c>
      <c r="L215" s="129">
        <v>56</v>
      </c>
      <c r="M215" s="109">
        <f t="shared" si="101"/>
        <v>-1.8392857142857144</v>
      </c>
      <c r="N215" s="130">
        <f t="shared" si="102"/>
        <v>0</v>
      </c>
      <c r="O215" s="474"/>
      <c r="P215" s="474"/>
      <c r="Q215" s="474"/>
      <c r="R215" s="474"/>
      <c r="S215" s="474"/>
      <c r="T215" s="474"/>
      <c r="U215" s="474"/>
      <c r="V215" s="132">
        <f t="shared" si="103"/>
        <v>0</v>
      </c>
      <c r="W215" s="133">
        <f t="shared" si="104"/>
        <v>0</v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471" t="s">
        <v>209</v>
      </c>
      <c r="C216" s="126" t="s">
        <v>179</v>
      </c>
      <c r="D216" s="108">
        <v>5.03</v>
      </c>
      <c r="E216" s="108"/>
      <c r="F216" s="127"/>
      <c r="G216" s="128"/>
      <c r="H216" s="479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74"/>
      <c r="P216" s="474"/>
      <c r="Q216" s="474"/>
      <c r="R216" s="474"/>
      <c r="S216" s="474"/>
      <c r="T216" s="474"/>
      <c r="U216" s="474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471" t="s">
        <v>209</v>
      </c>
      <c r="C217" s="126" t="s">
        <v>195</v>
      </c>
      <c r="D217" s="108">
        <v>5.03</v>
      </c>
      <c r="E217" s="108"/>
      <c r="F217" s="127"/>
      <c r="G217" s="128"/>
      <c r="H217" s="479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474"/>
      <c r="P217" s="474"/>
      <c r="Q217" s="474"/>
      <c r="R217" s="474"/>
      <c r="S217" s="474"/>
      <c r="T217" s="474"/>
      <c r="U217" s="474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customHeight="1">
      <c r="A218" s="300">
        <v>30100031</v>
      </c>
      <c r="B218" s="471" t="s">
        <v>209</v>
      </c>
      <c r="C218" s="126" t="s">
        <v>204</v>
      </c>
      <c r="D218" s="108">
        <v>5.03</v>
      </c>
      <c r="E218" s="108"/>
      <c r="F218" s="127">
        <v>42715</v>
      </c>
      <c r="G218" s="128">
        <f>108*2+62+108*4</f>
        <v>710</v>
      </c>
      <c r="H218" s="479">
        <f t="shared" si="91"/>
        <v>3571.3</v>
      </c>
      <c r="I218" s="129">
        <v>7</v>
      </c>
      <c r="J218" s="130">
        <f t="array" ref="J218">IF(ISERROR(G218/I218),"",G218/I218)</f>
        <v>101.42857142857143</v>
      </c>
      <c r="K218" s="131">
        <f t="array" ref="K218">IF(ISERROR(G218/L218),"",G218/L218)</f>
        <v>12.678571428571429</v>
      </c>
      <c r="L218" s="129">
        <v>56</v>
      </c>
      <c r="M218" s="109">
        <f t="shared" si="101"/>
        <v>-5.6785714285714288</v>
      </c>
      <c r="N218" s="130">
        <f t="shared" si="102"/>
        <v>0</v>
      </c>
      <c r="O218" s="474"/>
      <c r="P218" s="474"/>
      <c r="Q218" s="474"/>
      <c r="R218" s="474"/>
      <c r="S218" s="474"/>
      <c r="T218" s="474"/>
      <c r="U218" s="474"/>
      <c r="V218" s="132">
        <f t="shared" si="103"/>
        <v>0</v>
      </c>
      <c r="W218" s="133">
        <f t="shared" si="104"/>
        <v>0</v>
      </c>
      <c r="X218" s="132"/>
      <c r="Y218" s="132"/>
      <c r="Z218" s="132"/>
      <c r="AA218" s="132"/>
    </row>
    <row r="219" spans="1:27" ht="20.100000000000001" customHeight="1">
      <c r="A219" s="300">
        <v>30100019</v>
      </c>
      <c r="B219" s="471" t="s">
        <v>382</v>
      </c>
      <c r="C219" s="187" t="s">
        <v>383</v>
      </c>
      <c r="D219" s="108">
        <v>5.03</v>
      </c>
      <c r="E219" s="108"/>
      <c r="F219" s="127">
        <v>42716</v>
      </c>
      <c r="G219" s="128">
        <f>90*2+18+90+32</f>
        <v>320</v>
      </c>
      <c r="H219" s="479">
        <f t="shared" si="91"/>
        <v>1609.6000000000001</v>
      </c>
      <c r="I219" s="129">
        <v>5.5</v>
      </c>
      <c r="J219" s="130">
        <f t="array" ref="J219">IF(ISERROR(G219/I219),"",G219/I219)</f>
        <v>58.18181818181818</v>
      </c>
      <c r="K219" s="131">
        <f t="array" ref="K219">IF(ISERROR(G219/L219),"",G219/L219)</f>
        <v>5.9259259259259256</v>
      </c>
      <c r="L219" s="129">
        <v>54</v>
      </c>
      <c r="M219" s="109">
        <f t="shared" si="101"/>
        <v>-0.4259259259259256</v>
      </c>
      <c r="N219" s="130">
        <f t="shared" si="102"/>
        <v>0</v>
      </c>
      <c r="O219" s="474"/>
      <c r="P219" s="474"/>
      <c r="Q219" s="474"/>
      <c r="R219" s="474"/>
      <c r="S219" s="474"/>
      <c r="T219" s="474"/>
      <c r="U219" s="474"/>
      <c r="V219" s="132"/>
      <c r="W219" s="133"/>
      <c r="X219" s="132"/>
      <c r="Y219" s="132"/>
      <c r="Z219" s="132"/>
      <c r="AA219" s="132"/>
    </row>
    <row r="220" spans="1:27" ht="20.100000000000001" customHeight="1">
      <c r="A220" s="300">
        <v>30100020</v>
      </c>
      <c r="B220" s="471" t="s">
        <v>382</v>
      </c>
      <c r="C220" s="187" t="s">
        <v>384</v>
      </c>
      <c r="D220" s="108">
        <v>5.03</v>
      </c>
      <c r="E220" s="108"/>
      <c r="F220" s="127">
        <v>42716</v>
      </c>
      <c r="G220" s="128">
        <f>90*2+87</f>
        <v>267</v>
      </c>
      <c r="H220" s="479">
        <f t="shared" si="91"/>
        <v>1343.01</v>
      </c>
      <c r="I220" s="129">
        <v>6</v>
      </c>
      <c r="J220" s="130">
        <f t="array" ref="J220">IF(ISERROR(G220/I220),"",G220/I220)</f>
        <v>44.5</v>
      </c>
      <c r="K220" s="131">
        <f t="array" ref="K220">IF(ISERROR(G220/L220),"",G220/L220)</f>
        <v>4.9444444444444446</v>
      </c>
      <c r="L220" s="129">
        <v>54</v>
      </c>
      <c r="M220" s="109">
        <f t="shared" si="101"/>
        <v>1.0555555555555554</v>
      </c>
      <c r="N220" s="130">
        <f t="shared" si="102"/>
        <v>0</v>
      </c>
      <c r="O220" s="474"/>
      <c r="P220" s="474"/>
      <c r="Q220" s="474"/>
      <c r="R220" s="474"/>
      <c r="S220" s="474"/>
      <c r="T220" s="474"/>
      <c r="U220" s="474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471" t="s">
        <v>382</v>
      </c>
      <c r="C221" s="187" t="s">
        <v>389</v>
      </c>
      <c r="D221" s="108">
        <v>5.03</v>
      </c>
      <c r="E221" s="108"/>
      <c r="F221" s="127"/>
      <c r="G221" s="128"/>
      <c r="H221" s="479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74"/>
      <c r="P221" s="474"/>
      <c r="Q221" s="474"/>
      <c r="R221" s="474"/>
      <c r="S221" s="474"/>
      <c r="T221" s="474"/>
      <c r="U221" s="474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471" t="s">
        <v>382</v>
      </c>
      <c r="C222" s="187" t="s">
        <v>391</v>
      </c>
      <c r="D222" s="108">
        <v>5.03</v>
      </c>
      <c r="E222" s="108"/>
      <c r="F222" s="127"/>
      <c r="G222" s="128"/>
      <c r="H222" s="479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74"/>
      <c r="P222" s="474"/>
      <c r="Q222" s="474"/>
      <c r="R222" s="474"/>
      <c r="S222" s="474"/>
      <c r="T222" s="474"/>
      <c r="U222" s="474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471" t="s">
        <v>418</v>
      </c>
      <c r="C223" s="187" t="s">
        <v>364</v>
      </c>
      <c r="D223" s="108">
        <v>5.03</v>
      </c>
      <c r="E223" s="108"/>
      <c r="F223" s="127"/>
      <c r="G223" s="128"/>
      <c r="H223" s="479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474"/>
      <c r="P223" s="474"/>
      <c r="Q223" s="474"/>
      <c r="R223" s="474"/>
      <c r="S223" s="474"/>
      <c r="T223" s="474"/>
      <c r="U223" s="474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471" t="s">
        <v>418</v>
      </c>
      <c r="C224" s="187" t="s">
        <v>365</v>
      </c>
      <c r="D224" s="108">
        <v>5.03</v>
      </c>
      <c r="E224" s="108"/>
      <c r="F224" s="127"/>
      <c r="G224" s="128"/>
      <c r="H224" s="479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74"/>
      <c r="P224" s="474"/>
      <c r="Q224" s="474"/>
      <c r="R224" s="474"/>
      <c r="S224" s="474"/>
      <c r="T224" s="474"/>
      <c r="U224" s="474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471" t="s">
        <v>418</v>
      </c>
      <c r="C225" s="187" t="s">
        <v>366</v>
      </c>
      <c r="D225" s="108">
        <v>5.03</v>
      </c>
      <c r="E225" s="108"/>
      <c r="F225" s="127"/>
      <c r="G225" s="128"/>
      <c r="H225" s="479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74"/>
      <c r="P225" s="474"/>
      <c r="Q225" s="474"/>
      <c r="R225" s="474"/>
      <c r="S225" s="474"/>
      <c r="T225" s="474"/>
      <c r="U225" s="474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471" t="s">
        <v>418</v>
      </c>
      <c r="C226" s="187" t="s">
        <v>367</v>
      </c>
      <c r="D226" s="108">
        <v>5.03</v>
      </c>
      <c r="E226" s="108"/>
      <c r="F226" s="127"/>
      <c r="G226" s="128"/>
      <c r="H226" s="479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74"/>
      <c r="P226" s="474"/>
      <c r="Q226" s="474"/>
      <c r="R226" s="474"/>
      <c r="S226" s="474"/>
      <c r="T226" s="474"/>
      <c r="U226" s="474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479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470"/>
      <c r="P227" s="470"/>
      <c r="Q227" s="470"/>
      <c r="R227" s="470"/>
      <c r="S227" s="470"/>
      <c r="T227" s="470"/>
      <c r="U227" s="470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>
        <v>42714</v>
      </c>
      <c r="G228" s="128">
        <v>6</v>
      </c>
      <c r="H228" s="479">
        <f t="shared" si="91"/>
        <v>30.18</v>
      </c>
      <c r="I228" s="129">
        <v>0.15</v>
      </c>
      <c r="J228" s="130">
        <f t="array" ref="J228">IF(ISERROR(G228/I228),"",G228/I228)</f>
        <v>40</v>
      </c>
      <c r="K228" s="131">
        <f t="array" ref="K228">IF(ISERROR(G228/L228),"",G228/L228)</f>
        <v>0.15</v>
      </c>
      <c r="L228" s="129">
        <v>40</v>
      </c>
      <c r="M228" s="109">
        <f t="shared" si="101"/>
        <v>0</v>
      </c>
      <c r="N228" s="130">
        <f t="shared" si="102"/>
        <v>0</v>
      </c>
      <c r="O228" s="470"/>
      <c r="P228" s="470"/>
      <c r="Q228" s="470"/>
      <c r="R228" s="470"/>
      <c r="S228" s="470"/>
      <c r="T228" s="470"/>
      <c r="U228" s="470"/>
      <c r="V228" s="132">
        <f t="shared" si="105"/>
        <v>0</v>
      </c>
      <c r="W228" s="133">
        <f t="shared" si="106"/>
        <v>0</v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479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470"/>
      <c r="P229" s="470"/>
      <c r="Q229" s="470"/>
      <c r="R229" s="470"/>
      <c r="S229" s="470"/>
      <c r="T229" s="470"/>
      <c r="U229" s="470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479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470"/>
      <c r="P230" s="470"/>
      <c r="Q230" s="470"/>
      <c r="R230" s="470"/>
      <c r="S230" s="470"/>
      <c r="T230" s="470"/>
      <c r="U230" s="470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479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70"/>
      <c r="P231" s="470"/>
      <c r="Q231" s="470"/>
      <c r="R231" s="470"/>
      <c r="S231" s="470"/>
      <c r="T231" s="470"/>
      <c r="U231" s="470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479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70"/>
      <c r="P232" s="470"/>
      <c r="Q232" s="470"/>
      <c r="R232" s="470"/>
      <c r="S232" s="470"/>
      <c r="T232" s="470"/>
      <c r="U232" s="470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479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70"/>
      <c r="P233" s="470"/>
      <c r="Q233" s="470"/>
      <c r="R233" s="470"/>
      <c r="S233" s="470"/>
      <c r="T233" s="470"/>
      <c r="U233" s="470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479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70"/>
      <c r="P234" s="470"/>
      <c r="Q234" s="470"/>
      <c r="R234" s="470"/>
      <c r="S234" s="470"/>
      <c r="T234" s="470"/>
      <c r="U234" s="470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479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70"/>
      <c r="P235" s="470"/>
      <c r="Q235" s="470"/>
      <c r="R235" s="470"/>
      <c r="S235" s="470"/>
      <c r="T235" s="470"/>
      <c r="U235" s="470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479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70"/>
      <c r="P236" s="470"/>
      <c r="Q236" s="470"/>
      <c r="R236" s="470"/>
      <c r="S236" s="470"/>
      <c r="T236" s="470"/>
      <c r="U236" s="470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479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470"/>
      <c r="P237" s="470"/>
      <c r="Q237" s="470"/>
      <c r="R237" s="470"/>
      <c r="S237" s="470"/>
      <c r="T237" s="470"/>
      <c r="U237" s="470"/>
      <c r="V237" s="132"/>
      <c r="W237" s="133"/>
      <c r="X237" s="132"/>
      <c r="Y237" s="132"/>
      <c r="Z237" s="132"/>
      <c r="AA237" s="132"/>
    </row>
    <row r="238" spans="1:27" ht="20.10000000000000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>
        <v>42716</v>
      </c>
      <c r="G238" s="128">
        <v>21</v>
      </c>
      <c r="H238" s="479">
        <f t="shared" si="91"/>
        <v>105</v>
      </c>
      <c r="I238" s="129">
        <v>0.5</v>
      </c>
      <c r="J238" s="130">
        <f t="array" ref="J238">IF(ISERROR(G238/I238),"",G238/I238)</f>
        <v>42</v>
      </c>
      <c r="K238" s="131">
        <f t="array" ref="K238">IF(ISERROR(G238/L238),"",G238/L238)</f>
        <v>0.42</v>
      </c>
      <c r="L238" s="129">
        <v>50</v>
      </c>
      <c r="M238" s="109">
        <f t="shared" ref="M238:M249" si="107">IF(ISERROR(I238-K238),"",I238-K238)</f>
        <v>8.0000000000000016E-2</v>
      </c>
      <c r="N238" s="130"/>
      <c r="O238" s="470"/>
      <c r="P238" s="470"/>
      <c r="Q238" s="470"/>
      <c r="R238" s="470"/>
      <c r="S238" s="470"/>
      <c r="T238" s="470"/>
      <c r="U238" s="470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479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7"/>
        <v>0</v>
      </c>
      <c r="N239" s="130">
        <f t="shared" ref="N239:N240" si="108">SUM(O239:U239)</f>
        <v>0</v>
      </c>
      <c r="O239" s="470"/>
      <c r="P239" s="470"/>
      <c r="Q239" s="470"/>
      <c r="R239" s="470"/>
      <c r="S239" s="470"/>
      <c r="T239" s="470"/>
      <c r="U239" s="470"/>
      <c r="V239" s="132">
        <f t="shared" ref="V239:V240" si="109">SUM(X239:AA239)</f>
        <v>0</v>
      </c>
      <c r="W239" s="133" t="str">
        <f t="shared" ref="W239:W240" si="110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479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470"/>
      <c r="P240" s="470"/>
      <c r="Q240" s="470"/>
      <c r="R240" s="470"/>
      <c r="S240" s="470"/>
      <c r="T240" s="470"/>
      <c r="U240" s="470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479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470"/>
      <c r="P241" s="470"/>
      <c r="Q241" s="470"/>
      <c r="R241" s="470"/>
      <c r="S241" s="470"/>
      <c r="T241" s="470"/>
      <c r="U241" s="470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479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470"/>
      <c r="P242" s="470"/>
      <c r="Q242" s="470"/>
      <c r="R242" s="470"/>
      <c r="S242" s="470"/>
      <c r="T242" s="470"/>
      <c r="U242" s="470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479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470"/>
      <c r="P243" s="470"/>
      <c r="Q243" s="470"/>
      <c r="R243" s="470"/>
      <c r="S243" s="470"/>
      <c r="T243" s="470"/>
      <c r="U243" s="470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479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70"/>
      <c r="P244" s="470"/>
      <c r="Q244" s="470"/>
      <c r="R244" s="470"/>
      <c r="S244" s="470"/>
      <c r="T244" s="470"/>
      <c r="U244" s="470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479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70"/>
      <c r="P245" s="470"/>
      <c r="Q245" s="470"/>
      <c r="R245" s="470"/>
      <c r="S245" s="470"/>
      <c r="T245" s="470"/>
      <c r="U245" s="470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479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470"/>
      <c r="P246" s="470"/>
      <c r="Q246" s="470"/>
      <c r="R246" s="470"/>
      <c r="S246" s="470"/>
      <c r="T246" s="470"/>
      <c r="U246" s="470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479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70"/>
      <c r="P247" s="470"/>
      <c r="Q247" s="470"/>
      <c r="R247" s="470"/>
      <c r="S247" s="470"/>
      <c r="T247" s="470"/>
      <c r="U247" s="470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479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70"/>
      <c r="P248" s="470"/>
      <c r="Q248" s="470"/>
      <c r="R248" s="470"/>
      <c r="S248" s="470"/>
      <c r="T248" s="470"/>
      <c r="U248" s="470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479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70"/>
      <c r="P249" s="470"/>
      <c r="Q249" s="470"/>
      <c r="R249" s="470"/>
      <c r="S249" s="470"/>
      <c r="T249" s="470"/>
      <c r="U249" s="470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479">
        <f t="shared" si="91"/>
        <v>0</v>
      </c>
      <c r="I250" s="129"/>
      <c r="J250" s="130"/>
      <c r="K250" s="131"/>
      <c r="L250" s="129">
        <v>4</v>
      </c>
      <c r="M250" s="109"/>
      <c r="N250" s="130"/>
      <c r="O250" s="470"/>
      <c r="P250" s="470"/>
      <c r="Q250" s="470"/>
      <c r="R250" s="470"/>
      <c r="S250" s="470"/>
      <c r="T250" s="470"/>
      <c r="U250" s="470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479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70"/>
      <c r="P251" s="470"/>
      <c r="Q251" s="470"/>
      <c r="R251" s="470"/>
      <c r="S251" s="470"/>
      <c r="T251" s="470"/>
      <c r="U251" s="470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479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70"/>
      <c r="P252" s="470"/>
      <c r="Q252" s="470"/>
      <c r="R252" s="470"/>
      <c r="S252" s="470"/>
      <c r="T252" s="470"/>
      <c r="U252" s="470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479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70"/>
      <c r="P253" s="470"/>
      <c r="Q253" s="470"/>
      <c r="R253" s="470"/>
      <c r="S253" s="470"/>
      <c r="T253" s="470"/>
      <c r="U253" s="470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479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70"/>
      <c r="P254" s="470"/>
      <c r="Q254" s="470"/>
      <c r="R254" s="470"/>
      <c r="S254" s="470"/>
      <c r="T254" s="470"/>
      <c r="U254" s="470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479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70"/>
      <c r="P255" s="470"/>
      <c r="Q255" s="470"/>
      <c r="R255" s="470"/>
      <c r="S255" s="470"/>
      <c r="T255" s="470"/>
      <c r="U255" s="470"/>
      <c r="V255" s="132"/>
      <c r="W255" s="133"/>
      <c r="X255" s="132"/>
      <c r="Y255" s="132"/>
      <c r="Z255" s="132"/>
      <c r="AA255" s="132"/>
    </row>
    <row r="256" spans="1:27" ht="20.100000000000001" customHeight="1">
      <c r="A256" s="641" t="s">
        <v>216</v>
      </c>
      <c r="B256" s="641"/>
      <c r="C256" s="477" t="s">
        <v>202</v>
      </c>
      <c r="D256" s="143"/>
      <c r="E256" s="143"/>
      <c r="F256" s="144"/>
      <c r="G256" s="145">
        <f>SUM(G199:G255)</f>
        <v>1679</v>
      </c>
      <c r="H256" s="146">
        <f>SUM(H199:H255)</f>
        <v>8444.7400000000016</v>
      </c>
      <c r="I256" s="146">
        <f>SUM(I199:I255)</f>
        <v>23.65</v>
      </c>
      <c r="J256" s="130">
        <f t="array" ref="J256">IF(ISERROR(G256/I256),"",G256/I256)</f>
        <v>70.993657505285412</v>
      </c>
      <c r="K256" s="146">
        <f>SUM(K199:K255)</f>
        <v>30.458227513227513</v>
      </c>
      <c r="L256" s="147"/>
      <c r="M256" s="150">
        <f t="shared" ref="M256:V256" si="114">SUM(M199:M255)</f>
        <v>-6.8082275132275134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>
        <f t="shared" ref="W256:W263" si="115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471" t="s">
        <v>217</v>
      </c>
      <c r="C257" s="126" t="s">
        <v>179</v>
      </c>
      <c r="D257" s="108">
        <v>5.03</v>
      </c>
      <c r="E257" s="108"/>
      <c r="F257" s="127"/>
      <c r="G257" s="128"/>
      <c r="H257" s="479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470"/>
      <c r="P257" s="470"/>
      <c r="Q257" s="470"/>
      <c r="R257" s="470"/>
      <c r="S257" s="470"/>
      <c r="T257" s="470"/>
      <c r="U257" s="470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471" t="s">
        <v>217</v>
      </c>
      <c r="C258" s="126" t="s">
        <v>186</v>
      </c>
      <c r="D258" s="108">
        <v>5.03</v>
      </c>
      <c r="E258" s="108"/>
      <c r="F258" s="127"/>
      <c r="G258" s="128"/>
      <c r="H258" s="479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470"/>
      <c r="P258" s="470"/>
      <c r="Q258" s="470"/>
      <c r="R258" s="470"/>
      <c r="S258" s="470"/>
      <c r="T258" s="470"/>
      <c r="U258" s="470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471" t="s">
        <v>217</v>
      </c>
      <c r="C259" s="126" t="s">
        <v>204</v>
      </c>
      <c r="D259" s="108">
        <v>5.03</v>
      </c>
      <c r="E259" s="108"/>
      <c r="F259" s="127"/>
      <c r="G259" s="128"/>
      <c r="H259" s="479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70"/>
      <c r="P259" s="470"/>
      <c r="Q259" s="470"/>
      <c r="R259" s="470"/>
      <c r="S259" s="470"/>
      <c r="T259" s="470"/>
      <c r="U259" s="470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479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470"/>
      <c r="P260" s="470"/>
      <c r="Q260" s="470"/>
      <c r="R260" s="470"/>
      <c r="S260" s="470"/>
      <c r="T260" s="470"/>
      <c r="U260" s="470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479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70"/>
      <c r="P261" s="470"/>
      <c r="Q261" s="470"/>
      <c r="R261" s="470"/>
      <c r="S261" s="470"/>
      <c r="T261" s="470"/>
      <c r="U261" s="470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479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70"/>
      <c r="P262" s="470"/>
      <c r="Q262" s="470"/>
      <c r="R262" s="470"/>
      <c r="S262" s="470"/>
      <c r="T262" s="470"/>
      <c r="U262" s="470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479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70"/>
      <c r="P263" s="470"/>
      <c r="Q263" s="470"/>
      <c r="R263" s="470"/>
      <c r="S263" s="470"/>
      <c r="T263" s="470"/>
      <c r="U263" s="470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>
        <v>42718</v>
      </c>
      <c r="G264" s="128">
        <f>108+60</f>
        <v>168</v>
      </c>
      <c r="H264" s="479">
        <f t="shared" si="116"/>
        <v>845.04000000000008</v>
      </c>
      <c r="I264" s="129">
        <f>11.5*3</f>
        <v>34.5</v>
      </c>
      <c r="J264" s="130">
        <f t="array" ref="J264">IF(ISERROR(G264/I264),"",G264/I264)</f>
        <v>4.8695652173913047</v>
      </c>
      <c r="K264" s="131">
        <f t="array" ref="K264">IF(ISERROR(G264/L264),"",G264/L264)</f>
        <v>18.064516129032256</v>
      </c>
      <c r="L264" s="129">
        <v>9.3000000000000007</v>
      </c>
      <c r="M264" s="109">
        <f t="shared" si="117"/>
        <v>16.435483870967744</v>
      </c>
      <c r="N264" s="130">
        <f t="shared" si="118"/>
        <v>0</v>
      </c>
      <c r="O264" s="470"/>
      <c r="P264" s="470"/>
      <c r="Q264" s="470"/>
      <c r="R264" s="470"/>
      <c r="S264" s="470"/>
      <c r="T264" s="470"/>
      <c r="U264" s="470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479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70"/>
      <c r="P265" s="470"/>
      <c r="Q265" s="470"/>
      <c r="R265" s="470"/>
      <c r="S265" s="470"/>
      <c r="T265" s="470"/>
      <c r="U265" s="470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479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70"/>
      <c r="P266" s="470"/>
      <c r="Q266" s="470"/>
      <c r="R266" s="470"/>
      <c r="S266" s="470"/>
      <c r="T266" s="470"/>
      <c r="U266" s="470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479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70"/>
      <c r="P267" s="470"/>
      <c r="Q267" s="470"/>
      <c r="R267" s="470"/>
      <c r="S267" s="470"/>
      <c r="T267" s="470"/>
      <c r="U267" s="470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479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70"/>
      <c r="P268" s="470"/>
      <c r="Q268" s="470"/>
      <c r="R268" s="470"/>
      <c r="S268" s="470"/>
      <c r="T268" s="470"/>
      <c r="U268" s="470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479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0">IF(ISERROR(I269-K269),"",I269-K269)</f>
        <v>0</v>
      </c>
      <c r="N269" s="130">
        <f t="shared" ref="N269:N284" si="121">SUM(O269:U269)</f>
        <v>0</v>
      </c>
      <c r="O269" s="470"/>
      <c r="P269" s="470"/>
      <c r="Q269" s="470"/>
      <c r="R269" s="470"/>
      <c r="S269" s="470"/>
      <c r="T269" s="470"/>
      <c r="U269" s="470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479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470"/>
      <c r="P270" s="470"/>
      <c r="Q270" s="470"/>
      <c r="R270" s="470"/>
      <c r="S270" s="470"/>
      <c r="T270" s="470"/>
      <c r="U270" s="470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479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70"/>
      <c r="P271" s="470"/>
      <c r="Q271" s="470"/>
      <c r="R271" s="470"/>
      <c r="S271" s="470"/>
      <c r="T271" s="470"/>
      <c r="U271" s="470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479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70"/>
      <c r="P272" s="470"/>
      <c r="Q272" s="470"/>
      <c r="R272" s="470"/>
      <c r="S272" s="470"/>
      <c r="T272" s="470"/>
      <c r="U272" s="470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471" t="s">
        <v>222</v>
      </c>
      <c r="C273" s="126" t="s">
        <v>181</v>
      </c>
      <c r="D273" s="108">
        <v>9.36</v>
      </c>
      <c r="E273" s="108"/>
      <c r="F273" s="127"/>
      <c r="G273" s="128"/>
      <c r="H273" s="479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470"/>
      <c r="P273" s="470"/>
      <c r="Q273" s="470"/>
      <c r="R273" s="470"/>
      <c r="S273" s="470"/>
      <c r="T273" s="470"/>
      <c r="U273" s="470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471" t="s">
        <v>222</v>
      </c>
      <c r="C274" s="126" t="s">
        <v>179</v>
      </c>
      <c r="D274" s="108">
        <v>9.36</v>
      </c>
      <c r="E274" s="108"/>
      <c r="F274" s="127"/>
      <c r="G274" s="128"/>
      <c r="H274" s="479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70"/>
      <c r="P274" s="470"/>
      <c r="Q274" s="470"/>
      <c r="R274" s="470"/>
      <c r="S274" s="470"/>
      <c r="T274" s="470"/>
      <c r="U274" s="470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471" t="s">
        <v>222</v>
      </c>
      <c r="C275" s="126" t="s">
        <v>221</v>
      </c>
      <c r="D275" s="108">
        <v>9.36</v>
      </c>
      <c r="E275" s="108"/>
      <c r="F275" s="127"/>
      <c r="G275" s="128"/>
      <c r="H275" s="479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70"/>
      <c r="P275" s="470"/>
      <c r="Q275" s="470"/>
      <c r="R275" s="470"/>
      <c r="S275" s="470"/>
      <c r="T275" s="470"/>
      <c r="U275" s="470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471" t="s">
        <v>222</v>
      </c>
      <c r="C276" s="126" t="s">
        <v>186</v>
      </c>
      <c r="D276" s="108">
        <v>9.36</v>
      </c>
      <c r="E276" s="108"/>
      <c r="F276" s="127"/>
      <c r="G276" s="128"/>
      <c r="H276" s="479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70"/>
      <c r="P276" s="470"/>
      <c r="Q276" s="470"/>
      <c r="R276" s="470"/>
      <c r="S276" s="470"/>
      <c r="T276" s="470"/>
      <c r="U276" s="470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customHeight="1">
      <c r="A277" s="299">
        <v>30400026</v>
      </c>
      <c r="B277" s="471" t="s">
        <v>393</v>
      </c>
      <c r="C277" s="187" t="s">
        <v>395</v>
      </c>
      <c r="D277" s="108">
        <v>5</v>
      </c>
      <c r="E277" s="108"/>
      <c r="F277" s="127">
        <v>42715</v>
      </c>
      <c r="G277" s="128">
        <v>83</v>
      </c>
      <c r="H277" s="479">
        <f t="shared" si="116"/>
        <v>415</v>
      </c>
      <c r="I277" s="129">
        <f>2.5*5</f>
        <v>12.5</v>
      </c>
      <c r="J277" s="130">
        <f t="array" ref="J277">IF(ISERROR(G277/I277),"",G277/I277)</f>
        <v>6.64</v>
      </c>
      <c r="K277" s="131">
        <f t="array" ref="K277">IF(ISERROR(G277/L277),"",G277/L277)</f>
        <v>16.600000000000001</v>
      </c>
      <c r="L277" s="129">
        <v>5</v>
      </c>
      <c r="M277" s="109">
        <f t="shared" si="120"/>
        <v>-4.1000000000000014</v>
      </c>
      <c r="N277" s="130">
        <f t="shared" si="121"/>
        <v>0</v>
      </c>
      <c r="O277" s="470"/>
      <c r="P277" s="470"/>
      <c r="Q277" s="470"/>
      <c r="R277" s="470"/>
      <c r="S277" s="470"/>
      <c r="T277" s="470"/>
      <c r="U277" s="470"/>
      <c r="V277" s="132"/>
      <c r="W277" s="133"/>
      <c r="X277" s="132"/>
      <c r="Y277" s="132"/>
      <c r="Z277" s="132"/>
      <c r="AA277" s="132"/>
    </row>
    <row r="278" spans="1:27" ht="20.100000000000001" customHeight="1">
      <c r="A278" s="299">
        <v>30400028</v>
      </c>
      <c r="B278" s="471" t="s">
        <v>393</v>
      </c>
      <c r="C278" s="187" t="s">
        <v>402</v>
      </c>
      <c r="D278" s="108">
        <v>5</v>
      </c>
      <c r="E278" s="108"/>
      <c r="F278" s="127">
        <v>42716</v>
      </c>
      <c r="G278" s="128">
        <f>90*2+88+45</f>
        <v>313</v>
      </c>
      <c r="H278" s="479">
        <f t="shared" si="116"/>
        <v>1565</v>
      </c>
      <c r="I278" s="129">
        <f>5.5*3+5*9</f>
        <v>61.5</v>
      </c>
      <c r="J278" s="130">
        <f t="array" ref="J278">IF(ISERROR(G278/I278),"",G278/I278)</f>
        <v>5.0894308943089435</v>
      </c>
      <c r="K278" s="131">
        <f t="array" ref="K278">IF(ISERROR(G278/L278),"",G278/L278)</f>
        <v>62.6</v>
      </c>
      <c r="L278" s="129">
        <v>5</v>
      </c>
      <c r="M278" s="109">
        <f t="shared" si="120"/>
        <v>-1.1000000000000014</v>
      </c>
      <c r="N278" s="130">
        <f t="shared" si="121"/>
        <v>0</v>
      </c>
      <c r="O278" s="470"/>
      <c r="P278" s="470"/>
      <c r="Q278" s="470"/>
      <c r="R278" s="470"/>
      <c r="S278" s="470"/>
      <c r="T278" s="470"/>
      <c r="U278" s="470"/>
      <c r="V278" s="132"/>
      <c r="W278" s="133"/>
      <c r="X278" s="132"/>
      <c r="Y278" s="132"/>
      <c r="Z278" s="132"/>
      <c r="AA278" s="132"/>
    </row>
    <row r="279" spans="1:27" ht="20.100000000000001" customHeight="1">
      <c r="A279" s="299">
        <v>30400027</v>
      </c>
      <c r="B279" s="471" t="s">
        <v>404</v>
      </c>
      <c r="C279" s="187" t="s">
        <v>405</v>
      </c>
      <c r="D279" s="108">
        <v>5</v>
      </c>
      <c r="E279" s="108"/>
      <c r="F279" s="127">
        <v>42715</v>
      </c>
      <c r="G279" s="128">
        <f>90+64</f>
        <v>154</v>
      </c>
      <c r="H279" s="479">
        <f t="shared" si="116"/>
        <v>770</v>
      </c>
      <c r="I279" s="129">
        <f>6*3</f>
        <v>18</v>
      </c>
      <c r="J279" s="130">
        <f t="array" ref="J279">IF(ISERROR(G279/I279),"",G279/I279)</f>
        <v>8.5555555555555554</v>
      </c>
      <c r="K279" s="131">
        <f t="array" ref="K279">IF(ISERROR(G279/L279),"",G279/L279)</f>
        <v>30.8</v>
      </c>
      <c r="L279" s="129">
        <v>5</v>
      </c>
      <c r="M279" s="109">
        <f t="shared" si="120"/>
        <v>-12.8</v>
      </c>
      <c r="N279" s="130">
        <f t="shared" si="121"/>
        <v>0</v>
      </c>
      <c r="O279" s="470"/>
      <c r="P279" s="470"/>
      <c r="Q279" s="470"/>
      <c r="R279" s="470"/>
      <c r="S279" s="470"/>
      <c r="T279" s="470"/>
      <c r="U279" s="470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471" t="s">
        <v>342</v>
      </c>
      <c r="C280" s="187" t="s">
        <v>372</v>
      </c>
      <c r="D280" s="108">
        <v>5</v>
      </c>
      <c r="E280" s="108"/>
      <c r="F280" s="127"/>
      <c r="G280" s="128"/>
      <c r="H280" s="479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70"/>
      <c r="P280" s="470"/>
      <c r="Q280" s="470"/>
      <c r="R280" s="470"/>
      <c r="S280" s="470"/>
      <c r="T280" s="470"/>
      <c r="U280" s="470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471" t="s">
        <v>343</v>
      </c>
      <c r="C281" s="126" t="s">
        <v>345</v>
      </c>
      <c r="D281" s="108">
        <v>5</v>
      </c>
      <c r="E281" s="108"/>
      <c r="F281" s="127"/>
      <c r="G281" s="128"/>
      <c r="H281" s="479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70"/>
      <c r="P281" s="470"/>
      <c r="Q281" s="470"/>
      <c r="R281" s="470"/>
      <c r="S281" s="470"/>
      <c r="T281" s="470"/>
      <c r="U281" s="470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471" t="s">
        <v>343</v>
      </c>
      <c r="C282" s="126" t="s">
        <v>347</v>
      </c>
      <c r="D282" s="108">
        <v>5</v>
      </c>
      <c r="E282" s="108"/>
      <c r="F282" s="127"/>
      <c r="G282" s="128"/>
      <c r="H282" s="479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70"/>
      <c r="P282" s="470"/>
      <c r="Q282" s="470"/>
      <c r="R282" s="470"/>
      <c r="S282" s="470"/>
      <c r="T282" s="470"/>
      <c r="U282" s="470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479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470"/>
      <c r="P283" s="470"/>
      <c r="Q283" s="470"/>
      <c r="R283" s="470"/>
      <c r="S283" s="470"/>
      <c r="T283" s="470"/>
      <c r="U283" s="470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479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470"/>
      <c r="P284" s="470"/>
      <c r="Q284" s="470"/>
      <c r="R284" s="470"/>
      <c r="S284" s="470"/>
      <c r="T284" s="470"/>
      <c r="U284" s="470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/>
      <c r="G285" s="128"/>
      <c r="H285" s="479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470"/>
      <c r="P285" s="470"/>
      <c r="Q285" s="470"/>
      <c r="R285" s="470"/>
      <c r="S285" s="470"/>
      <c r="T285" s="470"/>
      <c r="U285" s="470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479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470"/>
      <c r="P286" s="470"/>
      <c r="Q286" s="470"/>
      <c r="R286" s="470"/>
      <c r="S286" s="470"/>
      <c r="T286" s="470"/>
      <c r="U286" s="470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479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70"/>
      <c r="P287" s="470"/>
      <c r="Q287" s="470"/>
      <c r="R287" s="470"/>
      <c r="S287" s="470"/>
      <c r="T287" s="470"/>
      <c r="U287" s="470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479">
        <f t="shared" si="116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7">IF(ISERROR(I288-K288),"",I288-K288)</f>
        <v>0</v>
      </c>
      <c r="N288" s="130">
        <f t="shared" ref="N288:N290" si="128">SUM(O288:U288)</f>
        <v>0</v>
      </c>
      <c r="O288" s="470"/>
      <c r="P288" s="470"/>
      <c r="Q288" s="470"/>
      <c r="R288" s="470"/>
      <c r="S288" s="470"/>
      <c r="T288" s="470"/>
      <c r="U288" s="470"/>
      <c r="V288" s="132">
        <f t="shared" ref="V288:V290" si="129">SUM(X288:AA288)</f>
        <v>0</v>
      </c>
      <c r="W288" s="133" t="str">
        <f t="shared" ref="W288:W312" si="130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479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470"/>
      <c r="P289" s="470"/>
      <c r="Q289" s="470"/>
      <c r="R289" s="470"/>
      <c r="S289" s="470"/>
      <c r="T289" s="470"/>
      <c r="U289" s="470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479">
        <f t="shared" si="116"/>
        <v>0</v>
      </c>
      <c r="I290" s="129"/>
      <c r="J290" s="130" t="str">
        <f t="array" ref="J290">IF(ISERROR(G290/I290),"",G290/I290)</f>
        <v/>
      </c>
      <c r="K290" s="479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70"/>
      <c r="P290" s="470"/>
      <c r="Q290" s="470"/>
      <c r="R290" s="470"/>
      <c r="S290" s="470"/>
      <c r="T290" s="470"/>
      <c r="U290" s="470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630" t="s">
        <v>224</v>
      </c>
      <c r="B291" s="631"/>
      <c r="C291" s="477" t="s">
        <v>202</v>
      </c>
      <c r="D291" s="143"/>
      <c r="E291" s="143"/>
      <c r="F291" s="144"/>
      <c r="G291" s="145">
        <f>SUM(G257:G290)</f>
        <v>718</v>
      </c>
      <c r="H291" s="146">
        <f>SUM(H257:H290)</f>
        <v>3595.04</v>
      </c>
      <c r="I291" s="146">
        <f>SUM(I257:I290)</f>
        <v>126.5</v>
      </c>
      <c r="J291" s="130">
        <f t="array" ref="J291">IF(ISERROR(G291/I291),"",G291/I291)</f>
        <v>5.6758893280632412</v>
      </c>
      <c r="K291" s="146">
        <f>SUM(K257:K290)</f>
        <v>128.06451612903226</v>
      </c>
      <c r="L291" s="147"/>
      <c r="M291" s="150">
        <f t="shared" ref="M291:V291" si="131">SUM(M257:M290)</f>
        <v>-1.5645161290322598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>
        <f t="shared" si="130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479">
        <f t="shared" ref="H292:H306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3">IF(ISERROR(I292-K292),"",I292-K292)</f>
        <v>0</v>
      </c>
      <c r="N292" s="130">
        <f t="shared" ref="N292:N306" si="134">SUM(O292:U292)</f>
        <v>0</v>
      </c>
      <c r="O292" s="470"/>
      <c r="P292" s="470"/>
      <c r="Q292" s="470"/>
      <c r="R292" s="470"/>
      <c r="S292" s="470"/>
      <c r="T292" s="470"/>
      <c r="U292" s="470"/>
      <c r="V292" s="132">
        <f t="shared" ref="V292:V306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479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470"/>
      <c r="P293" s="470"/>
      <c r="Q293" s="470"/>
      <c r="R293" s="470"/>
      <c r="S293" s="470"/>
      <c r="T293" s="470"/>
      <c r="U293" s="470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479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3"/>
        <v>0</v>
      </c>
      <c r="N294" s="130">
        <f t="shared" si="134"/>
        <v>0</v>
      </c>
      <c r="O294" s="470"/>
      <c r="P294" s="470"/>
      <c r="Q294" s="470"/>
      <c r="R294" s="470"/>
      <c r="S294" s="470"/>
      <c r="T294" s="470"/>
      <c r="U294" s="470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479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470"/>
      <c r="P295" s="470"/>
      <c r="Q295" s="470"/>
      <c r="R295" s="470"/>
      <c r="S295" s="470"/>
      <c r="T295" s="470"/>
      <c r="U295" s="470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475" t="s">
        <v>203</v>
      </c>
      <c r="D296" s="108">
        <v>5.03</v>
      </c>
      <c r="E296" s="108"/>
      <c r="F296" s="127"/>
      <c r="G296" s="128"/>
      <c r="H296" s="479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70"/>
      <c r="P296" s="470"/>
      <c r="Q296" s="470"/>
      <c r="R296" s="470"/>
      <c r="S296" s="470"/>
      <c r="T296" s="470"/>
      <c r="U296" s="470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479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70"/>
      <c r="P297" s="470"/>
      <c r="Q297" s="470"/>
      <c r="R297" s="470"/>
      <c r="S297" s="470"/>
      <c r="T297" s="470"/>
      <c r="U297" s="470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479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70"/>
      <c r="P298" s="470"/>
      <c r="Q298" s="470"/>
      <c r="R298" s="470"/>
      <c r="S298" s="470"/>
      <c r="T298" s="470"/>
      <c r="U298" s="470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475" t="s">
        <v>228</v>
      </c>
      <c r="D299" s="108">
        <v>5.03</v>
      </c>
      <c r="E299" s="108"/>
      <c r="F299" s="127"/>
      <c r="G299" s="128"/>
      <c r="H299" s="479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70"/>
      <c r="P299" s="470"/>
      <c r="Q299" s="470"/>
      <c r="R299" s="470"/>
      <c r="S299" s="470"/>
      <c r="T299" s="470"/>
      <c r="U299" s="470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475" t="s">
        <v>212</v>
      </c>
      <c r="D300" s="108">
        <v>5.03</v>
      </c>
      <c r="E300" s="108"/>
      <c r="F300" s="127"/>
      <c r="G300" s="128"/>
      <c r="H300" s="479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470"/>
      <c r="P300" s="470"/>
      <c r="Q300" s="470"/>
      <c r="R300" s="470"/>
      <c r="S300" s="470"/>
      <c r="T300" s="470"/>
      <c r="U300" s="470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475" t="s">
        <v>203</v>
      </c>
      <c r="D301" s="108">
        <v>5.03</v>
      </c>
      <c r="E301" s="108"/>
      <c r="F301" s="127"/>
      <c r="G301" s="128"/>
      <c r="H301" s="479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70"/>
      <c r="P301" s="470"/>
      <c r="Q301" s="470"/>
      <c r="R301" s="470"/>
      <c r="S301" s="470"/>
      <c r="T301" s="470"/>
      <c r="U301" s="470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475" t="s">
        <v>186</v>
      </c>
      <c r="D302" s="108">
        <v>5.03</v>
      </c>
      <c r="E302" s="108"/>
      <c r="F302" s="127"/>
      <c r="G302" s="128"/>
      <c r="H302" s="479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70"/>
      <c r="P302" s="470"/>
      <c r="Q302" s="470"/>
      <c r="R302" s="470"/>
      <c r="S302" s="470"/>
      <c r="T302" s="470"/>
      <c r="U302" s="470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475" t="s">
        <v>228</v>
      </c>
      <c r="D303" s="108">
        <v>5.03</v>
      </c>
      <c r="E303" s="108"/>
      <c r="F303" s="127"/>
      <c r="G303" s="128"/>
      <c r="H303" s="479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70"/>
      <c r="P303" s="470"/>
      <c r="Q303" s="470"/>
      <c r="R303" s="470"/>
      <c r="S303" s="470"/>
      <c r="T303" s="470"/>
      <c r="U303" s="470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475" t="s">
        <v>199</v>
      </c>
      <c r="D304" s="108">
        <v>5.03</v>
      </c>
      <c r="E304" s="108"/>
      <c r="F304" s="127"/>
      <c r="G304" s="128"/>
      <c r="H304" s="479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70"/>
      <c r="P304" s="470"/>
      <c r="Q304" s="470"/>
      <c r="R304" s="470"/>
      <c r="S304" s="470"/>
      <c r="T304" s="470"/>
      <c r="U304" s="470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479">
        <f t="shared" si="132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3"/>
        <v>0</v>
      </c>
      <c r="N305" s="130">
        <f t="shared" si="134"/>
        <v>0</v>
      </c>
      <c r="O305" s="470"/>
      <c r="P305" s="470"/>
      <c r="Q305" s="470"/>
      <c r="R305" s="470"/>
      <c r="S305" s="470"/>
      <c r="T305" s="470"/>
      <c r="U305" s="470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479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470"/>
      <c r="P306" s="470"/>
      <c r="Q306" s="470"/>
      <c r="R306" s="470"/>
      <c r="S306" s="470"/>
      <c r="T306" s="470"/>
      <c r="U306" s="470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630" t="s">
        <v>231</v>
      </c>
      <c r="B307" s="631"/>
      <c r="C307" s="477" t="s">
        <v>202</v>
      </c>
      <c r="D307" s="143"/>
      <c r="E307" s="143"/>
      <c r="F307" s="144"/>
      <c r="G307" s="145">
        <f>SUM(G292:G306)</f>
        <v>0</v>
      </c>
      <c r="H307" s="146">
        <f>SUM(H292:H306)</f>
        <v>0</v>
      </c>
      <c r="I307" s="146">
        <f>SUM(I292:I306)</f>
        <v>0</v>
      </c>
      <c r="J307" s="130" t="str">
        <f t="array" ref="J307">IF(ISERROR(G307/I307),"",G307/I307)</f>
        <v/>
      </c>
      <c r="K307" s="146">
        <f>SUM(K292:K306)</f>
        <v>0</v>
      </c>
      <c r="L307" s="146"/>
      <c r="M307" s="150">
        <f>SUM(M292:M306)</f>
        <v>0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 t="str">
        <f t="shared" si="130"/>
        <v/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479">
        <f t="shared" ref="H308:H315" si="136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7">IF(ISERROR(I308-K308),"",I308-K308)</f>
        <v>0</v>
      </c>
      <c r="N308" s="130">
        <f t="shared" ref="N308:N312" si="138">SUM(O308:U308)</f>
        <v>0</v>
      </c>
      <c r="O308" s="470"/>
      <c r="P308" s="470"/>
      <c r="Q308" s="470"/>
      <c r="R308" s="470"/>
      <c r="S308" s="470"/>
      <c r="T308" s="470"/>
      <c r="U308" s="470"/>
      <c r="V308" s="132">
        <f t="shared" ref="V308:V312" si="139">SUM(X308:AA308)</f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479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470"/>
      <c r="P309" s="470"/>
      <c r="Q309" s="470"/>
      <c r="R309" s="470"/>
      <c r="S309" s="470"/>
      <c r="T309" s="470"/>
      <c r="U309" s="470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479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70"/>
      <c r="P310" s="470"/>
      <c r="Q310" s="470"/>
      <c r="R310" s="470"/>
      <c r="S310" s="470"/>
      <c r="T310" s="470"/>
      <c r="U310" s="470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479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70"/>
      <c r="P311" s="470"/>
      <c r="Q311" s="470"/>
      <c r="R311" s="470"/>
      <c r="S311" s="470"/>
      <c r="T311" s="470"/>
      <c r="U311" s="470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479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70"/>
      <c r="P312" s="470"/>
      <c r="Q312" s="470"/>
      <c r="R312" s="470"/>
      <c r="S312" s="470"/>
      <c r="T312" s="470"/>
      <c r="U312" s="470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79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470"/>
      <c r="P313" s="470"/>
      <c r="Q313" s="470"/>
      <c r="R313" s="470"/>
      <c r="S313" s="470"/>
      <c r="T313" s="470"/>
      <c r="U313" s="470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>
        <v>42712</v>
      </c>
      <c r="G314" s="128">
        <f>90*4+100+65</f>
        <v>525</v>
      </c>
      <c r="H314" s="479">
        <f t="shared" si="136"/>
        <v>2640.75</v>
      </c>
      <c r="I314" s="129">
        <f>11.5*3</f>
        <v>34.5</v>
      </c>
      <c r="J314" s="130">
        <f t="array" ref="J314">IF(ISERROR(G314/I314),"",G314/I314)</f>
        <v>15.217391304347826</v>
      </c>
      <c r="K314" s="131"/>
      <c r="L314" s="129">
        <v>13.5</v>
      </c>
      <c r="M314" s="109"/>
      <c r="N314" s="130"/>
      <c r="O314" s="470"/>
      <c r="P314" s="470"/>
      <c r="Q314" s="470"/>
      <c r="R314" s="470"/>
      <c r="S314" s="470"/>
      <c r="T314" s="470"/>
      <c r="U314" s="470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479">
        <f t="shared" ref="H316" si="140">D316*G316</f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1">IF(ISERROR(I316-K316),"",I316-K316)</f>
        <v>0</v>
      </c>
      <c r="N316" s="130">
        <f t="shared" ref="N316" si="142">SUM(O316:U316)</f>
        <v>0</v>
      </c>
      <c r="O316" s="470"/>
      <c r="P316" s="470"/>
      <c r="Q316" s="470"/>
      <c r="R316" s="470"/>
      <c r="S316" s="470"/>
      <c r="T316" s="470"/>
      <c r="U316" s="470"/>
      <c r="V316" s="132">
        <f t="shared" ref="V316" si="143">SUM(X316:AA316)</f>
        <v>0</v>
      </c>
      <c r="W316" s="133" t="str">
        <f t="shared" ref="W316:W321" si="144">IF(ISERROR(V316/G316),"",V316/G316)</f>
        <v/>
      </c>
      <c r="X316" s="132"/>
      <c r="Y316" s="132"/>
      <c r="Z316" s="132"/>
      <c r="AA316" s="132"/>
    </row>
    <row r="317" spans="1:27" ht="20.100000000000001" customHeight="1">
      <c r="A317" s="630" t="s">
        <v>234</v>
      </c>
      <c r="B317" s="631"/>
      <c r="C317" s="477" t="s">
        <v>202</v>
      </c>
      <c r="D317" s="143"/>
      <c r="E317" s="143"/>
      <c r="F317" s="144"/>
      <c r="G317" s="145">
        <f>SUM(G308:G316)</f>
        <v>525</v>
      </c>
      <c r="H317" s="146">
        <f>SUM(H308:H316)</f>
        <v>2640.75</v>
      </c>
      <c r="I317" s="146">
        <f>SUM(I308:I316)</f>
        <v>34.5</v>
      </c>
      <c r="J317" s="130">
        <f t="array" ref="J317">IF(ISERROR(G317/I317),"",G317/I317)</f>
        <v>15.217391304347826</v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>
        <f t="shared" si="144"/>
        <v>0</v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469"/>
      <c r="D318" s="108">
        <v>3.65</v>
      </c>
      <c r="E318" s="108"/>
      <c r="F318" s="153"/>
      <c r="G318" s="128"/>
      <c r="H318" s="479">
        <f t="shared" ref="H318:H331" si="145">D318*G318</f>
        <v>0</v>
      </c>
      <c r="I318" s="129"/>
      <c r="J318" s="130" t="str">
        <f t="array" ref="J318">IF(ISERROR(G318/I318),"",G318/I318)</f>
        <v/>
      </c>
      <c r="K318" s="479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470"/>
      <c r="P318" s="470"/>
      <c r="Q318" s="470"/>
      <c r="R318" s="470"/>
      <c r="S318" s="470"/>
      <c r="T318" s="470"/>
      <c r="U318" s="470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469"/>
      <c r="D319" s="108">
        <v>6.58</v>
      </c>
      <c r="E319" s="108"/>
      <c r="F319" s="127"/>
      <c r="G319" s="128"/>
      <c r="H319" s="479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470"/>
      <c r="P319" s="470"/>
      <c r="Q319" s="470"/>
      <c r="R319" s="470"/>
      <c r="S319" s="470"/>
      <c r="T319" s="470"/>
      <c r="U319" s="470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469"/>
      <c r="D320" s="108">
        <v>7.8</v>
      </c>
      <c r="E320" s="108"/>
      <c r="F320" s="127"/>
      <c r="G320" s="128"/>
      <c r="H320" s="479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470"/>
      <c r="P320" s="470"/>
      <c r="Q320" s="470"/>
      <c r="R320" s="470"/>
      <c r="S320" s="470"/>
      <c r="T320" s="470"/>
      <c r="U320" s="470"/>
      <c r="V320" s="132">
        <f t="shared" si="148"/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469"/>
      <c r="D321" s="108">
        <v>4.4000000000000004</v>
      </c>
      <c r="E321" s="108"/>
      <c r="F321" s="127"/>
      <c r="G321" s="128"/>
      <c r="H321" s="479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470"/>
      <c r="P321" s="470"/>
      <c r="Q321" s="470"/>
      <c r="R321" s="470"/>
      <c r="S321" s="470"/>
      <c r="T321" s="470"/>
      <c r="U321" s="470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469"/>
      <c r="D322" s="108"/>
      <c r="E322" s="108"/>
      <c r="F322" s="127"/>
      <c r="G322" s="128"/>
      <c r="H322" s="479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470"/>
      <c r="P322" s="470"/>
      <c r="Q322" s="470"/>
      <c r="R322" s="470"/>
      <c r="S322" s="470"/>
      <c r="T322" s="470"/>
      <c r="U322" s="470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469" t="s">
        <v>239</v>
      </c>
      <c r="C323" s="469" t="s">
        <v>179</v>
      </c>
      <c r="D323" s="108">
        <v>6.04</v>
      </c>
      <c r="E323" s="108"/>
      <c r="F323" s="127"/>
      <c r="G323" s="128"/>
      <c r="H323" s="479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470"/>
      <c r="P323" s="470"/>
      <c r="Q323" s="470"/>
      <c r="R323" s="470"/>
      <c r="S323" s="470"/>
      <c r="T323" s="470"/>
      <c r="U323" s="470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469" t="s">
        <v>239</v>
      </c>
      <c r="C324" s="469" t="s">
        <v>186</v>
      </c>
      <c r="D324" s="108">
        <v>6.04</v>
      </c>
      <c r="E324" s="108"/>
      <c r="F324" s="127"/>
      <c r="G324" s="128"/>
      <c r="H324" s="479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470"/>
      <c r="P324" s="470"/>
      <c r="Q324" s="470"/>
      <c r="R324" s="470"/>
      <c r="S324" s="470"/>
      <c r="T324" s="470"/>
      <c r="U324" s="470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469" t="s">
        <v>443</v>
      </c>
      <c r="C325" s="469" t="s">
        <v>179</v>
      </c>
      <c r="D325" s="108">
        <v>6</v>
      </c>
      <c r="E325" s="108"/>
      <c r="F325" s="127"/>
      <c r="G325" s="128"/>
      <c r="H325" s="479">
        <f t="shared" si="145"/>
        <v>0</v>
      </c>
      <c r="I325" s="129"/>
      <c r="J325" s="130"/>
      <c r="K325" s="131"/>
      <c r="L325" s="129"/>
      <c r="M325" s="109"/>
      <c r="N325" s="130"/>
      <c r="O325" s="470"/>
      <c r="P325" s="470"/>
      <c r="Q325" s="470"/>
      <c r="R325" s="470"/>
      <c r="S325" s="470"/>
      <c r="T325" s="470"/>
      <c r="U325" s="470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469" t="s">
        <v>443</v>
      </c>
      <c r="C326" s="469" t="s">
        <v>60</v>
      </c>
      <c r="D326" s="108">
        <v>6</v>
      </c>
      <c r="E326" s="108"/>
      <c r="F326" s="127"/>
      <c r="G326" s="128"/>
      <c r="H326" s="479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470"/>
      <c r="P326" s="470"/>
      <c r="Q326" s="470"/>
      <c r="R326" s="470"/>
      <c r="S326" s="470"/>
      <c r="T326" s="470"/>
      <c r="U326" s="470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471" t="s">
        <v>240</v>
      </c>
      <c r="C327" s="126"/>
      <c r="D327" s="108">
        <v>7.3</v>
      </c>
      <c r="E327" s="108"/>
      <c r="F327" s="127"/>
      <c r="G327" s="128"/>
      <c r="H327" s="479">
        <f t="shared" si="145"/>
        <v>0</v>
      </c>
      <c r="I327" s="129"/>
      <c r="J327" s="130"/>
      <c r="K327" s="131"/>
      <c r="L327" s="129"/>
      <c r="M327" s="109"/>
      <c r="N327" s="130"/>
      <c r="O327" s="470"/>
      <c r="P327" s="470"/>
      <c r="Q327" s="470"/>
      <c r="R327" s="470"/>
      <c r="S327" s="470"/>
      <c r="T327" s="470"/>
      <c r="U327" s="470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471" t="s">
        <v>241</v>
      </c>
      <c r="C328" s="126"/>
      <c r="D328" s="108">
        <f>78*120/1000</f>
        <v>9.36</v>
      </c>
      <c r="E328" s="108"/>
      <c r="F328" s="127"/>
      <c r="G328" s="128"/>
      <c r="H328" s="479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470"/>
      <c r="P328" s="470"/>
      <c r="Q328" s="470"/>
      <c r="R328" s="470"/>
      <c r="S328" s="470"/>
      <c r="T328" s="470"/>
      <c r="U328" s="470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471" t="s">
        <v>242</v>
      </c>
      <c r="C329" s="126"/>
      <c r="D329" s="108">
        <v>4.5</v>
      </c>
      <c r="E329" s="108"/>
      <c r="F329" s="127"/>
      <c r="G329" s="128"/>
      <c r="H329" s="479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470"/>
      <c r="P329" s="470"/>
      <c r="Q329" s="470"/>
      <c r="R329" s="470"/>
      <c r="S329" s="470"/>
      <c r="T329" s="470"/>
      <c r="U329" s="470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471" t="s">
        <v>243</v>
      </c>
      <c r="C330" s="126"/>
      <c r="D330" s="108">
        <v>4.5</v>
      </c>
      <c r="E330" s="108"/>
      <c r="F330" s="127"/>
      <c r="G330" s="128"/>
      <c r="H330" s="479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470"/>
      <c r="P330" s="470"/>
      <c r="Q330" s="470"/>
      <c r="R330" s="470"/>
      <c r="S330" s="470"/>
      <c r="T330" s="470"/>
      <c r="U330" s="470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479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70"/>
      <c r="P331" s="470"/>
      <c r="Q331" s="470"/>
      <c r="R331" s="470"/>
      <c r="S331" s="470"/>
      <c r="T331" s="470"/>
      <c r="U331" s="470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630" t="s">
        <v>244</v>
      </c>
      <c r="B332" s="631"/>
      <c r="C332" s="477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6">SUM(M318:M328)</f>
        <v>0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632" t="s">
        <v>246</v>
      </c>
      <c r="B333" s="633"/>
      <c r="C333" s="633"/>
      <c r="D333" s="633"/>
      <c r="E333" s="633"/>
      <c r="F333" s="634"/>
      <c r="G333" s="154">
        <f>SUM(G198,G256,G291,G307,G317,G332)</f>
        <v>3664</v>
      </c>
      <c r="H333" s="154">
        <f>SUM(H198,H256,H291,H307,H317,H332)</f>
        <v>18435.050000000003</v>
      </c>
      <c r="I333" s="154">
        <f>SUM(I198,I256,I291,I307,I317,I332)</f>
        <v>242.15</v>
      </c>
      <c r="J333" s="155">
        <f t="array" ref="J333">IF(ISERROR(G333/I333),"",G333/I333)</f>
        <v>15.131117076192442</v>
      </c>
      <c r="K333" s="154">
        <f>SUM(K198,K256,K291,K307,K317,K332)</f>
        <v>197.57537522120714</v>
      </c>
      <c r="L333" s="155">
        <f>IF(ISERROR(G333/K333),"",G333/K333)</f>
        <v>18.544821164569488</v>
      </c>
      <c r="M333" s="154">
        <f t="shared" ref="M333:AA333" si="157">SUM(M198,M256,M291,M307,M317,M332)</f>
        <v>10.074624778792856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635" t="s">
        <v>476</v>
      </c>
      <c r="B334" s="476" t="s">
        <v>247</v>
      </c>
      <c r="C334" s="638" t="s">
        <v>248</v>
      </c>
      <c r="D334" s="639"/>
      <c r="E334" s="640" t="s">
        <v>249</v>
      </c>
      <c r="F334" s="640"/>
      <c r="G334" s="643" t="s">
        <v>250</v>
      </c>
      <c r="H334" s="643"/>
      <c r="I334" s="640" t="s">
        <v>251</v>
      </c>
      <c r="J334" s="640"/>
      <c r="K334" s="640" t="s">
        <v>252</v>
      </c>
      <c r="L334" s="640"/>
      <c r="M334" s="640" t="s">
        <v>253</v>
      </c>
      <c r="N334" s="640"/>
      <c r="O334" s="640" t="s">
        <v>254</v>
      </c>
      <c r="P334" s="643" t="s">
        <v>255</v>
      </c>
      <c r="Q334" s="643"/>
      <c r="R334" s="643" t="s">
        <v>252</v>
      </c>
      <c r="S334" s="643"/>
      <c r="T334" s="643" t="s">
        <v>256</v>
      </c>
      <c r="U334" s="643"/>
      <c r="V334" s="643" t="s">
        <v>257</v>
      </c>
      <c r="W334" s="643"/>
      <c r="X334" s="643" t="s">
        <v>252</v>
      </c>
      <c r="Y334" s="643"/>
      <c r="Z334" s="643" t="s">
        <v>256</v>
      </c>
      <c r="AA334" s="643"/>
    </row>
    <row r="335" spans="1:27" ht="20.100000000000001" customHeight="1">
      <c r="A335" s="636"/>
      <c r="B335" s="476" t="s">
        <v>258</v>
      </c>
      <c r="C335" s="678">
        <v>1</v>
      </c>
      <c r="D335" s="679"/>
      <c r="E335" s="642">
        <f>C335*11</f>
        <v>11</v>
      </c>
      <c r="F335" s="642"/>
      <c r="G335" s="643">
        <v>1</v>
      </c>
      <c r="H335" s="643"/>
      <c r="I335" s="642">
        <f>G335*11</f>
        <v>11</v>
      </c>
      <c r="J335" s="642"/>
      <c r="K335" s="642">
        <f>E335-I335</f>
        <v>0</v>
      </c>
      <c r="L335" s="642"/>
      <c r="M335" s="644">
        <f>IF(ISERROR(K335/E335),"",K335/E335)</f>
        <v>0</v>
      </c>
      <c r="N335" s="644"/>
      <c r="O335" s="640"/>
      <c r="P335" s="643" t="s">
        <v>201</v>
      </c>
      <c r="Q335" s="643"/>
      <c r="R335" s="645">
        <f>SUM(O198:U198)</f>
        <v>0</v>
      </c>
      <c r="S335" s="645"/>
      <c r="T335" s="646" t="str">
        <f t="array" ref="T335">IF(ISERROR(R335/R342),"",R335/R342)</f>
        <v/>
      </c>
      <c r="U335" s="646"/>
      <c r="V335" s="643" t="s">
        <v>259</v>
      </c>
      <c r="W335" s="643"/>
      <c r="X335" s="680">
        <f>SUM(P197,P255,P290,P306,P316,P331)</f>
        <v>0</v>
      </c>
      <c r="Y335" s="681"/>
      <c r="Z335" s="646" t="str">
        <f t="array" ref="Z335">IF(ISERROR(X335/X342),"",X335/X342)</f>
        <v/>
      </c>
      <c r="AA335" s="646"/>
    </row>
    <row r="336" spans="1:27" ht="20.100000000000001" customHeight="1">
      <c r="A336" s="636"/>
      <c r="B336" s="476" t="s">
        <v>260</v>
      </c>
      <c r="C336" s="638">
        <v>0</v>
      </c>
      <c r="D336" s="639"/>
      <c r="E336" s="642">
        <f>C336*11</f>
        <v>0</v>
      </c>
      <c r="F336" s="642"/>
      <c r="G336" s="643">
        <v>0</v>
      </c>
      <c r="H336" s="643"/>
      <c r="I336" s="642">
        <f>G336*11</f>
        <v>0</v>
      </c>
      <c r="J336" s="642"/>
      <c r="K336" s="642">
        <f>E336-I336</f>
        <v>0</v>
      </c>
      <c r="L336" s="642"/>
      <c r="M336" s="644" t="str">
        <f>IF(ISERROR(K336/E336),"",K336/E336)</f>
        <v/>
      </c>
      <c r="N336" s="644"/>
      <c r="O336" s="640"/>
      <c r="P336" s="643" t="s">
        <v>216</v>
      </c>
      <c r="Q336" s="643"/>
      <c r="R336" s="645">
        <f>SUM(O256:U256)</f>
        <v>0</v>
      </c>
      <c r="S336" s="645"/>
      <c r="T336" s="646" t="str">
        <f>IF(ISERROR(R336/R342),"",R336/R342)</f>
        <v/>
      </c>
      <c r="U336" s="646"/>
      <c r="V336" s="643" t="s">
        <v>261</v>
      </c>
      <c r="W336" s="643"/>
      <c r="X336" s="680">
        <f>SUM(P198,P256,P291,P307,P317,P332)</f>
        <v>0</v>
      </c>
      <c r="Y336" s="681"/>
      <c r="Z336" s="646" t="str">
        <f>IF(ISERROR(X336/X342),"",X336/X342)</f>
        <v/>
      </c>
      <c r="AA336" s="646"/>
    </row>
    <row r="337" spans="1:27" ht="20.100000000000001" customHeight="1">
      <c r="A337" s="636"/>
      <c r="B337" s="476" t="s">
        <v>262</v>
      </c>
      <c r="C337" s="638">
        <v>0</v>
      </c>
      <c r="D337" s="639"/>
      <c r="E337" s="642">
        <f>C337*8</f>
        <v>0</v>
      </c>
      <c r="F337" s="642"/>
      <c r="G337" s="643">
        <v>1</v>
      </c>
      <c r="H337" s="643"/>
      <c r="I337" s="642">
        <f>G337*8</f>
        <v>8</v>
      </c>
      <c r="J337" s="642"/>
      <c r="K337" s="642">
        <f>E337-I337</f>
        <v>-8</v>
      </c>
      <c r="L337" s="642"/>
      <c r="M337" s="644" t="str">
        <f>IF(ISERROR(K337/E337),"",K337/E337)</f>
        <v/>
      </c>
      <c r="N337" s="644"/>
      <c r="O337" s="640"/>
      <c r="P337" s="643" t="s">
        <v>224</v>
      </c>
      <c r="Q337" s="643"/>
      <c r="R337" s="645">
        <f>SUM(O291:U291)</f>
        <v>0</v>
      </c>
      <c r="S337" s="645"/>
      <c r="T337" s="646" t="str">
        <f>IF(ISERROR(R337/R342),"",R337/R342)</f>
        <v/>
      </c>
      <c r="U337" s="646"/>
      <c r="V337" s="643" t="s">
        <v>263</v>
      </c>
      <c r="W337" s="643"/>
      <c r="X337" s="680">
        <f>SUM(P199,P257,P292,P308,P318,P333)</f>
        <v>0</v>
      </c>
      <c r="Y337" s="681"/>
      <c r="Z337" s="646" t="str">
        <f>IF(ISERROR(X337/X342),"",X337/X342)</f>
        <v/>
      </c>
      <c r="AA337" s="646"/>
    </row>
    <row r="338" spans="1:27" ht="20.100000000000001" customHeight="1">
      <c r="A338" s="636"/>
      <c r="B338" s="476" t="s">
        <v>264</v>
      </c>
      <c r="C338" s="638">
        <v>1</v>
      </c>
      <c r="D338" s="639"/>
      <c r="E338" s="642">
        <f>C338*11</f>
        <v>11</v>
      </c>
      <c r="F338" s="642"/>
      <c r="G338" s="643">
        <v>1</v>
      </c>
      <c r="H338" s="643"/>
      <c r="I338" s="642">
        <f>G338*11</f>
        <v>11</v>
      </c>
      <c r="J338" s="642"/>
      <c r="K338" s="642">
        <f>E338-I338</f>
        <v>0</v>
      </c>
      <c r="L338" s="642"/>
      <c r="M338" s="644">
        <f>IF(ISERROR(K338/E338),"",K338/E338)</f>
        <v>0</v>
      </c>
      <c r="N338" s="644"/>
      <c r="O338" s="640"/>
      <c r="P338" s="643" t="s">
        <v>231</v>
      </c>
      <c r="Q338" s="643"/>
      <c r="R338" s="645">
        <f>SUM(O307:U307)</f>
        <v>0</v>
      </c>
      <c r="S338" s="645"/>
      <c r="T338" s="646" t="str">
        <f>IF(ISERROR(R338/R342),"",R338/R342)</f>
        <v/>
      </c>
      <c r="U338" s="646"/>
      <c r="V338" s="643" t="s">
        <v>265</v>
      </c>
      <c r="W338" s="643"/>
      <c r="X338" s="680">
        <f>SUM(P201,P258,P293,P309,P319,P334)</f>
        <v>0</v>
      </c>
      <c r="Y338" s="681"/>
      <c r="Z338" s="646" t="str">
        <f>IF(ISERROR(X338/X342),"",X338/X342)</f>
        <v/>
      </c>
      <c r="AA338" s="646"/>
    </row>
    <row r="339" spans="1:27" ht="20.100000000000001" customHeight="1">
      <c r="A339" s="637"/>
      <c r="B339" s="476" t="s">
        <v>266</v>
      </c>
      <c r="C339" s="648">
        <f>SUM(C335:D338)</f>
        <v>2</v>
      </c>
      <c r="D339" s="649"/>
      <c r="E339" s="642">
        <f>SUM(E335:F338)</f>
        <v>22</v>
      </c>
      <c r="F339" s="642"/>
      <c r="G339" s="643">
        <f>SUM(G335:H338)</f>
        <v>3</v>
      </c>
      <c r="H339" s="643"/>
      <c r="I339" s="642">
        <f>SUM(I335:J338)</f>
        <v>30</v>
      </c>
      <c r="J339" s="642"/>
      <c r="K339" s="642">
        <f>SUM(K335:L338)</f>
        <v>-8</v>
      </c>
      <c r="L339" s="642"/>
      <c r="M339" s="644">
        <f>IF(ISERROR(K339/E339),"",K339/E339)</f>
        <v>-0.36363636363636365</v>
      </c>
      <c r="N339" s="644"/>
      <c r="O339" s="640"/>
      <c r="P339" s="643" t="s">
        <v>234</v>
      </c>
      <c r="Q339" s="643"/>
      <c r="R339" s="645">
        <f>SUM(O317:U317)</f>
        <v>0</v>
      </c>
      <c r="S339" s="645"/>
      <c r="T339" s="646" t="str">
        <f>IF(ISERROR(R339/R342),"",R339/R342)</f>
        <v/>
      </c>
      <c r="U339" s="646"/>
      <c r="V339" s="643" t="s">
        <v>267</v>
      </c>
      <c r="W339" s="643"/>
      <c r="X339" s="680">
        <f>SUM(P202,P259,P294,P310,P320,P335)</f>
        <v>0</v>
      </c>
      <c r="Y339" s="681"/>
      <c r="Z339" s="646" t="str">
        <f>IF(ISERROR(X339/X342),"",X339/X342)</f>
        <v/>
      </c>
      <c r="AA339" s="646"/>
    </row>
    <row r="340" spans="1:27" ht="20.100000000000001" customHeight="1">
      <c r="A340" s="309" t="s">
        <v>477</v>
      </c>
      <c r="B340" s="476">
        <f>G333</f>
        <v>3664</v>
      </c>
      <c r="C340" s="650" t="s">
        <v>269</v>
      </c>
      <c r="D340" s="651"/>
      <c r="E340" s="643">
        <f>H333</f>
        <v>18435.050000000003</v>
      </c>
      <c r="F340" s="643"/>
      <c r="G340" s="643" t="s">
        <v>270</v>
      </c>
      <c r="H340" s="643"/>
      <c r="I340" s="652">
        <f>L333</f>
        <v>18.544821164569488</v>
      </c>
      <c r="J340" s="652"/>
      <c r="K340" s="640" t="s">
        <v>271</v>
      </c>
      <c r="L340" s="640"/>
      <c r="M340" s="652">
        <f>J333</f>
        <v>15.131117076192442</v>
      </c>
      <c r="N340" s="652"/>
      <c r="O340" s="640"/>
      <c r="P340" s="643" t="s">
        <v>244</v>
      </c>
      <c r="Q340" s="643"/>
      <c r="R340" s="645">
        <f>SUM(O332:U332)</f>
        <v>0</v>
      </c>
      <c r="S340" s="645"/>
      <c r="T340" s="646" t="str">
        <f>IF(ISERROR(R340/R342),"",R340/R342)</f>
        <v/>
      </c>
      <c r="U340" s="646"/>
      <c r="V340" s="643" t="s">
        <v>272</v>
      </c>
      <c r="W340" s="643"/>
      <c r="X340" s="680">
        <f>SUM(P203,P260,P295,P311,P321,P336)</f>
        <v>0</v>
      </c>
      <c r="Y340" s="681"/>
      <c r="Z340" s="646" t="str">
        <f>IF(ISERROR(X340/X342),"",X340/X342)</f>
        <v/>
      </c>
      <c r="AA340" s="646"/>
    </row>
    <row r="341" spans="1:27" ht="20.100000000000001" customHeight="1">
      <c r="A341" s="310" t="s">
        <v>478</v>
      </c>
      <c r="B341" s="476">
        <f>I333+C339</f>
        <v>244.15</v>
      </c>
      <c r="C341" s="653" t="s">
        <v>251</v>
      </c>
      <c r="D341" s="654"/>
      <c r="E341" s="655">
        <f>K333+I339</f>
        <v>227.57537522120714</v>
      </c>
      <c r="F341" s="655"/>
      <c r="G341" s="643" t="s">
        <v>274</v>
      </c>
      <c r="H341" s="643"/>
      <c r="I341" s="652">
        <f>B341-E341</f>
        <v>16.574624778792867</v>
      </c>
      <c r="J341" s="652"/>
      <c r="K341" s="640" t="s">
        <v>275</v>
      </c>
      <c r="L341" s="640"/>
      <c r="M341" s="644">
        <f>IF(ISERROR(I341/E341),"",I341/E341)</f>
        <v>7.283136307116729E-2</v>
      </c>
      <c r="N341" s="644"/>
      <c r="O341" s="640"/>
      <c r="P341" s="643" t="s">
        <v>245</v>
      </c>
      <c r="Q341" s="643"/>
      <c r="R341" s="645"/>
      <c r="S341" s="645"/>
      <c r="T341" s="646" t="str">
        <f>IF(ISERROR(R341/R342),"",R341/R342)</f>
        <v/>
      </c>
      <c r="U341" s="646"/>
      <c r="V341" s="643" t="s">
        <v>264</v>
      </c>
      <c r="W341" s="643"/>
      <c r="X341" s="680">
        <f>SUM(P204,P261,P296,P312,P322,P337)</f>
        <v>0</v>
      </c>
      <c r="Y341" s="681"/>
      <c r="Z341" s="646" t="str">
        <f>IF(ISERROR(X341/X342),"",X341/X342)</f>
        <v/>
      </c>
      <c r="AA341" s="646"/>
    </row>
    <row r="342" spans="1:27" ht="20.100000000000001" customHeight="1">
      <c r="A342" s="310" t="s">
        <v>479</v>
      </c>
      <c r="B342" s="476">
        <f>N333</f>
        <v>0</v>
      </c>
      <c r="C342" s="653" t="s">
        <v>277</v>
      </c>
      <c r="D342" s="654"/>
      <c r="E342" s="646">
        <f>IF(ISERROR(B342/B341),"",B342/B341)</f>
        <v>0</v>
      </c>
      <c r="F342" s="646"/>
      <c r="G342" s="643" t="s">
        <v>278</v>
      </c>
      <c r="H342" s="643"/>
      <c r="I342" s="640">
        <f>V333</f>
        <v>0</v>
      </c>
      <c r="J342" s="640"/>
      <c r="K342" s="640" t="s">
        <v>279</v>
      </c>
      <c r="L342" s="640"/>
      <c r="M342" s="644">
        <f t="array" ref="M342">IF(ISERROR(I342/B340),"",I342/B340)</f>
        <v>0</v>
      </c>
      <c r="N342" s="644"/>
      <c r="O342" s="640"/>
      <c r="P342" s="643" t="s">
        <v>266</v>
      </c>
      <c r="Q342" s="643"/>
      <c r="R342" s="645">
        <f>SUM(R335:S341)</f>
        <v>0</v>
      </c>
      <c r="S342" s="645"/>
      <c r="T342" s="646"/>
      <c r="U342" s="646"/>
      <c r="V342" s="643" t="s">
        <v>266</v>
      </c>
      <c r="W342" s="643"/>
      <c r="X342" s="647">
        <f>SUM(X335:Y341)</f>
        <v>0</v>
      </c>
      <c r="Y342" s="647"/>
      <c r="Z342" s="646"/>
      <c r="AA342" s="646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56" t="s">
        <v>480</v>
      </c>
      <c r="B344" s="659" t="s">
        <v>280</v>
      </c>
      <c r="C344" s="659" t="s">
        <v>281</v>
      </c>
      <c r="D344" s="659" t="s">
        <v>282</v>
      </c>
      <c r="E344" s="662" t="s">
        <v>283</v>
      </c>
      <c r="F344" s="675" t="s">
        <v>284</v>
      </c>
      <c r="G344" s="640" t="s">
        <v>285</v>
      </c>
      <c r="H344" s="640"/>
      <c r="I344" s="659" t="s">
        <v>286</v>
      </c>
      <c r="J344" s="665" t="s">
        <v>271</v>
      </c>
      <c r="K344" s="668" t="s">
        <v>287</v>
      </c>
      <c r="L344" s="659" t="s">
        <v>270</v>
      </c>
      <c r="M344" s="671" t="s">
        <v>288</v>
      </c>
      <c r="N344" s="673" t="s">
        <v>252</v>
      </c>
      <c r="O344" s="640" t="s">
        <v>289</v>
      </c>
      <c r="P344" s="640"/>
      <c r="Q344" s="640"/>
      <c r="R344" s="640"/>
      <c r="S344" s="640"/>
      <c r="T344" s="640"/>
      <c r="U344" s="640"/>
      <c r="V344" s="640" t="s">
        <v>290</v>
      </c>
      <c r="W344" s="673" t="s">
        <v>291</v>
      </c>
      <c r="X344" s="640" t="s">
        <v>292</v>
      </c>
      <c r="Y344" s="640"/>
      <c r="Z344" s="640"/>
      <c r="AA344" s="640"/>
    </row>
    <row r="345" spans="1:27" ht="21.95" customHeight="1">
      <c r="A345" s="657"/>
      <c r="B345" s="660"/>
      <c r="C345" s="660"/>
      <c r="D345" s="660"/>
      <c r="E345" s="663"/>
      <c r="F345" s="676"/>
      <c r="G345" s="640"/>
      <c r="H345" s="640"/>
      <c r="I345" s="660"/>
      <c r="J345" s="666"/>
      <c r="K345" s="669"/>
      <c r="L345" s="660"/>
      <c r="M345" s="672"/>
      <c r="N345" s="673"/>
      <c r="O345" s="640" t="s">
        <v>259</v>
      </c>
      <c r="P345" s="640" t="s">
        <v>261</v>
      </c>
      <c r="Q345" s="640" t="s">
        <v>263</v>
      </c>
      <c r="R345" s="674" t="s">
        <v>265</v>
      </c>
      <c r="S345" s="643" t="s">
        <v>267</v>
      </c>
      <c r="T345" s="640" t="s">
        <v>272</v>
      </c>
      <c r="U345" s="640" t="s">
        <v>264</v>
      </c>
      <c r="V345" s="640"/>
      <c r="W345" s="673"/>
      <c r="X345" s="640" t="s">
        <v>293</v>
      </c>
      <c r="Y345" s="640" t="s">
        <v>294</v>
      </c>
      <c r="Z345" s="640" t="s">
        <v>295</v>
      </c>
      <c r="AA345" s="640" t="s">
        <v>264</v>
      </c>
    </row>
    <row r="346" spans="1:27" ht="21.95" customHeight="1">
      <c r="A346" s="658"/>
      <c r="B346" s="661"/>
      <c r="C346" s="661"/>
      <c r="D346" s="661"/>
      <c r="E346" s="664"/>
      <c r="F346" s="677"/>
      <c r="G346" s="348" t="s">
        <v>296</v>
      </c>
      <c r="H346" s="469" t="s">
        <v>297</v>
      </c>
      <c r="I346" s="661"/>
      <c r="J346" s="667"/>
      <c r="K346" s="670"/>
      <c r="L346" s="661"/>
      <c r="M346" s="672"/>
      <c r="N346" s="673"/>
      <c r="O346" s="640"/>
      <c r="P346" s="640"/>
      <c r="Q346" s="640"/>
      <c r="R346" s="674"/>
      <c r="S346" s="643"/>
      <c r="T346" s="640"/>
      <c r="U346" s="640"/>
      <c r="V346" s="640"/>
      <c r="W346" s="673"/>
      <c r="X346" s="640"/>
      <c r="Y346" s="640"/>
      <c r="Z346" s="640"/>
      <c r="AA346" s="640"/>
    </row>
    <row r="347" spans="1:27" ht="20.100000000000001" hidden="1" customHeight="1">
      <c r="A347" s="299">
        <v>30100030</v>
      </c>
      <c r="B347" s="471" t="s">
        <v>178</v>
      </c>
      <c r="C347" s="126" t="s">
        <v>179</v>
      </c>
      <c r="D347" s="108">
        <v>5.03</v>
      </c>
      <c r="E347" s="108"/>
      <c r="F347" s="127"/>
      <c r="G347" s="128"/>
      <c r="H347" s="479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470"/>
      <c r="P347" s="470"/>
      <c r="Q347" s="470"/>
      <c r="R347" s="470"/>
      <c r="S347" s="470"/>
      <c r="T347" s="470"/>
      <c r="U347" s="470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479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470"/>
      <c r="P348" s="470"/>
      <c r="Q348" s="470"/>
      <c r="R348" s="470"/>
      <c r="S348" s="470"/>
      <c r="T348" s="470"/>
      <c r="U348" s="470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479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470"/>
      <c r="P349" s="470"/>
      <c r="Q349" s="470"/>
      <c r="R349" s="470"/>
      <c r="S349" s="470"/>
      <c r="T349" s="470"/>
      <c r="U349" s="470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479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470"/>
      <c r="P350" s="470"/>
      <c r="Q350" s="470"/>
      <c r="R350" s="470"/>
      <c r="S350" s="470"/>
      <c r="T350" s="470"/>
      <c r="U350" s="470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479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470"/>
      <c r="P351" s="470"/>
      <c r="Q351" s="470"/>
      <c r="R351" s="470"/>
      <c r="S351" s="470"/>
      <c r="T351" s="470"/>
      <c r="U351" s="470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479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470"/>
      <c r="P352" s="470"/>
      <c r="Q352" s="470"/>
      <c r="R352" s="470"/>
      <c r="S352" s="470"/>
      <c r="T352" s="470"/>
      <c r="U352" s="470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479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470"/>
      <c r="P353" s="470"/>
      <c r="Q353" s="470"/>
      <c r="R353" s="470"/>
      <c r="S353" s="470"/>
      <c r="T353" s="470"/>
      <c r="U353" s="470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479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470"/>
      <c r="P354" s="470"/>
      <c r="Q354" s="470"/>
      <c r="R354" s="470"/>
      <c r="S354" s="470"/>
      <c r="T354" s="470"/>
      <c r="U354" s="470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479">
        <f t="shared" si="158"/>
        <v>0</v>
      </c>
      <c r="I355" s="479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470"/>
      <c r="P355" s="470"/>
      <c r="Q355" s="470"/>
      <c r="R355" s="470"/>
      <c r="S355" s="470"/>
      <c r="T355" s="470"/>
      <c r="U355" s="470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479">
        <f t="shared" si="158"/>
        <v>0</v>
      </c>
      <c r="I356" s="479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470"/>
      <c r="P356" s="470"/>
      <c r="Q356" s="470"/>
      <c r="R356" s="470"/>
      <c r="S356" s="470"/>
      <c r="T356" s="470"/>
      <c r="U356" s="470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479">
        <f t="shared" si="158"/>
        <v>0</v>
      </c>
      <c r="I357" s="479"/>
      <c r="J357" s="130"/>
      <c r="K357" s="131"/>
      <c r="L357" s="129"/>
      <c r="M357" s="109"/>
      <c r="N357" s="130"/>
      <c r="O357" s="470"/>
      <c r="P357" s="470"/>
      <c r="Q357" s="470"/>
      <c r="R357" s="470"/>
      <c r="S357" s="470"/>
      <c r="T357" s="470"/>
      <c r="U357" s="470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479">
        <f t="shared" si="158"/>
        <v>0</v>
      </c>
      <c r="I358" s="479"/>
      <c r="J358" s="130"/>
      <c r="K358" s="131"/>
      <c r="L358" s="129"/>
      <c r="M358" s="109"/>
      <c r="N358" s="130"/>
      <c r="O358" s="470"/>
      <c r="P358" s="470"/>
      <c r="Q358" s="470"/>
      <c r="R358" s="470"/>
      <c r="S358" s="470"/>
      <c r="T358" s="470"/>
      <c r="U358" s="470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479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470"/>
      <c r="P359" s="470"/>
      <c r="Q359" s="470"/>
      <c r="R359" s="470"/>
      <c r="S359" s="470"/>
      <c r="T359" s="470"/>
      <c r="U359" s="470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479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470"/>
      <c r="P360" s="470"/>
      <c r="Q360" s="470"/>
      <c r="R360" s="470"/>
      <c r="S360" s="470"/>
      <c r="T360" s="470"/>
      <c r="U360" s="470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479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470"/>
      <c r="P361" s="470"/>
      <c r="Q361" s="470"/>
      <c r="R361" s="470"/>
      <c r="S361" s="470"/>
      <c r="T361" s="470"/>
      <c r="U361" s="470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469" t="s">
        <v>190</v>
      </c>
      <c r="D362" s="108">
        <v>4.8</v>
      </c>
      <c r="E362" s="108"/>
      <c r="F362" s="127"/>
      <c r="G362" s="128"/>
      <c r="H362" s="479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470"/>
      <c r="P362" s="470"/>
      <c r="Q362" s="470"/>
      <c r="R362" s="470"/>
      <c r="S362" s="470"/>
      <c r="T362" s="470"/>
      <c r="U362" s="470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469" t="s">
        <v>187</v>
      </c>
      <c r="D363" s="108">
        <v>4.8</v>
      </c>
      <c r="E363" s="108"/>
      <c r="F363" s="127"/>
      <c r="G363" s="128"/>
      <c r="H363" s="479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470"/>
      <c r="P363" s="470"/>
      <c r="Q363" s="470"/>
      <c r="R363" s="470"/>
      <c r="S363" s="470"/>
      <c r="T363" s="470"/>
      <c r="U363" s="470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469" t="s">
        <v>179</v>
      </c>
      <c r="D364" s="108">
        <v>4.8</v>
      </c>
      <c r="E364" s="108"/>
      <c r="F364" s="127"/>
      <c r="G364" s="128"/>
      <c r="H364" s="479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470"/>
      <c r="P364" s="470"/>
      <c r="Q364" s="470"/>
      <c r="R364" s="470"/>
      <c r="S364" s="470"/>
      <c r="T364" s="470"/>
      <c r="U364" s="470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469" t="s">
        <v>199</v>
      </c>
      <c r="D365" s="108">
        <v>4.8</v>
      </c>
      <c r="E365" s="108"/>
      <c r="F365" s="127"/>
      <c r="G365" s="128"/>
      <c r="H365" s="479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470"/>
      <c r="P365" s="470"/>
      <c r="Q365" s="470"/>
      <c r="R365" s="470"/>
      <c r="S365" s="470"/>
      <c r="T365" s="470"/>
      <c r="U365" s="470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479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470"/>
      <c r="P366" s="470"/>
      <c r="Q366" s="470"/>
      <c r="R366" s="470"/>
      <c r="S366" s="470"/>
      <c r="T366" s="470"/>
      <c r="U366" s="470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479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470"/>
      <c r="P367" s="470"/>
      <c r="Q367" s="470"/>
      <c r="R367" s="470"/>
      <c r="S367" s="470"/>
      <c r="T367" s="470"/>
      <c r="U367" s="470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630" t="s">
        <v>201</v>
      </c>
      <c r="B368" s="631"/>
      <c r="C368" s="477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471" t="s">
        <v>206</v>
      </c>
      <c r="C369" s="126" t="s">
        <v>199</v>
      </c>
      <c r="D369" s="108">
        <v>5.03</v>
      </c>
      <c r="E369" s="108"/>
      <c r="F369" s="127"/>
      <c r="G369" s="128"/>
      <c r="H369" s="479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474"/>
      <c r="P369" s="474"/>
      <c r="Q369" s="474"/>
      <c r="R369" s="474"/>
      <c r="S369" s="474"/>
      <c r="T369" s="474"/>
      <c r="U369" s="474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471" t="s">
        <v>425</v>
      </c>
      <c r="C370" s="187" t="s">
        <v>427</v>
      </c>
      <c r="D370" s="108">
        <v>5.03</v>
      </c>
      <c r="E370" s="108"/>
      <c r="F370" s="127"/>
      <c r="G370" s="128"/>
      <c r="H370" s="479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474"/>
      <c r="P370" s="474"/>
      <c r="Q370" s="474"/>
      <c r="R370" s="474"/>
      <c r="S370" s="474"/>
      <c r="T370" s="474"/>
      <c r="U370" s="474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471" t="s">
        <v>206</v>
      </c>
      <c r="C371" s="126" t="s">
        <v>186</v>
      </c>
      <c r="D371" s="108">
        <v>5.03</v>
      </c>
      <c r="E371" s="108"/>
      <c r="F371" s="127"/>
      <c r="G371" s="128"/>
      <c r="H371" s="479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474"/>
      <c r="P371" s="474"/>
      <c r="Q371" s="474"/>
      <c r="R371" s="474"/>
      <c r="S371" s="474"/>
      <c r="T371" s="474"/>
      <c r="U371" s="474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471" t="s">
        <v>206</v>
      </c>
      <c r="C372" s="126" t="s">
        <v>203</v>
      </c>
      <c r="D372" s="108">
        <v>5.03</v>
      </c>
      <c r="E372" s="108"/>
      <c r="F372" s="127"/>
      <c r="G372" s="128"/>
      <c r="H372" s="479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474"/>
      <c r="P372" s="474"/>
      <c r="Q372" s="474"/>
      <c r="R372" s="474"/>
      <c r="S372" s="474"/>
      <c r="T372" s="474"/>
      <c r="U372" s="474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471" t="s">
        <v>206</v>
      </c>
      <c r="C373" s="126" t="s">
        <v>207</v>
      </c>
      <c r="D373" s="108">
        <v>5.03</v>
      </c>
      <c r="E373" s="108"/>
      <c r="F373" s="127"/>
      <c r="G373" s="128"/>
      <c r="H373" s="479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474"/>
      <c r="P373" s="474"/>
      <c r="Q373" s="474"/>
      <c r="R373" s="474"/>
      <c r="S373" s="474"/>
      <c r="T373" s="474"/>
      <c r="U373" s="474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471" t="s">
        <v>414</v>
      </c>
      <c r="C374" s="187" t="s">
        <v>415</v>
      </c>
      <c r="D374" s="108"/>
      <c r="E374" s="108"/>
      <c r="F374" s="127"/>
      <c r="G374" s="128"/>
      <c r="H374" s="479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474"/>
      <c r="P374" s="474"/>
      <c r="Q374" s="474"/>
      <c r="R374" s="474"/>
      <c r="S374" s="474"/>
      <c r="T374" s="474"/>
      <c r="U374" s="474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471" t="s">
        <v>414</v>
      </c>
      <c r="C375" s="187" t="s">
        <v>416</v>
      </c>
      <c r="D375" s="108"/>
      <c r="E375" s="108"/>
      <c r="F375" s="127"/>
      <c r="G375" s="128"/>
      <c r="H375" s="479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474"/>
      <c r="P375" s="474"/>
      <c r="Q375" s="474"/>
      <c r="R375" s="474"/>
      <c r="S375" s="474"/>
      <c r="T375" s="474"/>
      <c r="U375" s="474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471" t="s">
        <v>414</v>
      </c>
      <c r="C376" s="187" t="s">
        <v>61</v>
      </c>
      <c r="D376" s="108"/>
      <c r="E376" s="108"/>
      <c r="F376" s="127"/>
      <c r="G376" s="128"/>
      <c r="H376" s="479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474"/>
      <c r="P376" s="474"/>
      <c r="Q376" s="474"/>
      <c r="R376" s="474"/>
      <c r="S376" s="474"/>
      <c r="T376" s="474"/>
      <c r="U376" s="474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471" t="s">
        <v>208</v>
      </c>
      <c r="C377" s="126" t="s">
        <v>179</v>
      </c>
      <c r="D377" s="108">
        <v>5.08</v>
      </c>
      <c r="E377" s="108"/>
      <c r="F377" s="127"/>
      <c r="G377" s="128"/>
      <c r="H377" s="479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474"/>
      <c r="P377" s="474"/>
      <c r="Q377" s="474"/>
      <c r="R377" s="474"/>
      <c r="S377" s="474"/>
      <c r="T377" s="474"/>
      <c r="U377" s="474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471" t="s">
        <v>208</v>
      </c>
      <c r="C378" s="126" t="s">
        <v>204</v>
      </c>
      <c r="D378" s="108">
        <v>5.08</v>
      </c>
      <c r="E378" s="108"/>
      <c r="F378" s="127"/>
      <c r="G378" s="128"/>
      <c r="H378" s="479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474"/>
      <c r="P378" s="474"/>
      <c r="Q378" s="474"/>
      <c r="R378" s="474"/>
      <c r="S378" s="474"/>
      <c r="T378" s="474"/>
      <c r="U378" s="474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471" t="s">
        <v>208</v>
      </c>
      <c r="C379" s="126" t="s">
        <v>205</v>
      </c>
      <c r="D379" s="108">
        <v>5.08</v>
      </c>
      <c r="E379" s="108"/>
      <c r="F379" s="127"/>
      <c r="G379" s="128"/>
      <c r="H379" s="479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474"/>
      <c r="P379" s="474"/>
      <c r="Q379" s="474"/>
      <c r="R379" s="474"/>
      <c r="S379" s="474"/>
      <c r="T379" s="474"/>
      <c r="U379" s="474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471" t="s">
        <v>208</v>
      </c>
      <c r="C380" s="126" t="s">
        <v>186</v>
      </c>
      <c r="D380" s="108">
        <v>5.08</v>
      </c>
      <c r="E380" s="108"/>
      <c r="F380" s="127"/>
      <c r="G380" s="128"/>
      <c r="H380" s="479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474"/>
      <c r="P380" s="474"/>
      <c r="Q380" s="474"/>
      <c r="R380" s="474"/>
      <c r="S380" s="474"/>
      <c r="T380" s="474"/>
      <c r="U380" s="474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471" t="s">
        <v>208</v>
      </c>
      <c r="C381" s="126" t="s">
        <v>203</v>
      </c>
      <c r="D381" s="108">
        <v>5.08</v>
      </c>
      <c r="E381" s="108"/>
      <c r="F381" s="127"/>
      <c r="G381" s="128"/>
      <c r="H381" s="479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474"/>
      <c r="P381" s="474"/>
      <c r="Q381" s="474"/>
      <c r="R381" s="474"/>
      <c r="S381" s="474"/>
      <c r="T381" s="474"/>
      <c r="U381" s="474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471" t="s">
        <v>208</v>
      </c>
      <c r="C382" s="126" t="s">
        <v>199</v>
      </c>
      <c r="D382" s="108">
        <v>5.08</v>
      </c>
      <c r="E382" s="108"/>
      <c r="F382" s="127"/>
      <c r="G382" s="128"/>
      <c r="H382" s="479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470"/>
      <c r="P382" s="470"/>
      <c r="Q382" s="470"/>
      <c r="R382" s="470"/>
      <c r="S382" s="470"/>
      <c r="T382" s="470"/>
      <c r="U382" s="470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471" t="s">
        <v>208</v>
      </c>
      <c r="C383" s="126" t="s">
        <v>187</v>
      </c>
      <c r="D383" s="108">
        <v>5.08</v>
      </c>
      <c r="E383" s="108"/>
      <c r="F383" s="127"/>
      <c r="G383" s="128"/>
      <c r="H383" s="479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474"/>
      <c r="P383" s="474"/>
      <c r="Q383" s="474"/>
      <c r="R383" s="474"/>
      <c r="S383" s="474"/>
      <c r="T383" s="474"/>
      <c r="U383" s="474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471" t="s">
        <v>208</v>
      </c>
      <c r="C384" s="126" t="s">
        <v>207</v>
      </c>
      <c r="D384" s="108">
        <v>5.08</v>
      </c>
      <c r="E384" s="108"/>
      <c r="F384" s="127"/>
      <c r="G384" s="128"/>
      <c r="H384" s="479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470"/>
      <c r="P384" s="470"/>
      <c r="Q384" s="470"/>
      <c r="R384" s="470"/>
      <c r="S384" s="470"/>
      <c r="T384" s="470"/>
      <c r="U384" s="470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471" t="s">
        <v>209</v>
      </c>
      <c r="C385" s="126" t="s">
        <v>194</v>
      </c>
      <c r="D385" s="108">
        <v>5.03</v>
      </c>
      <c r="E385" s="108"/>
      <c r="F385" s="127"/>
      <c r="G385" s="128"/>
      <c r="H385" s="479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474"/>
      <c r="P385" s="474"/>
      <c r="Q385" s="474"/>
      <c r="R385" s="474"/>
      <c r="S385" s="474"/>
      <c r="T385" s="474"/>
      <c r="U385" s="474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471" t="s">
        <v>209</v>
      </c>
      <c r="C386" s="126" t="s">
        <v>179</v>
      </c>
      <c r="D386" s="108">
        <v>5.03</v>
      </c>
      <c r="E386" s="108"/>
      <c r="F386" s="127"/>
      <c r="G386" s="128"/>
      <c r="H386" s="479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474"/>
      <c r="P386" s="474"/>
      <c r="Q386" s="474"/>
      <c r="R386" s="474"/>
      <c r="S386" s="474"/>
      <c r="T386" s="474"/>
      <c r="U386" s="474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471" t="s">
        <v>209</v>
      </c>
      <c r="C387" s="126" t="s">
        <v>195</v>
      </c>
      <c r="D387" s="108">
        <v>5.03</v>
      </c>
      <c r="E387" s="108"/>
      <c r="F387" s="127"/>
      <c r="G387" s="128"/>
      <c r="H387" s="479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474"/>
      <c r="P387" s="474"/>
      <c r="Q387" s="474"/>
      <c r="R387" s="474"/>
      <c r="S387" s="474"/>
      <c r="T387" s="474"/>
      <c r="U387" s="474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471" t="s">
        <v>209</v>
      </c>
      <c r="C388" s="126" t="s">
        <v>204</v>
      </c>
      <c r="D388" s="108">
        <v>5.03</v>
      </c>
      <c r="E388" s="108"/>
      <c r="F388" s="127"/>
      <c r="G388" s="128"/>
      <c r="H388" s="479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474"/>
      <c r="P388" s="474"/>
      <c r="Q388" s="474"/>
      <c r="R388" s="474"/>
      <c r="S388" s="474"/>
      <c r="T388" s="474"/>
      <c r="U388" s="474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471" t="s">
        <v>382</v>
      </c>
      <c r="C389" s="187" t="s">
        <v>383</v>
      </c>
      <c r="D389" s="108">
        <v>5.03</v>
      </c>
      <c r="E389" s="108"/>
      <c r="F389" s="127"/>
      <c r="G389" s="128"/>
      <c r="H389" s="479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474"/>
      <c r="P389" s="474"/>
      <c r="Q389" s="474"/>
      <c r="R389" s="474"/>
      <c r="S389" s="474"/>
      <c r="T389" s="474"/>
      <c r="U389" s="474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471" t="s">
        <v>382</v>
      </c>
      <c r="C390" s="187" t="s">
        <v>384</v>
      </c>
      <c r="D390" s="108">
        <v>5.03</v>
      </c>
      <c r="E390" s="108"/>
      <c r="F390" s="127"/>
      <c r="G390" s="128"/>
      <c r="H390" s="479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474"/>
      <c r="P390" s="474"/>
      <c r="Q390" s="474"/>
      <c r="R390" s="474"/>
      <c r="S390" s="474"/>
      <c r="T390" s="474"/>
      <c r="U390" s="474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471" t="s">
        <v>382</v>
      </c>
      <c r="C391" s="187" t="s">
        <v>389</v>
      </c>
      <c r="D391" s="108">
        <v>5.03</v>
      </c>
      <c r="E391" s="108"/>
      <c r="F391" s="127"/>
      <c r="G391" s="128"/>
      <c r="H391" s="479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474"/>
      <c r="P391" s="474"/>
      <c r="Q391" s="474"/>
      <c r="R391" s="474"/>
      <c r="S391" s="474"/>
      <c r="T391" s="474"/>
      <c r="U391" s="474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471" t="s">
        <v>382</v>
      </c>
      <c r="C392" s="187" t="s">
        <v>391</v>
      </c>
      <c r="D392" s="108">
        <v>5.03</v>
      </c>
      <c r="E392" s="108"/>
      <c r="F392" s="127"/>
      <c r="G392" s="128"/>
      <c r="H392" s="479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474"/>
      <c r="P392" s="474"/>
      <c r="Q392" s="474"/>
      <c r="R392" s="474"/>
      <c r="S392" s="474"/>
      <c r="T392" s="474"/>
      <c r="U392" s="474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471" t="s">
        <v>418</v>
      </c>
      <c r="C393" s="187" t="s">
        <v>364</v>
      </c>
      <c r="D393" s="108">
        <v>5.03</v>
      </c>
      <c r="E393" s="108"/>
      <c r="F393" s="127"/>
      <c r="G393" s="128"/>
      <c r="H393" s="479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474"/>
      <c r="P393" s="474"/>
      <c r="Q393" s="474"/>
      <c r="R393" s="474"/>
      <c r="S393" s="474"/>
      <c r="T393" s="474"/>
      <c r="U393" s="474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471" t="s">
        <v>418</v>
      </c>
      <c r="C394" s="187" t="s">
        <v>365</v>
      </c>
      <c r="D394" s="108">
        <v>5.03</v>
      </c>
      <c r="E394" s="108"/>
      <c r="F394" s="127"/>
      <c r="G394" s="128"/>
      <c r="H394" s="479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474"/>
      <c r="P394" s="474"/>
      <c r="Q394" s="474"/>
      <c r="R394" s="474"/>
      <c r="S394" s="474"/>
      <c r="T394" s="474"/>
      <c r="U394" s="474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471" t="s">
        <v>418</v>
      </c>
      <c r="C395" s="187" t="s">
        <v>366</v>
      </c>
      <c r="D395" s="108">
        <v>5.03</v>
      </c>
      <c r="E395" s="108"/>
      <c r="F395" s="127"/>
      <c r="G395" s="128"/>
      <c r="H395" s="479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474"/>
      <c r="P395" s="474"/>
      <c r="Q395" s="474"/>
      <c r="R395" s="474"/>
      <c r="S395" s="474"/>
      <c r="T395" s="474"/>
      <c r="U395" s="474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471" t="s">
        <v>418</v>
      </c>
      <c r="C396" s="187" t="s">
        <v>367</v>
      </c>
      <c r="D396" s="108">
        <v>5.03</v>
      </c>
      <c r="E396" s="108"/>
      <c r="F396" s="127"/>
      <c r="G396" s="128"/>
      <c r="H396" s="479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474"/>
      <c r="P396" s="474"/>
      <c r="Q396" s="474"/>
      <c r="R396" s="474"/>
      <c r="S396" s="474"/>
      <c r="T396" s="474"/>
      <c r="U396" s="474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479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470"/>
      <c r="P397" s="470"/>
      <c r="Q397" s="470"/>
      <c r="R397" s="470"/>
      <c r="S397" s="470"/>
      <c r="T397" s="470"/>
      <c r="U397" s="470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479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470"/>
      <c r="P398" s="470"/>
      <c r="Q398" s="470"/>
      <c r="R398" s="470"/>
      <c r="S398" s="470"/>
      <c r="T398" s="470"/>
      <c r="U398" s="470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479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470"/>
      <c r="P399" s="470"/>
      <c r="Q399" s="470"/>
      <c r="R399" s="470"/>
      <c r="S399" s="470"/>
      <c r="T399" s="470"/>
      <c r="U399" s="470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479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470"/>
      <c r="P400" s="470"/>
      <c r="Q400" s="470"/>
      <c r="R400" s="470"/>
      <c r="S400" s="470"/>
      <c r="T400" s="470"/>
      <c r="U400" s="470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479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470"/>
      <c r="P401" s="470"/>
      <c r="Q401" s="470"/>
      <c r="R401" s="470"/>
      <c r="S401" s="470"/>
      <c r="T401" s="470"/>
      <c r="U401" s="470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479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470"/>
      <c r="P402" s="470"/>
      <c r="Q402" s="470"/>
      <c r="R402" s="470"/>
      <c r="S402" s="470"/>
      <c r="T402" s="470"/>
      <c r="U402" s="470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479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470"/>
      <c r="P403" s="470"/>
      <c r="Q403" s="470"/>
      <c r="R403" s="470"/>
      <c r="S403" s="470"/>
      <c r="T403" s="470"/>
      <c r="U403" s="470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479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470"/>
      <c r="P404" s="470"/>
      <c r="Q404" s="470"/>
      <c r="R404" s="470"/>
      <c r="S404" s="470"/>
      <c r="T404" s="470"/>
      <c r="U404" s="470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479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470"/>
      <c r="P405" s="470"/>
      <c r="Q405" s="470"/>
      <c r="R405" s="470"/>
      <c r="S405" s="470"/>
      <c r="T405" s="470"/>
      <c r="U405" s="470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479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470"/>
      <c r="P406" s="470"/>
      <c r="Q406" s="470"/>
      <c r="R406" s="470"/>
      <c r="S406" s="470"/>
      <c r="T406" s="470"/>
      <c r="U406" s="470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479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470"/>
      <c r="P407" s="470"/>
      <c r="Q407" s="470"/>
      <c r="R407" s="470"/>
      <c r="S407" s="470"/>
      <c r="T407" s="470"/>
      <c r="U407" s="470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479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470"/>
      <c r="P408" s="470"/>
      <c r="Q408" s="470"/>
      <c r="R408" s="470"/>
      <c r="S408" s="470"/>
      <c r="T408" s="470"/>
      <c r="U408" s="470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479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470"/>
      <c r="P409" s="470"/>
      <c r="Q409" s="470"/>
      <c r="R409" s="470"/>
      <c r="S409" s="470"/>
      <c r="T409" s="470"/>
      <c r="U409" s="470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479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470"/>
      <c r="P410" s="470"/>
      <c r="Q410" s="470"/>
      <c r="R410" s="470"/>
      <c r="S410" s="470"/>
      <c r="T410" s="470"/>
      <c r="U410" s="470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479">
        <f t="shared" si="171"/>
        <v>0</v>
      </c>
      <c r="I411" s="129"/>
      <c r="J411" s="130"/>
      <c r="K411" s="131"/>
      <c r="L411" s="129"/>
      <c r="M411" s="109"/>
      <c r="N411" s="130"/>
      <c r="O411" s="470"/>
      <c r="P411" s="470"/>
      <c r="Q411" s="470"/>
      <c r="R411" s="470"/>
      <c r="S411" s="470"/>
      <c r="T411" s="470"/>
      <c r="U411" s="470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479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470"/>
      <c r="P412" s="470"/>
      <c r="Q412" s="470"/>
      <c r="R412" s="470"/>
      <c r="S412" s="470"/>
      <c r="T412" s="470"/>
      <c r="U412" s="470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479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470"/>
      <c r="P413" s="470"/>
      <c r="Q413" s="470"/>
      <c r="R413" s="470"/>
      <c r="S413" s="470"/>
      <c r="T413" s="470"/>
      <c r="U413" s="470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479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470"/>
      <c r="P414" s="470"/>
      <c r="Q414" s="470"/>
      <c r="R414" s="470"/>
      <c r="S414" s="470"/>
      <c r="T414" s="470"/>
      <c r="U414" s="470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479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470"/>
      <c r="P415" s="470"/>
      <c r="Q415" s="470"/>
      <c r="R415" s="470"/>
      <c r="S415" s="470"/>
      <c r="T415" s="470"/>
      <c r="U415" s="470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479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470"/>
      <c r="P416" s="470"/>
      <c r="Q416" s="470"/>
      <c r="R416" s="470"/>
      <c r="S416" s="470"/>
      <c r="T416" s="470"/>
      <c r="U416" s="470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479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470"/>
      <c r="P417" s="470"/>
      <c r="Q417" s="470"/>
      <c r="R417" s="470"/>
      <c r="S417" s="470"/>
      <c r="T417" s="470"/>
      <c r="U417" s="470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479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470"/>
      <c r="P418" s="470"/>
      <c r="Q418" s="470"/>
      <c r="R418" s="470"/>
      <c r="S418" s="470"/>
      <c r="T418" s="470"/>
      <c r="U418" s="470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479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470"/>
      <c r="P419" s="470"/>
      <c r="Q419" s="470"/>
      <c r="R419" s="470"/>
      <c r="S419" s="470"/>
      <c r="T419" s="470"/>
      <c r="U419" s="470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479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470"/>
      <c r="P420" s="470"/>
      <c r="Q420" s="470"/>
      <c r="R420" s="470"/>
      <c r="S420" s="470"/>
      <c r="T420" s="470"/>
      <c r="U420" s="470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479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470"/>
      <c r="P421" s="470"/>
      <c r="Q421" s="470"/>
      <c r="R421" s="470"/>
      <c r="S421" s="470"/>
      <c r="T421" s="470"/>
      <c r="U421" s="470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479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470"/>
      <c r="P422" s="470"/>
      <c r="Q422" s="470"/>
      <c r="R422" s="470"/>
      <c r="S422" s="470"/>
      <c r="T422" s="470"/>
      <c r="U422" s="470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479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470"/>
      <c r="P423" s="470"/>
      <c r="Q423" s="470"/>
      <c r="R423" s="470"/>
      <c r="S423" s="470"/>
      <c r="T423" s="470"/>
      <c r="U423" s="470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479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470"/>
      <c r="P424" s="470"/>
      <c r="Q424" s="470"/>
      <c r="R424" s="470"/>
      <c r="S424" s="470"/>
      <c r="T424" s="470"/>
      <c r="U424" s="470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479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470"/>
      <c r="P425" s="470"/>
      <c r="Q425" s="470"/>
      <c r="R425" s="470"/>
      <c r="S425" s="470"/>
      <c r="T425" s="470"/>
      <c r="U425" s="470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41" t="s">
        <v>216</v>
      </c>
      <c r="B426" s="641"/>
      <c r="C426" s="477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471" t="s">
        <v>217</v>
      </c>
      <c r="C427" s="126" t="s">
        <v>179</v>
      </c>
      <c r="D427" s="108">
        <v>5.03</v>
      </c>
      <c r="E427" s="108"/>
      <c r="F427" s="127"/>
      <c r="G427" s="128"/>
      <c r="H427" s="479">
        <f t="shared" ref="H427:H460" si="196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7">IF(ISERROR(I427-K427),"",I427-K427)</f>
        <v>0</v>
      </c>
      <c r="N427" s="130">
        <f t="shared" ref="N427:N434" si="198">SUM(O427:U427)</f>
        <v>0</v>
      </c>
      <c r="O427" s="470"/>
      <c r="P427" s="470"/>
      <c r="Q427" s="470"/>
      <c r="R427" s="470"/>
      <c r="S427" s="470"/>
      <c r="T427" s="470"/>
      <c r="U427" s="470"/>
      <c r="V427" s="132">
        <f t="shared" ref="V427:V433" si="199">SUM(X427:AA427)</f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471" t="s">
        <v>217</v>
      </c>
      <c r="C428" s="126" t="s">
        <v>186</v>
      </c>
      <c r="D428" s="108">
        <v>5.03</v>
      </c>
      <c r="E428" s="108"/>
      <c r="F428" s="127"/>
      <c r="G428" s="128"/>
      <c r="H428" s="479">
        <f t="shared" si="196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7"/>
        <v>0</v>
      </c>
      <c r="N428" s="130">
        <f t="shared" si="198"/>
        <v>0</v>
      </c>
      <c r="O428" s="470"/>
      <c r="P428" s="470"/>
      <c r="Q428" s="470"/>
      <c r="R428" s="470"/>
      <c r="S428" s="470"/>
      <c r="T428" s="470"/>
      <c r="U428" s="470"/>
      <c r="V428" s="132">
        <f t="shared" si="199"/>
        <v>0</v>
      </c>
      <c r="W428" s="133" t="str">
        <f t="shared" si="195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471" t="s">
        <v>217</v>
      </c>
      <c r="C429" s="126" t="s">
        <v>204</v>
      </c>
      <c r="D429" s="108">
        <v>5.03</v>
      </c>
      <c r="E429" s="108"/>
      <c r="F429" s="127"/>
      <c r="G429" s="128"/>
      <c r="H429" s="479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7"/>
        <v>0</v>
      </c>
      <c r="N429" s="130">
        <f t="shared" si="198"/>
        <v>0</v>
      </c>
      <c r="O429" s="470"/>
      <c r="P429" s="470"/>
      <c r="Q429" s="470"/>
      <c r="R429" s="470"/>
      <c r="S429" s="470"/>
      <c r="T429" s="470"/>
      <c r="U429" s="470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479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470"/>
      <c r="P430" s="470"/>
      <c r="Q430" s="470"/>
      <c r="R430" s="470"/>
      <c r="S430" s="470"/>
      <c r="T430" s="470"/>
      <c r="U430" s="470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479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7"/>
        <v>0</v>
      </c>
      <c r="N431" s="130">
        <f t="shared" si="198"/>
        <v>0</v>
      </c>
      <c r="O431" s="470"/>
      <c r="P431" s="470"/>
      <c r="Q431" s="470"/>
      <c r="R431" s="470"/>
      <c r="S431" s="470"/>
      <c r="T431" s="470"/>
      <c r="U431" s="470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479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7"/>
        <v>0</v>
      </c>
      <c r="N432" s="130">
        <f t="shared" si="198"/>
        <v>0</v>
      </c>
      <c r="O432" s="470"/>
      <c r="P432" s="470"/>
      <c r="Q432" s="470"/>
      <c r="R432" s="470"/>
      <c r="S432" s="470"/>
      <c r="T432" s="470"/>
      <c r="U432" s="470"/>
      <c r="V432" s="132">
        <f t="shared" si="199"/>
        <v>0</v>
      </c>
      <c r="W432" s="133" t="str">
        <f t="shared" si="195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479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470"/>
      <c r="P433" s="470"/>
      <c r="Q433" s="470"/>
      <c r="R433" s="470"/>
      <c r="S433" s="470"/>
      <c r="T433" s="470"/>
      <c r="U433" s="470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479">
        <f t="shared" si="196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470"/>
      <c r="P434" s="470"/>
      <c r="Q434" s="470"/>
      <c r="R434" s="470"/>
      <c r="S434" s="470"/>
      <c r="T434" s="470"/>
      <c r="U434" s="470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479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470"/>
      <c r="P435" s="470"/>
      <c r="Q435" s="470"/>
      <c r="R435" s="470"/>
      <c r="S435" s="470"/>
      <c r="T435" s="470"/>
      <c r="U435" s="470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479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470"/>
      <c r="P436" s="470"/>
      <c r="Q436" s="470"/>
      <c r="R436" s="470"/>
      <c r="S436" s="470"/>
      <c r="T436" s="470"/>
      <c r="U436" s="470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479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70"/>
      <c r="P437" s="470"/>
      <c r="Q437" s="470"/>
      <c r="R437" s="470"/>
      <c r="S437" s="470"/>
      <c r="T437" s="470"/>
      <c r="U437" s="470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479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70"/>
      <c r="P438" s="470"/>
      <c r="Q438" s="470"/>
      <c r="R438" s="470"/>
      <c r="S438" s="470"/>
      <c r="T438" s="470"/>
      <c r="U438" s="470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479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470"/>
      <c r="P439" s="470"/>
      <c r="Q439" s="470"/>
      <c r="R439" s="470"/>
      <c r="S439" s="470"/>
      <c r="T439" s="470"/>
      <c r="U439" s="470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479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470"/>
      <c r="P440" s="470"/>
      <c r="Q440" s="470"/>
      <c r="R440" s="470"/>
      <c r="S440" s="470"/>
      <c r="T440" s="470"/>
      <c r="U440" s="470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479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470"/>
      <c r="P441" s="470"/>
      <c r="Q441" s="470"/>
      <c r="R441" s="470"/>
      <c r="S441" s="470"/>
      <c r="T441" s="470"/>
      <c r="U441" s="470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479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470"/>
      <c r="P442" s="470"/>
      <c r="Q442" s="470"/>
      <c r="R442" s="470"/>
      <c r="S442" s="470"/>
      <c r="T442" s="470"/>
      <c r="U442" s="470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471" t="s">
        <v>222</v>
      </c>
      <c r="C443" s="126" t="s">
        <v>181</v>
      </c>
      <c r="D443" s="108">
        <v>9.36</v>
      </c>
      <c r="E443" s="108"/>
      <c r="F443" s="127"/>
      <c r="G443" s="128"/>
      <c r="H443" s="479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470"/>
      <c r="P443" s="470"/>
      <c r="Q443" s="470"/>
      <c r="R443" s="470"/>
      <c r="S443" s="470"/>
      <c r="T443" s="470"/>
      <c r="U443" s="470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471" t="s">
        <v>222</v>
      </c>
      <c r="C444" s="126" t="s">
        <v>179</v>
      </c>
      <c r="D444" s="108">
        <v>9.36</v>
      </c>
      <c r="E444" s="108"/>
      <c r="F444" s="127"/>
      <c r="G444" s="128"/>
      <c r="H444" s="479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470"/>
      <c r="P444" s="470"/>
      <c r="Q444" s="470"/>
      <c r="R444" s="470"/>
      <c r="S444" s="470"/>
      <c r="T444" s="470"/>
      <c r="U444" s="470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471" t="s">
        <v>222</v>
      </c>
      <c r="C445" s="126" t="s">
        <v>221</v>
      </c>
      <c r="D445" s="108">
        <v>9.36</v>
      </c>
      <c r="E445" s="108"/>
      <c r="F445" s="127"/>
      <c r="G445" s="128"/>
      <c r="H445" s="479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470"/>
      <c r="P445" s="470"/>
      <c r="Q445" s="470"/>
      <c r="R445" s="470"/>
      <c r="S445" s="470"/>
      <c r="T445" s="470"/>
      <c r="U445" s="470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471" t="s">
        <v>222</v>
      </c>
      <c r="C446" s="126" t="s">
        <v>186</v>
      </c>
      <c r="D446" s="108">
        <v>9.36</v>
      </c>
      <c r="E446" s="108"/>
      <c r="F446" s="127"/>
      <c r="G446" s="128"/>
      <c r="H446" s="479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470"/>
      <c r="P446" s="470"/>
      <c r="Q446" s="470"/>
      <c r="R446" s="470"/>
      <c r="S446" s="470"/>
      <c r="T446" s="470"/>
      <c r="U446" s="470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471" t="s">
        <v>393</v>
      </c>
      <c r="C447" s="187" t="s">
        <v>395</v>
      </c>
      <c r="D447" s="108">
        <v>5</v>
      </c>
      <c r="E447" s="108"/>
      <c r="F447" s="127"/>
      <c r="G447" s="128"/>
      <c r="H447" s="479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470"/>
      <c r="P447" s="470"/>
      <c r="Q447" s="470"/>
      <c r="R447" s="470"/>
      <c r="S447" s="470"/>
      <c r="T447" s="470"/>
      <c r="U447" s="470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471" t="s">
        <v>393</v>
      </c>
      <c r="C448" s="187" t="s">
        <v>402</v>
      </c>
      <c r="D448" s="108">
        <v>5</v>
      </c>
      <c r="E448" s="108"/>
      <c r="F448" s="127"/>
      <c r="G448" s="128"/>
      <c r="H448" s="479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470"/>
      <c r="P448" s="470"/>
      <c r="Q448" s="470"/>
      <c r="R448" s="470"/>
      <c r="S448" s="470"/>
      <c r="T448" s="470"/>
      <c r="U448" s="470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471" t="s">
        <v>404</v>
      </c>
      <c r="C449" s="187" t="s">
        <v>405</v>
      </c>
      <c r="D449" s="108">
        <v>5</v>
      </c>
      <c r="E449" s="108"/>
      <c r="F449" s="127"/>
      <c r="G449" s="128"/>
      <c r="H449" s="479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470"/>
      <c r="P449" s="470"/>
      <c r="Q449" s="470"/>
      <c r="R449" s="470"/>
      <c r="S449" s="470"/>
      <c r="T449" s="470"/>
      <c r="U449" s="470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471" t="s">
        <v>342</v>
      </c>
      <c r="C450" s="187" t="s">
        <v>372</v>
      </c>
      <c r="D450" s="108">
        <v>5</v>
      </c>
      <c r="E450" s="108"/>
      <c r="F450" s="127"/>
      <c r="G450" s="128"/>
      <c r="H450" s="479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470"/>
      <c r="P450" s="470"/>
      <c r="Q450" s="470"/>
      <c r="R450" s="470"/>
      <c r="S450" s="470"/>
      <c r="T450" s="470"/>
      <c r="U450" s="470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471" t="s">
        <v>343</v>
      </c>
      <c r="C451" s="126" t="s">
        <v>345</v>
      </c>
      <c r="D451" s="108">
        <v>5</v>
      </c>
      <c r="E451" s="108"/>
      <c r="F451" s="127"/>
      <c r="G451" s="128"/>
      <c r="H451" s="479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470"/>
      <c r="P451" s="470"/>
      <c r="Q451" s="470"/>
      <c r="R451" s="470"/>
      <c r="S451" s="470"/>
      <c r="T451" s="470"/>
      <c r="U451" s="470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471" t="s">
        <v>343</v>
      </c>
      <c r="C452" s="126" t="s">
        <v>347</v>
      </c>
      <c r="D452" s="108">
        <v>5</v>
      </c>
      <c r="E452" s="108"/>
      <c r="F452" s="127"/>
      <c r="G452" s="128"/>
      <c r="H452" s="479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470"/>
      <c r="P452" s="470"/>
      <c r="Q452" s="470"/>
      <c r="R452" s="470"/>
      <c r="S452" s="470"/>
      <c r="T452" s="470"/>
      <c r="U452" s="470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479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470"/>
      <c r="P453" s="470"/>
      <c r="Q453" s="470"/>
      <c r="R453" s="470"/>
      <c r="S453" s="470"/>
      <c r="T453" s="470"/>
      <c r="U453" s="470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479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470"/>
      <c r="P454" s="470"/>
      <c r="Q454" s="470"/>
      <c r="R454" s="470"/>
      <c r="S454" s="470"/>
      <c r="T454" s="470"/>
      <c r="U454" s="470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479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470"/>
      <c r="P455" s="470"/>
      <c r="Q455" s="470"/>
      <c r="R455" s="470"/>
      <c r="S455" s="470"/>
      <c r="T455" s="470"/>
      <c r="U455" s="470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479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470"/>
      <c r="P456" s="470"/>
      <c r="Q456" s="470"/>
      <c r="R456" s="470"/>
      <c r="S456" s="470"/>
      <c r="T456" s="470"/>
      <c r="U456" s="470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479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470"/>
      <c r="P457" s="470"/>
      <c r="Q457" s="470"/>
      <c r="R457" s="470"/>
      <c r="S457" s="470"/>
      <c r="T457" s="470"/>
      <c r="U457" s="470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479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470"/>
      <c r="P458" s="470"/>
      <c r="Q458" s="470"/>
      <c r="R458" s="470"/>
      <c r="S458" s="470"/>
      <c r="T458" s="470"/>
      <c r="U458" s="470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479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470"/>
      <c r="P459" s="470"/>
      <c r="Q459" s="470"/>
      <c r="R459" s="470"/>
      <c r="S459" s="470"/>
      <c r="T459" s="470"/>
      <c r="U459" s="470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479">
        <f t="shared" si="196"/>
        <v>0</v>
      </c>
      <c r="I460" s="129"/>
      <c r="J460" s="130" t="str">
        <f t="array" ref="J460">IF(ISERROR(G460/I460),"",G460/I460)</f>
        <v/>
      </c>
      <c r="K460" s="479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470"/>
      <c r="P460" s="470"/>
      <c r="Q460" s="470"/>
      <c r="R460" s="470"/>
      <c r="S460" s="470"/>
      <c r="T460" s="470"/>
      <c r="U460" s="470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hidden="1" customHeight="1">
      <c r="A461" s="630" t="s">
        <v>224</v>
      </c>
      <c r="B461" s="631"/>
      <c r="C461" s="477" t="s">
        <v>202</v>
      </c>
      <c r="D461" s="143"/>
      <c r="E461" s="143"/>
      <c r="F461" s="144"/>
      <c r="G461" s="145">
        <f>SUM(G427:G460)</f>
        <v>0</v>
      </c>
      <c r="H461" s="146">
        <f>SUM(H427:H460)</f>
        <v>0</v>
      </c>
      <c r="I461" s="146">
        <f>SUM(I427:I460)</f>
        <v>0</v>
      </c>
      <c r="J461" s="130" t="str">
        <f t="array" ref="J461">IF(ISERROR(G461/I461),"",G461/I461)</f>
        <v/>
      </c>
      <c r="K461" s="146">
        <f>SUM(K427:K460)</f>
        <v>0</v>
      </c>
      <c r="L461" s="147"/>
      <c r="M461" s="150">
        <f t="shared" ref="M461:V461" si="210">SUM(M427:M460)</f>
        <v>0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 t="str">
        <f t="shared" si="209"/>
        <v/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479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470"/>
      <c r="P462" s="470"/>
      <c r="Q462" s="470"/>
      <c r="R462" s="470"/>
      <c r="S462" s="470"/>
      <c r="T462" s="470"/>
      <c r="U462" s="470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479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470"/>
      <c r="P463" s="470"/>
      <c r="Q463" s="470"/>
      <c r="R463" s="470"/>
      <c r="S463" s="470"/>
      <c r="T463" s="470"/>
      <c r="U463" s="470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479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470"/>
      <c r="P464" s="470"/>
      <c r="Q464" s="470"/>
      <c r="R464" s="470"/>
      <c r="S464" s="470"/>
      <c r="T464" s="470"/>
      <c r="U464" s="470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479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470"/>
      <c r="P465" s="470"/>
      <c r="Q465" s="470"/>
      <c r="R465" s="470"/>
      <c r="S465" s="470"/>
      <c r="T465" s="470"/>
      <c r="U465" s="470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475" t="s">
        <v>203</v>
      </c>
      <c r="D466" s="108">
        <v>5.03</v>
      </c>
      <c r="E466" s="108"/>
      <c r="F466" s="127"/>
      <c r="G466" s="128"/>
      <c r="H466" s="479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470"/>
      <c r="P466" s="470"/>
      <c r="Q466" s="470"/>
      <c r="R466" s="470"/>
      <c r="S466" s="470"/>
      <c r="T466" s="470"/>
      <c r="U466" s="470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479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470"/>
      <c r="P467" s="470"/>
      <c r="Q467" s="470"/>
      <c r="R467" s="470"/>
      <c r="S467" s="470"/>
      <c r="T467" s="470"/>
      <c r="U467" s="470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479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470"/>
      <c r="P468" s="470"/>
      <c r="Q468" s="470"/>
      <c r="R468" s="470"/>
      <c r="S468" s="470"/>
      <c r="T468" s="470"/>
      <c r="U468" s="470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475" t="s">
        <v>228</v>
      </c>
      <c r="D469" s="108">
        <v>5.03</v>
      </c>
      <c r="E469" s="108"/>
      <c r="F469" s="127"/>
      <c r="G469" s="128"/>
      <c r="H469" s="479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470"/>
      <c r="P469" s="470"/>
      <c r="Q469" s="470"/>
      <c r="R469" s="470"/>
      <c r="S469" s="470"/>
      <c r="T469" s="470"/>
      <c r="U469" s="470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475" t="s">
        <v>212</v>
      </c>
      <c r="D470" s="108">
        <v>5.03</v>
      </c>
      <c r="E470" s="108"/>
      <c r="F470" s="127"/>
      <c r="G470" s="128"/>
      <c r="H470" s="479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470"/>
      <c r="P470" s="470"/>
      <c r="Q470" s="470"/>
      <c r="R470" s="470"/>
      <c r="S470" s="470"/>
      <c r="T470" s="470"/>
      <c r="U470" s="470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475" t="s">
        <v>203</v>
      </c>
      <c r="D471" s="108">
        <v>5.03</v>
      </c>
      <c r="E471" s="108"/>
      <c r="F471" s="127"/>
      <c r="G471" s="128"/>
      <c r="H471" s="479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470"/>
      <c r="P471" s="470"/>
      <c r="Q471" s="470"/>
      <c r="R471" s="470"/>
      <c r="S471" s="470"/>
      <c r="T471" s="470"/>
      <c r="U471" s="470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475" t="s">
        <v>186</v>
      </c>
      <c r="D472" s="108">
        <v>5.03</v>
      </c>
      <c r="E472" s="108"/>
      <c r="F472" s="127"/>
      <c r="G472" s="128"/>
      <c r="H472" s="479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470"/>
      <c r="P472" s="470"/>
      <c r="Q472" s="470"/>
      <c r="R472" s="470"/>
      <c r="S472" s="470"/>
      <c r="T472" s="470"/>
      <c r="U472" s="470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475" t="s">
        <v>228</v>
      </c>
      <c r="D473" s="108">
        <v>5.03</v>
      </c>
      <c r="E473" s="108"/>
      <c r="F473" s="127"/>
      <c r="G473" s="128"/>
      <c r="H473" s="479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470"/>
      <c r="P473" s="470"/>
      <c r="Q473" s="470"/>
      <c r="R473" s="470"/>
      <c r="S473" s="470"/>
      <c r="T473" s="470"/>
      <c r="U473" s="470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475" t="s">
        <v>199</v>
      </c>
      <c r="D474" s="108">
        <v>5.03</v>
      </c>
      <c r="E474" s="108"/>
      <c r="F474" s="127"/>
      <c r="G474" s="128"/>
      <c r="H474" s="479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470"/>
      <c r="P474" s="470"/>
      <c r="Q474" s="470"/>
      <c r="R474" s="470"/>
      <c r="S474" s="470"/>
      <c r="T474" s="470"/>
      <c r="U474" s="470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479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470"/>
      <c r="P475" s="470"/>
      <c r="Q475" s="470"/>
      <c r="R475" s="470"/>
      <c r="S475" s="470"/>
      <c r="T475" s="470"/>
      <c r="U475" s="470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479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470"/>
      <c r="P476" s="470"/>
      <c r="Q476" s="470"/>
      <c r="R476" s="470"/>
      <c r="S476" s="470"/>
      <c r="T476" s="470"/>
      <c r="U476" s="470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630" t="s">
        <v>231</v>
      </c>
      <c r="B477" s="631"/>
      <c r="C477" s="477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479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470"/>
      <c r="P478" s="470"/>
      <c r="Q478" s="470"/>
      <c r="R478" s="470"/>
      <c r="S478" s="470"/>
      <c r="T478" s="470"/>
      <c r="U478" s="470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479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470"/>
      <c r="P479" s="470"/>
      <c r="Q479" s="470"/>
      <c r="R479" s="470"/>
      <c r="S479" s="470"/>
      <c r="T479" s="470"/>
      <c r="U479" s="470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479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470"/>
      <c r="P480" s="470"/>
      <c r="Q480" s="470"/>
      <c r="R480" s="470"/>
      <c r="S480" s="470"/>
      <c r="T480" s="470"/>
      <c r="U480" s="470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479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470"/>
      <c r="P481" s="470"/>
      <c r="Q481" s="470"/>
      <c r="R481" s="470"/>
      <c r="S481" s="470"/>
      <c r="T481" s="470"/>
      <c r="U481" s="470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479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470"/>
      <c r="P482" s="470"/>
      <c r="Q482" s="470"/>
      <c r="R482" s="470"/>
      <c r="S482" s="470"/>
      <c r="T482" s="470"/>
      <c r="U482" s="470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479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470"/>
      <c r="P483" s="470"/>
      <c r="Q483" s="470"/>
      <c r="R483" s="470"/>
      <c r="S483" s="470"/>
      <c r="T483" s="470"/>
      <c r="U483" s="470"/>
      <c r="V483" s="132"/>
      <c r="W483" s="133"/>
      <c r="X483" s="132"/>
      <c r="Y483" s="132"/>
      <c r="Z483" s="132"/>
      <c r="AA483" s="132"/>
    </row>
    <row r="484" spans="1:27" ht="20.100000000000001" hidden="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470"/>
      <c r="P484" s="470"/>
      <c r="Q484" s="470"/>
      <c r="R484" s="470"/>
      <c r="S484" s="470"/>
      <c r="T484" s="470"/>
      <c r="U484" s="470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479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470"/>
      <c r="P486" s="470"/>
      <c r="Q486" s="470"/>
      <c r="R486" s="470"/>
      <c r="S486" s="470"/>
      <c r="T486" s="470"/>
      <c r="U486" s="470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30" t="s">
        <v>234</v>
      </c>
      <c r="B487" s="631"/>
      <c r="C487" s="477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469"/>
      <c r="D488" s="108">
        <v>3.65</v>
      </c>
      <c r="E488" s="108"/>
      <c r="F488" s="153"/>
      <c r="G488" s="128"/>
      <c r="H488" s="479">
        <f t="shared" ref="H488:H502" si="223">D488*G488</f>
        <v>0</v>
      </c>
      <c r="I488" s="129"/>
      <c r="J488" s="130" t="str">
        <f t="array" ref="J488">IF(ISERROR(G488/I488),"",G488/I488)</f>
        <v/>
      </c>
      <c r="K488" s="479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470"/>
      <c r="P488" s="470"/>
      <c r="Q488" s="470"/>
      <c r="R488" s="470"/>
      <c r="S488" s="470"/>
      <c r="T488" s="470"/>
      <c r="U488" s="470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469"/>
      <c r="D489" s="108">
        <v>6.58</v>
      </c>
      <c r="E489" s="108"/>
      <c r="F489" s="127"/>
      <c r="G489" s="128"/>
      <c r="H489" s="479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470"/>
      <c r="P489" s="470"/>
      <c r="Q489" s="470"/>
      <c r="R489" s="470"/>
      <c r="S489" s="470"/>
      <c r="T489" s="470"/>
      <c r="U489" s="470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469"/>
      <c r="D490" s="108">
        <v>7.8</v>
      </c>
      <c r="E490" s="108"/>
      <c r="F490" s="127"/>
      <c r="G490" s="128"/>
      <c r="H490" s="479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470"/>
      <c r="P490" s="470"/>
      <c r="Q490" s="470"/>
      <c r="R490" s="470"/>
      <c r="S490" s="470"/>
      <c r="T490" s="470"/>
      <c r="U490" s="470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469"/>
      <c r="D491" s="108">
        <v>4.4000000000000004</v>
      </c>
      <c r="E491" s="108"/>
      <c r="F491" s="127"/>
      <c r="G491" s="128"/>
      <c r="H491" s="479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470"/>
      <c r="P491" s="470"/>
      <c r="Q491" s="470"/>
      <c r="R491" s="470"/>
      <c r="S491" s="470"/>
      <c r="T491" s="470"/>
      <c r="U491" s="470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479">
        <f t="shared" si="223"/>
        <v>0</v>
      </c>
      <c r="I492" s="129"/>
      <c r="J492" s="130"/>
      <c r="K492" s="131"/>
      <c r="L492" s="129"/>
      <c r="M492" s="109"/>
      <c r="N492" s="130"/>
      <c r="O492" s="470"/>
      <c r="P492" s="470"/>
      <c r="Q492" s="470"/>
      <c r="R492" s="470"/>
      <c r="S492" s="470"/>
      <c r="T492" s="470"/>
      <c r="U492" s="470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469"/>
      <c r="D493" s="108"/>
      <c r="E493" s="108"/>
      <c r="F493" s="127"/>
      <c r="G493" s="128"/>
      <c r="H493" s="479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470"/>
      <c r="P493" s="470"/>
      <c r="Q493" s="470"/>
      <c r="R493" s="470"/>
      <c r="S493" s="470"/>
      <c r="T493" s="470"/>
      <c r="U493" s="470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469" t="s">
        <v>239</v>
      </c>
      <c r="C494" s="469" t="s">
        <v>179</v>
      </c>
      <c r="D494" s="108">
        <v>6.04</v>
      </c>
      <c r="E494" s="108"/>
      <c r="F494" s="127"/>
      <c r="G494" s="128"/>
      <c r="H494" s="479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470"/>
      <c r="P494" s="470"/>
      <c r="Q494" s="470"/>
      <c r="R494" s="470"/>
      <c r="S494" s="470"/>
      <c r="T494" s="470"/>
      <c r="U494" s="470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469" t="s">
        <v>239</v>
      </c>
      <c r="C495" s="469" t="s">
        <v>186</v>
      </c>
      <c r="D495" s="108">
        <v>6.04</v>
      </c>
      <c r="E495" s="108"/>
      <c r="F495" s="127"/>
      <c r="G495" s="128"/>
      <c r="H495" s="479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470"/>
      <c r="P495" s="470"/>
      <c r="Q495" s="470"/>
      <c r="R495" s="470"/>
      <c r="S495" s="470"/>
      <c r="T495" s="470"/>
      <c r="U495" s="470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469" t="s">
        <v>443</v>
      </c>
      <c r="C496" s="469" t="s">
        <v>179</v>
      </c>
      <c r="D496" s="108"/>
      <c r="E496" s="108"/>
      <c r="F496" s="127"/>
      <c r="G496" s="128"/>
      <c r="H496" s="479">
        <f t="shared" si="223"/>
        <v>0</v>
      </c>
      <c r="I496" s="129"/>
      <c r="J496" s="130"/>
      <c r="K496" s="131"/>
      <c r="L496" s="129"/>
      <c r="M496" s="109"/>
      <c r="N496" s="130"/>
      <c r="O496" s="470"/>
      <c r="P496" s="470"/>
      <c r="Q496" s="470"/>
      <c r="R496" s="470"/>
      <c r="S496" s="470"/>
      <c r="T496" s="470"/>
      <c r="U496" s="470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469" t="s">
        <v>443</v>
      </c>
      <c r="C497" s="469" t="s">
        <v>186</v>
      </c>
      <c r="D497" s="108"/>
      <c r="E497" s="108"/>
      <c r="F497" s="127"/>
      <c r="G497" s="128"/>
      <c r="H497" s="479">
        <f t="shared" si="223"/>
        <v>0</v>
      </c>
      <c r="I497" s="129"/>
      <c r="J497" s="130"/>
      <c r="K497" s="131"/>
      <c r="L497" s="129"/>
      <c r="M497" s="109"/>
      <c r="N497" s="130"/>
      <c r="O497" s="470"/>
      <c r="P497" s="470"/>
      <c r="Q497" s="470"/>
      <c r="R497" s="470"/>
      <c r="S497" s="470"/>
      <c r="T497" s="470"/>
      <c r="U497" s="470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471" t="s">
        <v>240</v>
      </c>
      <c r="C498" s="126"/>
      <c r="D498" s="108">
        <v>7.3</v>
      </c>
      <c r="E498" s="108"/>
      <c r="F498" s="127"/>
      <c r="G498" s="128"/>
      <c r="H498" s="479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470"/>
      <c r="P498" s="470"/>
      <c r="Q498" s="470"/>
      <c r="R498" s="470"/>
      <c r="S498" s="470"/>
      <c r="T498" s="470"/>
      <c r="U498" s="470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471" t="s">
        <v>241</v>
      </c>
      <c r="C499" s="126"/>
      <c r="D499" s="108">
        <f>78*120/1000</f>
        <v>9.36</v>
      </c>
      <c r="E499" s="108"/>
      <c r="F499" s="127"/>
      <c r="G499" s="128"/>
      <c r="H499" s="479">
        <f t="shared" si="223"/>
        <v>0</v>
      </c>
      <c r="I499" s="129"/>
      <c r="J499" s="130"/>
      <c r="K499" s="131"/>
      <c r="L499" s="129"/>
      <c r="M499" s="109"/>
      <c r="N499" s="130"/>
      <c r="O499" s="470"/>
      <c r="P499" s="470"/>
      <c r="Q499" s="470"/>
      <c r="R499" s="470"/>
      <c r="S499" s="470"/>
      <c r="T499" s="470"/>
      <c r="U499" s="470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471" t="s">
        <v>242</v>
      </c>
      <c r="C500" s="126"/>
      <c r="D500" s="108">
        <v>4.5</v>
      </c>
      <c r="E500" s="108"/>
      <c r="F500" s="127"/>
      <c r="G500" s="128"/>
      <c r="H500" s="479">
        <f t="shared" si="223"/>
        <v>0</v>
      </c>
      <c r="I500" s="129"/>
      <c r="J500" s="130"/>
      <c r="K500" s="131"/>
      <c r="L500" s="129"/>
      <c r="M500" s="109"/>
      <c r="N500" s="130"/>
      <c r="O500" s="470"/>
      <c r="P500" s="470"/>
      <c r="Q500" s="470"/>
      <c r="R500" s="470"/>
      <c r="S500" s="470"/>
      <c r="T500" s="470"/>
      <c r="U500" s="470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471" t="s">
        <v>243</v>
      </c>
      <c r="C501" s="126"/>
      <c r="D501" s="108">
        <v>4.5</v>
      </c>
      <c r="E501" s="108"/>
      <c r="F501" s="127"/>
      <c r="G501" s="128"/>
      <c r="H501" s="479">
        <f t="shared" si="223"/>
        <v>0</v>
      </c>
      <c r="I501" s="129"/>
      <c r="J501" s="130"/>
      <c r="K501" s="131"/>
      <c r="L501" s="129"/>
      <c r="M501" s="109"/>
      <c r="N501" s="130"/>
      <c r="O501" s="470"/>
      <c r="P501" s="470"/>
      <c r="Q501" s="470"/>
      <c r="R501" s="470"/>
      <c r="S501" s="470"/>
      <c r="T501" s="470"/>
      <c r="U501" s="470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471"/>
      <c r="C502" s="126"/>
      <c r="D502" s="108"/>
      <c r="E502" s="108"/>
      <c r="F502" s="127"/>
      <c r="G502" s="128"/>
      <c r="H502" s="479">
        <f t="shared" si="223"/>
        <v>0</v>
      </c>
      <c r="I502" s="129"/>
      <c r="J502" s="130"/>
      <c r="K502" s="131"/>
      <c r="L502" s="129"/>
      <c r="M502" s="109"/>
      <c r="N502" s="130"/>
      <c r="O502" s="470"/>
      <c r="P502" s="470"/>
      <c r="Q502" s="470"/>
      <c r="R502" s="470"/>
      <c r="S502" s="470"/>
      <c r="T502" s="470"/>
      <c r="U502" s="470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30" t="s">
        <v>244</v>
      </c>
      <c r="B503" s="631"/>
      <c r="C503" s="477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632" t="s">
        <v>246</v>
      </c>
      <c r="B504" s="633"/>
      <c r="C504" s="633"/>
      <c r="D504" s="633"/>
      <c r="E504" s="633"/>
      <c r="F504" s="634"/>
      <c r="G504" s="154">
        <f>SUM(G368,G426,G461,G477,G487,G503)</f>
        <v>0</v>
      </c>
      <c r="H504" s="154">
        <f>SUM(H368,H426,H461,H477,H487,H503)</f>
        <v>0</v>
      </c>
      <c r="I504" s="154">
        <f>SUM(I368,I426,I461,I477,I487,I503)</f>
        <v>0</v>
      </c>
      <c r="J504" s="155" t="str">
        <f t="array" ref="J504">IF(ISERROR(G504/I504),"",G504/I504)</f>
        <v/>
      </c>
      <c r="K504" s="154">
        <f>SUM(K368,K426,K461,K477,K487,K503)</f>
        <v>0</v>
      </c>
      <c r="L504" s="155" t="str">
        <f>IF(ISERROR(G504/K504),"",G504/K504)</f>
        <v/>
      </c>
      <c r="M504" s="154">
        <f t="shared" ref="M504:V504" si="236">SUM(M368,M426,M461,M477,M487,M503)</f>
        <v>0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 t="str">
        <f t="shared" ref="W504" si="237">IF(ISERROR(V504/G504),"",V504/G504)</f>
        <v/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35" t="s">
        <v>476</v>
      </c>
      <c r="B505" s="476" t="s">
        <v>247</v>
      </c>
      <c r="C505" s="638" t="s">
        <v>248</v>
      </c>
      <c r="D505" s="639"/>
      <c r="E505" s="640" t="s">
        <v>249</v>
      </c>
      <c r="F505" s="640"/>
      <c r="G505" s="643" t="s">
        <v>250</v>
      </c>
      <c r="H505" s="643"/>
      <c r="I505" s="640" t="s">
        <v>251</v>
      </c>
      <c r="J505" s="640"/>
      <c r="K505" s="640" t="s">
        <v>252</v>
      </c>
      <c r="L505" s="640"/>
      <c r="M505" s="640" t="s">
        <v>253</v>
      </c>
      <c r="N505" s="640"/>
      <c r="O505" s="640" t="s">
        <v>254</v>
      </c>
      <c r="P505" s="643" t="s">
        <v>255</v>
      </c>
      <c r="Q505" s="643"/>
      <c r="R505" s="643" t="s">
        <v>252</v>
      </c>
      <c r="S505" s="643"/>
      <c r="T505" s="643" t="s">
        <v>256</v>
      </c>
      <c r="U505" s="643"/>
      <c r="V505" s="643" t="s">
        <v>257</v>
      </c>
      <c r="W505" s="643"/>
      <c r="X505" s="643" t="s">
        <v>252</v>
      </c>
      <c r="Y505" s="643"/>
      <c r="Z505" s="643" t="s">
        <v>256</v>
      </c>
      <c r="AA505" s="643"/>
    </row>
    <row r="506" spans="1:27" ht="20.100000000000001" customHeight="1">
      <c r="A506" s="636"/>
      <c r="B506" s="476" t="s">
        <v>258</v>
      </c>
      <c r="C506" s="638">
        <v>0</v>
      </c>
      <c r="D506" s="639"/>
      <c r="E506" s="642">
        <f>C506*11</f>
        <v>0</v>
      </c>
      <c r="F506" s="642"/>
      <c r="G506" s="643">
        <v>0</v>
      </c>
      <c r="H506" s="643"/>
      <c r="I506" s="642">
        <f>G506*11</f>
        <v>0</v>
      </c>
      <c r="J506" s="642"/>
      <c r="K506" s="642">
        <f>E506-I506</f>
        <v>0</v>
      </c>
      <c r="L506" s="642"/>
      <c r="M506" s="644" t="str">
        <f>IF(ISERROR(K506/E506),"",K506/E506)</f>
        <v/>
      </c>
      <c r="N506" s="644"/>
      <c r="O506" s="640"/>
      <c r="P506" s="643" t="s">
        <v>201</v>
      </c>
      <c r="Q506" s="643"/>
      <c r="R506" s="645">
        <f>SUM(O368:U368)</f>
        <v>0</v>
      </c>
      <c r="S506" s="645"/>
      <c r="T506" s="646" t="str">
        <f t="array" ref="T506">IF(ISERROR(R506/R513),"",R506/R513)</f>
        <v/>
      </c>
      <c r="U506" s="646"/>
      <c r="V506" s="643" t="s">
        <v>259</v>
      </c>
      <c r="W506" s="643"/>
      <c r="X506" s="647">
        <f>SUM(O368,O426,O461,O477,O487,O503)</f>
        <v>0</v>
      </c>
      <c r="Y506" s="647"/>
      <c r="Z506" s="646" t="str">
        <f t="array" ref="Z506">IF(ISERROR(X506/X513),"",X506/X513)</f>
        <v/>
      </c>
      <c r="AA506" s="646"/>
    </row>
    <row r="507" spans="1:27" ht="20.100000000000001" customHeight="1">
      <c r="A507" s="636"/>
      <c r="B507" s="476" t="s">
        <v>260</v>
      </c>
      <c r="C507" s="638">
        <v>0</v>
      </c>
      <c r="D507" s="639"/>
      <c r="E507" s="642">
        <f>C507*11</f>
        <v>0</v>
      </c>
      <c r="F507" s="642"/>
      <c r="G507" s="643">
        <v>0</v>
      </c>
      <c r="H507" s="643"/>
      <c r="I507" s="642">
        <f>G507*11</f>
        <v>0</v>
      </c>
      <c r="J507" s="642"/>
      <c r="K507" s="642">
        <f>E507-I507</f>
        <v>0</v>
      </c>
      <c r="L507" s="642"/>
      <c r="M507" s="644" t="str">
        <f>IF(ISERROR(K507/E507),"",K507/E507)</f>
        <v/>
      </c>
      <c r="N507" s="644"/>
      <c r="O507" s="640"/>
      <c r="P507" s="643" t="s">
        <v>216</v>
      </c>
      <c r="Q507" s="643"/>
      <c r="R507" s="645">
        <f>SUM(O426:U426)</f>
        <v>0</v>
      </c>
      <c r="S507" s="645"/>
      <c r="T507" s="646" t="str">
        <f>IF(ISERROR(R507/R513),"",R507/R513)</f>
        <v/>
      </c>
      <c r="U507" s="646"/>
      <c r="V507" s="643" t="s">
        <v>261</v>
      </c>
      <c r="W507" s="643"/>
      <c r="X507" s="647">
        <f>SUM(O369,O427,O462,O478,O488,O504)</f>
        <v>0</v>
      </c>
      <c r="Y507" s="647"/>
      <c r="Z507" s="646" t="str">
        <f>IF(ISERROR(X507/X513),"",X507/X513)</f>
        <v/>
      </c>
      <c r="AA507" s="646"/>
    </row>
    <row r="508" spans="1:27" ht="20.100000000000001" customHeight="1">
      <c r="A508" s="636"/>
      <c r="B508" s="476" t="s">
        <v>262</v>
      </c>
      <c r="C508" s="638">
        <v>0</v>
      </c>
      <c r="D508" s="639"/>
      <c r="E508" s="642">
        <f>C508*11</f>
        <v>0</v>
      </c>
      <c r="F508" s="642"/>
      <c r="G508" s="643">
        <v>0</v>
      </c>
      <c r="H508" s="643"/>
      <c r="I508" s="642">
        <f>G508*11</f>
        <v>0</v>
      </c>
      <c r="J508" s="642"/>
      <c r="K508" s="642">
        <f>E508-I508</f>
        <v>0</v>
      </c>
      <c r="L508" s="642"/>
      <c r="M508" s="644" t="str">
        <f>IF(ISERROR(K508/E508),"",K508/E508)</f>
        <v/>
      </c>
      <c r="N508" s="644"/>
      <c r="O508" s="640"/>
      <c r="P508" s="643" t="s">
        <v>224</v>
      </c>
      <c r="Q508" s="643"/>
      <c r="R508" s="645">
        <f>SUM(O461:U461)</f>
        <v>0</v>
      </c>
      <c r="S508" s="645"/>
      <c r="T508" s="646" t="str">
        <f>IF(ISERROR(R508/R513),"",R508/R513)</f>
        <v/>
      </c>
      <c r="U508" s="646"/>
      <c r="V508" s="643" t="s">
        <v>263</v>
      </c>
      <c r="W508" s="643"/>
      <c r="X508" s="647">
        <f>SUM(O371,O428,O463,O479,O489,O505)</f>
        <v>0</v>
      </c>
      <c r="Y508" s="647"/>
      <c r="Z508" s="646" t="str">
        <f>IF(ISERROR(X508/X513),"",X508/X513)</f>
        <v/>
      </c>
      <c r="AA508" s="646"/>
    </row>
    <row r="509" spans="1:27" ht="20.100000000000001" customHeight="1">
      <c r="A509" s="636"/>
      <c r="B509" s="476" t="s">
        <v>264</v>
      </c>
      <c r="C509" s="638">
        <v>1</v>
      </c>
      <c r="D509" s="639"/>
      <c r="E509" s="642">
        <f>C509*11</f>
        <v>11</v>
      </c>
      <c r="F509" s="642"/>
      <c r="G509" s="643">
        <v>1</v>
      </c>
      <c r="H509" s="643"/>
      <c r="I509" s="642">
        <f>G509*11</f>
        <v>11</v>
      </c>
      <c r="J509" s="642"/>
      <c r="K509" s="642">
        <f>E509-I509</f>
        <v>0</v>
      </c>
      <c r="L509" s="642"/>
      <c r="M509" s="644">
        <f>IF(ISERROR(K509/E509),"",K509/E509)</f>
        <v>0</v>
      </c>
      <c r="N509" s="644"/>
      <c r="O509" s="640"/>
      <c r="P509" s="643" t="s">
        <v>231</v>
      </c>
      <c r="Q509" s="643"/>
      <c r="R509" s="645">
        <f>SUM(O477:U477)</f>
        <v>0</v>
      </c>
      <c r="S509" s="645"/>
      <c r="T509" s="646" t="str">
        <f>IF(ISERROR(R509/R513),"",R509/R513)</f>
        <v/>
      </c>
      <c r="U509" s="646"/>
      <c r="V509" s="643" t="s">
        <v>265</v>
      </c>
      <c r="W509" s="643"/>
      <c r="X509" s="647">
        <f>SUM(O372,O429,O464,O480,O490,O506)</f>
        <v>0</v>
      </c>
      <c r="Y509" s="647"/>
      <c r="Z509" s="646" t="str">
        <f>IF(ISERROR(X509/X513),"",X509/X513)</f>
        <v/>
      </c>
      <c r="AA509" s="646"/>
    </row>
    <row r="510" spans="1:27" ht="20.100000000000001" customHeight="1">
      <c r="A510" s="637"/>
      <c r="B510" s="476" t="s">
        <v>266</v>
      </c>
      <c r="C510" s="648">
        <f>SUM(C506:D509)</f>
        <v>1</v>
      </c>
      <c r="D510" s="649"/>
      <c r="E510" s="642">
        <f>SUM(E506:F509)</f>
        <v>11</v>
      </c>
      <c r="F510" s="642"/>
      <c r="G510" s="643">
        <f>SUM(G506:H509)</f>
        <v>1</v>
      </c>
      <c r="H510" s="643"/>
      <c r="I510" s="642">
        <f>SUM(I506:J509)</f>
        <v>11</v>
      </c>
      <c r="J510" s="642"/>
      <c r="K510" s="642">
        <f>SUM(K506:L509)</f>
        <v>0</v>
      </c>
      <c r="L510" s="642"/>
      <c r="M510" s="644">
        <f>IF(ISERROR(K510/E510),"",K510/E510)</f>
        <v>0</v>
      </c>
      <c r="N510" s="644"/>
      <c r="O510" s="640"/>
      <c r="P510" s="643" t="s">
        <v>234</v>
      </c>
      <c r="Q510" s="643"/>
      <c r="R510" s="645">
        <f>SUM(O487:U487)</f>
        <v>0</v>
      </c>
      <c r="S510" s="645"/>
      <c r="T510" s="646" t="str">
        <f>IF(ISERROR(R510/R513),"",R510/R513)</f>
        <v/>
      </c>
      <c r="U510" s="646"/>
      <c r="V510" s="643" t="s">
        <v>267</v>
      </c>
      <c r="W510" s="643"/>
      <c r="X510" s="647">
        <f>SUM(O373,O430,O465,O481,O491,O507)</f>
        <v>0</v>
      </c>
      <c r="Y510" s="647"/>
      <c r="Z510" s="646" t="str">
        <f>IF(ISERROR(X510/X513),"",X510/X513)</f>
        <v/>
      </c>
      <c r="AA510" s="646"/>
    </row>
    <row r="511" spans="1:27" ht="20.100000000000001" customHeight="1">
      <c r="A511" s="307" t="s">
        <v>477</v>
      </c>
      <c r="B511" s="476">
        <f>G504</f>
        <v>0</v>
      </c>
      <c r="C511" s="650" t="s">
        <v>269</v>
      </c>
      <c r="D511" s="651"/>
      <c r="E511" s="643">
        <f>H504</f>
        <v>0</v>
      </c>
      <c r="F511" s="643"/>
      <c r="G511" s="643" t="s">
        <v>270</v>
      </c>
      <c r="H511" s="643"/>
      <c r="I511" s="652" t="str">
        <f>L504</f>
        <v/>
      </c>
      <c r="J511" s="652"/>
      <c r="K511" s="640" t="s">
        <v>271</v>
      </c>
      <c r="L511" s="640"/>
      <c r="M511" s="652" t="str">
        <f>J504</f>
        <v/>
      </c>
      <c r="N511" s="652"/>
      <c r="O511" s="640"/>
      <c r="P511" s="643" t="s">
        <v>244</v>
      </c>
      <c r="Q511" s="643"/>
      <c r="R511" s="645">
        <f>SUM(O503:U503)</f>
        <v>0</v>
      </c>
      <c r="S511" s="645"/>
      <c r="T511" s="646" t="str">
        <f>IF(ISERROR(R511/R513),"",R511/R513)</f>
        <v/>
      </c>
      <c r="U511" s="646"/>
      <c r="V511" s="643" t="s">
        <v>272</v>
      </c>
      <c r="W511" s="643"/>
      <c r="X511" s="647">
        <f>SUM(O374,O431,O466,O482,O492,O508)</f>
        <v>0</v>
      </c>
      <c r="Y511" s="647"/>
      <c r="Z511" s="646" t="str">
        <f>IF(ISERROR(X511/X513),"",X511/X513)</f>
        <v/>
      </c>
      <c r="AA511" s="646"/>
    </row>
    <row r="512" spans="1:27" ht="20.100000000000001" customHeight="1">
      <c r="A512" s="308" t="s">
        <v>478</v>
      </c>
      <c r="B512" s="476">
        <f>I504+C510</f>
        <v>1</v>
      </c>
      <c r="C512" s="653" t="s">
        <v>251</v>
      </c>
      <c r="D512" s="654"/>
      <c r="E512" s="655">
        <f>K504+I510</f>
        <v>11</v>
      </c>
      <c r="F512" s="655"/>
      <c r="G512" s="643" t="s">
        <v>274</v>
      </c>
      <c r="H512" s="643"/>
      <c r="I512" s="652">
        <f>B512-E512</f>
        <v>-10</v>
      </c>
      <c r="J512" s="652"/>
      <c r="K512" s="640" t="s">
        <v>275</v>
      </c>
      <c r="L512" s="640"/>
      <c r="M512" s="644">
        <f>IF(ISERROR(I512/E512),"",I512/E512)</f>
        <v>-0.90909090909090906</v>
      </c>
      <c r="N512" s="644"/>
      <c r="O512" s="640"/>
      <c r="P512" s="643" t="s">
        <v>245</v>
      </c>
      <c r="Q512" s="643"/>
      <c r="R512" s="645"/>
      <c r="S512" s="645"/>
      <c r="T512" s="646" t="str">
        <f>IF(ISERROR(R512/R513),"",R512/R513)</f>
        <v/>
      </c>
      <c r="U512" s="646"/>
      <c r="V512" s="643" t="s">
        <v>264</v>
      </c>
      <c r="W512" s="643"/>
      <c r="X512" s="647">
        <f>SUM(O375,O432,O467,O486,O493,O509)</f>
        <v>0</v>
      </c>
      <c r="Y512" s="647"/>
      <c r="Z512" s="646" t="str">
        <f>IF(ISERROR(X512/X513),"",X512/X513)</f>
        <v/>
      </c>
      <c r="AA512" s="646"/>
    </row>
    <row r="513" spans="1:27" ht="20.100000000000001" customHeight="1">
      <c r="A513" s="308" t="s">
        <v>479</v>
      </c>
      <c r="B513" s="476">
        <f>N504</f>
        <v>0</v>
      </c>
      <c r="C513" s="653" t="s">
        <v>277</v>
      </c>
      <c r="D513" s="654"/>
      <c r="E513" s="646">
        <f>IF(ISERROR(B513/B512),"",B513/B512)</f>
        <v>0</v>
      </c>
      <c r="F513" s="646"/>
      <c r="G513" s="643" t="s">
        <v>278</v>
      </c>
      <c r="H513" s="643"/>
      <c r="I513" s="640">
        <f>V504</f>
        <v>0</v>
      </c>
      <c r="J513" s="640"/>
      <c r="K513" s="640" t="s">
        <v>279</v>
      </c>
      <c r="L513" s="640"/>
      <c r="M513" s="644" t="str">
        <f t="array" ref="M513">IF(ISERROR(I513/B511),"",I513/B511)</f>
        <v/>
      </c>
      <c r="N513" s="644"/>
      <c r="O513" s="640"/>
      <c r="P513" s="643" t="s">
        <v>266</v>
      </c>
      <c r="Q513" s="643"/>
      <c r="R513" s="645">
        <f>SUM(R506:S512)</f>
        <v>0</v>
      </c>
      <c r="S513" s="645"/>
      <c r="T513" s="646"/>
      <c r="U513" s="646"/>
      <c r="V513" s="643" t="s">
        <v>266</v>
      </c>
      <c r="W513" s="643"/>
      <c r="X513" s="647">
        <f>SUM(X506:Y512)</f>
        <v>0</v>
      </c>
      <c r="Y513" s="647"/>
      <c r="Z513" s="646"/>
      <c r="AA513" s="646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682" t="str">
        <f>IF(ISERROR(#REF!/#REF!),"",#REF!/#REF!)</f>
        <v/>
      </c>
      <c r="H514" s="682"/>
      <c r="I514" s="682"/>
      <c r="J514" s="125"/>
      <c r="K514" s="160"/>
      <c r="L514" s="122"/>
      <c r="M514" s="122"/>
      <c r="N514" s="682" t="str">
        <f>IF(ISERROR(G514/#REF!),"",G514/#REF!)</f>
        <v/>
      </c>
      <c r="O514" s="682"/>
      <c r="P514" s="682"/>
      <c r="Q514" s="682"/>
      <c r="R514" s="682"/>
      <c r="S514" s="478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685" t="s">
        <v>268</v>
      </c>
      <c r="B516" s="685"/>
      <c r="C516" s="638">
        <f>SUM(B170,B340,B511)</f>
        <v>7919</v>
      </c>
      <c r="D516" s="639"/>
      <c r="E516" s="685" t="s">
        <v>269</v>
      </c>
      <c r="F516" s="685"/>
      <c r="G516" s="655">
        <f>SUM(E170,E340,E511)</f>
        <v>39850.340000000004</v>
      </c>
      <c r="H516" s="655"/>
      <c r="I516" s="643" t="s">
        <v>270</v>
      </c>
      <c r="J516" s="685"/>
      <c r="K516" s="638">
        <f>IF(ISERROR(C516/G517),"",C516/G517)</f>
        <v>13.674723830684124</v>
      </c>
      <c r="L516" s="639"/>
      <c r="M516" s="643" t="s">
        <v>271</v>
      </c>
      <c r="N516" s="643"/>
      <c r="O516" s="680">
        <f t="array" ref="O516">IF(ISERROR(C516/C517),"",C516/C517)</f>
        <v>17.456188691722694</v>
      </c>
      <c r="P516" s="681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643" t="s">
        <v>273</v>
      </c>
      <c r="B517" s="643"/>
      <c r="C517" s="638">
        <f>SUM(B171,B341,B512)</f>
        <v>453.65</v>
      </c>
      <c r="D517" s="639"/>
      <c r="E517" s="643" t="s">
        <v>251</v>
      </c>
      <c r="F517" s="643"/>
      <c r="G517" s="655">
        <f>SUM(E171,E341,E512)</f>
        <v>579.09761820790095</v>
      </c>
      <c r="H517" s="655"/>
      <c r="I517" s="653" t="s">
        <v>274</v>
      </c>
      <c r="J517" s="654"/>
      <c r="K517" s="650">
        <f>C517-G517</f>
        <v>-125.44761820790097</v>
      </c>
      <c r="L517" s="651"/>
      <c r="M517" s="650" t="s">
        <v>275</v>
      </c>
      <c r="N517" s="651"/>
      <c r="O517" s="683">
        <f>IF(ISERROR(K517/C517),"",K517/C517)</f>
        <v>-0.27652952321812185</v>
      </c>
      <c r="P517" s="684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653" t="s">
        <v>276</v>
      </c>
      <c r="B518" s="654"/>
      <c r="C518" s="638">
        <f>SUM(B172,B342,B513)</f>
        <v>0</v>
      </c>
      <c r="D518" s="639"/>
      <c r="E518" s="653" t="s">
        <v>277</v>
      </c>
      <c r="F518" s="654"/>
      <c r="G518" s="646">
        <f>IF(ISERROR(C518/C517),"",C518/C517)</f>
        <v>0</v>
      </c>
      <c r="H518" s="646"/>
      <c r="I518" s="643" t="s">
        <v>278</v>
      </c>
      <c r="J518" s="685"/>
      <c r="K518" s="655">
        <f>SUM(I172,I342,I513)</f>
        <v>0</v>
      </c>
      <c r="L518" s="655"/>
      <c r="M518" s="685" t="s">
        <v>279</v>
      </c>
      <c r="N518" s="685"/>
      <c r="O518" s="683">
        <f t="array" ref="O518">IF(ISERROR(K518/C516),"",K518/C516)</f>
        <v>0</v>
      </c>
      <c r="P518" s="684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478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653" t="s">
        <v>298</v>
      </c>
      <c r="B520" s="654"/>
      <c r="C520" s="653" t="s">
        <v>299</v>
      </c>
      <c r="D520" s="654"/>
      <c r="E520" s="653" t="s">
        <v>256</v>
      </c>
      <c r="F520" s="654"/>
      <c r="G520" s="686" t="s">
        <v>254</v>
      </c>
      <c r="H520" s="687"/>
      <c r="I520" s="653" t="s">
        <v>255</v>
      </c>
      <c r="J520" s="651"/>
      <c r="K520" s="653" t="s">
        <v>300</v>
      </c>
      <c r="L520" s="654"/>
      <c r="M520" s="653" t="s">
        <v>256</v>
      </c>
      <c r="N520" s="654"/>
      <c r="O520" s="643" t="s">
        <v>257</v>
      </c>
      <c r="P520" s="643"/>
      <c r="Q520" s="653" t="s">
        <v>300</v>
      </c>
      <c r="R520" s="654"/>
      <c r="S520" s="653" t="s">
        <v>256</v>
      </c>
      <c r="T520" s="654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692" t="s">
        <v>201</v>
      </c>
      <c r="B521" s="654"/>
      <c r="C521" s="653">
        <f>SUM(G28,G198,G368)</f>
        <v>1920</v>
      </c>
      <c r="D521" s="654"/>
      <c r="E521" s="693">
        <f>IF(ISERROR(C521/C527),"",C521/C527)</f>
        <v>0.24245485541103676</v>
      </c>
      <c r="F521" s="694"/>
      <c r="G521" s="688"/>
      <c r="H521" s="689"/>
      <c r="I521" s="695" t="s">
        <v>301</v>
      </c>
      <c r="J521" s="696"/>
      <c r="K521" s="650">
        <f t="shared" ref="K521:K526" si="238">SUM(R165,U335,U506)</f>
        <v>0</v>
      </c>
      <c r="L521" s="651"/>
      <c r="M521" s="693" t="str">
        <f t="array" ref="M521">IF(ISERROR(K521/K527),"",K521/K527)</f>
        <v/>
      </c>
      <c r="N521" s="694"/>
      <c r="O521" s="643" t="s">
        <v>259</v>
      </c>
      <c r="P521" s="643"/>
      <c r="Q521" s="680">
        <f t="shared" ref="Q521:Q526" si="239">SUM(X165,AA335,AA506)</f>
        <v>0</v>
      </c>
      <c r="R521" s="681"/>
      <c r="S521" s="693" t="str">
        <f t="array" ref="S521">IF(ISERROR(Q521/Q527),"",Q521/Q527)</f>
        <v/>
      </c>
      <c r="T521" s="694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692" t="s">
        <v>216</v>
      </c>
      <c r="B522" s="654"/>
      <c r="C522" s="653">
        <f>SUM(G86,G256,G426)</f>
        <v>3508</v>
      </c>
      <c r="D522" s="654"/>
      <c r="E522" s="693">
        <f>IF(ISERROR(C522/C527),"",C522/C527)</f>
        <v>0.44298522540724838</v>
      </c>
      <c r="F522" s="694"/>
      <c r="G522" s="688"/>
      <c r="H522" s="689"/>
      <c r="I522" s="695" t="s">
        <v>302</v>
      </c>
      <c r="J522" s="696"/>
      <c r="K522" s="650">
        <f t="shared" si="238"/>
        <v>0</v>
      </c>
      <c r="L522" s="651"/>
      <c r="M522" s="693" t="str">
        <f>IF(ISERROR(K522/K527),"",K522/K527)</f>
        <v/>
      </c>
      <c r="N522" s="694"/>
      <c r="O522" s="643" t="s">
        <v>261</v>
      </c>
      <c r="P522" s="643"/>
      <c r="Q522" s="680">
        <f t="shared" si="239"/>
        <v>0</v>
      </c>
      <c r="R522" s="681"/>
      <c r="S522" s="693" t="str">
        <f>IF(ISERROR(Q522/Q527),"",Q522/Q527)</f>
        <v/>
      </c>
      <c r="T522" s="694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692" t="s">
        <v>224</v>
      </c>
      <c r="B523" s="654"/>
      <c r="C523" s="653">
        <f>SUM(G121,G291,G461)</f>
        <v>1632</v>
      </c>
      <c r="D523" s="654"/>
      <c r="E523" s="693">
        <f>IF(ISERROR(C523/C527),"",C523/C527)</f>
        <v>0.20608662709938125</v>
      </c>
      <c r="F523" s="694"/>
      <c r="G523" s="688"/>
      <c r="H523" s="689"/>
      <c r="I523" s="695" t="s">
        <v>303</v>
      </c>
      <c r="J523" s="696"/>
      <c r="K523" s="650">
        <f t="shared" si="238"/>
        <v>0</v>
      </c>
      <c r="L523" s="651"/>
      <c r="M523" s="693" t="str">
        <f>IF(ISERROR(K523/K527),"",K523/K527)</f>
        <v/>
      </c>
      <c r="N523" s="694"/>
      <c r="O523" s="643" t="s">
        <v>263</v>
      </c>
      <c r="P523" s="643"/>
      <c r="Q523" s="680">
        <f t="shared" si="239"/>
        <v>0</v>
      </c>
      <c r="R523" s="681"/>
      <c r="S523" s="693" t="str">
        <f>IF(ISERROR(Q523/Q527),"",Q523/Q527)</f>
        <v/>
      </c>
      <c r="T523" s="694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692" t="s">
        <v>231</v>
      </c>
      <c r="B524" s="654"/>
      <c r="C524" s="653">
        <f>SUM(G137,G307,G477)</f>
        <v>0</v>
      </c>
      <c r="D524" s="654"/>
      <c r="E524" s="693">
        <f>IF(ISERROR(C524/C527),"",C524/C527)</f>
        <v>0</v>
      </c>
      <c r="F524" s="694"/>
      <c r="G524" s="688"/>
      <c r="H524" s="689"/>
      <c r="I524" s="695" t="s">
        <v>304</v>
      </c>
      <c r="J524" s="696"/>
      <c r="K524" s="650">
        <f t="shared" si="238"/>
        <v>0</v>
      </c>
      <c r="L524" s="651"/>
      <c r="M524" s="693" t="str">
        <f>IF(ISERROR(K524/K527),"",K524/K527)</f>
        <v/>
      </c>
      <c r="N524" s="694"/>
      <c r="O524" s="643" t="s">
        <v>305</v>
      </c>
      <c r="P524" s="643"/>
      <c r="Q524" s="680">
        <f t="shared" si="239"/>
        <v>0</v>
      </c>
      <c r="R524" s="681"/>
      <c r="S524" s="693" t="str">
        <f>IF(ISERROR(Q524/Q527),"",Q524/Q527)</f>
        <v/>
      </c>
      <c r="T524" s="694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92" t="s">
        <v>234</v>
      </c>
      <c r="B525" s="654"/>
      <c r="C525" s="653">
        <f>SUM(G147,G317,G487)</f>
        <v>859</v>
      </c>
      <c r="D525" s="654"/>
      <c r="E525" s="693">
        <f>IF(ISERROR(C525/C527),"",C525/C527)</f>
        <v>0.10847329208233362</v>
      </c>
      <c r="F525" s="694"/>
      <c r="G525" s="688"/>
      <c r="H525" s="689"/>
      <c r="I525" s="695" t="s">
        <v>306</v>
      </c>
      <c r="J525" s="696"/>
      <c r="K525" s="650">
        <f t="shared" si="238"/>
        <v>0</v>
      </c>
      <c r="L525" s="651"/>
      <c r="M525" s="693" t="str">
        <f>IF(ISERROR(K525/K527),"",K525/K527)</f>
        <v/>
      </c>
      <c r="N525" s="694"/>
      <c r="O525" s="643" t="s">
        <v>267</v>
      </c>
      <c r="P525" s="643"/>
      <c r="Q525" s="680">
        <f t="shared" si="239"/>
        <v>0</v>
      </c>
      <c r="R525" s="681"/>
      <c r="S525" s="693" t="str">
        <f>IF(ISERROR(Q525/Q527),"",Q525/Q527)</f>
        <v/>
      </c>
      <c r="T525" s="694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92" t="s">
        <v>244</v>
      </c>
      <c r="B526" s="654"/>
      <c r="C526" s="653">
        <f>SUM(G162,G332,G503)</f>
        <v>0</v>
      </c>
      <c r="D526" s="654"/>
      <c r="E526" s="693">
        <f>IF(ISERROR(C526/C527),"",C526/C527)</f>
        <v>0</v>
      </c>
      <c r="F526" s="694"/>
      <c r="G526" s="688"/>
      <c r="H526" s="689"/>
      <c r="I526" s="695" t="s">
        <v>307</v>
      </c>
      <c r="J526" s="696"/>
      <c r="K526" s="650">
        <f t="shared" si="238"/>
        <v>0</v>
      </c>
      <c r="L526" s="651"/>
      <c r="M526" s="693" t="str">
        <f>IF(ISERROR(K526/K527),"",K526/K527)</f>
        <v/>
      </c>
      <c r="N526" s="694"/>
      <c r="O526" s="643" t="s">
        <v>272</v>
      </c>
      <c r="P526" s="643"/>
      <c r="Q526" s="680">
        <f t="shared" si="239"/>
        <v>0</v>
      </c>
      <c r="R526" s="681"/>
      <c r="S526" s="693" t="str">
        <f>IF(ISERROR(Q526/Q527),"",Q526/Q527)</f>
        <v/>
      </c>
      <c r="T526" s="694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53" t="s">
        <v>266</v>
      </c>
      <c r="B527" s="654"/>
      <c r="C527" s="653">
        <f>SUM(C521:C526)</f>
        <v>7919</v>
      </c>
      <c r="D527" s="654"/>
      <c r="E527" s="693">
        <f>SUM(E521:F526)</f>
        <v>0.99999999999999989</v>
      </c>
      <c r="F527" s="694"/>
      <c r="G527" s="690"/>
      <c r="H527" s="691"/>
      <c r="I527" s="653" t="s">
        <v>266</v>
      </c>
      <c r="J527" s="651"/>
      <c r="K527" s="650">
        <f>SUM(R172,U342,U513)</f>
        <v>0</v>
      </c>
      <c r="L527" s="651"/>
      <c r="M527" s="693"/>
      <c r="N527" s="694"/>
      <c r="O527" s="643" t="s">
        <v>266</v>
      </c>
      <c r="P527" s="643"/>
      <c r="Q527" s="680">
        <f>SUM(Q521:R526)</f>
        <v>0</v>
      </c>
      <c r="R527" s="681"/>
      <c r="S527" s="693">
        <f>SUM(S521:T526)</f>
        <v>0</v>
      </c>
      <c r="T527" s="694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695" t="s">
        <v>308</v>
      </c>
      <c r="B529" s="649"/>
      <c r="C529" s="469" t="s">
        <v>309</v>
      </c>
      <c r="D529" s="469" t="s">
        <v>310</v>
      </c>
      <c r="E529" s="469" t="s">
        <v>311</v>
      </c>
      <c r="F529" s="469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470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479" t="s">
        <v>322</v>
      </c>
      <c r="Q529" s="129" t="s">
        <v>323</v>
      </c>
      <c r="R529" s="109" t="s">
        <v>324</v>
      </c>
      <c r="S529" s="469" t="s">
        <v>325</v>
      </c>
      <c r="T529" s="469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697" t="s">
        <v>327</v>
      </c>
      <c r="B530" s="698"/>
      <c r="C530" s="106">
        <f>D530+E530+F530-G530-O530-P530</f>
        <v>33</v>
      </c>
      <c r="D530" s="106">
        <f>+'12'!D530</f>
        <v>33</v>
      </c>
      <c r="E530" s="106"/>
      <c r="F530" s="106"/>
      <c r="G530" s="107"/>
      <c r="H530" s="106"/>
      <c r="I530" s="106"/>
      <c r="J530" s="106">
        <f>C530-H530-I530</f>
        <v>33</v>
      </c>
      <c r="K530" s="106">
        <v>3</v>
      </c>
      <c r="L530" s="106"/>
      <c r="M530" s="106"/>
      <c r="N530" s="106"/>
      <c r="O530" s="106"/>
      <c r="P530" s="108"/>
      <c r="Q530" s="106">
        <f>J530-K530-L530</f>
        <v>30</v>
      </c>
      <c r="R530" s="109">
        <f>Q530*11-M530-N530</f>
        <v>330</v>
      </c>
      <c r="S530" s="472">
        <f t="array" ref="S530">IF(ISERROR(Q530/J530),"",Q530/J530)</f>
        <v>0.90909090909090906</v>
      </c>
      <c r="T530" s="472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697" t="s">
        <v>328</v>
      </c>
      <c r="B531" s="698"/>
      <c r="C531" s="106">
        <f>D531+E531+F531-G531-O531-P531</f>
        <v>31</v>
      </c>
      <c r="D531" s="106">
        <f>+'12'!D531</f>
        <v>30</v>
      </c>
      <c r="E531" s="110"/>
      <c r="F531" s="110">
        <v>1</v>
      </c>
      <c r="G531" s="107"/>
      <c r="H531" s="106"/>
      <c r="I531" s="106"/>
      <c r="J531" s="106">
        <f>C531-H531-I531</f>
        <v>31</v>
      </c>
      <c r="K531" s="106"/>
      <c r="L531" s="106"/>
      <c r="M531" s="106"/>
      <c r="N531" s="106"/>
      <c r="O531" s="110"/>
      <c r="P531" s="111"/>
      <c r="Q531" s="106">
        <f>J531-K531-L531</f>
        <v>31</v>
      </c>
      <c r="R531" s="109">
        <f>Q531*11-M531-N531</f>
        <v>341</v>
      </c>
      <c r="S531" s="472">
        <f t="array" ref="S531">IF(ISERROR(Q531/J531),"",Q531/J531)</f>
        <v>1</v>
      </c>
      <c r="T531" s="472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697" t="s">
        <v>329</v>
      </c>
      <c r="B532" s="698"/>
      <c r="C532" s="106">
        <f>D532+E532+F532-G532-O532-P532</f>
        <v>10</v>
      </c>
      <c r="D532" s="106">
        <f>+'12'!D532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>
        <v>1</v>
      </c>
      <c r="L532" s="106"/>
      <c r="M532" s="106"/>
      <c r="N532" s="106"/>
      <c r="O532" s="110"/>
      <c r="P532" s="111"/>
      <c r="Q532" s="106">
        <f>J532-K532-L532</f>
        <v>9</v>
      </c>
      <c r="R532" s="109">
        <f>Q532*11-M532-N532</f>
        <v>99</v>
      </c>
      <c r="S532" s="472">
        <f t="array" ref="S532">IF(ISERROR(Q532/J532),"",Q532/J532)</f>
        <v>0.9</v>
      </c>
      <c r="T532" s="472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699" t="s">
        <v>330</v>
      </c>
      <c r="B533" s="700"/>
      <c r="C533" s="112">
        <f>SUM(C530:C532)</f>
        <v>74</v>
      </c>
      <c r="D533" s="112">
        <f t="shared" ref="D533:N533" si="240">SUM(D530:D532)</f>
        <v>73</v>
      </c>
      <c r="E533" s="112">
        <f t="shared" si="240"/>
        <v>0</v>
      </c>
      <c r="F533" s="112">
        <f t="shared" si="240"/>
        <v>1</v>
      </c>
      <c r="G533" s="113">
        <f t="shared" si="240"/>
        <v>0</v>
      </c>
      <c r="H533" s="112">
        <f t="shared" si="240"/>
        <v>0</v>
      </c>
      <c r="I533" s="112">
        <f t="shared" si="240"/>
        <v>0</v>
      </c>
      <c r="J533" s="112">
        <f t="shared" si="240"/>
        <v>74</v>
      </c>
      <c r="K533" s="112">
        <f t="shared" si="240"/>
        <v>4</v>
      </c>
      <c r="L533" s="112">
        <f t="shared" si="240"/>
        <v>0</v>
      </c>
      <c r="M533" s="112">
        <f t="shared" si="240"/>
        <v>0</v>
      </c>
      <c r="N533" s="112">
        <f t="shared" si="240"/>
        <v>0</v>
      </c>
      <c r="O533" s="112">
        <f>SUM(O530:O532)</f>
        <v>0</v>
      </c>
      <c r="P533" s="112">
        <f>SUM(P530:P532)</f>
        <v>0</v>
      </c>
      <c r="Q533" s="112">
        <f>SUM(Q530:Q532)</f>
        <v>70</v>
      </c>
      <c r="R533" s="114">
        <f>SUM(R530:R532)</f>
        <v>770</v>
      </c>
      <c r="S533" s="115">
        <f t="array" ref="S533">IF(ISERROR(Q533/J533),"",Q533/J533)</f>
        <v>0.94594594594594594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525" activePane="bottomRight" state="frozen"/>
      <selection activeCell="F484" sqref="F484"/>
      <selection pane="topRight" activeCell="F484" sqref="F484"/>
      <selection pane="bottomLeft" activeCell="F484" sqref="F484"/>
      <selection pane="bottomRight" activeCell="F484" sqref="F48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07" t="s">
        <v>413</v>
      </c>
      <c r="B1" s="607"/>
      <c r="C1" s="607"/>
      <c r="D1" s="607"/>
      <c r="E1" s="607"/>
      <c r="F1" s="607"/>
      <c r="G1" s="607"/>
      <c r="H1" s="607"/>
      <c r="I1" s="607"/>
      <c r="J1" s="607"/>
      <c r="K1" s="607"/>
      <c r="L1" s="607"/>
      <c r="M1" s="607"/>
      <c r="N1" s="607"/>
      <c r="O1" s="607"/>
      <c r="P1" s="607"/>
      <c r="Q1" s="607"/>
      <c r="R1" s="607"/>
      <c r="S1" s="607"/>
      <c r="T1" s="607"/>
      <c r="U1" s="607"/>
      <c r="V1" s="607"/>
      <c r="W1" s="607"/>
      <c r="X1" s="607"/>
      <c r="Y1" s="607"/>
      <c r="Z1" s="607"/>
      <c r="AA1" s="607"/>
    </row>
    <row r="2" spans="1:27" ht="18.75">
      <c r="A2" s="608"/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09" t="s">
        <v>12</v>
      </c>
      <c r="B4" s="609" t="s">
        <v>25</v>
      </c>
      <c r="C4" s="609" t="s">
        <v>26</v>
      </c>
      <c r="D4" s="609" t="s">
        <v>27</v>
      </c>
      <c r="E4" s="612" t="s">
        <v>28</v>
      </c>
      <c r="F4" s="615" t="s">
        <v>29</v>
      </c>
      <c r="G4" s="618" t="s">
        <v>30</v>
      </c>
      <c r="H4" s="618"/>
      <c r="I4" s="609" t="s">
        <v>31</v>
      </c>
      <c r="J4" s="621" t="s">
        <v>32</v>
      </c>
      <c r="K4" s="624" t="s">
        <v>33</v>
      </c>
      <c r="L4" s="609" t="s">
        <v>34</v>
      </c>
      <c r="M4" s="627" t="s">
        <v>35</v>
      </c>
      <c r="N4" s="629" t="s">
        <v>36</v>
      </c>
      <c r="O4" s="618" t="s">
        <v>37</v>
      </c>
      <c r="P4" s="618"/>
      <c r="Q4" s="618"/>
      <c r="R4" s="618"/>
      <c r="S4" s="618"/>
      <c r="T4" s="618"/>
      <c r="U4" s="618"/>
      <c r="V4" s="618" t="s">
        <v>38</v>
      </c>
      <c r="W4" s="629" t="s">
        <v>39</v>
      </c>
      <c r="X4" s="618" t="s">
        <v>40</v>
      </c>
      <c r="Y4" s="618"/>
      <c r="Z4" s="618"/>
      <c r="AA4" s="618"/>
    </row>
    <row r="5" spans="1:27" s="104" customFormat="1" ht="15" customHeight="1">
      <c r="A5" s="610"/>
      <c r="B5" s="610"/>
      <c r="C5" s="610"/>
      <c r="D5" s="610"/>
      <c r="E5" s="613"/>
      <c r="F5" s="616"/>
      <c r="G5" s="618"/>
      <c r="H5" s="618"/>
      <c r="I5" s="610"/>
      <c r="J5" s="622"/>
      <c r="K5" s="625"/>
      <c r="L5" s="610"/>
      <c r="M5" s="628"/>
      <c r="N5" s="629"/>
      <c r="O5" s="618" t="s">
        <v>41</v>
      </c>
      <c r="P5" s="618" t="s">
        <v>42</v>
      </c>
      <c r="Q5" s="618" t="s">
        <v>43</v>
      </c>
      <c r="R5" s="619" t="s">
        <v>44</v>
      </c>
      <c r="S5" s="620" t="s">
        <v>45</v>
      </c>
      <c r="T5" s="618" t="s">
        <v>46</v>
      </c>
      <c r="U5" s="618" t="s">
        <v>47</v>
      </c>
      <c r="V5" s="618"/>
      <c r="W5" s="629"/>
      <c r="X5" s="618" t="s">
        <v>13</v>
      </c>
      <c r="Y5" s="618" t="s">
        <v>48</v>
      </c>
      <c r="Z5" s="618" t="s">
        <v>49</v>
      </c>
      <c r="AA5" s="618" t="s">
        <v>47</v>
      </c>
    </row>
    <row r="6" spans="1:27" s="104" customFormat="1" ht="27.75" customHeight="1">
      <c r="A6" s="611"/>
      <c r="B6" s="611"/>
      <c r="C6" s="611"/>
      <c r="D6" s="611"/>
      <c r="E6" s="614"/>
      <c r="F6" s="617"/>
      <c r="G6" s="350" t="s">
        <v>50</v>
      </c>
      <c r="H6" s="483" t="s">
        <v>51</v>
      </c>
      <c r="I6" s="611"/>
      <c r="J6" s="623"/>
      <c r="K6" s="626"/>
      <c r="L6" s="611"/>
      <c r="M6" s="628"/>
      <c r="N6" s="629"/>
      <c r="O6" s="618"/>
      <c r="P6" s="618"/>
      <c r="Q6" s="618"/>
      <c r="R6" s="619"/>
      <c r="S6" s="620"/>
      <c r="T6" s="618"/>
      <c r="U6" s="618"/>
      <c r="V6" s="618"/>
      <c r="W6" s="629"/>
      <c r="X6" s="618"/>
      <c r="Y6" s="618"/>
      <c r="Z6" s="618"/>
      <c r="AA6" s="618"/>
    </row>
    <row r="7" spans="1:27" ht="20.100000000000001" hidden="1" customHeight="1">
      <c r="A7" s="299">
        <v>30100030</v>
      </c>
      <c r="B7" s="486" t="s">
        <v>178</v>
      </c>
      <c r="C7" s="126" t="s">
        <v>179</v>
      </c>
      <c r="D7" s="108">
        <v>5.03</v>
      </c>
      <c r="E7" s="108"/>
      <c r="F7" s="127"/>
      <c r="G7" s="128"/>
      <c r="H7" s="494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85"/>
      <c r="P7" s="485"/>
      <c r="Q7" s="485"/>
      <c r="R7" s="485"/>
      <c r="S7" s="485"/>
      <c r="T7" s="485"/>
      <c r="U7" s="485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94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85"/>
      <c r="Q8" s="485"/>
      <c r="R8" s="485"/>
      <c r="S8" s="485"/>
      <c r="T8" s="485"/>
      <c r="U8" s="485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94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85"/>
      <c r="P9" s="485"/>
      <c r="Q9" s="485"/>
      <c r="R9" s="485"/>
      <c r="S9" s="485"/>
      <c r="T9" s="485"/>
      <c r="U9" s="485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462</v>
      </c>
      <c r="C10" s="126" t="s">
        <v>179</v>
      </c>
      <c r="D10" s="108">
        <v>5.03</v>
      </c>
      <c r="E10" s="108"/>
      <c r="F10" s="127"/>
      <c r="G10" s="128"/>
      <c r="H10" s="494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85"/>
      <c r="P10" s="485"/>
      <c r="Q10" s="485"/>
      <c r="R10" s="485"/>
      <c r="S10" s="485"/>
      <c r="T10" s="485"/>
      <c r="U10" s="485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462</v>
      </c>
      <c r="C11" s="126" t="s">
        <v>183</v>
      </c>
      <c r="D11" s="108">
        <v>5.03</v>
      </c>
      <c r="E11" s="108"/>
      <c r="F11" s="127"/>
      <c r="G11" s="128"/>
      <c r="H11" s="494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85"/>
      <c r="P11" s="485"/>
      <c r="Q11" s="485"/>
      <c r="R11" s="485"/>
      <c r="S11" s="485"/>
      <c r="T11" s="485"/>
      <c r="U11" s="485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94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85"/>
      <c r="P12" s="485"/>
      <c r="Q12" s="485"/>
      <c r="R12" s="485"/>
      <c r="S12" s="485"/>
      <c r="T12" s="485"/>
      <c r="U12" s="485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464</v>
      </c>
      <c r="C13" s="126" t="s">
        <v>186</v>
      </c>
      <c r="D13" s="108">
        <v>5.03</v>
      </c>
      <c r="E13" s="108"/>
      <c r="F13" s="127"/>
      <c r="G13" s="128"/>
      <c r="H13" s="494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85"/>
      <c r="P13" s="485"/>
      <c r="Q13" s="485"/>
      <c r="R13" s="485"/>
      <c r="S13" s="485"/>
      <c r="T13" s="485"/>
      <c r="U13" s="485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464</v>
      </c>
      <c r="C14" s="126" t="s">
        <v>187</v>
      </c>
      <c r="D14" s="108">
        <v>5.03</v>
      </c>
      <c r="E14" s="108"/>
      <c r="F14" s="127"/>
      <c r="G14" s="128"/>
      <c r="H14" s="494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85"/>
      <c r="P14" s="485"/>
      <c r="Q14" s="485"/>
      <c r="R14" s="485"/>
      <c r="S14" s="485"/>
      <c r="T14" s="485"/>
      <c r="U14" s="485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465</v>
      </c>
      <c r="C15" s="126" t="s">
        <v>189</v>
      </c>
      <c r="D15" s="108">
        <v>5.04</v>
      </c>
      <c r="E15" s="108"/>
      <c r="F15" s="139"/>
      <c r="G15" s="128"/>
      <c r="H15" s="494">
        <f t="shared" si="0"/>
        <v>0</v>
      </c>
      <c r="I15" s="494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85"/>
      <c r="P15" s="485"/>
      <c r="Q15" s="485"/>
      <c r="R15" s="485"/>
      <c r="S15" s="485"/>
      <c r="T15" s="485"/>
      <c r="U15" s="485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465</v>
      </c>
      <c r="C16" s="126" t="s">
        <v>190</v>
      </c>
      <c r="D16" s="108">
        <v>5.04</v>
      </c>
      <c r="E16" s="108"/>
      <c r="F16" s="126"/>
      <c r="G16" s="128"/>
      <c r="H16" s="494">
        <f t="shared" si="0"/>
        <v>0</v>
      </c>
      <c r="I16" s="494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85"/>
      <c r="P16" s="485"/>
      <c r="Q16" s="485"/>
      <c r="R16" s="485"/>
      <c r="S16" s="485"/>
      <c r="T16" s="485"/>
      <c r="U16" s="485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484</v>
      </c>
      <c r="C17" s="126" t="s">
        <v>192</v>
      </c>
      <c r="D17" s="108">
        <v>5.03</v>
      </c>
      <c r="E17" s="108"/>
      <c r="F17" s="127"/>
      <c r="G17" s="128"/>
      <c r="H17" s="494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85"/>
      <c r="P17" s="485"/>
      <c r="Q17" s="485"/>
      <c r="R17" s="485"/>
      <c r="S17" s="485"/>
      <c r="T17" s="485"/>
      <c r="U17" s="485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94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85"/>
      <c r="P18" s="485"/>
      <c r="Q18" s="485"/>
      <c r="R18" s="485"/>
      <c r="S18" s="485"/>
      <c r="T18" s="485"/>
      <c r="U18" s="485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42714</v>
      </c>
      <c r="G19" s="128">
        <f>90*4+87</f>
        <v>447</v>
      </c>
      <c r="H19" s="494">
        <f t="shared" si="0"/>
        <v>2261.8199999999997</v>
      </c>
      <c r="I19" s="129">
        <f>8*5</f>
        <v>40</v>
      </c>
      <c r="J19" s="129">
        <f t="array" ref="J19">IF(ISERROR(G19/I19),"",G19/I19)</f>
        <v>11.175000000000001</v>
      </c>
      <c r="K19" s="131">
        <f t="array" ref="K19">IF(ISERROR(G19/L19),"",G19/L19)</f>
        <v>23.526315789473685</v>
      </c>
      <c r="L19" s="129">
        <v>19</v>
      </c>
      <c r="M19" s="109">
        <f t="shared" si="1"/>
        <v>16.473684210526315</v>
      </c>
      <c r="N19" s="129">
        <f t="shared" si="4"/>
        <v>0</v>
      </c>
      <c r="O19" s="485"/>
      <c r="P19" s="485"/>
      <c r="Q19" s="485"/>
      <c r="R19" s="485"/>
      <c r="S19" s="485"/>
      <c r="T19" s="485"/>
      <c r="U19" s="485"/>
      <c r="V19" s="132">
        <f t="shared" ref="V19:V21" si="5">SUM(X19:AA19)</f>
        <v>0</v>
      </c>
      <c r="W19" s="488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94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85"/>
      <c r="P20" s="485"/>
      <c r="Q20" s="485"/>
      <c r="R20" s="485"/>
      <c r="S20" s="485"/>
      <c r="T20" s="485"/>
      <c r="U20" s="485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94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85"/>
      <c r="P21" s="485"/>
      <c r="Q21" s="485"/>
      <c r="R21" s="485"/>
      <c r="S21" s="485"/>
      <c r="T21" s="485"/>
      <c r="U21" s="485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84" t="s">
        <v>190</v>
      </c>
      <c r="D22" s="108">
        <v>4.8</v>
      </c>
      <c r="E22" s="108"/>
      <c r="F22" s="127"/>
      <c r="G22" s="128"/>
      <c r="H22" s="494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85"/>
      <c r="P22" s="485"/>
      <c r="Q22" s="485"/>
      <c r="R22" s="485"/>
      <c r="S22" s="485"/>
      <c r="T22" s="485"/>
      <c r="U22" s="485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84" t="s">
        <v>187</v>
      </c>
      <c r="D23" s="108">
        <v>4.8</v>
      </c>
      <c r="E23" s="108"/>
      <c r="F23" s="127"/>
      <c r="G23" s="128"/>
      <c r="H23" s="494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85"/>
      <c r="P23" s="485"/>
      <c r="Q23" s="485"/>
      <c r="R23" s="485"/>
      <c r="S23" s="485"/>
      <c r="T23" s="485"/>
      <c r="U23" s="485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84" t="s">
        <v>179</v>
      </c>
      <c r="D24" s="108">
        <v>4.8</v>
      </c>
      <c r="E24" s="108"/>
      <c r="F24" s="127"/>
      <c r="G24" s="128"/>
      <c r="H24" s="494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85"/>
      <c r="P24" s="485"/>
      <c r="Q24" s="485"/>
      <c r="R24" s="485"/>
      <c r="S24" s="485"/>
      <c r="T24" s="485"/>
      <c r="U24" s="485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84" t="s">
        <v>199</v>
      </c>
      <c r="D25" s="108">
        <v>4.8</v>
      </c>
      <c r="E25" s="108"/>
      <c r="F25" s="127"/>
      <c r="G25" s="128"/>
      <c r="H25" s="494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85"/>
      <c r="P25" s="485"/>
      <c r="Q25" s="485"/>
      <c r="R25" s="485"/>
      <c r="S25" s="485"/>
      <c r="T25" s="485"/>
      <c r="U25" s="485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94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85"/>
      <c r="P26" s="485"/>
      <c r="Q26" s="485"/>
      <c r="R26" s="485"/>
      <c r="S26" s="485"/>
      <c r="T26" s="485"/>
      <c r="U26" s="485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94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85"/>
      <c r="P27" s="485"/>
      <c r="Q27" s="485"/>
      <c r="R27" s="485"/>
      <c r="S27" s="485"/>
      <c r="T27" s="485"/>
      <c r="U27" s="485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30" t="s">
        <v>201</v>
      </c>
      <c r="B28" s="631"/>
      <c r="C28" s="492" t="s">
        <v>202</v>
      </c>
      <c r="D28" s="143"/>
      <c r="E28" s="143"/>
      <c r="F28" s="144"/>
      <c r="G28" s="145">
        <f>SUM(G7:G27)</f>
        <v>447</v>
      </c>
      <c r="H28" s="146">
        <f>SUM(H7:H27)</f>
        <v>2261.8199999999997</v>
      </c>
      <c r="I28" s="146">
        <f>SUM(I7:I27)</f>
        <v>40</v>
      </c>
      <c r="J28" s="130">
        <f t="array" ref="J28">IF(ISERROR(G28/I28),"",G28/I28)</f>
        <v>11.175000000000001</v>
      </c>
      <c r="K28" s="146">
        <f>SUM(K7:K27)</f>
        <v>23.526315789473685</v>
      </c>
      <c r="L28" s="147"/>
      <c r="M28" s="146">
        <f t="shared" ref="M28:V28" si="10">SUM(M7:M27)</f>
        <v>16.473684210526315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customHeight="1">
      <c r="A29" s="300">
        <v>30100012</v>
      </c>
      <c r="B29" s="486" t="s">
        <v>206</v>
      </c>
      <c r="C29" s="126" t="s">
        <v>199</v>
      </c>
      <c r="D29" s="108">
        <v>5.03</v>
      </c>
      <c r="E29" s="108"/>
      <c r="F29" s="127">
        <v>42718</v>
      </c>
      <c r="G29" s="128">
        <f>108*6+97</f>
        <v>745</v>
      </c>
      <c r="H29" s="494">
        <f t="shared" ref="H29:H85" si="11">D29*G29</f>
        <v>3747.3500000000004</v>
      </c>
      <c r="I29" s="129">
        <v>8</v>
      </c>
      <c r="J29" s="130">
        <f t="array" ref="J29">IF(ISERROR(G29/I29),"",G29/I29)</f>
        <v>93.125</v>
      </c>
      <c r="K29" s="131">
        <f t="array" ref="K29">IF(ISERROR(G29/L29),"",G29/L29)</f>
        <v>14.326923076923077</v>
      </c>
      <c r="L29" s="129">
        <v>52</v>
      </c>
      <c r="M29" s="109">
        <f t="shared" ref="M29:M35" si="12">IF(ISERROR(I29-K29),"",I29-K29)</f>
        <v>-6.3269230769230766</v>
      </c>
      <c r="N29" s="130">
        <f t="shared" ref="N29" si="13">SUM(O29:U29)</f>
        <v>0</v>
      </c>
      <c r="O29" s="489"/>
      <c r="P29" s="489"/>
      <c r="Q29" s="489"/>
      <c r="R29" s="489"/>
      <c r="S29" s="489"/>
      <c r="T29" s="489"/>
      <c r="U29" s="489"/>
      <c r="V29" s="132">
        <f t="shared" ref="V29" si="14">SUM(X29:AA29)</f>
        <v>0</v>
      </c>
      <c r="W29" s="133">
        <f t="shared" si="9"/>
        <v>0</v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86" t="s">
        <v>425</v>
      </c>
      <c r="C30" s="187" t="s">
        <v>427</v>
      </c>
      <c r="D30" s="108">
        <v>5.03</v>
      </c>
      <c r="E30" s="108"/>
      <c r="F30" s="127"/>
      <c r="G30" s="128"/>
      <c r="H30" s="494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89"/>
      <c r="P30" s="489"/>
      <c r="Q30" s="489"/>
      <c r="R30" s="489"/>
      <c r="S30" s="489"/>
      <c r="T30" s="489"/>
      <c r="U30" s="489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86" t="s">
        <v>206</v>
      </c>
      <c r="C31" s="126" t="s">
        <v>186</v>
      </c>
      <c r="D31" s="108">
        <v>5.03</v>
      </c>
      <c r="E31" s="108"/>
      <c r="F31" s="127"/>
      <c r="G31" s="128"/>
      <c r="H31" s="494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89"/>
      <c r="P31" s="489"/>
      <c r="Q31" s="489"/>
      <c r="R31" s="489"/>
      <c r="S31" s="489"/>
      <c r="T31" s="489"/>
      <c r="U31" s="489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86" t="s">
        <v>206</v>
      </c>
      <c r="C32" s="126" t="s">
        <v>203</v>
      </c>
      <c r="D32" s="108">
        <v>5.03</v>
      </c>
      <c r="E32" s="108"/>
      <c r="F32" s="127"/>
      <c r="G32" s="128"/>
      <c r="H32" s="494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89"/>
      <c r="P32" s="489"/>
      <c r="Q32" s="489"/>
      <c r="R32" s="489"/>
      <c r="S32" s="489"/>
      <c r="T32" s="489"/>
      <c r="U32" s="489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86" t="s">
        <v>206</v>
      </c>
      <c r="C33" s="126" t="s">
        <v>207</v>
      </c>
      <c r="D33" s="108">
        <v>5.03</v>
      </c>
      <c r="E33" s="108"/>
      <c r="F33" s="127"/>
      <c r="G33" s="128"/>
      <c r="H33" s="494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89"/>
      <c r="P33" s="489"/>
      <c r="Q33" s="489"/>
      <c r="R33" s="489"/>
      <c r="S33" s="489"/>
      <c r="T33" s="489"/>
      <c r="U33" s="489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86" t="s">
        <v>414</v>
      </c>
      <c r="C34" s="187" t="s">
        <v>415</v>
      </c>
      <c r="D34" s="108">
        <v>5.03</v>
      </c>
      <c r="E34" s="108"/>
      <c r="F34" s="127"/>
      <c r="G34" s="128"/>
      <c r="H34" s="494">
        <f t="shared" si="11"/>
        <v>0</v>
      </c>
      <c r="I34" s="129"/>
      <c r="J34" s="130"/>
      <c r="K34" s="131"/>
      <c r="L34" s="129">
        <v>52</v>
      </c>
      <c r="M34" s="109"/>
      <c r="N34" s="130"/>
      <c r="O34" s="489"/>
      <c r="P34" s="489"/>
      <c r="Q34" s="489"/>
      <c r="R34" s="489"/>
      <c r="S34" s="489"/>
      <c r="T34" s="489"/>
      <c r="U34" s="489"/>
      <c r="V34" s="132"/>
      <c r="W34" s="133"/>
      <c r="X34" s="132"/>
      <c r="Y34" s="132"/>
      <c r="Z34" s="132"/>
      <c r="AA34" s="132"/>
    </row>
    <row r="35" spans="1:27" ht="20.100000000000001" customHeight="1">
      <c r="A35" s="300">
        <v>30100017</v>
      </c>
      <c r="B35" s="486" t="s">
        <v>414</v>
      </c>
      <c r="C35" s="187" t="s">
        <v>416</v>
      </c>
      <c r="D35" s="108">
        <v>5.03</v>
      </c>
      <c r="E35" s="108"/>
      <c r="F35" s="127">
        <v>42715</v>
      </c>
      <c r="G35" s="128">
        <f>108*2+26+47</f>
        <v>289</v>
      </c>
      <c r="H35" s="494">
        <f t="shared" si="11"/>
        <v>1453.67</v>
      </c>
      <c r="I35" s="129">
        <v>3</v>
      </c>
      <c r="J35" s="130">
        <f t="array" ref="J35">IF(ISERROR(G35/I35),"",G35/I35)</f>
        <v>96.333333333333329</v>
      </c>
      <c r="K35" s="131">
        <f t="array" ref="K35">IF(ISERROR(G35/L35),"",G35/L35)</f>
        <v>5.5576923076923075</v>
      </c>
      <c r="L35" s="129">
        <v>52</v>
      </c>
      <c r="M35" s="109">
        <f t="shared" si="12"/>
        <v>-2.5576923076923075</v>
      </c>
      <c r="N35" s="130"/>
      <c r="O35" s="489"/>
      <c r="P35" s="489"/>
      <c r="Q35" s="489"/>
      <c r="R35" s="489"/>
      <c r="S35" s="489"/>
      <c r="T35" s="489"/>
      <c r="U35" s="489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86" t="s">
        <v>414</v>
      </c>
      <c r="C36" s="187" t="s">
        <v>61</v>
      </c>
      <c r="D36" s="108">
        <v>5.03</v>
      </c>
      <c r="E36" s="108"/>
      <c r="F36" s="127"/>
      <c r="G36" s="128"/>
      <c r="H36" s="494">
        <f t="shared" si="11"/>
        <v>0</v>
      </c>
      <c r="I36" s="129"/>
      <c r="J36" s="130"/>
      <c r="K36" s="131"/>
      <c r="L36" s="129">
        <v>52</v>
      </c>
      <c r="M36" s="109"/>
      <c r="N36" s="130"/>
      <c r="O36" s="489"/>
      <c r="P36" s="489"/>
      <c r="Q36" s="489"/>
      <c r="R36" s="489"/>
      <c r="S36" s="489"/>
      <c r="T36" s="489"/>
      <c r="U36" s="489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86" t="s">
        <v>208</v>
      </c>
      <c r="C37" s="126" t="s">
        <v>179</v>
      </c>
      <c r="D37" s="108">
        <v>5.08</v>
      </c>
      <c r="E37" s="108"/>
      <c r="F37" s="127"/>
      <c r="G37" s="128"/>
      <c r="H37" s="494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89"/>
      <c r="P37" s="489"/>
      <c r="Q37" s="489"/>
      <c r="R37" s="489"/>
      <c r="S37" s="489"/>
      <c r="T37" s="489"/>
      <c r="U37" s="489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86" t="s">
        <v>208</v>
      </c>
      <c r="C38" s="126" t="s">
        <v>204</v>
      </c>
      <c r="D38" s="108">
        <v>5.08</v>
      </c>
      <c r="E38" s="108"/>
      <c r="F38" s="127"/>
      <c r="G38" s="128"/>
      <c r="H38" s="494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89"/>
      <c r="P38" s="489"/>
      <c r="Q38" s="489"/>
      <c r="R38" s="489"/>
      <c r="S38" s="489"/>
      <c r="T38" s="489"/>
      <c r="U38" s="489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86" t="s">
        <v>208</v>
      </c>
      <c r="C39" s="126" t="s">
        <v>205</v>
      </c>
      <c r="D39" s="108">
        <v>5.08</v>
      </c>
      <c r="E39" s="108"/>
      <c r="F39" s="127"/>
      <c r="G39" s="128"/>
      <c r="H39" s="494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89"/>
      <c r="P39" s="489"/>
      <c r="Q39" s="489"/>
      <c r="R39" s="489"/>
      <c r="S39" s="489"/>
      <c r="T39" s="489"/>
      <c r="U39" s="489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86" t="s">
        <v>208</v>
      </c>
      <c r="C40" s="126" t="s">
        <v>186</v>
      </c>
      <c r="D40" s="108">
        <v>5.08</v>
      </c>
      <c r="E40" s="108"/>
      <c r="F40" s="127"/>
      <c r="G40" s="128"/>
      <c r="H40" s="494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89"/>
      <c r="P40" s="489"/>
      <c r="Q40" s="489"/>
      <c r="R40" s="489"/>
      <c r="S40" s="489"/>
      <c r="T40" s="489"/>
      <c r="U40" s="489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86" t="s">
        <v>208</v>
      </c>
      <c r="C41" s="126" t="s">
        <v>203</v>
      </c>
      <c r="D41" s="108">
        <v>5.08</v>
      </c>
      <c r="E41" s="108"/>
      <c r="F41" s="127"/>
      <c r="G41" s="128"/>
      <c r="H41" s="494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89"/>
      <c r="P41" s="489"/>
      <c r="Q41" s="489"/>
      <c r="R41" s="489"/>
      <c r="S41" s="489"/>
      <c r="T41" s="489"/>
      <c r="U41" s="489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86" t="s">
        <v>208</v>
      </c>
      <c r="C42" s="126" t="s">
        <v>199</v>
      </c>
      <c r="D42" s="108">
        <v>5.08</v>
      </c>
      <c r="E42" s="108"/>
      <c r="F42" s="127"/>
      <c r="G42" s="128"/>
      <c r="H42" s="494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85"/>
      <c r="P42" s="485"/>
      <c r="Q42" s="485"/>
      <c r="R42" s="485"/>
      <c r="S42" s="485"/>
      <c r="T42" s="485"/>
      <c r="U42" s="485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86" t="s">
        <v>208</v>
      </c>
      <c r="C43" s="126" t="s">
        <v>187</v>
      </c>
      <c r="D43" s="108">
        <v>5.08</v>
      </c>
      <c r="E43" s="108"/>
      <c r="F43" s="127"/>
      <c r="G43" s="128"/>
      <c r="H43" s="494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89"/>
      <c r="P43" s="489"/>
      <c r="Q43" s="489"/>
      <c r="R43" s="489"/>
      <c r="S43" s="489"/>
      <c r="T43" s="489"/>
      <c r="U43" s="489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86" t="s">
        <v>208</v>
      </c>
      <c r="C44" s="126" t="s">
        <v>207</v>
      </c>
      <c r="D44" s="108">
        <v>5.08</v>
      </c>
      <c r="E44" s="108"/>
      <c r="F44" s="127"/>
      <c r="G44" s="128"/>
      <c r="H44" s="494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85"/>
      <c r="P44" s="485"/>
      <c r="Q44" s="485"/>
      <c r="R44" s="485"/>
      <c r="S44" s="485"/>
      <c r="T44" s="485"/>
      <c r="U44" s="485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86" t="s">
        <v>209</v>
      </c>
      <c r="C45" s="126" t="s">
        <v>194</v>
      </c>
      <c r="D45" s="108">
        <v>5.03</v>
      </c>
      <c r="E45" s="108"/>
      <c r="F45" s="127"/>
      <c r="G45" s="128"/>
      <c r="H45" s="494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89"/>
      <c r="P45" s="489"/>
      <c r="Q45" s="489"/>
      <c r="R45" s="489"/>
      <c r="S45" s="489"/>
      <c r="T45" s="489"/>
      <c r="U45" s="489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86" t="s">
        <v>209</v>
      </c>
      <c r="C46" s="126" t="s">
        <v>179</v>
      </c>
      <c r="D46" s="108">
        <v>5.03</v>
      </c>
      <c r="E46" s="108"/>
      <c r="F46" s="127"/>
      <c r="G46" s="128"/>
      <c r="H46" s="494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89"/>
      <c r="P46" s="489"/>
      <c r="Q46" s="489"/>
      <c r="R46" s="489"/>
      <c r="S46" s="489"/>
      <c r="T46" s="489"/>
      <c r="U46" s="489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86" t="s">
        <v>209</v>
      </c>
      <c r="C47" s="126" t="s">
        <v>195</v>
      </c>
      <c r="D47" s="108">
        <v>5.03</v>
      </c>
      <c r="E47" s="108"/>
      <c r="F47" s="127"/>
      <c r="G47" s="128"/>
      <c r="H47" s="494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89"/>
      <c r="P47" s="489"/>
      <c r="Q47" s="489"/>
      <c r="R47" s="489"/>
      <c r="S47" s="489"/>
      <c r="T47" s="489"/>
      <c r="U47" s="489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customHeight="1">
      <c r="A48" s="300">
        <v>30100031</v>
      </c>
      <c r="B48" s="486" t="s">
        <v>209</v>
      </c>
      <c r="C48" s="126" t="s">
        <v>204</v>
      </c>
      <c r="D48" s="108">
        <v>5.03</v>
      </c>
      <c r="E48" s="108"/>
      <c r="F48" s="127">
        <v>42715</v>
      </c>
      <c r="G48" s="128">
        <f>79+108*2</f>
        <v>295</v>
      </c>
      <c r="H48" s="494">
        <f t="shared" si="11"/>
        <v>1483.8500000000001</v>
      </c>
      <c r="I48" s="129">
        <v>3</v>
      </c>
      <c r="J48" s="130">
        <f t="array" ref="J48">IF(ISERROR(G48/I48),"",G48/I48)</f>
        <v>98.333333333333329</v>
      </c>
      <c r="K48" s="131">
        <f t="array" ref="K48">IF(ISERROR(G48/L48),"",G48/L48)</f>
        <v>5.2678571428571432</v>
      </c>
      <c r="L48" s="129">
        <v>56</v>
      </c>
      <c r="M48" s="109">
        <f t="shared" si="19"/>
        <v>-2.2678571428571432</v>
      </c>
      <c r="N48" s="130">
        <f t="shared" si="20"/>
        <v>0</v>
      </c>
      <c r="O48" s="489"/>
      <c r="P48" s="489"/>
      <c r="Q48" s="489"/>
      <c r="R48" s="489"/>
      <c r="S48" s="489"/>
      <c r="T48" s="489"/>
      <c r="U48" s="489"/>
      <c r="V48" s="132">
        <f t="shared" si="21"/>
        <v>0</v>
      </c>
      <c r="W48" s="133">
        <f t="shared" si="22"/>
        <v>0</v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86" t="s">
        <v>382</v>
      </c>
      <c r="C49" s="187" t="s">
        <v>383</v>
      </c>
      <c r="D49" s="108">
        <v>5.03</v>
      </c>
      <c r="E49" s="108"/>
      <c r="F49" s="127"/>
      <c r="G49" s="128"/>
      <c r="H49" s="494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89"/>
      <c r="P49" s="489"/>
      <c r="Q49" s="489"/>
      <c r="R49" s="489"/>
      <c r="S49" s="489"/>
      <c r="T49" s="489"/>
      <c r="U49" s="489"/>
      <c r="V49" s="132"/>
      <c r="W49" s="133"/>
      <c r="X49" s="132"/>
      <c r="Y49" s="132"/>
      <c r="Z49" s="132"/>
      <c r="AA49" s="132"/>
    </row>
    <row r="50" spans="1:27" ht="20.100000000000001" customHeight="1">
      <c r="A50" s="300">
        <v>30100020</v>
      </c>
      <c r="B50" s="486" t="s">
        <v>382</v>
      </c>
      <c r="C50" s="187" t="s">
        <v>384</v>
      </c>
      <c r="D50" s="108">
        <v>5.03</v>
      </c>
      <c r="E50" s="108"/>
      <c r="F50" s="127">
        <v>42718</v>
      </c>
      <c r="G50" s="128">
        <f>90*2+93</f>
        <v>273</v>
      </c>
      <c r="H50" s="494">
        <f t="shared" si="11"/>
        <v>1373.19</v>
      </c>
      <c r="I50" s="129">
        <v>5.5</v>
      </c>
      <c r="J50" s="130">
        <f t="array" ref="J50">IF(ISERROR(G50/I50),"",G50/I50)</f>
        <v>49.636363636363633</v>
      </c>
      <c r="K50" s="131">
        <f t="array" ref="K50">IF(ISERROR(G50/L50),"",G50/L50)</f>
        <v>5.0555555555555554</v>
      </c>
      <c r="L50" s="129">
        <v>54</v>
      </c>
      <c r="M50" s="109">
        <f t="shared" si="19"/>
        <v>0.44444444444444464</v>
      </c>
      <c r="N50" s="130">
        <f t="shared" si="20"/>
        <v>0</v>
      </c>
      <c r="O50" s="489"/>
      <c r="P50" s="489"/>
      <c r="Q50" s="489"/>
      <c r="R50" s="489"/>
      <c r="S50" s="489"/>
      <c r="T50" s="489"/>
      <c r="U50" s="489"/>
      <c r="V50" s="132"/>
      <c r="W50" s="133"/>
      <c r="X50" s="132"/>
      <c r="Y50" s="132"/>
      <c r="Z50" s="132"/>
      <c r="AA50" s="132"/>
    </row>
    <row r="51" spans="1:27" ht="20.100000000000001" customHeight="1">
      <c r="A51" s="300">
        <v>30100021</v>
      </c>
      <c r="B51" s="486" t="s">
        <v>382</v>
      </c>
      <c r="C51" s="187" t="s">
        <v>389</v>
      </c>
      <c r="D51" s="108">
        <v>5.03</v>
      </c>
      <c r="E51" s="108"/>
      <c r="F51" s="127">
        <v>42716</v>
      </c>
      <c r="G51" s="128">
        <f>90*3+44</f>
        <v>314</v>
      </c>
      <c r="H51" s="494">
        <f t="shared" si="11"/>
        <v>1579.42</v>
      </c>
      <c r="I51" s="129">
        <v>5.5</v>
      </c>
      <c r="J51" s="130">
        <f t="array" ref="J51">IF(ISERROR(G51/I51),"",G51/I51)</f>
        <v>57.090909090909093</v>
      </c>
      <c r="K51" s="131">
        <f t="array" ref="K51">IF(ISERROR(G51/L51),"",G51/L51)</f>
        <v>5.8148148148148149</v>
      </c>
      <c r="L51" s="129">
        <v>54</v>
      </c>
      <c r="M51" s="109">
        <f t="shared" si="19"/>
        <v>-0.31481481481481488</v>
      </c>
      <c r="N51" s="130">
        <f t="shared" si="20"/>
        <v>0</v>
      </c>
      <c r="O51" s="489"/>
      <c r="P51" s="489"/>
      <c r="Q51" s="489"/>
      <c r="R51" s="489"/>
      <c r="S51" s="489"/>
      <c r="T51" s="489"/>
      <c r="U51" s="489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86" t="s">
        <v>382</v>
      </c>
      <c r="C52" s="187" t="s">
        <v>391</v>
      </c>
      <c r="D52" s="108">
        <v>5.03</v>
      </c>
      <c r="E52" s="108"/>
      <c r="F52" s="127"/>
      <c r="G52" s="128"/>
      <c r="H52" s="494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89"/>
      <c r="P52" s="489"/>
      <c r="Q52" s="489"/>
      <c r="R52" s="489"/>
      <c r="S52" s="489"/>
      <c r="T52" s="489"/>
      <c r="U52" s="489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86" t="s">
        <v>418</v>
      </c>
      <c r="C53" s="187" t="s">
        <v>364</v>
      </c>
      <c r="D53" s="108">
        <v>5.03</v>
      </c>
      <c r="E53" s="108"/>
      <c r="F53" s="127"/>
      <c r="G53" s="128"/>
      <c r="H53" s="494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89"/>
      <c r="P53" s="489"/>
      <c r="Q53" s="489"/>
      <c r="R53" s="489"/>
      <c r="S53" s="489"/>
      <c r="T53" s="489"/>
      <c r="U53" s="489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86" t="s">
        <v>418</v>
      </c>
      <c r="C54" s="187" t="s">
        <v>365</v>
      </c>
      <c r="D54" s="108">
        <v>5.03</v>
      </c>
      <c r="E54" s="108"/>
      <c r="F54" s="127"/>
      <c r="G54" s="128"/>
      <c r="H54" s="494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89"/>
      <c r="P54" s="489"/>
      <c r="Q54" s="489"/>
      <c r="R54" s="489"/>
      <c r="S54" s="489"/>
      <c r="T54" s="489"/>
      <c r="U54" s="489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86" t="s">
        <v>418</v>
      </c>
      <c r="C55" s="187" t="s">
        <v>366</v>
      </c>
      <c r="D55" s="108">
        <v>5.03</v>
      </c>
      <c r="E55" s="108"/>
      <c r="F55" s="127"/>
      <c r="G55" s="128"/>
      <c r="H55" s="494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89"/>
      <c r="P55" s="489"/>
      <c r="Q55" s="489"/>
      <c r="R55" s="489"/>
      <c r="S55" s="489"/>
      <c r="T55" s="489"/>
      <c r="U55" s="489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86" t="s">
        <v>418</v>
      </c>
      <c r="C56" s="187" t="s">
        <v>367</v>
      </c>
      <c r="D56" s="108">
        <v>5.03</v>
      </c>
      <c r="E56" s="108"/>
      <c r="F56" s="127"/>
      <c r="G56" s="128"/>
      <c r="H56" s="494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89"/>
      <c r="P56" s="489"/>
      <c r="Q56" s="489"/>
      <c r="R56" s="489"/>
      <c r="S56" s="489"/>
      <c r="T56" s="489"/>
      <c r="U56" s="489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94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85"/>
      <c r="P57" s="485"/>
      <c r="Q57" s="485"/>
      <c r="R57" s="485"/>
      <c r="S57" s="485"/>
      <c r="T57" s="485"/>
      <c r="U57" s="485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94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85"/>
      <c r="P58" s="485"/>
      <c r="Q58" s="485"/>
      <c r="R58" s="485"/>
      <c r="S58" s="485"/>
      <c r="T58" s="485"/>
      <c r="U58" s="485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94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85"/>
      <c r="P59" s="485"/>
      <c r="Q59" s="485"/>
      <c r="R59" s="485"/>
      <c r="S59" s="485"/>
      <c r="T59" s="485"/>
      <c r="U59" s="485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94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85"/>
      <c r="P60" s="485"/>
      <c r="Q60" s="485"/>
      <c r="R60" s="485"/>
      <c r="S60" s="485"/>
      <c r="T60" s="485"/>
      <c r="U60" s="485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94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85"/>
      <c r="P61" s="485"/>
      <c r="Q61" s="485"/>
      <c r="R61" s="485"/>
      <c r="S61" s="485"/>
      <c r="T61" s="485"/>
      <c r="U61" s="485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94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85"/>
      <c r="P62" s="485"/>
      <c r="Q62" s="485"/>
      <c r="R62" s="485"/>
      <c r="S62" s="485"/>
      <c r="T62" s="485"/>
      <c r="U62" s="485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94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85"/>
      <c r="P63" s="485"/>
      <c r="Q63" s="485"/>
      <c r="R63" s="485"/>
      <c r="S63" s="485"/>
      <c r="T63" s="485"/>
      <c r="U63" s="485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94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85"/>
      <c r="P64" s="485"/>
      <c r="Q64" s="485"/>
      <c r="R64" s="485"/>
      <c r="S64" s="485"/>
      <c r="T64" s="485"/>
      <c r="U64" s="485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94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85"/>
      <c r="P65" s="485"/>
      <c r="Q65" s="485"/>
      <c r="R65" s="485"/>
      <c r="S65" s="485"/>
      <c r="T65" s="485"/>
      <c r="U65" s="485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94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85"/>
      <c r="P66" s="485"/>
      <c r="Q66" s="485"/>
      <c r="R66" s="485"/>
      <c r="S66" s="485"/>
      <c r="T66" s="485"/>
      <c r="U66" s="485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94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85"/>
      <c r="P67" s="485"/>
      <c r="Q67" s="485"/>
      <c r="R67" s="485"/>
      <c r="S67" s="485"/>
      <c r="T67" s="485"/>
      <c r="U67" s="485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94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85"/>
      <c r="P68" s="485"/>
      <c r="Q68" s="485"/>
      <c r="R68" s="485"/>
      <c r="S68" s="485"/>
      <c r="T68" s="485"/>
      <c r="U68" s="485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94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85"/>
      <c r="P69" s="485"/>
      <c r="Q69" s="485"/>
      <c r="R69" s="485"/>
      <c r="S69" s="485"/>
      <c r="T69" s="485"/>
      <c r="U69" s="485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94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85"/>
      <c r="P70" s="485"/>
      <c r="Q70" s="485"/>
      <c r="R70" s="485"/>
      <c r="S70" s="485"/>
      <c r="T70" s="485"/>
      <c r="U70" s="485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94">
        <f t="shared" si="11"/>
        <v>0</v>
      </c>
      <c r="I71" s="129"/>
      <c r="J71" s="130"/>
      <c r="K71" s="131"/>
      <c r="L71" s="129"/>
      <c r="M71" s="109"/>
      <c r="N71" s="130"/>
      <c r="O71" s="485"/>
      <c r="P71" s="485"/>
      <c r="Q71" s="485"/>
      <c r="R71" s="485"/>
      <c r="S71" s="485"/>
      <c r="T71" s="485"/>
      <c r="U71" s="485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94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85"/>
      <c r="P72" s="485"/>
      <c r="Q72" s="485"/>
      <c r="R72" s="485"/>
      <c r="S72" s="485"/>
      <c r="T72" s="485"/>
      <c r="U72" s="485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94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85"/>
      <c r="P73" s="485"/>
      <c r="Q73" s="485"/>
      <c r="R73" s="485"/>
      <c r="S73" s="485"/>
      <c r="T73" s="485"/>
      <c r="U73" s="485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94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85"/>
      <c r="P74" s="485"/>
      <c r="Q74" s="485"/>
      <c r="R74" s="485"/>
      <c r="S74" s="485"/>
      <c r="T74" s="485"/>
      <c r="U74" s="485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488</v>
      </c>
      <c r="C75" s="126" t="s">
        <v>187</v>
      </c>
      <c r="D75" s="108">
        <v>5.0599999999999996</v>
      </c>
      <c r="E75" s="108"/>
      <c r="F75" s="127"/>
      <c r="G75" s="128"/>
      <c r="H75" s="494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85"/>
      <c r="P75" s="485"/>
      <c r="Q75" s="485"/>
      <c r="R75" s="485"/>
      <c r="S75" s="485"/>
      <c r="T75" s="485"/>
      <c r="U75" s="485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94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85"/>
      <c r="P76" s="485"/>
      <c r="Q76" s="485"/>
      <c r="R76" s="485"/>
      <c r="S76" s="485"/>
      <c r="T76" s="485"/>
      <c r="U76" s="485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94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85"/>
      <c r="P77" s="485"/>
      <c r="Q77" s="485"/>
      <c r="R77" s="485"/>
      <c r="S77" s="485"/>
      <c r="T77" s="485"/>
      <c r="U77" s="485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94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85"/>
      <c r="P78" s="485"/>
      <c r="Q78" s="485"/>
      <c r="R78" s="485"/>
      <c r="S78" s="485"/>
      <c r="T78" s="485"/>
      <c r="U78" s="485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94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85"/>
      <c r="P79" s="485"/>
      <c r="Q79" s="485"/>
      <c r="R79" s="485"/>
      <c r="S79" s="485"/>
      <c r="T79" s="485"/>
      <c r="U79" s="485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94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85"/>
      <c r="P80" s="485"/>
      <c r="Q80" s="485"/>
      <c r="R80" s="485"/>
      <c r="S80" s="485"/>
      <c r="T80" s="485"/>
      <c r="U80" s="485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94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85"/>
      <c r="P81" s="485"/>
      <c r="Q81" s="485"/>
      <c r="R81" s="485"/>
      <c r="S81" s="485"/>
      <c r="T81" s="485"/>
      <c r="U81" s="485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94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85"/>
      <c r="P82" s="485"/>
      <c r="Q82" s="485"/>
      <c r="R82" s="485"/>
      <c r="S82" s="485"/>
      <c r="T82" s="485"/>
      <c r="U82" s="485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94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85"/>
      <c r="P83" s="485"/>
      <c r="Q83" s="485"/>
      <c r="R83" s="485"/>
      <c r="S83" s="485"/>
      <c r="T83" s="485"/>
      <c r="U83" s="485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94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85"/>
      <c r="P84" s="485"/>
      <c r="Q84" s="485"/>
      <c r="R84" s="485"/>
      <c r="S84" s="485"/>
      <c r="T84" s="485"/>
      <c r="U84" s="485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94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85"/>
      <c r="P85" s="485"/>
      <c r="Q85" s="485"/>
      <c r="R85" s="485"/>
      <c r="S85" s="485"/>
      <c r="T85" s="485"/>
      <c r="U85" s="485"/>
      <c r="V85" s="132"/>
      <c r="W85" s="133"/>
      <c r="X85" s="132"/>
      <c r="Y85" s="132"/>
      <c r="Z85" s="132"/>
      <c r="AA85" s="132"/>
    </row>
    <row r="86" spans="1:27" ht="20.100000000000001" customHeight="1">
      <c r="A86" s="641" t="s">
        <v>216</v>
      </c>
      <c r="B86" s="641"/>
      <c r="C86" s="492" t="s">
        <v>202</v>
      </c>
      <c r="D86" s="143"/>
      <c r="E86" s="143"/>
      <c r="F86" s="144"/>
      <c r="G86" s="145">
        <f>SUM(G29:G85)</f>
        <v>1916</v>
      </c>
      <c r="H86" s="146">
        <f>SUM(H29:H85)</f>
        <v>9637.4800000000014</v>
      </c>
      <c r="I86" s="146">
        <f>SUM(I29:I85)</f>
        <v>25</v>
      </c>
      <c r="J86" s="130">
        <f t="array" ref="J86">IF(ISERROR(G86/I86),"",G86/I86)</f>
        <v>76.64</v>
      </c>
      <c r="K86" s="146">
        <f>SUM(K29:K85)</f>
        <v>36.022842897842899</v>
      </c>
      <c r="L86" s="147"/>
      <c r="M86" s="150">
        <f t="shared" ref="M86:V86" si="34">SUM(M29:M85)</f>
        <v>-11.022842897842896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86" t="s">
        <v>217</v>
      </c>
      <c r="C87" s="126" t="s">
        <v>179</v>
      </c>
      <c r="D87" s="108">
        <v>5.03</v>
      </c>
      <c r="E87" s="108"/>
      <c r="F87" s="127"/>
      <c r="G87" s="128"/>
      <c r="H87" s="494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85"/>
      <c r="P87" s="485"/>
      <c r="Q87" s="485"/>
      <c r="R87" s="485"/>
      <c r="S87" s="485"/>
      <c r="T87" s="485"/>
      <c r="U87" s="485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86" t="s">
        <v>217</v>
      </c>
      <c r="C88" s="126" t="s">
        <v>186</v>
      </c>
      <c r="D88" s="108">
        <v>5.03</v>
      </c>
      <c r="E88" s="108"/>
      <c r="F88" s="127"/>
      <c r="G88" s="128"/>
      <c r="H88" s="494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85"/>
      <c r="P88" s="485"/>
      <c r="Q88" s="485"/>
      <c r="R88" s="485"/>
      <c r="S88" s="485"/>
      <c r="T88" s="485"/>
      <c r="U88" s="485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86" t="s">
        <v>217</v>
      </c>
      <c r="C89" s="126" t="s">
        <v>204</v>
      </c>
      <c r="D89" s="108">
        <v>5.03</v>
      </c>
      <c r="E89" s="108"/>
      <c r="F89" s="127"/>
      <c r="G89" s="128"/>
      <c r="H89" s="494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85"/>
      <c r="P89" s="485"/>
      <c r="Q89" s="485"/>
      <c r="R89" s="485"/>
      <c r="S89" s="485"/>
      <c r="T89" s="485"/>
      <c r="U89" s="485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94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85"/>
      <c r="P90" s="485"/>
      <c r="Q90" s="485"/>
      <c r="R90" s="485"/>
      <c r="S90" s="485"/>
      <c r="T90" s="485"/>
      <c r="U90" s="485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94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85"/>
      <c r="P91" s="485"/>
      <c r="Q91" s="485"/>
      <c r="R91" s="485"/>
      <c r="S91" s="485"/>
      <c r="T91" s="485"/>
      <c r="U91" s="485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94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85"/>
      <c r="P92" s="485"/>
      <c r="Q92" s="485"/>
      <c r="R92" s="485"/>
      <c r="S92" s="485"/>
      <c r="T92" s="485"/>
      <c r="U92" s="485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94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85"/>
      <c r="P93" s="485"/>
      <c r="Q93" s="485"/>
      <c r="R93" s="485"/>
      <c r="S93" s="485"/>
      <c r="T93" s="485"/>
      <c r="U93" s="485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08">
        <v>5.03</v>
      </c>
      <c r="E94" s="108"/>
      <c r="F94" s="127">
        <v>42718</v>
      </c>
      <c r="G94" s="128">
        <f>90+21+55</f>
        <v>166</v>
      </c>
      <c r="H94" s="494">
        <f t="shared" si="36"/>
        <v>834.98</v>
      </c>
      <c r="I94" s="129">
        <f>11*3</f>
        <v>33</v>
      </c>
      <c r="J94" s="130">
        <f t="array" ref="J94">IF(ISERROR(G94/I94),"",G94/I94)</f>
        <v>5.0303030303030303</v>
      </c>
      <c r="K94" s="131">
        <f t="array" ref="K94">IF(ISERROR(G94/L94),"",G94/L94)</f>
        <v>17.849462365591396</v>
      </c>
      <c r="L94" s="129">
        <v>9.3000000000000007</v>
      </c>
      <c r="M94" s="109">
        <f t="shared" si="37"/>
        <v>15.150537634408604</v>
      </c>
      <c r="N94" s="130"/>
      <c r="O94" s="485"/>
      <c r="P94" s="485"/>
      <c r="Q94" s="485"/>
      <c r="R94" s="485"/>
      <c r="S94" s="485"/>
      <c r="T94" s="485"/>
      <c r="U94" s="485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94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85"/>
      <c r="P95" s="485"/>
      <c r="Q95" s="485"/>
      <c r="R95" s="485"/>
      <c r="S95" s="485"/>
      <c r="T95" s="485"/>
      <c r="U95" s="485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94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85"/>
      <c r="P96" s="485"/>
      <c r="Q96" s="485"/>
      <c r="R96" s="485"/>
      <c r="S96" s="485"/>
      <c r="T96" s="485"/>
      <c r="U96" s="485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94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85"/>
      <c r="P97" s="485"/>
      <c r="Q97" s="485"/>
      <c r="R97" s="485"/>
      <c r="S97" s="485"/>
      <c r="T97" s="485"/>
      <c r="U97" s="485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94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85"/>
      <c r="P98" s="485"/>
      <c r="Q98" s="485"/>
      <c r="R98" s="485"/>
      <c r="S98" s="485"/>
      <c r="T98" s="485"/>
      <c r="U98" s="485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494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85"/>
      <c r="P99" s="485"/>
      <c r="Q99" s="485"/>
      <c r="R99" s="485"/>
      <c r="S99" s="485"/>
      <c r="T99" s="485"/>
      <c r="U99" s="485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94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85"/>
      <c r="P100" s="485"/>
      <c r="Q100" s="485"/>
      <c r="R100" s="485"/>
      <c r="S100" s="485"/>
      <c r="T100" s="485"/>
      <c r="U100" s="485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94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85"/>
      <c r="P101" s="485"/>
      <c r="Q101" s="485"/>
      <c r="R101" s="485"/>
      <c r="S101" s="485"/>
      <c r="T101" s="485"/>
      <c r="U101" s="485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94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85"/>
      <c r="P102" s="485"/>
      <c r="Q102" s="485"/>
      <c r="R102" s="485"/>
      <c r="S102" s="485"/>
      <c r="T102" s="485"/>
      <c r="U102" s="485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86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94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85"/>
      <c r="P103" s="485"/>
      <c r="Q103" s="485"/>
      <c r="R103" s="485"/>
      <c r="S103" s="485"/>
      <c r="T103" s="485"/>
      <c r="U103" s="485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86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94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85"/>
      <c r="P104" s="485"/>
      <c r="Q104" s="485"/>
      <c r="R104" s="485"/>
      <c r="S104" s="485"/>
      <c r="T104" s="485"/>
      <c r="U104" s="485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86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94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85"/>
      <c r="P105" s="485"/>
      <c r="Q105" s="485"/>
      <c r="R105" s="485"/>
      <c r="S105" s="485"/>
      <c r="T105" s="485"/>
      <c r="U105" s="485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86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94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85"/>
      <c r="P106" s="485"/>
      <c r="Q106" s="485"/>
      <c r="R106" s="485"/>
      <c r="S106" s="485"/>
      <c r="T106" s="485"/>
      <c r="U106" s="485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86" t="s">
        <v>393</v>
      </c>
      <c r="C107" s="187" t="s">
        <v>395</v>
      </c>
      <c r="D107" s="108">
        <v>5</v>
      </c>
      <c r="E107" s="108"/>
      <c r="F107" s="127"/>
      <c r="G107" s="128"/>
      <c r="H107" s="494">
        <f t="shared" si="36"/>
        <v>0</v>
      </c>
      <c r="I107" s="129"/>
      <c r="J107" s="130" t="str">
        <f t="array" ref="J107">IF(ISERROR(G107/I107),"",G107/I107)</f>
        <v/>
      </c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85"/>
      <c r="P107" s="485"/>
      <c r="Q107" s="485"/>
      <c r="R107" s="485"/>
      <c r="S107" s="485"/>
      <c r="T107" s="485"/>
      <c r="U107" s="485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486" t="s">
        <v>393</v>
      </c>
      <c r="C108" s="187" t="s">
        <v>402</v>
      </c>
      <c r="D108" s="108">
        <v>5</v>
      </c>
      <c r="E108" s="108"/>
      <c r="F108" s="127">
        <v>42716</v>
      </c>
      <c r="G108" s="128">
        <f>80</f>
        <v>80</v>
      </c>
      <c r="H108" s="494">
        <f t="shared" si="36"/>
        <v>400</v>
      </c>
      <c r="I108" s="129">
        <f>2*3</f>
        <v>6</v>
      </c>
      <c r="J108" s="130">
        <f t="array" ref="J108">IF(ISERROR(G108/I108),"",G108/I108)</f>
        <v>13.333333333333334</v>
      </c>
      <c r="K108" s="131">
        <f t="array" ref="K108">IF(ISERROR(G108/L108),"",G108/L108)</f>
        <v>16</v>
      </c>
      <c r="L108" s="129">
        <v>5</v>
      </c>
      <c r="M108" s="109">
        <f t="shared" si="37"/>
        <v>-10</v>
      </c>
      <c r="N108" s="130">
        <f t="shared" si="40"/>
        <v>0</v>
      </c>
      <c r="O108" s="485"/>
      <c r="P108" s="485"/>
      <c r="Q108" s="485"/>
      <c r="R108" s="485"/>
      <c r="S108" s="485"/>
      <c r="T108" s="485"/>
      <c r="U108" s="485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86" t="s">
        <v>404</v>
      </c>
      <c r="C109" s="187" t="s">
        <v>405</v>
      </c>
      <c r="D109" s="108">
        <v>5</v>
      </c>
      <c r="E109" s="108"/>
      <c r="F109" s="127"/>
      <c r="G109" s="128"/>
      <c r="H109" s="494">
        <f t="shared" si="36"/>
        <v>0</v>
      </c>
      <c r="I109" s="129"/>
      <c r="J109" s="130" t="str">
        <f t="array" ref="J109">IF(ISERROR(G109/I109),"",G109/I109)</f>
        <v/>
      </c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85"/>
      <c r="P109" s="485"/>
      <c r="Q109" s="485"/>
      <c r="R109" s="485"/>
      <c r="S109" s="485"/>
      <c r="T109" s="485"/>
      <c r="U109" s="485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86" t="s">
        <v>492</v>
      </c>
      <c r="C110" s="187" t="s">
        <v>372</v>
      </c>
      <c r="D110" s="108">
        <v>5</v>
      </c>
      <c r="E110" s="108"/>
      <c r="F110" s="127"/>
      <c r="G110" s="128"/>
      <c r="H110" s="494">
        <f t="shared" si="36"/>
        <v>0</v>
      </c>
      <c r="I110" s="129"/>
      <c r="J110" s="130" t="str">
        <f t="array" ref="J110">IF(ISERROR(G110/I110),"",G110/I110)</f>
        <v/>
      </c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85"/>
      <c r="P110" s="485"/>
      <c r="Q110" s="485"/>
      <c r="R110" s="485"/>
      <c r="S110" s="485"/>
      <c r="T110" s="485"/>
      <c r="U110" s="485"/>
      <c r="V110" s="132"/>
      <c r="W110" s="133"/>
      <c r="X110" s="132"/>
      <c r="Y110" s="132"/>
      <c r="Z110" s="132"/>
      <c r="AA110" s="132"/>
    </row>
    <row r="111" spans="1:27" ht="20.100000000000001" customHeight="1">
      <c r="A111" s="299">
        <v>30600009</v>
      </c>
      <c r="B111" s="486" t="s">
        <v>343</v>
      </c>
      <c r="C111" s="126" t="s">
        <v>345</v>
      </c>
      <c r="D111" s="108">
        <v>5</v>
      </c>
      <c r="E111" s="108"/>
      <c r="F111" s="127">
        <v>42717</v>
      </c>
      <c r="G111" s="128">
        <v>30</v>
      </c>
      <c r="H111" s="494">
        <f t="shared" si="36"/>
        <v>150</v>
      </c>
      <c r="I111" s="129">
        <f>3*4</f>
        <v>12</v>
      </c>
      <c r="J111" s="130">
        <f t="array" ref="J111">IF(ISERROR(G111/I111),"",G111/I111)</f>
        <v>2.5</v>
      </c>
      <c r="K111" s="131">
        <f t="array" ref="K111">IF(ISERROR(G111/L111),"",G111/L111)</f>
        <v>6</v>
      </c>
      <c r="L111" s="129">
        <v>5</v>
      </c>
      <c r="M111" s="109">
        <f t="shared" si="37"/>
        <v>6</v>
      </c>
      <c r="N111" s="130">
        <f t="shared" si="40"/>
        <v>0</v>
      </c>
      <c r="O111" s="485"/>
      <c r="P111" s="485"/>
      <c r="Q111" s="485"/>
      <c r="R111" s="485"/>
      <c r="S111" s="485"/>
      <c r="T111" s="485"/>
      <c r="U111" s="485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86" t="s">
        <v>343</v>
      </c>
      <c r="C112" s="126" t="s">
        <v>347</v>
      </c>
      <c r="D112" s="108">
        <v>5</v>
      </c>
      <c r="E112" s="108"/>
      <c r="F112" s="127"/>
      <c r="G112" s="128"/>
      <c r="H112" s="494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85"/>
      <c r="P112" s="485"/>
      <c r="Q112" s="485"/>
      <c r="R112" s="485"/>
      <c r="S112" s="485"/>
      <c r="T112" s="485"/>
      <c r="U112" s="485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94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85"/>
      <c r="P113" s="485"/>
      <c r="Q113" s="485"/>
      <c r="R113" s="485"/>
      <c r="S113" s="485"/>
      <c r="T113" s="485"/>
      <c r="U113" s="485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94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85"/>
      <c r="P114" s="485"/>
      <c r="Q114" s="485"/>
      <c r="R114" s="485"/>
      <c r="S114" s="485"/>
      <c r="T114" s="485"/>
      <c r="U114" s="485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420</v>
      </c>
      <c r="D115" s="108">
        <v>5</v>
      </c>
      <c r="E115" s="108"/>
      <c r="F115" s="127"/>
      <c r="G115" s="128"/>
      <c r="H115" s="494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85"/>
      <c r="P115" s="485"/>
      <c r="Q115" s="485"/>
      <c r="R115" s="485"/>
      <c r="S115" s="485"/>
      <c r="T115" s="485"/>
      <c r="U115" s="485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94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85"/>
      <c r="P116" s="485"/>
      <c r="Q116" s="485"/>
      <c r="R116" s="485"/>
      <c r="S116" s="485"/>
      <c r="T116" s="485"/>
      <c r="U116" s="485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94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85"/>
      <c r="P117" s="485"/>
      <c r="Q117" s="485"/>
      <c r="R117" s="485"/>
      <c r="S117" s="485"/>
      <c r="T117" s="485"/>
      <c r="U117" s="485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94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85"/>
      <c r="P118" s="485"/>
      <c r="Q118" s="485"/>
      <c r="R118" s="485"/>
      <c r="S118" s="485"/>
      <c r="T118" s="485"/>
      <c r="U118" s="485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94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85"/>
      <c r="P119" s="485"/>
      <c r="Q119" s="485"/>
      <c r="R119" s="485"/>
      <c r="S119" s="485"/>
      <c r="T119" s="485"/>
      <c r="U119" s="485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94">
        <f t="shared" si="36"/>
        <v>0</v>
      </c>
      <c r="I120" s="129"/>
      <c r="J120" s="130" t="str">
        <f t="array" ref="J120">IF(ISERROR(G120/I120),"",G120/I120)</f>
        <v/>
      </c>
      <c r="K120" s="494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85"/>
      <c r="P120" s="485"/>
      <c r="Q120" s="485"/>
      <c r="R120" s="485"/>
      <c r="S120" s="485"/>
      <c r="T120" s="485"/>
      <c r="U120" s="485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30" t="s">
        <v>224</v>
      </c>
      <c r="B121" s="631"/>
      <c r="C121" s="492" t="s">
        <v>202</v>
      </c>
      <c r="D121" s="143"/>
      <c r="E121" s="143"/>
      <c r="F121" s="144"/>
      <c r="G121" s="145">
        <f>SUM(G87:G120)</f>
        <v>276</v>
      </c>
      <c r="H121" s="146">
        <f>SUM(H87:H120)</f>
        <v>1384.98</v>
      </c>
      <c r="I121" s="146">
        <f>SUM(I87:I120)</f>
        <v>51</v>
      </c>
      <c r="J121" s="130">
        <f t="array" ref="J121">IF(ISERROR(G121/I121),"",G121/I121)</f>
        <v>5.4117647058823533</v>
      </c>
      <c r="K121" s="146">
        <f>SUM(K87:K120)</f>
        <v>39.849462365591393</v>
      </c>
      <c r="L121" s="147"/>
      <c r="M121" s="150">
        <f t="shared" ref="M121:V121" si="50">SUM(M87:M120)</f>
        <v>11.150537634408604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94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85"/>
      <c r="P122" s="485"/>
      <c r="Q122" s="485"/>
      <c r="R122" s="485"/>
      <c r="S122" s="485"/>
      <c r="T122" s="485"/>
      <c r="U122" s="485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94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85"/>
      <c r="P123" s="485"/>
      <c r="Q123" s="485"/>
      <c r="R123" s="485"/>
      <c r="S123" s="485"/>
      <c r="T123" s="485"/>
      <c r="U123" s="485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94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85"/>
      <c r="P124" s="485"/>
      <c r="Q124" s="485"/>
      <c r="R124" s="485"/>
      <c r="S124" s="485"/>
      <c r="T124" s="485"/>
      <c r="U124" s="485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494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85"/>
      <c r="P125" s="485"/>
      <c r="Q125" s="485"/>
      <c r="R125" s="485"/>
      <c r="S125" s="485"/>
      <c r="T125" s="485"/>
      <c r="U125" s="485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90" t="s">
        <v>203</v>
      </c>
      <c r="D126" s="108">
        <v>5.03</v>
      </c>
      <c r="E126" s="108"/>
      <c r="F126" s="127"/>
      <c r="G126" s="128"/>
      <c r="H126" s="494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85"/>
      <c r="P126" s="485"/>
      <c r="Q126" s="485"/>
      <c r="R126" s="485"/>
      <c r="S126" s="485"/>
      <c r="T126" s="485"/>
      <c r="U126" s="485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94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85"/>
      <c r="P127" s="485"/>
      <c r="Q127" s="485"/>
      <c r="R127" s="485"/>
      <c r="S127" s="485"/>
      <c r="T127" s="485"/>
      <c r="U127" s="485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94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85"/>
      <c r="P128" s="485"/>
      <c r="Q128" s="485"/>
      <c r="R128" s="485"/>
      <c r="S128" s="485"/>
      <c r="T128" s="485"/>
      <c r="U128" s="485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90" t="s">
        <v>228</v>
      </c>
      <c r="D129" s="108">
        <v>5.03</v>
      </c>
      <c r="E129" s="108"/>
      <c r="F129" s="127"/>
      <c r="G129" s="128"/>
      <c r="H129" s="494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85"/>
      <c r="P129" s="485"/>
      <c r="Q129" s="485"/>
      <c r="R129" s="485"/>
      <c r="S129" s="485"/>
      <c r="T129" s="485"/>
      <c r="U129" s="485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496</v>
      </c>
      <c r="C130" s="490" t="s">
        <v>212</v>
      </c>
      <c r="D130" s="108">
        <v>5.03</v>
      </c>
      <c r="E130" s="108"/>
      <c r="F130" s="127"/>
      <c r="G130" s="128"/>
      <c r="H130" s="494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85"/>
      <c r="P130" s="485"/>
      <c r="Q130" s="485"/>
      <c r="R130" s="485"/>
      <c r="S130" s="485"/>
      <c r="T130" s="485"/>
      <c r="U130" s="485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90" t="s">
        <v>203</v>
      </c>
      <c r="D131" s="108">
        <v>5.03</v>
      </c>
      <c r="E131" s="108"/>
      <c r="F131" s="127"/>
      <c r="G131" s="128"/>
      <c r="H131" s="494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85"/>
      <c r="P131" s="485"/>
      <c r="Q131" s="485"/>
      <c r="R131" s="485"/>
      <c r="S131" s="485"/>
      <c r="T131" s="485"/>
      <c r="U131" s="485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90" t="s">
        <v>186</v>
      </c>
      <c r="D132" s="108">
        <v>5.03</v>
      </c>
      <c r="E132" s="108"/>
      <c r="F132" s="127"/>
      <c r="G132" s="128"/>
      <c r="H132" s="494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85"/>
      <c r="P132" s="485"/>
      <c r="Q132" s="485"/>
      <c r="R132" s="485"/>
      <c r="S132" s="485"/>
      <c r="T132" s="485"/>
      <c r="U132" s="485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90" t="s">
        <v>228</v>
      </c>
      <c r="D133" s="108">
        <v>5.03</v>
      </c>
      <c r="E133" s="108"/>
      <c r="F133" s="127"/>
      <c r="G133" s="128"/>
      <c r="H133" s="494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85"/>
      <c r="P133" s="485"/>
      <c r="Q133" s="485"/>
      <c r="R133" s="485"/>
      <c r="S133" s="485"/>
      <c r="T133" s="485"/>
      <c r="U133" s="485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90" t="s">
        <v>199</v>
      </c>
      <c r="D134" s="108">
        <v>5.03</v>
      </c>
      <c r="E134" s="108"/>
      <c r="F134" s="127"/>
      <c r="G134" s="128"/>
      <c r="H134" s="494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85"/>
      <c r="P134" s="485"/>
      <c r="Q134" s="485"/>
      <c r="R134" s="485"/>
      <c r="S134" s="485"/>
      <c r="T134" s="485"/>
      <c r="U134" s="485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>
        <v>42718</v>
      </c>
      <c r="G135" s="128">
        <f>90*4+104+90*4</f>
        <v>824</v>
      </c>
      <c r="H135" s="494">
        <f t="shared" si="51"/>
        <v>4169.4399999999996</v>
      </c>
      <c r="I135" s="129">
        <f>9*3</f>
        <v>27</v>
      </c>
      <c r="J135" s="130">
        <f t="array" ref="J135">IF(ISERROR(G135/I135),"",G135/I135)</f>
        <v>30.518518518518519</v>
      </c>
      <c r="K135" s="131">
        <f t="array" ref="K135">IF(ISERROR(G135/L135),"",G135/L135)</f>
        <v>32.96</v>
      </c>
      <c r="L135" s="129">
        <v>25</v>
      </c>
      <c r="M135" s="109">
        <f t="shared" si="52"/>
        <v>-5.9600000000000009</v>
      </c>
      <c r="N135" s="130">
        <f t="shared" si="53"/>
        <v>0</v>
      </c>
      <c r="O135" s="485"/>
      <c r="P135" s="485"/>
      <c r="Q135" s="485"/>
      <c r="R135" s="485"/>
      <c r="S135" s="485"/>
      <c r="T135" s="485"/>
      <c r="U135" s="485"/>
      <c r="V135" s="132">
        <f t="shared" si="54"/>
        <v>0</v>
      </c>
      <c r="W135" s="133">
        <f t="shared" si="49"/>
        <v>0</v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94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85"/>
      <c r="P136" s="485"/>
      <c r="Q136" s="485"/>
      <c r="R136" s="485"/>
      <c r="S136" s="485"/>
      <c r="T136" s="485"/>
      <c r="U136" s="485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630" t="s">
        <v>231</v>
      </c>
      <c r="B137" s="631"/>
      <c r="C137" s="492" t="s">
        <v>202</v>
      </c>
      <c r="D137" s="143"/>
      <c r="E137" s="143"/>
      <c r="F137" s="144"/>
      <c r="G137" s="145">
        <f>SUM(G122:G136)</f>
        <v>824</v>
      </c>
      <c r="H137" s="146">
        <f>SUM(H122:H136)</f>
        <v>4169.4399999999996</v>
      </c>
      <c r="I137" s="146">
        <f>SUM(I122:I136)</f>
        <v>27</v>
      </c>
      <c r="J137" s="130">
        <f t="array" ref="J137">IF(ISERROR(G137/I137),"",G137/I137)</f>
        <v>30.518518518518519</v>
      </c>
      <c r="K137" s="146">
        <f>SUM(K122:K136)</f>
        <v>32.96</v>
      </c>
      <c r="L137" s="147"/>
      <c r="M137" s="150">
        <f>SUM(M122:M136)</f>
        <v>-5.9600000000000009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94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85"/>
      <c r="P138" s="485"/>
      <c r="Q138" s="485"/>
      <c r="R138" s="485"/>
      <c r="S138" s="485"/>
      <c r="T138" s="485"/>
      <c r="U138" s="485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94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85"/>
      <c r="P139" s="485"/>
      <c r="Q139" s="485"/>
      <c r="R139" s="485"/>
      <c r="S139" s="485"/>
      <c r="T139" s="485"/>
      <c r="U139" s="485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94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85"/>
      <c r="P140" s="485"/>
      <c r="Q140" s="485"/>
      <c r="R140" s="485"/>
      <c r="S140" s="485"/>
      <c r="T140" s="485"/>
      <c r="U140" s="485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497</v>
      </c>
      <c r="C141" s="126" t="s">
        <v>195</v>
      </c>
      <c r="D141" s="108">
        <v>5.04</v>
      </c>
      <c r="E141" s="108"/>
      <c r="F141" s="127"/>
      <c r="G141" s="128"/>
      <c r="H141" s="494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85"/>
      <c r="P141" s="485"/>
      <c r="Q141" s="485"/>
      <c r="R141" s="485"/>
      <c r="S141" s="485"/>
      <c r="T141" s="485"/>
      <c r="U141" s="485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94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85"/>
      <c r="P142" s="485"/>
      <c r="Q142" s="485"/>
      <c r="R142" s="485"/>
      <c r="S142" s="485"/>
      <c r="T142" s="485"/>
      <c r="U142" s="485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94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85"/>
      <c r="P143" s="485"/>
      <c r="Q143" s="485"/>
      <c r="R143" s="485"/>
      <c r="S143" s="485"/>
      <c r="T143" s="485"/>
      <c r="U143" s="485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>
        <v>42718</v>
      </c>
      <c r="G144" s="128">
        <f>90*7</f>
        <v>630</v>
      </c>
      <c r="H144" s="494">
        <f t="shared" si="55"/>
        <v>3175.2</v>
      </c>
      <c r="I144" s="129">
        <f>11*4</f>
        <v>44</v>
      </c>
      <c r="J144" s="130">
        <f t="array" ref="J144">IF(ISERROR(G144/I144),"",G144/I144)</f>
        <v>14.318181818181818</v>
      </c>
      <c r="K144" s="131">
        <f t="array" ref="K144">IF(ISERROR(G144/L144),"",G144/L144)</f>
        <v>46.666666666666664</v>
      </c>
      <c r="L144" s="129">
        <v>13.5</v>
      </c>
      <c r="M144" s="109">
        <f t="shared" ref="M144" si="59">IF(ISERROR(I144-K144),"",I144-K144)</f>
        <v>-2.6666666666666643</v>
      </c>
      <c r="N144" s="130"/>
      <c r="O144" s="485"/>
      <c r="P144" s="485"/>
      <c r="Q144" s="485"/>
      <c r="R144" s="485"/>
      <c r="S144" s="485"/>
      <c r="T144" s="485"/>
      <c r="U144" s="485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494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60">IF(ISERROR(I146-K146),"",I146-K146)</f>
        <v>0</v>
      </c>
      <c r="N146" s="130">
        <f t="shared" ref="N146" si="61">SUM(O146:U146)</f>
        <v>0</v>
      </c>
      <c r="O146" s="485"/>
      <c r="P146" s="485"/>
      <c r="Q146" s="485"/>
      <c r="R146" s="485"/>
      <c r="S146" s="485"/>
      <c r="T146" s="485"/>
      <c r="U146" s="485"/>
      <c r="V146" s="132">
        <f t="shared" ref="V146" si="62">SUM(X146:AA146)</f>
        <v>0</v>
      </c>
      <c r="W146" s="133" t="str">
        <f t="shared" ref="W146:W151" si="63">IF(ISERROR(V146/G146),"",V146/G146)</f>
        <v/>
      </c>
      <c r="X146" s="132"/>
      <c r="Y146" s="132"/>
      <c r="Z146" s="132"/>
      <c r="AA146" s="132"/>
    </row>
    <row r="147" spans="1:27" ht="20.100000000000001" customHeight="1">
      <c r="A147" s="630" t="s">
        <v>234</v>
      </c>
      <c r="B147" s="631"/>
      <c r="C147" s="492" t="s">
        <v>202</v>
      </c>
      <c r="D147" s="143"/>
      <c r="E147" s="143"/>
      <c r="F147" s="144"/>
      <c r="G147" s="145">
        <f>SUM(G138:G146)</f>
        <v>630</v>
      </c>
      <c r="H147" s="146">
        <f>SUM(H138:H146)</f>
        <v>3175.2</v>
      </c>
      <c r="I147" s="146">
        <f>SUM(I138:I146)</f>
        <v>44</v>
      </c>
      <c r="J147" s="130">
        <f t="array" ref="J147">IF(ISERROR(G147/I147),"",G147/I147)</f>
        <v>14.318181818181818</v>
      </c>
      <c r="K147" s="146">
        <f>SUM(K138:K146)</f>
        <v>46.666666666666664</v>
      </c>
      <c r="L147" s="147"/>
      <c r="M147" s="150">
        <f>SUM(M138:M146)</f>
        <v>-2.6666666666666643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>
        <f t="shared" si="63"/>
        <v>0</v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484"/>
      <c r="D148" s="108">
        <v>3.65</v>
      </c>
      <c r="E148" s="108"/>
      <c r="F148" s="153"/>
      <c r="G148" s="128"/>
      <c r="H148" s="494">
        <f t="shared" ref="H148:H161" si="64">D148*G148</f>
        <v>0</v>
      </c>
      <c r="I148" s="129"/>
      <c r="J148" s="130" t="str">
        <f t="array" ref="J148">IF(ISERROR(G148/I148),"",G148/I148)</f>
        <v/>
      </c>
      <c r="K148" s="494">
        <f t="array" ref="K148">IF(ISERROR(G148/L148),"",G148/L148)</f>
        <v>0</v>
      </c>
      <c r="L148" s="129">
        <v>5</v>
      </c>
      <c r="M148" s="109">
        <f t="shared" ref="M148:M151" si="65">IF(ISERROR(I148-K148),"",I148-K148)</f>
        <v>0</v>
      </c>
      <c r="N148" s="130">
        <f t="shared" ref="N148:N151" si="66">SUM(O148:U148)</f>
        <v>0</v>
      </c>
      <c r="O148" s="485"/>
      <c r="P148" s="485"/>
      <c r="Q148" s="485"/>
      <c r="R148" s="485"/>
      <c r="S148" s="485"/>
      <c r="T148" s="485"/>
      <c r="U148" s="485"/>
      <c r="V148" s="132">
        <f t="shared" ref="V148:V151" si="67">SUM(X148:AA148)</f>
        <v>0</v>
      </c>
      <c r="W148" s="133" t="str">
        <f t="shared" si="63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484"/>
      <c r="D149" s="108">
        <v>6.58</v>
      </c>
      <c r="E149" s="108"/>
      <c r="F149" s="127"/>
      <c r="G149" s="128"/>
      <c r="H149" s="494">
        <f t="shared" si="64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5"/>
        <v>0</v>
      </c>
      <c r="N149" s="130">
        <f t="shared" si="66"/>
        <v>0</v>
      </c>
      <c r="O149" s="485"/>
      <c r="P149" s="485"/>
      <c r="Q149" s="485"/>
      <c r="R149" s="485"/>
      <c r="S149" s="485"/>
      <c r="T149" s="485"/>
      <c r="U149" s="485"/>
      <c r="V149" s="132">
        <f t="shared" si="67"/>
        <v>0</v>
      </c>
      <c r="W149" s="133" t="str">
        <f t="shared" si="63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484"/>
      <c r="D150" s="108">
        <v>7.8</v>
      </c>
      <c r="E150" s="108"/>
      <c r="F150" s="127"/>
      <c r="G150" s="128"/>
      <c r="H150" s="494">
        <f t="shared" si="64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5"/>
        <v>0</v>
      </c>
      <c r="N150" s="130">
        <f t="shared" si="66"/>
        <v>0</v>
      </c>
      <c r="O150" s="485"/>
      <c r="P150" s="485"/>
      <c r="Q150" s="485"/>
      <c r="R150" s="485"/>
      <c r="S150" s="485"/>
      <c r="T150" s="485"/>
      <c r="U150" s="485"/>
      <c r="V150" s="132">
        <f t="shared" si="67"/>
        <v>0</v>
      </c>
      <c r="W150" s="133" t="str">
        <f t="shared" si="63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484"/>
      <c r="D151" s="108">
        <v>4.4000000000000004</v>
      </c>
      <c r="E151" s="108"/>
      <c r="F151" s="127"/>
      <c r="G151" s="128"/>
      <c r="H151" s="494">
        <f t="shared" si="64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5"/>
        <v>0</v>
      </c>
      <c r="N151" s="130">
        <f t="shared" si="66"/>
        <v>0</v>
      </c>
      <c r="O151" s="485"/>
      <c r="P151" s="485"/>
      <c r="Q151" s="485"/>
      <c r="R151" s="485"/>
      <c r="S151" s="485"/>
      <c r="T151" s="485"/>
      <c r="U151" s="485"/>
      <c r="V151" s="132">
        <f t="shared" si="67"/>
        <v>0</v>
      </c>
      <c r="W151" s="133" t="str">
        <f t="shared" si="63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494">
        <f t="shared" si="64"/>
        <v>0</v>
      </c>
      <c r="I152" s="129"/>
      <c r="J152" s="130"/>
      <c r="K152" s="131"/>
      <c r="L152" s="129">
        <v>6</v>
      </c>
      <c r="M152" s="109"/>
      <c r="N152" s="130"/>
      <c r="O152" s="485"/>
      <c r="P152" s="485"/>
      <c r="Q152" s="485"/>
      <c r="R152" s="485"/>
      <c r="S152" s="485"/>
      <c r="T152" s="485"/>
      <c r="U152" s="485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484" t="s">
        <v>499</v>
      </c>
      <c r="C153" s="484" t="s">
        <v>179</v>
      </c>
      <c r="D153" s="108">
        <v>6.04</v>
      </c>
      <c r="E153" s="108"/>
      <c r="F153" s="127"/>
      <c r="G153" s="128"/>
      <c r="H153" s="494">
        <f t="shared" si="64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8">IF(ISERROR(I153-K153),"",I153-K153)</f>
        <v>0</v>
      </c>
      <c r="N153" s="130">
        <f t="shared" ref="N153:N154" si="69">SUM(O153:U153)</f>
        <v>0</v>
      </c>
      <c r="O153" s="485"/>
      <c r="P153" s="485"/>
      <c r="Q153" s="485"/>
      <c r="R153" s="485"/>
      <c r="S153" s="485"/>
      <c r="T153" s="485"/>
      <c r="U153" s="485"/>
      <c r="V153" s="132">
        <f t="shared" ref="V153:V154" si="70">SUM(X153:AA153)</f>
        <v>0</v>
      </c>
      <c r="W153" s="133" t="str">
        <f t="shared" ref="W153:W154" si="71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484" t="s">
        <v>239</v>
      </c>
      <c r="C154" s="484" t="s">
        <v>186</v>
      </c>
      <c r="D154" s="108">
        <v>6.04</v>
      </c>
      <c r="E154" s="108"/>
      <c r="F154" s="127"/>
      <c r="G154" s="128"/>
      <c r="H154" s="494">
        <f t="shared" si="64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8"/>
        <v>0</v>
      </c>
      <c r="N154" s="130">
        <f t="shared" si="69"/>
        <v>0</v>
      </c>
      <c r="O154" s="485"/>
      <c r="P154" s="485"/>
      <c r="Q154" s="485"/>
      <c r="R154" s="485"/>
      <c r="S154" s="485"/>
      <c r="T154" s="485"/>
      <c r="U154" s="485"/>
      <c r="V154" s="132">
        <f t="shared" si="70"/>
        <v>0</v>
      </c>
      <c r="W154" s="133" t="str">
        <f t="shared" si="71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484" t="s">
        <v>443</v>
      </c>
      <c r="C155" s="484" t="s">
        <v>179</v>
      </c>
      <c r="D155" s="108">
        <v>6</v>
      </c>
      <c r="E155" s="108"/>
      <c r="F155" s="127"/>
      <c r="G155" s="128"/>
      <c r="H155" s="494">
        <f t="shared" si="64"/>
        <v>0</v>
      </c>
      <c r="I155" s="129"/>
      <c r="J155" s="130"/>
      <c r="K155" s="131"/>
      <c r="L155" s="129"/>
      <c r="M155" s="109"/>
      <c r="N155" s="130"/>
      <c r="O155" s="485"/>
      <c r="P155" s="485"/>
      <c r="Q155" s="485"/>
      <c r="R155" s="485"/>
      <c r="S155" s="485"/>
      <c r="T155" s="485"/>
      <c r="U155" s="485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484" t="s">
        <v>443</v>
      </c>
      <c r="C156" s="484" t="s">
        <v>60</v>
      </c>
      <c r="D156" s="108">
        <v>6</v>
      </c>
      <c r="E156" s="108"/>
      <c r="F156" s="127"/>
      <c r="G156" s="128"/>
      <c r="H156" s="494">
        <f t="shared" si="64"/>
        <v>0</v>
      </c>
      <c r="I156" s="129"/>
      <c r="J156" s="130"/>
      <c r="K156" s="131"/>
      <c r="L156" s="129">
        <v>6</v>
      </c>
      <c r="M156" s="109"/>
      <c r="N156" s="130"/>
      <c r="O156" s="485"/>
      <c r="P156" s="485"/>
      <c r="Q156" s="485"/>
      <c r="R156" s="485"/>
      <c r="S156" s="485"/>
      <c r="T156" s="485"/>
      <c r="U156" s="485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486" t="s">
        <v>240</v>
      </c>
      <c r="C157" s="126"/>
      <c r="D157" s="108">
        <v>7.3</v>
      </c>
      <c r="E157" s="108"/>
      <c r="F157" s="127"/>
      <c r="G157" s="128"/>
      <c r="H157" s="494">
        <f t="shared" si="64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2">IF(ISERROR(I157-K157),"",I157-K157)</f>
        <v/>
      </c>
      <c r="N157" s="130">
        <f t="shared" ref="N157:N158" si="73">SUM(O157:U157)</f>
        <v>0</v>
      </c>
      <c r="O157" s="485"/>
      <c r="P157" s="485"/>
      <c r="Q157" s="485"/>
      <c r="R157" s="485"/>
      <c r="S157" s="485"/>
      <c r="T157" s="485"/>
      <c r="U157" s="485"/>
      <c r="V157" s="132">
        <f t="shared" ref="V157:V158" si="74">SUM(X157:AA157)</f>
        <v>0</v>
      </c>
      <c r="W157" s="133" t="str">
        <f t="shared" ref="W157:W158" si="75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486" t="s">
        <v>241</v>
      </c>
      <c r="C158" s="126"/>
      <c r="D158" s="108">
        <f>78*120/1000</f>
        <v>9.36</v>
      </c>
      <c r="E158" s="108"/>
      <c r="F158" s="127"/>
      <c r="G158" s="128"/>
      <c r="H158" s="494">
        <f t="shared" si="64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3"/>
        <v>0</v>
      </c>
      <c r="O158" s="485"/>
      <c r="P158" s="485"/>
      <c r="Q158" s="485"/>
      <c r="R158" s="485"/>
      <c r="S158" s="485"/>
      <c r="T158" s="485"/>
      <c r="U158" s="485"/>
      <c r="V158" s="132">
        <f t="shared" si="74"/>
        <v>0</v>
      </c>
      <c r="W158" s="133" t="str">
        <f t="shared" si="75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486" t="s">
        <v>242</v>
      </c>
      <c r="C159" s="126"/>
      <c r="D159" s="108">
        <v>4.5</v>
      </c>
      <c r="E159" s="108"/>
      <c r="F159" s="127"/>
      <c r="G159" s="128"/>
      <c r="H159" s="494">
        <f t="shared" si="64"/>
        <v>0</v>
      </c>
      <c r="I159" s="129"/>
      <c r="J159" s="130"/>
      <c r="K159" s="131"/>
      <c r="L159" s="129"/>
      <c r="M159" s="109"/>
      <c r="N159" s="130"/>
      <c r="O159" s="485"/>
      <c r="P159" s="485"/>
      <c r="Q159" s="485"/>
      <c r="R159" s="485"/>
      <c r="S159" s="485"/>
      <c r="T159" s="485"/>
      <c r="U159" s="485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486" t="s">
        <v>243</v>
      </c>
      <c r="C160" s="126"/>
      <c r="D160" s="108">
        <v>4.5</v>
      </c>
      <c r="E160" s="108"/>
      <c r="F160" s="127"/>
      <c r="G160" s="128"/>
      <c r="H160" s="494">
        <f t="shared" si="64"/>
        <v>0</v>
      </c>
      <c r="I160" s="129"/>
      <c r="J160" s="130"/>
      <c r="K160" s="131"/>
      <c r="L160" s="129"/>
      <c r="M160" s="109"/>
      <c r="N160" s="130"/>
      <c r="O160" s="485"/>
      <c r="P160" s="485"/>
      <c r="Q160" s="485"/>
      <c r="R160" s="485"/>
      <c r="S160" s="485"/>
      <c r="T160" s="485"/>
      <c r="U160" s="485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494">
        <f t="shared" si="64"/>
        <v>0</v>
      </c>
      <c r="I161" s="129"/>
      <c r="J161" s="130"/>
      <c r="K161" s="131"/>
      <c r="L161" s="129"/>
      <c r="M161" s="109"/>
      <c r="N161" s="130"/>
      <c r="O161" s="485"/>
      <c r="P161" s="485"/>
      <c r="Q161" s="485"/>
      <c r="R161" s="485"/>
      <c r="S161" s="485"/>
      <c r="T161" s="485"/>
      <c r="U161" s="485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630" t="s">
        <v>244</v>
      </c>
      <c r="B162" s="631"/>
      <c r="C162" s="492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6">SUM(M148:M158)</f>
        <v>0</v>
      </c>
      <c r="N162" s="146">
        <f t="shared" si="76"/>
        <v>0</v>
      </c>
      <c r="O162" s="148">
        <f t="shared" si="76"/>
        <v>0</v>
      </c>
      <c r="P162" s="148">
        <f t="shared" si="76"/>
        <v>0</v>
      </c>
      <c r="Q162" s="148">
        <f t="shared" si="76"/>
        <v>0</v>
      </c>
      <c r="R162" s="148">
        <f t="shared" si="76"/>
        <v>0</v>
      </c>
      <c r="S162" s="148">
        <f t="shared" si="76"/>
        <v>0</v>
      </c>
      <c r="T162" s="148">
        <f t="shared" si="76"/>
        <v>0</v>
      </c>
      <c r="U162" s="148">
        <f t="shared" si="76"/>
        <v>0</v>
      </c>
      <c r="V162" s="149">
        <f t="shared" si="76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32" t="s">
        <v>246</v>
      </c>
      <c r="B163" s="633"/>
      <c r="C163" s="633"/>
      <c r="D163" s="633"/>
      <c r="E163" s="633"/>
      <c r="F163" s="634"/>
      <c r="G163" s="154">
        <f>SUM(G28,G86,G121,G137,G147,G162)</f>
        <v>4093</v>
      </c>
      <c r="H163" s="154">
        <f>SUM(H28,H86,H121,H137,H147,H162)</f>
        <v>20628.920000000002</v>
      </c>
      <c r="I163" s="154">
        <f>SUM(I28,I86,I121,I137,I147,I162)</f>
        <v>187</v>
      </c>
      <c r="J163" s="155">
        <f t="array" ref="J163">IF(ISERROR(G163/I163),"",G163/I163)</f>
        <v>21.887700534759357</v>
      </c>
      <c r="K163" s="154">
        <f>SUM(K28,K86,K121,K137,K147,K162)</f>
        <v>179.02528771957464</v>
      </c>
      <c r="L163" s="155">
        <f>IF(ISERROR(G163/K163),"",G163/K163)</f>
        <v>22.862691925462947</v>
      </c>
      <c r="M163" s="154">
        <f t="shared" ref="M163:AA163" si="77">SUM(M28,M86,M121,M137,M147,M162)</f>
        <v>7.9747122804253578</v>
      </c>
      <c r="N163" s="154">
        <f t="shared" si="77"/>
        <v>0</v>
      </c>
      <c r="O163" s="154">
        <f t="shared" si="77"/>
        <v>0</v>
      </c>
      <c r="P163" s="154">
        <f t="shared" si="77"/>
        <v>0</v>
      </c>
      <c r="Q163" s="154">
        <f t="shared" si="77"/>
        <v>0</v>
      </c>
      <c r="R163" s="154">
        <f t="shared" si="77"/>
        <v>0</v>
      </c>
      <c r="S163" s="154">
        <f t="shared" si="77"/>
        <v>0</v>
      </c>
      <c r="T163" s="154">
        <f t="shared" si="77"/>
        <v>0</v>
      </c>
      <c r="U163" s="154">
        <f t="shared" si="77"/>
        <v>0</v>
      </c>
      <c r="V163" s="154">
        <f t="shared" si="77"/>
        <v>0</v>
      </c>
      <c r="W163" s="154">
        <f t="shared" si="77"/>
        <v>0</v>
      </c>
      <c r="X163" s="154">
        <f t="shared" si="77"/>
        <v>0</v>
      </c>
      <c r="Y163" s="154">
        <f t="shared" si="77"/>
        <v>0</v>
      </c>
      <c r="Z163" s="154">
        <f t="shared" si="77"/>
        <v>0</v>
      </c>
      <c r="AA163" s="154">
        <f t="shared" si="77"/>
        <v>0</v>
      </c>
    </row>
    <row r="164" spans="1:27" ht="20.100000000000001" customHeight="1">
      <c r="A164" s="635" t="s">
        <v>476</v>
      </c>
      <c r="B164" s="491" t="s">
        <v>247</v>
      </c>
      <c r="C164" s="638" t="s">
        <v>248</v>
      </c>
      <c r="D164" s="639"/>
      <c r="E164" s="640" t="s">
        <v>249</v>
      </c>
      <c r="F164" s="640"/>
      <c r="G164" s="643" t="s">
        <v>250</v>
      </c>
      <c r="H164" s="643"/>
      <c r="I164" s="640" t="s">
        <v>251</v>
      </c>
      <c r="J164" s="640"/>
      <c r="K164" s="640" t="s">
        <v>252</v>
      </c>
      <c r="L164" s="640"/>
      <c r="M164" s="640" t="s">
        <v>253</v>
      </c>
      <c r="N164" s="640"/>
      <c r="O164" s="640" t="s">
        <v>254</v>
      </c>
      <c r="P164" s="643" t="s">
        <v>255</v>
      </c>
      <c r="Q164" s="643"/>
      <c r="R164" s="643" t="s">
        <v>252</v>
      </c>
      <c r="S164" s="643"/>
      <c r="T164" s="643" t="s">
        <v>256</v>
      </c>
      <c r="U164" s="643"/>
      <c r="V164" s="643" t="s">
        <v>257</v>
      </c>
      <c r="W164" s="643"/>
      <c r="X164" s="643" t="s">
        <v>252</v>
      </c>
      <c r="Y164" s="643"/>
      <c r="Z164" s="643" t="s">
        <v>256</v>
      </c>
      <c r="AA164" s="643"/>
    </row>
    <row r="165" spans="1:27" ht="20.100000000000001" customHeight="1">
      <c r="A165" s="636"/>
      <c r="B165" s="491" t="s">
        <v>258</v>
      </c>
      <c r="C165" s="638">
        <v>1</v>
      </c>
      <c r="D165" s="639"/>
      <c r="E165" s="642">
        <f>C165*11</f>
        <v>11</v>
      </c>
      <c r="F165" s="642"/>
      <c r="G165" s="643">
        <v>1</v>
      </c>
      <c r="H165" s="643"/>
      <c r="I165" s="642">
        <f>G165*11</f>
        <v>11</v>
      </c>
      <c r="J165" s="642"/>
      <c r="K165" s="642">
        <f>E165-I165</f>
        <v>0</v>
      </c>
      <c r="L165" s="642"/>
      <c r="M165" s="644">
        <f>IF(ISERROR(K165/E165),"",K165/E165)</f>
        <v>0</v>
      </c>
      <c r="N165" s="644"/>
      <c r="O165" s="640"/>
      <c r="P165" s="643" t="s">
        <v>201</v>
      </c>
      <c r="Q165" s="643"/>
      <c r="R165" s="645">
        <f>SUM(O28:U28)</f>
        <v>0</v>
      </c>
      <c r="S165" s="645"/>
      <c r="T165" s="646" t="str">
        <f t="array" ref="T165">IF(ISERROR(R165/R172),"",R165/R172)</f>
        <v/>
      </c>
      <c r="U165" s="646"/>
      <c r="V165" s="643" t="s">
        <v>259</v>
      </c>
      <c r="W165" s="643"/>
      <c r="X165" s="647">
        <f>SUM(P27,P85,P120,P136,P146,P160)</f>
        <v>0</v>
      </c>
      <c r="Y165" s="647"/>
      <c r="Z165" s="646" t="str">
        <f t="array" ref="Z165">IF(ISERROR(X165/X172),"",X165/X172)</f>
        <v/>
      </c>
      <c r="AA165" s="646"/>
    </row>
    <row r="166" spans="1:27" ht="20.100000000000001" customHeight="1">
      <c r="A166" s="636"/>
      <c r="B166" s="491" t="s">
        <v>260</v>
      </c>
      <c r="C166" s="638">
        <v>1</v>
      </c>
      <c r="D166" s="639"/>
      <c r="E166" s="642">
        <f>C166*11</f>
        <v>11</v>
      </c>
      <c r="F166" s="642"/>
      <c r="G166" s="643">
        <v>1</v>
      </c>
      <c r="H166" s="643"/>
      <c r="I166" s="642">
        <f>G166*11</f>
        <v>11</v>
      </c>
      <c r="J166" s="642"/>
      <c r="K166" s="642">
        <f>E166-I166</f>
        <v>0</v>
      </c>
      <c r="L166" s="642"/>
      <c r="M166" s="644">
        <f>IF(ISERROR(K166/E166),"",K166/E166)</f>
        <v>0</v>
      </c>
      <c r="N166" s="644"/>
      <c r="O166" s="640"/>
      <c r="P166" s="643" t="s">
        <v>216</v>
      </c>
      <c r="Q166" s="643"/>
      <c r="R166" s="645">
        <f>SUM(O86:U86)</f>
        <v>0</v>
      </c>
      <c r="S166" s="645"/>
      <c r="T166" s="646" t="str">
        <f>IF(ISERROR(R166/R172),"",R166/R172)</f>
        <v/>
      </c>
      <c r="U166" s="646"/>
      <c r="V166" s="643" t="s">
        <v>261</v>
      </c>
      <c r="W166" s="643"/>
      <c r="X166" s="647">
        <f>SUM(P28,P86,P121,P137,P147,P162)</f>
        <v>0</v>
      </c>
      <c r="Y166" s="647"/>
      <c r="Z166" s="646" t="str">
        <f>IF(ISERROR(X166/X172),"",X166/X172)</f>
        <v/>
      </c>
      <c r="AA166" s="646"/>
    </row>
    <row r="167" spans="1:27" ht="20.100000000000001" customHeight="1">
      <c r="A167" s="636"/>
      <c r="B167" s="491" t="s">
        <v>262</v>
      </c>
      <c r="C167" s="638">
        <v>1</v>
      </c>
      <c r="D167" s="639"/>
      <c r="E167" s="642">
        <f>C167*8</f>
        <v>8</v>
      </c>
      <c r="F167" s="642"/>
      <c r="G167" s="643">
        <v>1</v>
      </c>
      <c r="H167" s="643"/>
      <c r="I167" s="642">
        <f>G167*8</f>
        <v>8</v>
      </c>
      <c r="J167" s="642"/>
      <c r="K167" s="642">
        <f>E167-I167</f>
        <v>0</v>
      </c>
      <c r="L167" s="642"/>
      <c r="M167" s="644">
        <f>IF(ISERROR(K167/E167),"",K167/E167)</f>
        <v>0</v>
      </c>
      <c r="N167" s="644"/>
      <c r="O167" s="640"/>
      <c r="P167" s="643" t="s">
        <v>224</v>
      </c>
      <c r="Q167" s="643"/>
      <c r="R167" s="645">
        <f>SUM(O121:U121)</f>
        <v>0</v>
      </c>
      <c r="S167" s="645"/>
      <c r="T167" s="646" t="str">
        <f>IF(ISERROR(R167/R172),"",R167/R172)</f>
        <v/>
      </c>
      <c r="U167" s="646"/>
      <c r="V167" s="643" t="s">
        <v>263</v>
      </c>
      <c r="W167" s="643"/>
      <c r="X167" s="647">
        <f>SUM(P29,P87,P122,P138,P148,P163)</f>
        <v>0</v>
      </c>
      <c r="Y167" s="647"/>
      <c r="Z167" s="646" t="str">
        <f>IF(ISERROR(X167/X172),"",X167/X172)</f>
        <v/>
      </c>
      <c r="AA167" s="646"/>
    </row>
    <row r="168" spans="1:27" ht="20.100000000000001" customHeight="1">
      <c r="A168" s="636"/>
      <c r="B168" s="491" t="s">
        <v>264</v>
      </c>
      <c r="C168" s="638">
        <v>1</v>
      </c>
      <c r="D168" s="639"/>
      <c r="E168" s="642">
        <f>C168*11</f>
        <v>11</v>
      </c>
      <c r="F168" s="642"/>
      <c r="G168" s="643">
        <v>1</v>
      </c>
      <c r="H168" s="643"/>
      <c r="I168" s="642">
        <f>G168*11</f>
        <v>11</v>
      </c>
      <c r="J168" s="642"/>
      <c r="K168" s="642">
        <f>E168-I168</f>
        <v>0</v>
      </c>
      <c r="L168" s="642"/>
      <c r="M168" s="644">
        <f>IF(ISERROR(K168/E168),"",K168/E168)</f>
        <v>0</v>
      </c>
      <c r="N168" s="644"/>
      <c r="O168" s="640"/>
      <c r="P168" s="643" t="s">
        <v>231</v>
      </c>
      <c r="Q168" s="643"/>
      <c r="R168" s="645">
        <f>SUM(O137:U137)</f>
        <v>0</v>
      </c>
      <c r="S168" s="645"/>
      <c r="T168" s="646" t="str">
        <f>IF(ISERROR(R168/R172),"",R168/R172)</f>
        <v/>
      </c>
      <c r="U168" s="646"/>
      <c r="V168" s="643" t="s">
        <v>265</v>
      </c>
      <c r="W168" s="643"/>
      <c r="X168" s="647">
        <f>SUM(P31,P88,P123,P139,P149,P164)</f>
        <v>0</v>
      </c>
      <c r="Y168" s="647"/>
      <c r="Z168" s="646" t="str">
        <f>IF(ISERROR(X168/X172),"",X168/X172)</f>
        <v/>
      </c>
      <c r="AA168" s="646"/>
    </row>
    <row r="169" spans="1:27" ht="20.100000000000001" customHeight="1">
      <c r="A169" s="637"/>
      <c r="B169" s="491" t="s">
        <v>266</v>
      </c>
      <c r="C169" s="648">
        <f>SUM(C165:D168)</f>
        <v>4</v>
      </c>
      <c r="D169" s="649"/>
      <c r="E169" s="642">
        <f>SUM(E165:F168)</f>
        <v>41</v>
      </c>
      <c r="F169" s="642"/>
      <c r="G169" s="643">
        <f>SUM(G165:H168)</f>
        <v>4</v>
      </c>
      <c r="H169" s="643"/>
      <c r="I169" s="642">
        <f>SUM(I165:J168)</f>
        <v>41</v>
      </c>
      <c r="J169" s="642"/>
      <c r="K169" s="642">
        <f>SUM(K165:L168)</f>
        <v>0</v>
      </c>
      <c r="L169" s="642"/>
      <c r="M169" s="644">
        <f>IF(ISERROR(K169/E169),"",K169/E169)</f>
        <v>0</v>
      </c>
      <c r="N169" s="644"/>
      <c r="O169" s="640"/>
      <c r="P169" s="643" t="s">
        <v>234</v>
      </c>
      <c r="Q169" s="643"/>
      <c r="R169" s="645">
        <f>SUM(O147:U147)</f>
        <v>0</v>
      </c>
      <c r="S169" s="645"/>
      <c r="T169" s="646" t="str">
        <f>IF(ISERROR(R169/R172),"",R169/R172)</f>
        <v/>
      </c>
      <c r="U169" s="646"/>
      <c r="V169" s="643" t="s">
        <v>267</v>
      </c>
      <c r="W169" s="643"/>
      <c r="X169" s="647">
        <f>SUM(P32,P89,P124,P140,P150,P165)</f>
        <v>0</v>
      </c>
      <c r="Y169" s="647"/>
      <c r="Z169" s="646" t="str">
        <f>IF(ISERROR(X169/X172),"",X169/X172)</f>
        <v/>
      </c>
      <c r="AA169" s="646"/>
    </row>
    <row r="170" spans="1:27" ht="20.100000000000001" customHeight="1">
      <c r="A170" s="307" t="s">
        <v>477</v>
      </c>
      <c r="B170" s="491">
        <f>G163</f>
        <v>4093</v>
      </c>
      <c r="C170" s="650" t="s">
        <v>269</v>
      </c>
      <c r="D170" s="651"/>
      <c r="E170" s="643">
        <f>H163</f>
        <v>20628.920000000002</v>
      </c>
      <c r="F170" s="643"/>
      <c r="G170" s="643" t="s">
        <v>270</v>
      </c>
      <c r="H170" s="643"/>
      <c r="I170" s="652">
        <f>L163</f>
        <v>22.862691925462947</v>
      </c>
      <c r="J170" s="652"/>
      <c r="K170" s="640" t="s">
        <v>271</v>
      </c>
      <c r="L170" s="640"/>
      <c r="M170" s="652">
        <f>J163</f>
        <v>21.887700534759357</v>
      </c>
      <c r="N170" s="652"/>
      <c r="O170" s="640"/>
      <c r="P170" s="643" t="s">
        <v>244</v>
      </c>
      <c r="Q170" s="643"/>
      <c r="R170" s="645">
        <f>SUM(O162:U162)</f>
        <v>0</v>
      </c>
      <c r="S170" s="645"/>
      <c r="T170" s="646" t="str">
        <f>IF(ISERROR(R170/R172),"",R170/R172)</f>
        <v/>
      </c>
      <c r="U170" s="646"/>
      <c r="V170" s="643" t="s">
        <v>272</v>
      </c>
      <c r="W170" s="643"/>
      <c r="X170" s="647">
        <f>SUM(P33,P90,P125,P141,P151,P166)</f>
        <v>0</v>
      </c>
      <c r="Y170" s="647"/>
      <c r="Z170" s="646" t="str">
        <f>IF(ISERROR(X170/X172),"",X170/X172)</f>
        <v/>
      </c>
      <c r="AA170" s="646"/>
    </row>
    <row r="171" spans="1:27" ht="20.100000000000001" customHeight="1">
      <c r="A171" s="308" t="s">
        <v>478</v>
      </c>
      <c r="B171" s="491">
        <f>I163+C169</f>
        <v>191</v>
      </c>
      <c r="C171" s="653" t="s">
        <v>251</v>
      </c>
      <c r="D171" s="654"/>
      <c r="E171" s="655">
        <f>K163+I169</f>
        <v>220.02528771957464</v>
      </c>
      <c r="F171" s="655"/>
      <c r="G171" s="643" t="s">
        <v>274</v>
      </c>
      <c r="H171" s="643"/>
      <c r="I171" s="652">
        <f>B171-E171</f>
        <v>-29.025287719574635</v>
      </c>
      <c r="J171" s="652"/>
      <c r="K171" s="640" t="s">
        <v>275</v>
      </c>
      <c r="L171" s="640"/>
      <c r="M171" s="644">
        <f>IF(ISERROR(I171/E171),"",I171/E171)</f>
        <v>-0.13191796279602086</v>
      </c>
      <c r="N171" s="644"/>
      <c r="O171" s="640"/>
      <c r="P171" s="643" t="s">
        <v>245</v>
      </c>
      <c r="Q171" s="643"/>
      <c r="R171" s="645"/>
      <c r="S171" s="645"/>
      <c r="T171" s="646" t="str">
        <f>IF(ISERROR(R171/R172),"",R171/R172)</f>
        <v/>
      </c>
      <c r="U171" s="646"/>
      <c r="V171" s="643" t="s">
        <v>264</v>
      </c>
      <c r="W171" s="643"/>
      <c r="X171" s="647"/>
      <c r="Y171" s="647"/>
      <c r="Z171" s="646" t="str">
        <f>IF(ISERROR(X171/X172),"",X171/X172)</f>
        <v/>
      </c>
      <c r="AA171" s="646"/>
    </row>
    <row r="172" spans="1:27" ht="20.100000000000001" customHeight="1">
      <c r="A172" s="308" t="s">
        <v>479</v>
      </c>
      <c r="B172" s="491">
        <f>N163</f>
        <v>0</v>
      </c>
      <c r="C172" s="653" t="s">
        <v>277</v>
      </c>
      <c r="D172" s="654"/>
      <c r="E172" s="646">
        <f>IF(ISERROR(B172/B171),"",B172/B171)</f>
        <v>0</v>
      </c>
      <c r="F172" s="646"/>
      <c r="G172" s="643" t="s">
        <v>278</v>
      </c>
      <c r="H172" s="643"/>
      <c r="I172" s="640">
        <f>V163</f>
        <v>0</v>
      </c>
      <c r="J172" s="640"/>
      <c r="K172" s="640" t="s">
        <v>279</v>
      </c>
      <c r="L172" s="640"/>
      <c r="M172" s="644">
        <f t="array" ref="M172">IF(ISERROR(I172/B170),"",I172/B170)</f>
        <v>0</v>
      </c>
      <c r="N172" s="644"/>
      <c r="O172" s="640"/>
      <c r="P172" s="643" t="s">
        <v>266</v>
      </c>
      <c r="Q172" s="643"/>
      <c r="R172" s="645">
        <f>SUM(R165:S171)</f>
        <v>0</v>
      </c>
      <c r="S172" s="645"/>
      <c r="T172" s="646"/>
      <c r="U172" s="646"/>
      <c r="V172" s="643" t="s">
        <v>266</v>
      </c>
      <c r="W172" s="643"/>
      <c r="X172" s="647">
        <f>SUM(X165:Y171)</f>
        <v>0</v>
      </c>
      <c r="Y172" s="647"/>
      <c r="Z172" s="646"/>
      <c r="AA172" s="646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56" t="s">
        <v>480</v>
      </c>
      <c r="B174" s="659" t="s">
        <v>280</v>
      </c>
      <c r="C174" s="659" t="s">
        <v>281</v>
      </c>
      <c r="D174" s="659" t="s">
        <v>282</v>
      </c>
      <c r="E174" s="662" t="s">
        <v>283</v>
      </c>
      <c r="F174" s="675" t="s">
        <v>284</v>
      </c>
      <c r="G174" s="640" t="s">
        <v>285</v>
      </c>
      <c r="H174" s="640"/>
      <c r="I174" s="659" t="s">
        <v>286</v>
      </c>
      <c r="J174" s="665" t="s">
        <v>271</v>
      </c>
      <c r="K174" s="668" t="s">
        <v>287</v>
      </c>
      <c r="L174" s="659" t="s">
        <v>270</v>
      </c>
      <c r="M174" s="671" t="s">
        <v>288</v>
      </c>
      <c r="N174" s="673" t="s">
        <v>252</v>
      </c>
      <c r="O174" s="640" t="s">
        <v>289</v>
      </c>
      <c r="P174" s="640"/>
      <c r="Q174" s="640"/>
      <c r="R174" s="640"/>
      <c r="S174" s="640"/>
      <c r="T174" s="640"/>
      <c r="U174" s="640"/>
      <c r="V174" s="640" t="s">
        <v>290</v>
      </c>
      <c r="W174" s="673" t="s">
        <v>291</v>
      </c>
      <c r="X174" s="640" t="s">
        <v>292</v>
      </c>
      <c r="Y174" s="640"/>
      <c r="Z174" s="640"/>
      <c r="AA174" s="640"/>
    </row>
    <row r="175" spans="1:27" ht="21.95" customHeight="1">
      <c r="A175" s="657"/>
      <c r="B175" s="660"/>
      <c r="C175" s="660"/>
      <c r="D175" s="660"/>
      <c r="E175" s="663"/>
      <c r="F175" s="676"/>
      <c r="G175" s="640"/>
      <c r="H175" s="640"/>
      <c r="I175" s="660"/>
      <c r="J175" s="666"/>
      <c r="K175" s="669"/>
      <c r="L175" s="660"/>
      <c r="M175" s="672"/>
      <c r="N175" s="673"/>
      <c r="O175" s="640" t="s">
        <v>259</v>
      </c>
      <c r="P175" s="640" t="s">
        <v>261</v>
      </c>
      <c r="Q175" s="640" t="s">
        <v>263</v>
      </c>
      <c r="R175" s="674" t="s">
        <v>265</v>
      </c>
      <c r="S175" s="643" t="s">
        <v>267</v>
      </c>
      <c r="T175" s="640" t="s">
        <v>272</v>
      </c>
      <c r="U175" s="640" t="s">
        <v>264</v>
      </c>
      <c r="V175" s="640"/>
      <c r="W175" s="673"/>
      <c r="X175" s="640" t="s">
        <v>293</v>
      </c>
      <c r="Y175" s="640" t="s">
        <v>294</v>
      </c>
      <c r="Z175" s="640" t="s">
        <v>295</v>
      </c>
      <c r="AA175" s="640" t="s">
        <v>264</v>
      </c>
    </row>
    <row r="176" spans="1:27" ht="21.95" customHeight="1">
      <c r="A176" s="658"/>
      <c r="B176" s="661"/>
      <c r="C176" s="661"/>
      <c r="D176" s="661"/>
      <c r="E176" s="664"/>
      <c r="F176" s="677"/>
      <c r="G176" s="348" t="s">
        <v>524</v>
      </c>
      <c r="H176" s="484" t="s">
        <v>297</v>
      </c>
      <c r="I176" s="661"/>
      <c r="J176" s="667"/>
      <c r="K176" s="670"/>
      <c r="L176" s="661"/>
      <c r="M176" s="672"/>
      <c r="N176" s="673"/>
      <c r="O176" s="640"/>
      <c r="P176" s="640"/>
      <c r="Q176" s="640"/>
      <c r="R176" s="674"/>
      <c r="S176" s="643"/>
      <c r="T176" s="640"/>
      <c r="U176" s="640"/>
      <c r="V176" s="640"/>
      <c r="W176" s="673"/>
      <c r="X176" s="640"/>
      <c r="Y176" s="640"/>
      <c r="Z176" s="640"/>
      <c r="AA176" s="640"/>
    </row>
    <row r="177" spans="1:27" ht="20.100000000000001" hidden="1" customHeight="1">
      <c r="A177" s="299">
        <v>30100030</v>
      </c>
      <c r="B177" s="486" t="s">
        <v>178</v>
      </c>
      <c r="C177" s="126" t="s">
        <v>179</v>
      </c>
      <c r="D177" s="108">
        <v>5.03</v>
      </c>
      <c r="E177" s="108"/>
      <c r="F177" s="127"/>
      <c r="G177" s="128"/>
      <c r="H177" s="494">
        <f t="shared" ref="H177:H186" si="78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9">IF(ISERROR(I177-K177),"",I177-K177)</f>
        <v>0</v>
      </c>
      <c r="N177" s="130">
        <f>SUM(O177:U177)</f>
        <v>0</v>
      </c>
      <c r="O177" s="485"/>
      <c r="P177" s="485"/>
      <c r="Q177" s="485"/>
      <c r="R177" s="485"/>
      <c r="S177" s="485"/>
      <c r="T177" s="485"/>
      <c r="U177" s="485"/>
      <c r="V177" s="132">
        <f t="shared" ref="V177:V182" si="80">SUM(X177:AA177)</f>
        <v>0</v>
      </c>
      <c r="W177" s="133" t="str">
        <f t="shared" ref="W177:W182" si="81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494">
        <f t="shared" si="78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9"/>
        <v>0</v>
      </c>
      <c r="N178" s="130">
        <f t="shared" ref="N178:N186" si="82">SUM(O178:U178)</f>
        <v>0</v>
      </c>
      <c r="O178" s="485"/>
      <c r="P178" s="485"/>
      <c r="Q178" s="485"/>
      <c r="R178" s="485"/>
      <c r="S178" s="485"/>
      <c r="T178" s="485"/>
      <c r="U178" s="485"/>
      <c r="V178" s="132">
        <f t="shared" si="80"/>
        <v>0</v>
      </c>
      <c r="W178" s="133" t="str">
        <f t="shared" si="81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494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9"/>
        <v>0</v>
      </c>
      <c r="N179" s="130">
        <f t="shared" si="82"/>
        <v>0</v>
      </c>
      <c r="O179" s="485"/>
      <c r="P179" s="485"/>
      <c r="Q179" s="485"/>
      <c r="R179" s="485"/>
      <c r="S179" s="485"/>
      <c r="T179" s="485"/>
      <c r="U179" s="485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494">
        <f t="shared" si="78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9"/>
        <v>0</v>
      </c>
      <c r="N180" s="130">
        <f t="shared" si="82"/>
        <v>0</v>
      </c>
      <c r="O180" s="485"/>
      <c r="P180" s="485"/>
      <c r="Q180" s="485"/>
      <c r="R180" s="485"/>
      <c r="S180" s="485"/>
      <c r="T180" s="485"/>
      <c r="U180" s="485"/>
      <c r="V180" s="132">
        <f t="shared" si="80"/>
        <v>0</v>
      </c>
      <c r="W180" s="133" t="str">
        <f t="shared" si="81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494">
        <f t="shared" si="78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9"/>
        <v>0</v>
      </c>
      <c r="N181" s="130">
        <f t="shared" si="82"/>
        <v>0</v>
      </c>
      <c r="O181" s="485"/>
      <c r="P181" s="485"/>
      <c r="Q181" s="485"/>
      <c r="R181" s="485"/>
      <c r="S181" s="485"/>
      <c r="T181" s="485"/>
      <c r="U181" s="485"/>
      <c r="V181" s="132">
        <f t="shared" si="80"/>
        <v>0</v>
      </c>
      <c r="W181" s="133" t="str">
        <f t="shared" si="81"/>
        <v/>
      </c>
      <c r="X181" s="132"/>
      <c r="Y181" s="132"/>
      <c r="Z181" s="132"/>
      <c r="AA181" s="132"/>
    </row>
    <row r="182" spans="1:27" ht="20.10000000000000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27">
        <v>42715</v>
      </c>
      <c r="G182" s="128">
        <f>100*2+44</f>
        <v>244</v>
      </c>
      <c r="H182" s="494">
        <f t="shared" si="78"/>
        <v>1229.76</v>
      </c>
      <c r="I182" s="129">
        <f>11.5*4</f>
        <v>46</v>
      </c>
      <c r="J182" s="130">
        <f t="array" ref="J182">IF(ISERROR(G182/I182),"",G182/I182)</f>
        <v>5.3043478260869561</v>
      </c>
      <c r="K182" s="131">
        <f t="array" ref="K182">IF(ISERROR(G182/L182),"",G182/L182)</f>
        <v>12.842105263157896</v>
      </c>
      <c r="L182" s="129">
        <v>19</v>
      </c>
      <c r="M182" s="109">
        <f t="shared" si="79"/>
        <v>33.157894736842103</v>
      </c>
      <c r="N182" s="130">
        <f t="shared" si="82"/>
        <v>0</v>
      </c>
      <c r="O182" s="485"/>
      <c r="P182" s="485"/>
      <c r="Q182" s="485"/>
      <c r="R182" s="485"/>
      <c r="S182" s="485"/>
      <c r="T182" s="485"/>
      <c r="U182" s="485"/>
      <c r="V182" s="132">
        <f t="shared" si="80"/>
        <v>0</v>
      </c>
      <c r="W182" s="133">
        <f t="shared" si="81"/>
        <v>0</v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494">
        <f t="shared" si="78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9"/>
        <v>0</v>
      </c>
      <c r="N183" s="130">
        <f t="shared" si="82"/>
        <v>0</v>
      </c>
      <c r="O183" s="485"/>
      <c r="P183" s="485"/>
      <c r="Q183" s="485"/>
      <c r="R183" s="485"/>
      <c r="S183" s="485"/>
      <c r="T183" s="485"/>
      <c r="U183" s="485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494">
        <f t="shared" si="78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9"/>
        <v>0</v>
      </c>
      <c r="N184" s="130">
        <f t="shared" si="82"/>
        <v>0</v>
      </c>
      <c r="O184" s="485"/>
      <c r="P184" s="485"/>
      <c r="Q184" s="485"/>
      <c r="R184" s="485"/>
      <c r="S184" s="485"/>
      <c r="T184" s="485"/>
      <c r="U184" s="485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494">
        <f t="shared" si="78"/>
        <v>0</v>
      </c>
      <c r="I185" s="494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9"/>
        <v>0</v>
      </c>
      <c r="N185" s="130">
        <f t="shared" si="82"/>
        <v>0</v>
      </c>
      <c r="O185" s="485"/>
      <c r="P185" s="485"/>
      <c r="Q185" s="485"/>
      <c r="R185" s="485"/>
      <c r="S185" s="485"/>
      <c r="T185" s="485"/>
      <c r="U185" s="485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494">
        <f t="shared" si="78"/>
        <v>0</v>
      </c>
      <c r="I186" s="494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9"/>
        <v>0</v>
      </c>
      <c r="N186" s="130">
        <f t="shared" si="82"/>
        <v>0</v>
      </c>
      <c r="O186" s="485"/>
      <c r="P186" s="485"/>
      <c r="Q186" s="485"/>
      <c r="R186" s="485"/>
      <c r="S186" s="485"/>
      <c r="T186" s="485"/>
      <c r="U186" s="485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494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485"/>
      <c r="P187" s="485"/>
      <c r="Q187" s="485"/>
      <c r="R187" s="485"/>
      <c r="S187" s="485"/>
      <c r="T187" s="485"/>
      <c r="U187" s="485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494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85"/>
      <c r="P188" s="485"/>
      <c r="Q188" s="485"/>
      <c r="R188" s="485"/>
      <c r="S188" s="485"/>
      <c r="T188" s="485"/>
      <c r="U188" s="485"/>
      <c r="V188" s="132"/>
      <c r="W188" s="133"/>
      <c r="X188" s="132"/>
      <c r="Y188" s="132"/>
      <c r="Z188" s="132"/>
      <c r="AA188" s="132"/>
    </row>
    <row r="189" spans="1:27" ht="20.10000000000000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>
        <v>42714</v>
      </c>
      <c r="G189" s="128">
        <f>90+90</f>
        <v>180</v>
      </c>
      <c r="H189" s="494">
        <f t="shared" ref="H189:H197" si="83">D189*G189</f>
        <v>910.8</v>
      </c>
      <c r="I189" s="129">
        <v>9.5</v>
      </c>
      <c r="J189" s="130">
        <f t="array" ref="J189">IF(ISERROR(G189/I189),"",G189/I189)</f>
        <v>18.94736842105263</v>
      </c>
      <c r="K189" s="131">
        <f t="array" ref="K189">IF(ISERROR(G189/L189),"",G189/L189)</f>
        <v>9.473684210526315</v>
      </c>
      <c r="L189" s="129">
        <v>19</v>
      </c>
      <c r="M189" s="109">
        <f t="shared" ref="M189:M197" si="84">IF(ISERROR(I189-K189),"",I189-K189)</f>
        <v>2.6315789473684958E-2</v>
      </c>
      <c r="N189" s="130">
        <f t="shared" ref="N189:N191" si="85">SUM(O189:U189)</f>
        <v>0</v>
      </c>
      <c r="O189" s="485"/>
      <c r="P189" s="485"/>
      <c r="Q189" s="485"/>
      <c r="R189" s="485"/>
      <c r="S189" s="485"/>
      <c r="T189" s="485"/>
      <c r="U189" s="485"/>
      <c r="V189" s="132">
        <f t="shared" ref="V189:V191" si="86">SUM(X189:AA189)</f>
        <v>0</v>
      </c>
      <c r="W189" s="133">
        <f t="shared" ref="W189:W191" si="87">IF(ISERROR(V189/G189),"",V189/G189)</f>
        <v>0</v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494">
        <f t="shared" si="83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4"/>
        <v>0</v>
      </c>
      <c r="N190" s="130">
        <f t="shared" si="85"/>
        <v>0</v>
      </c>
      <c r="O190" s="485"/>
      <c r="P190" s="485"/>
      <c r="Q190" s="485"/>
      <c r="R190" s="485"/>
      <c r="S190" s="485"/>
      <c r="T190" s="485"/>
      <c r="U190" s="485"/>
      <c r="V190" s="132">
        <f t="shared" si="86"/>
        <v>0</v>
      </c>
      <c r="W190" s="133" t="str">
        <f t="shared" si="87"/>
        <v/>
      </c>
      <c r="X190" s="132"/>
      <c r="Y190" s="132"/>
      <c r="Z190" s="132"/>
      <c r="AA190" s="132"/>
    </row>
    <row r="191" spans="1:27" ht="20.10000000000000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>
        <v>42715</v>
      </c>
      <c r="G191" s="128">
        <f>7*100+56+100*3+10</f>
        <v>1066</v>
      </c>
      <c r="H191" s="494">
        <f t="shared" si="83"/>
        <v>5425.94</v>
      </c>
      <c r="I191" s="129">
        <f>4*5+7.5*5</f>
        <v>57.5</v>
      </c>
      <c r="J191" s="130">
        <f t="array" ref="J191">IF(ISERROR(G191/I191),"",G191/I191)</f>
        <v>18.53913043478261</v>
      </c>
      <c r="K191" s="131">
        <f t="array" ref="K191">IF(ISERROR(G191/L191),"",G191/L191)</f>
        <v>46.347826086956523</v>
      </c>
      <c r="L191" s="129">
        <v>23</v>
      </c>
      <c r="M191" s="109">
        <f t="shared" si="84"/>
        <v>11.152173913043477</v>
      </c>
      <c r="N191" s="130">
        <f t="shared" si="85"/>
        <v>0</v>
      </c>
      <c r="O191" s="485"/>
      <c r="P191" s="485"/>
      <c r="Q191" s="485"/>
      <c r="R191" s="485"/>
      <c r="S191" s="485"/>
      <c r="T191" s="485"/>
      <c r="U191" s="485"/>
      <c r="V191" s="132">
        <f t="shared" si="86"/>
        <v>0</v>
      </c>
      <c r="W191" s="133">
        <f t="shared" si="87"/>
        <v>0</v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484" t="s">
        <v>190</v>
      </c>
      <c r="D192" s="108">
        <v>4.8</v>
      </c>
      <c r="E192" s="108"/>
      <c r="F192" s="127"/>
      <c r="G192" s="128"/>
      <c r="H192" s="494">
        <f t="shared" si="83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4"/>
        <v>0</v>
      </c>
      <c r="N192" s="130"/>
      <c r="O192" s="485"/>
      <c r="P192" s="485"/>
      <c r="Q192" s="485"/>
      <c r="R192" s="485"/>
      <c r="S192" s="485"/>
      <c r="T192" s="485"/>
      <c r="U192" s="485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484" t="s">
        <v>187</v>
      </c>
      <c r="D193" s="108">
        <v>4.8</v>
      </c>
      <c r="E193" s="108"/>
      <c r="F193" s="127"/>
      <c r="G193" s="128"/>
      <c r="H193" s="494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485"/>
      <c r="P193" s="485"/>
      <c r="Q193" s="485"/>
      <c r="R193" s="485"/>
      <c r="S193" s="485"/>
      <c r="T193" s="485"/>
      <c r="U193" s="485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484" t="s">
        <v>179</v>
      </c>
      <c r="D194" s="108">
        <v>4.8</v>
      </c>
      <c r="E194" s="108"/>
      <c r="F194" s="127"/>
      <c r="G194" s="128"/>
      <c r="H194" s="494">
        <f t="shared" si="83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4"/>
        <v>0</v>
      </c>
      <c r="N194" s="130"/>
      <c r="O194" s="485"/>
      <c r="P194" s="485"/>
      <c r="Q194" s="485"/>
      <c r="R194" s="485"/>
      <c r="S194" s="485"/>
      <c r="T194" s="485"/>
      <c r="U194" s="485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484" t="s">
        <v>199</v>
      </c>
      <c r="D195" s="108">
        <v>4.8</v>
      </c>
      <c r="E195" s="108"/>
      <c r="F195" s="127"/>
      <c r="G195" s="128"/>
      <c r="H195" s="494">
        <f t="shared" si="83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4"/>
        <v>0</v>
      </c>
      <c r="N195" s="130"/>
      <c r="O195" s="485"/>
      <c r="P195" s="485"/>
      <c r="Q195" s="485"/>
      <c r="R195" s="485"/>
      <c r="S195" s="485"/>
      <c r="T195" s="485"/>
      <c r="U195" s="485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494">
        <f t="shared" si="83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4"/>
        <v>0</v>
      </c>
      <c r="N196" s="130">
        <f t="shared" ref="N196:N197" si="88">SUM(O196:U196)</f>
        <v>0</v>
      </c>
      <c r="O196" s="485"/>
      <c r="P196" s="485"/>
      <c r="Q196" s="485"/>
      <c r="R196" s="485"/>
      <c r="S196" s="485"/>
      <c r="T196" s="485"/>
      <c r="U196" s="485"/>
      <c r="V196" s="132">
        <f t="shared" ref="V196:V197" si="89">SUM(X196:AA196)</f>
        <v>0</v>
      </c>
      <c r="W196" s="133" t="str">
        <f t="shared" ref="W196:W197" si="90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494">
        <f t="shared" si="83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4"/>
        <v>0</v>
      </c>
      <c r="N197" s="130">
        <f t="shared" si="88"/>
        <v>0</v>
      </c>
      <c r="O197" s="485"/>
      <c r="P197" s="485"/>
      <c r="Q197" s="485"/>
      <c r="R197" s="485"/>
      <c r="S197" s="485"/>
      <c r="T197" s="485"/>
      <c r="U197" s="485"/>
      <c r="V197" s="132">
        <f t="shared" si="89"/>
        <v>0</v>
      </c>
      <c r="W197" s="133" t="str">
        <f t="shared" si="90"/>
        <v/>
      </c>
      <c r="X197" s="132"/>
      <c r="Y197" s="132"/>
      <c r="Z197" s="132"/>
      <c r="AA197" s="132"/>
    </row>
    <row r="198" spans="1:27" ht="20.100000000000001" customHeight="1">
      <c r="A198" s="630" t="s">
        <v>201</v>
      </c>
      <c r="B198" s="631"/>
      <c r="C198" s="492" t="s">
        <v>202</v>
      </c>
      <c r="D198" s="143"/>
      <c r="E198" s="143"/>
      <c r="F198" s="144"/>
      <c r="G198" s="145">
        <f>SUM(G177:G197)</f>
        <v>1490</v>
      </c>
      <c r="H198" s="146">
        <f>SUM(H177:H197)</f>
        <v>7566.5</v>
      </c>
      <c r="I198" s="146">
        <f>SUM(I177:I197)</f>
        <v>113</v>
      </c>
      <c r="J198" s="130">
        <f t="array" ref="J198">IF(ISERROR(G198/I198),"",G198/I198)</f>
        <v>13.185840707964601</v>
      </c>
      <c r="K198" s="146">
        <f>SUM(K177:K197)</f>
        <v>68.663615560640736</v>
      </c>
      <c r="L198" s="147"/>
      <c r="M198" s="150">
        <f t="shared" ref="M198:AA198" si="91">SUM(M177:M197)</f>
        <v>44.336384439359264</v>
      </c>
      <c r="N198" s="146">
        <f t="shared" si="91"/>
        <v>0</v>
      </c>
      <c r="O198" s="148">
        <f t="shared" si="91"/>
        <v>0</v>
      </c>
      <c r="P198" s="148">
        <f t="shared" si="91"/>
        <v>0</v>
      </c>
      <c r="Q198" s="148">
        <f t="shared" si="91"/>
        <v>0</v>
      </c>
      <c r="R198" s="148">
        <f t="shared" si="91"/>
        <v>0</v>
      </c>
      <c r="S198" s="148">
        <f t="shared" si="91"/>
        <v>0</v>
      </c>
      <c r="T198" s="148">
        <f t="shared" si="91"/>
        <v>0</v>
      </c>
      <c r="U198" s="148">
        <f t="shared" si="91"/>
        <v>0</v>
      </c>
      <c r="V198" s="149">
        <f t="shared" si="91"/>
        <v>0</v>
      </c>
      <c r="W198" s="133">
        <f t="shared" si="91"/>
        <v>0</v>
      </c>
      <c r="X198" s="149">
        <f t="shared" si="91"/>
        <v>0</v>
      </c>
      <c r="Y198" s="149">
        <f t="shared" si="91"/>
        <v>0</v>
      </c>
      <c r="Z198" s="149">
        <f t="shared" si="91"/>
        <v>0</v>
      </c>
      <c r="AA198" s="149">
        <f t="shared" si="91"/>
        <v>0</v>
      </c>
    </row>
    <row r="199" spans="1:27" ht="20.100000000000001" customHeight="1">
      <c r="A199" s="300">
        <v>30100012</v>
      </c>
      <c r="B199" s="486" t="s">
        <v>206</v>
      </c>
      <c r="C199" s="126" t="s">
        <v>199</v>
      </c>
      <c r="D199" s="108">
        <v>5.03</v>
      </c>
      <c r="E199" s="108"/>
      <c r="F199" s="127">
        <v>42718</v>
      </c>
      <c r="G199" s="128">
        <f>108*2+34</f>
        <v>250</v>
      </c>
      <c r="H199" s="494">
        <f t="shared" ref="H199:H255" si="92">D199*G199</f>
        <v>1257.5</v>
      </c>
      <c r="I199" s="129">
        <v>3</v>
      </c>
      <c r="J199" s="130">
        <f t="array" ref="J199">IF(ISERROR(G199/I199),"",G199/I199)</f>
        <v>83.333333333333329</v>
      </c>
      <c r="K199" s="131">
        <f t="array" ref="K199">IF(ISERROR(G199/L199),"",G199/L199)</f>
        <v>4.8076923076923075</v>
      </c>
      <c r="L199" s="129">
        <v>52</v>
      </c>
      <c r="M199" s="109">
        <f t="shared" ref="M199" si="93">IF(ISERROR(I199-K199),"",I199-K199)</f>
        <v>-1.8076923076923075</v>
      </c>
      <c r="N199" s="130">
        <f t="shared" ref="N199" si="94">SUM(O199:U199)</f>
        <v>0</v>
      </c>
      <c r="O199" s="489"/>
      <c r="P199" s="489"/>
      <c r="Q199" s="489"/>
      <c r="R199" s="489"/>
      <c r="S199" s="489"/>
      <c r="T199" s="489"/>
      <c r="U199" s="489"/>
      <c r="V199" s="132">
        <f t="shared" ref="V199" si="95">SUM(X199:AA199)</f>
        <v>0</v>
      </c>
      <c r="W199" s="133">
        <f t="shared" ref="W199" si="96">IF(ISERROR(V199/G199),"",V199/G199)</f>
        <v>0</v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486" t="s">
        <v>425</v>
      </c>
      <c r="C200" s="187" t="s">
        <v>427</v>
      </c>
      <c r="D200" s="108">
        <v>5.03</v>
      </c>
      <c r="E200" s="108"/>
      <c r="F200" s="127"/>
      <c r="G200" s="128"/>
      <c r="H200" s="494">
        <f t="shared" si="92"/>
        <v>0</v>
      </c>
      <c r="I200" s="129"/>
      <c r="J200" s="130"/>
      <c r="K200" s="131"/>
      <c r="L200" s="129">
        <v>52</v>
      </c>
      <c r="M200" s="109"/>
      <c r="N200" s="130"/>
      <c r="O200" s="489"/>
      <c r="P200" s="489"/>
      <c r="Q200" s="489"/>
      <c r="R200" s="489"/>
      <c r="S200" s="489"/>
      <c r="T200" s="489"/>
      <c r="U200" s="489"/>
      <c r="V200" s="132"/>
      <c r="W200" s="133"/>
      <c r="X200" s="132"/>
      <c r="Y200" s="132"/>
      <c r="Z200" s="132"/>
      <c r="AA200" s="132"/>
    </row>
    <row r="201" spans="1:27" ht="20.100000000000001" customHeight="1">
      <c r="A201" s="300">
        <v>30100010</v>
      </c>
      <c r="B201" s="486" t="s">
        <v>206</v>
      </c>
      <c r="C201" s="126" t="s">
        <v>186</v>
      </c>
      <c r="D201" s="108">
        <v>5.03</v>
      </c>
      <c r="E201" s="108"/>
      <c r="F201" s="127">
        <v>42718</v>
      </c>
      <c r="G201" s="128">
        <f>108*6+106</f>
        <v>754</v>
      </c>
      <c r="H201" s="494">
        <f t="shared" si="92"/>
        <v>3792.6200000000003</v>
      </c>
      <c r="I201" s="129">
        <v>8.5</v>
      </c>
      <c r="J201" s="130">
        <f t="array" ref="J201">IF(ISERROR(G201/I201),"",G201/I201)</f>
        <v>88.705882352941174</v>
      </c>
      <c r="K201" s="131">
        <f t="array" ref="K201">IF(ISERROR(G201/L201),"",G201/L201)</f>
        <v>14.5</v>
      </c>
      <c r="L201" s="129">
        <v>52</v>
      </c>
      <c r="M201" s="109">
        <f t="shared" ref="M201" si="97">IF(ISERROR(I201-K201),"",I201-K201)</f>
        <v>-6</v>
      </c>
      <c r="N201" s="130">
        <f t="shared" ref="N201:N203" si="98">SUM(O201:U201)</f>
        <v>0</v>
      </c>
      <c r="O201" s="489"/>
      <c r="P201" s="489"/>
      <c r="Q201" s="489"/>
      <c r="R201" s="489"/>
      <c r="S201" s="489"/>
      <c r="T201" s="489"/>
      <c r="U201" s="489"/>
      <c r="V201" s="132">
        <f t="shared" ref="V201:V203" si="99">SUM(X201:AA201)</f>
        <v>0</v>
      </c>
      <c r="W201" s="133">
        <f t="shared" ref="W201:W203" si="100">IF(ISERROR(V201/G201),"",V201/G201)</f>
        <v>0</v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486" t="s">
        <v>206</v>
      </c>
      <c r="C202" s="126" t="s">
        <v>203</v>
      </c>
      <c r="D202" s="108">
        <v>5.03</v>
      </c>
      <c r="E202" s="108"/>
      <c r="F202" s="127"/>
      <c r="G202" s="128"/>
      <c r="H202" s="494">
        <f t="shared" si="92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8"/>
        <v>0</v>
      </c>
      <c r="O202" s="489"/>
      <c r="P202" s="489"/>
      <c r="Q202" s="489"/>
      <c r="R202" s="489"/>
      <c r="S202" s="489"/>
      <c r="T202" s="489"/>
      <c r="U202" s="489"/>
      <c r="V202" s="132">
        <f t="shared" si="99"/>
        <v>0</v>
      </c>
      <c r="W202" s="133" t="str">
        <f t="shared" si="100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486" t="s">
        <v>206</v>
      </c>
      <c r="C203" s="126" t="s">
        <v>207</v>
      </c>
      <c r="D203" s="108">
        <v>5.03</v>
      </c>
      <c r="E203" s="108"/>
      <c r="F203" s="127"/>
      <c r="G203" s="128"/>
      <c r="H203" s="494">
        <f t="shared" si="92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1">IF(ISERROR(I203-K203),"",I203-K203)</f>
        <v>0</v>
      </c>
      <c r="N203" s="130">
        <f t="shared" si="98"/>
        <v>0</v>
      </c>
      <c r="O203" s="489"/>
      <c r="P203" s="489"/>
      <c r="Q203" s="489"/>
      <c r="R203" s="489"/>
      <c r="S203" s="489"/>
      <c r="T203" s="489"/>
      <c r="U203" s="489"/>
      <c r="V203" s="132">
        <f t="shared" si="99"/>
        <v>0</v>
      </c>
      <c r="W203" s="133" t="str">
        <f t="shared" si="100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486" t="s">
        <v>414</v>
      </c>
      <c r="C204" s="187" t="s">
        <v>415</v>
      </c>
      <c r="D204" s="108">
        <v>5.03</v>
      </c>
      <c r="E204" s="108"/>
      <c r="F204" s="127"/>
      <c r="G204" s="128"/>
      <c r="H204" s="494">
        <f t="shared" si="92"/>
        <v>0</v>
      </c>
      <c r="I204" s="129"/>
      <c r="J204" s="130"/>
      <c r="K204" s="131"/>
      <c r="L204" s="129">
        <v>52</v>
      </c>
      <c r="M204" s="109"/>
      <c r="N204" s="130"/>
      <c r="O204" s="489"/>
      <c r="P204" s="489"/>
      <c r="Q204" s="489"/>
      <c r="R204" s="489"/>
      <c r="S204" s="489"/>
      <c r="T204" s="489"/>
      <c r="U204" s="489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486" t="s">
        <v>414</v>
      </c>
      <c r="C205" s="187" t="s">
        <v>416</v>
      </c>
      <c r="D205" s="108">
        <v>5.03</v>
      </c>
      <c r="E205" s="108"/>
      <c r="F205" s="127"/>
      <c r="G205" s="128"/>
      <c r="H205" s="494">
        <f t="shared" si="92"/>
        <v>0</v>
      </c>
      <c r="I205" s="129"/>
      <c r="J205" s="130"/>
      <c r="K205" s="131"/>
      <c r="L205" s="129">
        <v>52</v>
      </c>
      <c r="M205" s="109"/>
      <c r="N205" s="130"/>
      <c r="O205" s="489"/>
      <c r="P205" s="489"/>
      <c r="Q205" s="489"/>
      <c r="R205" s="489"/>
      <c r="S205" s="489"/>
      <c r="T205" s="489"/>
      <c r="U205" s="489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486" t="s">
        <v>414</v>
      </c>
      <c r="C206" s="187" t="s">
        <v>61</v>
      </c>
      <c r="D206" s="108">
        <v>5.03</v>
      </c>
      <c r="E206" s="108"/>
      <c r="F206" s="127"/>
      <c r="G206" s="128"/>
      <c r="H206" s="494">
        <f t="shared" si="92"/>
        <v>0</v>
      </c>
      <c r="I206" s="129"/>
      <c r="J206" s="130"/>
      <c r="K206" s="131"/>
      <c r="L206" s="129">
        <v>52</v>
      </c>
      <c r="M206" s="109"/>
      <c r="N206" s="130"/>
      <c r="O206" s="489"/>
      <c r="P206" s="489"/>
      <c r="Q206" s="489"/>
      <c r="R206" s="489"/>
      <c r="S206" s="489"/>
      <c r="T206" s="489"/>
      <c r="U206" s="489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486" t="s">
        <v>208</v>
      </c>
      <c r="C207" s="126" t="s">
        <v>179</v>
      </c>
      <c r="D207" s="108">
        <v>5.08</v>
      </c>
      <c r="E207" s="108"/>
      <c r="F207" s="127"/>
      <c r="G207" s="128"/>
      <c r="H207" s="494">
        <f t="shared" si="92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2">IF(ISERROR(I207-K207),"",I207-K207)</f>
        <v>0</v>
      </c>
      <c r="N207" s="130">
        <f t="shared" ref="N207:N236" si="103">SUM(O207:U207)</f>
        <v>0</v>
      </c>
      <c r="O207" s="489"/>
      <c r="P207" s="489"/>
      <c r="Q207" s="489"/>
      <c r="R207" s="489"/>
      <c r="S207" s="489"/>
      <c r="T207" s="489"/>
      <c r="U207" s="489"/>
      <c r="V207" s="132">
        <f t="shared" ref="V207:V218" si="104">SUM(X207:AA207)</f>
        <v>0</v>
      </c>
      <c r="W207" s="133" t="str">
        <f t="shared" ref="W207:W218" si="105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486" t="s">
        <v>208</v>
      </c>
      <c r="C208" s="126" t="s">
        <v>204</v>
      </c>
      <c r="D208" s="108">
        <v>5.08</v>
      </c>
      <c r="E208" s="108"/>
      <c r="F208" s="127"/>
      <c r="G208" s="128"/>
      <c r="H208" s="494">
        <f t="shared" si="92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2"/>
        <v>0</v>
      </c>
      <c r="N208" s="130">
        <f t="shared" si="103"/>
        <v>0</v>
      </c>
      <c r="O208" s="489"/>
      <c r="P208" s="489"/>
      <c r="Q208" s="489"/>
      <c r="R208" s="489"/>
      <c r="S208" s="489"/>
      <c r="T208" s="489"/>
      <c r="U208" s="489"/>
      <c r="V208" s="132">
        <f t="shared" si="104"/>
        <v>0</v>
      </c>
      <c r="W208" s="133" t="str">
        <f t="shared" si="105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486" t="s">
        <v>208</v>
      </c>
      <c r="C209" s="126" t="s">
        <v>205</v>
      </c>
      <c r="D209" s="108">
        <v>5.08</v>
      </c>
      <c r="E209" s="108"/>
      <c r="F209" s="127"/>
      <c r="G209" s="128"/>
      <c r="H209" s="494">
        <f t="shared" si="92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489"/>
      <c r="P209" s="489"/>
      <c r="Q209" s="489"/>
      <c r="R209" s="489"/>
      <c r="S209" s="489"/>
      <c r="T209" s="489"/>
      <c r="U209" s="489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486" t="s">
        <v>208</v>
      </c>
      <c r="C210" s="126" t="s">
        <v>186</v>
      </c>
      <c r="D210" s="108">
        <v>5.08</v>
      </c>
      <c r="E210" s="108"/>
      <c r="F210" s="127"/>
      <c r="G210" s="128"/>
      <c r="H210" s="494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489"/>
      <c r="P210" s="489"/>
      <c r="Q210" s="489"/>
      <c r="R210" s="489"/>
      <c r="S210" s="489"/>
      <c r="T210" s="489"/>
      <c r="U210" s="489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486" t="s">
        <v>208</v>
      </c>
      <c r="C211" s="126" t="s">
        <v>203</v>
      </c>
      <c r="D211" s="108">
        <v>5.08</v>
      </c>
      <c r="E211" s="108"/>
      <c r="F211" s="127"/>
      <c r="G211" s="128"/>
      <c r="H211" s="494">
        <f t="shared" si="92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2"/>
        <v>0</v>
      </c>
      <c r="N211" s="130">
        <f t="shared" si="103"/>
        <v>0</v>
      </c>
      <c r="O211" s="489"/>
      <c r="P211" s="489"/>
      <c r="Q211" s="489"/>
      <c r="R211" s="489"/>
      <c r="S211" s="489"/>
      <c r="T211" s="489"/>
      <c r="U211" s="489"/>
      <c r="V211" s="132">
        <f t="shared" si="104"/>
        <v>0</v>
      </c>
      <c r="W211" s="133" t="str">
        <f t="shared" si="105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486" t="s">
        <v>208</v>
      </c>
      <c r="C212" s="126" t="s">
        <v>199</v>
      </c>
      <c r="D212" s="108">
        <v>5.08</v>
      </c>
      <c r="E212" s="108"/>
      <c r="F212" s="127"/>
      <c r="G212" s="128"/>
      <c r="H212" s="494">
        <f t="shared" si="92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2"/>
        <v>0</v>
      </c>
      <c r="N212" s="130">
        <f t="shared" si="103"/>
        <v>0</v>
      </c>
      <c r="O212" s="485"/>
      <c r="P212" s="485"/>
      <c r="Q212" s="485"/>
      <c r="R212" s="485"/>
      <c r="S212" s="485"/>
      <c r="T212" s="485"/>
      <c r="U212" s="485"/>
      <c r="V212" s="132">
        <f t="shared" si="104"/>
        <v>0</v>
      </c>
      <c r="W212" s="133" t="str">
        <f t="shared" si="105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486" t="s">
        <v>208</v>
      </c>
      <c r="C213" s="126" t="s">
        <v>187</v>
      </c>
      <c r="D213" s="108">
        <v>5.08</v>
      </c>
      <c r="E213" s="108"/>
      <c r="F213" s="127"/>
      <c r="G213" s="128"/>
      <c r="H213" s="494">
        <f t="shared" si="92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2"/>
        <v>0</v>
      </c>
      <c r="N213" s="130">
        <f t="shared" si="103"/>
        <v>0</v>
      </c>
      <c r="O213" s="489"/>
      <c r="P213" s="489"/>
      <c r="Q213" s="489"/>
      <c r="R213" s="489"/>
      <c r="S213" s="489"/>
      <c r="T213" s="489"/>
      <c r="U213" s="489"/>
      <c r="V213" s="132">
        <f t="shared" si="104"/>
        <v>0</v>
      </c>
      <c r="W213" s="133" t="str">
        <f t="shared" si="105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486" t="s">
        <v>208</v>
      </c>
      <c r="C214" s="126" t="s">
        <v>207</v>
      </c>
      <c r="D214" s="108">
        <v>5.08</v>
      </c>
      <c r="E214" s="108"/>
      <c r="F214" s="127"/>
      <c r="G214" s="128"/>
      <c r="H214" s="494">
        <f t="shared" si="92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2"/>
        <v>0</v>
      </c>
      <c r="N214" s="130">
        <f t="shared" si="103"/>
        <v>0</v>
      </c>
      <c r="O214" s="485"/>
      <c r="P214" s="485"/>
      <c r="Q214" s="485"/>
      <c r="R214" s="485"/>
      <c r="S214" s="485"/>
      <c r="T214" s="485"/>
      <c r="U214" s="485"/>
      <c r="V214" s="132">
        <f t="shared" si="104"/>
        <v>0</v>
      </c>
      <c r="W214" s="133" t="str">
        <f t="shared" si="105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486" t="s">
        <v>209</v>
      </c>
      <c r="C215" s="126" t="s">
        <v>194</v>
      </c>
      <c r="D215" s="108">
        <v>5.03</v>
      </c>
      <c r="E215" s="108"/>
      <c r="F215" s="127"/>
      <c r="G215" s="128"/>
      <c r="H215" s="494">
        <f t="shared" si="92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2"/>
        <v>0</v>
      </c>
      <c r="N215" s="130">
        <f t="shared" si="103"/>
        <v>0</v>
      </c>
      <c r="O215" s="489"/>
      <c r="P215" s="489"/>
      <c r="Q215" s="489"/>
      <c r="R215" s="489"/>
      <c r="S215" s="489"/>
      <c r="T215" s="489"/>
      <c r="U215" s="489"/>
      <c r="V215" s="132">
        <f t="shared" si="104"/>
        <v>0</v>
      </c>
      <c r="W215" s="133" t="str">
        <f t="shared" si="105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486" t="s">
        <v>209</v>
      </c>
      <c r="C216" s="126" t="s">
        <v>179</v>
      </c>
      <c r="D216" s="108">
        <v>5.03</v>
      </c>
      <c r="E216" s="108"/>
      <c r="F216" s="127"/>
      <c r="G216" s="128"/>
      <c r="H216" s="494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489"/>
      <c r="P216" s="489"/>
      <c r="Q216" s="489"/>
      <c r="R216" s="489"/>
      <c r="S216" s="489"/>
      <c r="T216" s="489"/>
      <c r="U216" s="489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486" t="s">
        <v>209</v>
      </c>
      <c r="C217" s="126" t="s">
        <v>195</v>
      </c>
      <c r="D217" s="108">
        <v>5.03</v>
      </c>
      <c r="E217" s="108"/>
      <c r="F217" s="127"/>
      <c r="G217" s="128"/>
      <c r="H217" s="494">
        <f t="shared" si="92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489"/>
      <c r="P217" s="489"/>
      <c r="Q217" s="489"/>
      <c r="R217" s="489"/>
      <c r="S217" s="489"/>
      <c r="T217" s="489"/>
      <c r="U217" s="489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486" t="s">
        <v>209</v>
      </c>
      <c r="C218" s="126" t="s">
        <v>204</v>
      </c>
      <c r="D218" s="108">
        <v>5.03</v>
      </c>
      <c r="E218" s="108"/>
      <c r="F218" s="127"/>
      <c r="G218" s="128"/>
      <c r="H218" s="494">
        <f t="shared" si="92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2"/>
        <v>0</v>
      </c>
      <c r="N218" s="130">
        <f t="shared" si="103"/>
        <v>0</v>
      </c>
      <c r="O218" s="489"/>
      <c r="P218" s="489"/>
      <c r="Q218" s="489"/>
      <c r="R218" s="489"/>
      <c r="S218" s="489"/>
      <c r="T218" s="489"/>
      <c r="U218" s="489"/>
      <c r="V218" s="132">
        <f t="shared" si="104"/>
        <v>0</v>
      </c>
      <c r="W218" s="133" t="str">
        <f t="shared" si="105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486" t="s">
        <v>382</v>
      </c>
      <c r="C219" s="187" t="s">
        <v>383</v>
      </c>
      <c r="D219" s="108">
        <v>5.03</v>
      </c>
      <c r="E219" s="108"/>
      <c r="F219" s="127"/>
      <c r="G219" s="128"/>
      <c r="H219" s="494">
        <f t="shared" si="92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2"/>
        <v>0</v>
      </c>
      <c r="N219" s="130">
        <f t="shared" si="103"/>
        <v>0</v>
      </c>
      <c r="O219" s="489"/>
      <c r="P219" s="489"/>
      <c r="Q219" s="489"/>
      <c r="R219" s="489"/>
      <c r="S219" s="489"/>
      <c r="T219" s="489"/>
      <c r="U219" s="489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486" t="s">
        <v>382</v>
      </c>
      <c r="C220" s="187" t="s">
        <v>384</v>
      </c>
      <c r="D220" s="108">
        <v>5.03</v>
      </c>
      <c r="E220" s="108"/>
      <c r="F220" s="127"/>
      <c r="G220" s="128"/>
      <c r="H220" s="494">
        <f t="shared" si="92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489"/>
      <c r="P220" s="489"/>
      <c r="Q220" s="489"/>
      <c r="R220" s="489"/>
      <c r="S220" s="489"/>
      <c r="T220" s="489"/>
      <c r="U220" s="489"/>
      <c r="V220" s="132"/>
      <c r="W220" s="133"/>
      <c r="X220" s="132"/>
      <c r="Y220" s="132"/>
      <c r="Z220" s="132"/>
      <c r="AA220" s="132"/>
    </row>
    <row r="221" spans="1:27" ht="20.100000000000001" customHeight="1">
      <c r="A221" s="300">
        <v>30100021</v>
      </c>
      <c r="B221" s="486" t="s">
        <v>382</v>
      </c>
      <c r="C221" s="187" t="s">
        <v>389</v>
      </c>
      <c r="D221" s="108">
        <v>5.03</v>
      </c>
      <c r="E221" s="108"/>
      <c r="F221" s="127">
        <v>42716</v>
      </c>
      <c r="G221" s="128">
        <f>90*2+36</f>
        <v>216</v>
      </c>
      <c r="H221" s="494">
        <f t="shared" si="92"/>
        <v>1086.48</v>
      </c>
      <c r="I221" s="129">
        <v>5.5</v>
      </c>
      <c r="J221" s="130">
        <f t="array" ref="J221">IF(ISERROR(G221/I221),"",G221/I221)</f>
        <v>39.272727272727273</v>
      </c>
      <c r="K221" s="131">
        <f t="array" ref="K221">IF(ISERROR(G221/L221),"",G221/L221)</f>
        <v>4</v>
      </c>
      <c r="L221" s="129">
        <v>54</v>
      </c>
      <c r="M221" s="109">
        <f t="shared" si="102"/>
        <v>1.5</v>
      </c>
      <c r="N221" s="130">
        <f t="shared" si="103"/>
        <v>0</v>
      </c>
      <c r="O221" s="489"/>
      <c r="P221" s="489"/>
      <c r="Q221" s="489"/>
      <c r="R221" s="489"/>
      <c r="S221" s="489"/>
      <c r="T221" s="489"/>
      <c r="U221" s="489"/>
      <c r="V221" s="132"/>
      <c r="W221" s="133"/>
      <c r="X221" s="132"/>
      <c r="Y221" s="132"/>
      <c r="Z221" s="132"/>
      <c r="AA221" s="132"/>
    </row>
    <row r="222" spans="1:27" ht="20.100000000000001" customHeight="1">
      <c r="A222" s="300">
        <v>30100018</v>
      </c>
      <c r="B222" s="486" t="s">
        <v>382</v>
      </c>
      <c r="C222" s="187" t="s">
        <v>391</v>
      </c>
      <c r="D222" s="108">
        <v>5.03</v>
      </c>
      <c r="E222" s="108"/>
      <c r="F222" s="127">
        <v>42716</v>
      </c>
      <c r="G222" s="128">
        <f>90*3+74</f>
        <v>344</v>
      </c>
      <c r="H222" s="494">
        <f t="shared" si="92"/>
        <v>1730.3200000000002</v>
      </c>
      <c r="I222" s="129">
        <v>6</v>
      </c>
      <c r="J222" s="130">
        <f t="array" ref="J222">IF(ISERROR(G222/I222),"",G222/I222)</f>
        <v>57.333333333333336</v>
      </c>
      <c r="K222" s="131">
        <f t="array" ref="K222">IF(ISERROR(G222/L222),"",G222/L222)</f>
        <v>6.3703703703703702</v>
      </c>
      <c r="L222" s="129">
        <v>54</v>
      </c>
      <c r="M222" s="109">
        <f t="shared" si="102"/>
        <v>-0.37037037037037024</v>
      </c>
      <c r="N222" s="130">
        <f t="shared" si="103"/>
        <v>0</v>
      </c>
      <c r="O222" s="489"/>
      <c r="P222" s="489"/>
      <c r="Q222" s="489"/>
      <c r="R222" s="489"/>
      <c r="S222" s="489"/>
      <c r="T222" s="489"/>
      <c r="U222" s="489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486" t="s">
        <v>418</v>
      </c>
      <c r="C223" s="187" t="s">
        <v>364</v>
      </c>
      <c r="D223" s="108">
        <v>5.03</v>
      </c>
      <c r="E223" s="108"/>
      <c r="F223" s="127"/>
      <c r="G223" s="128"/>
      <c r="H223" s="494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2"/>
        <v>0</v>
      </c>
      <c r="N223" s="130">
        <f t="shared" si="103"/>
        <v>0</v>
      </c>
      <c r="O223" s="489"/>
      <c r="P223" s="489"/>
      <c r="Q223" s="489"/>
      <c r="R223" s="489"/>
      <c r="S223" s="489"/>
      <c r="T223" s="489"/>
      <c r="U223" s="489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486" t="s">
        <v>418</v>
      </c>
      <c r="C224" s="187" t="s">
        <v>365</v>
      </c>
      <c r="D224" s="108">
        <v>5.03</v>
      </c>
      <c r="E224" s="108"/>
      <c r="F224" s="127"/>
      <c r="G224" s="128"/>
      <c r="H224" s="494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489"/>
      <c r="P224" s="489"/>
      <c r="Q224" s="489"/>
      <c r="R224" s="489"/>
      <c r="S224" s="489"/>
      <c r="T224" s="489"/>
      <c r="U224" s="489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486" t="s">
        <v>418</v>
      </c>
      <c r="C225" s="187" t="s">
        <v>366</v>
      </c>
      <c r="D225" s="108">
        <v>5.03</v>
      </c>
      <c r="E225" s="108"/>
      <c r="F225" s="127"/>
      <c r="G225" s="128"/>
      <c r="H225" s="494">
        <f t="shared" si="92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489"/>
      <c r="P225" s="489"/>
      <c r="Q225" s="489"/>
      <c r="R225" s="489"/>
      <c r="S225" s="489"/>
      <c r="T225" s="489"/>
      <c r="U225" s="489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486" t="s">
        <v>418</v>
      </c>
      <c r="C226" s="187" t="s">
        <v>367</v>
      </c>
      <c r="D226" s="108">
        <v>5.03</v>
      </c>
      <c r="E226" s="108"/>
      <c r="F226" s="127"/>
      <c r="G226" s="128"/>
      <c r="H226" s="494">
        <f t="shared" si="92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489"/>
      <c r="P226" s="489"/>
      <c r="Q226" s="489"/>
      <c r="R226" s="489"/>
      <c r="S226" s="489"/>
      <c r="T226" s="489"/>
      <c r="U226" s="489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494">
        <f t="shared" si="92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2"/>
        <v>0</v>
      </c>
      <c r="N227" s="130">
        <f t="shared" si="103"/>
        <v>0</v>
      </c>
      <c r="O227" s="485"/>
      <c r="P227" s="485"/>
      <c r="Q227" s="485"/>
      <c r="R227" s="485"/>
      <c r="S227" s="485"/>
      <c r="T227" s="485"/>
      <c r="U227" s="485"/>
      <c r="V227" s="132">
        <f t="shared" ref="V227:V236" si="106">SUM(X227:AA227)</f>
        <v>0</v>
      </c>
      <c r="W227" s="133" t="str">
        <f t="shared" ref="W227:W236" si="107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494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485"/>
      <c r="P228" s="485"/>
      <c r="Q228" s="485"/>
      <c r="R228" s="485"/>
      <c r="S228" s="485"/>
      <c r="T228" s="485"/>
      <c r="U228" s="485"/>
      <c r="V228" s="132">
        <f t="shared" si="106"/>
        <v>0</v>
      </c>
      <c r="W228" s="133" t="str">
        <f t="shared" si="107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494">
        <f t="shared" si="92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2"/>
        <v>0</v>
      </c>
      <c r="N229" s="130">
        <f t="shared" si="103"/>
        <v>0</v>
      </c>
      <c r="O229" s="485"/>
      <c r="P229" s="485"/>
      <c r="Q229" s="485"/>
      <c r="R229" s="485"/>
      <c r="S229" s="485"/>
      <c r="T229" s="485"/>
      <c r="U229" s="485"/>
      <c r="V229" s="132">
        <f t="shared" si="106"/>
        <v>0</v>
      </c>
      <c r="W229" s="133" t="str">
        <f t="shared" si="107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494">
        <f t="shared" si="92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2"/>
        <v>0</v>
      </c>
      <c r="N230" s="130">
        <f t="shared" si="103"/>
        <v>0</v>
      </c>
      <c r="O230" s="485"/>
      <c r="P230" s="485"/>
      <c r="Q230" s="485"/>
      <c r="R230" s="485"/>
      <c r="S230" s="485"/>
      <c r="T230" s="485"/>
      <c r="U230" s="485"/>
      <c r="V230" s="132">
        <f t="shared" si="106"/>
        <v>0</v>
      </c>
      <c r="W230" s="133" t="str">
        <f t="shared" si="107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494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485"/>
      <c r="P231" s="485"/>
      <c r="Q231" s="485"/>
      <c r="R231" s="485"/>
      <c r="S231" s="485"/>
      <c r="T231" s="485"/>
      <c r="U231" s="485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494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485"/>
      <c r="P232" s="485"/>
      <c r="Q232" s="485"/>
      <c r="R232" s="485"/>
      <c r="S232" s="485"/>
      <c r="T232" s="485"/>
      <c r="U232" s="485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494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485"/>
      <c r="P233" s="485"/>
      <c r="Q233" s="485"/>
      <c r="R233" s="485"/>
      <c r="S233" s="485"/>
      <c r="T233" s="485"/>
      <c r="U233" s="485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494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485"/>
      <c r="P234" s="485"/>
      <c r="Q234" s="485"/>
      <c r="R234" s="485"/>
      <c r="S234" s="485"/>
      <c r="T234" s="485"/>
      <c r="U234" s="485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494">
        <f t="shared" si="92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2"/>
        <v>0</v>
      </c>
      <c r="N235" s="130">
        <f t="shared" si="103"/>
        <v>0</v>
      </c>
      <c r="O235" s="485"/>
      <c r="P235" s="485"/>
      <c r="Q235" s="485"/>
      <c r="R235" s="485"/>
      <c r="S235" s="485"/>
      <c r="T235" s="485"/>
      <c r="U235" s="485"/>
      <c r="V235" s="132">
        <f t="shared" si="106"/>
        <v>0</v>
      </c>
      <c r="W235" s="133" t="str">
        <f t="shared" si="107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494">
        <f t="shared" si="92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2"/>
        <v>0</v>
      </c>
      <c r="N236" s="130">
        <f t="shared" si="103"/>
        <v>0</v>
      </c>
      <c r="O236" s="485"/>
      <c r="P236" s="485"/>
      <c r="Q236" s="485"/>
      <c r="R236" s="485"/>
      <c r="S236" s="485"/>
      <c r="T236" s="485"/>
      <c r="U236" s="485"/>
      <c r="V236" s="132">
        <f t="shared" si="106"/>
        <v>0</v>
      </c>
      <c r="W236" s="133" t="str">
        <f t="shared" si="107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430</v>
      </c>
      <c r="C237" s="187" t="s">
        <v>427</v>
      </c>
      <c r="D237" s="108">
        <v>5.03</v>
      </c>
      <c r="E237" s="108"/>
      <c r="F237" s="127"/>
      <c r="G237" s="128"/>
      <c r="H237" s="494">
        <f t="shared" si="92"/>
        <v>0</v>
      </c>
      <c r="I237" s="129"/>
      <c r="J237" s="130"/>
      <c r="K237" s="131"/>
      <c r="L237" s="129">
        <v>50</v>
      </c>
      <c r="M237" s="109"/>
      <c r="N237" s="130"/>
      <c r="O237" s="485"/>
      <c r="P237" s="485"/>
      <c r="Q237" s="485"/>
      <c r="R237" s="485"/>
      <c r="S237" s="485"/>
      <c r="T237" s="485"/>
      <c r="U237" s="485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494">
        <f t="shared" si="92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8">IF(ISERROR(I238-K238),"",I238-K238)</f>
        <v>0</v>
      </c>
      <c r="N238" s="130"/>
      <c r="O238" s="485"/>
      <c r="P238" s="485"/>
      <c r="Q238" s="485"/>
      <c r="R238" s="485"/>
      <c r="S238" s="485"/>
      <c r="T238" s="485"/>
      <c r="U238" s="485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494">
        <f t="shared" si="92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8"/>
        <v>0</v>
      </c>
      <c r="N239" s="130">
        <f t="shared" ref="N239:N240" si="109">SUM(O239:U239)</f>
        <v>0</v>
      </c>
      <c r="O239" s="485"/>
      <c r="P239" s="485"/>
      <c r="Q239" s="485"/>
      <c r="R239" s="485"/>
      <c r="S239" s="485"/>
      <c r="T239" s="485"/>
      <c r="U239" s="485"/>
      <c r="V239" s="132">
        <f t="shared" ref="V239:V240" si="110">SUM(X239:AA239)</f>
        <v>0</v>
      </c>
      <c r="W239" s="133" t="str">
        <f t="shared" ref="W239:W240" si="111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494">
        <f t="shared" si="92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si="109"/>
        <v>0</v>
      </c>
      <c r="O240" s="485"/>
      <c r="P240" s="485"/>
      <c r="Q240" s="485"/>
      <c r="R240" s="485"/>
      <c r="S240" s="485"/>
      <c r="T240" s="485"/>
      <c r="U240" s="485"/>
      <c r="V240" s="132">
        <f t="shared" si="110"/>
        <v>0</v>
      </c>
      <c r="W240" s="133" t="str">
        <f t="shared" si="111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494">
        <f t="shared" si="92"/>
        <v>0</v>
      </c>
      <c r="I241" s="129"/>
      <c r="J241" s="130"/>
      <c r="K241" s="131"/>
      <c r="L241" s="129"/>
      <c r="M241" s="109">
        <f t="shared" si="108"/>
        <v>0</v>
      </c>
      <c r="N241" s="130"/>
      <c r="O241" s="485"/>
      <c r="P241" s="485"/>
      <c r="Q241" s="485"/>
      <c r="R241" s="485"/>
      <c r="S241" s="485"/>
      <c r="T241" s="485"/>
      <c r="U241" s="485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494">
        <f t="shared" si="92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8"/>
        <v/>
      </c>
      <c r="N242" s="130">
        <f t="shared" ref="N242:N245" si="112">SUM(O242:U242)</f>
        <v>0</v>
      </c>
      <c r="O242" s="485"/>
      <c r="P242" s="485"/>
      <c r="Q242" s="485"/>
      <c r="R242" s="485"/>
      <c r="S242" s="485"/>
      <c r="T242" s="485"/>
      <c r="U242" s="485"/>
      <c r="V242" s="132">
        <f t="shared" ref="V242:V245" si="113">SUM(X242:AA242)</f>
        <v>0</v>
      </c>
      <c r="W242" s="133" t="str">
        <f t="shared" ref="W242:W245" si="114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494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si="112"/>
        <v>0</v>
      </c>
      <c r="O243" s="485"/>
      <c r="P243" s="485"/>
      <c r="Q243" s="485"/>
      <c r="R243" s="485"/>
      <c r="S243" s="485"/>
      <c r="T243" s="485"/>
      <c r="U243" s="485"/>
      <c r="V243" s="132">
        <f t="shared" si="113"/>
        <v>0</v>
      </c>
      <c r="W243" s="133" t="str">
        <f t="shared" si="114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494">
        <f t="shared" si="92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485"/>
      <c r="P244" s="485"/>
      <c r="Q244" s="485"/>
      <c r="R244" s="485"/>
      <c r="S244" s="485"/>
      <c r="T244" s="485"/>
      <c r="U244" s="485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494">
        <f t="shared" si="92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485"/>
      <c r="P245" s="485"/>
      <c r="Q245" s="485"/>
      <c r="R245" s="485"/>
      <c r="S245" s="485"/>
      <c r="T245" s="485"/>
      <c r="U245" s="485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494">
        <f t="shared" si="92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8"/>
        <v>0</v>
      </c>
      <c r="N246" s="130"/>
      <c r="O246" s="485"/>
      <c r="P246" s="485"/>
      <c r="Q246" s="485"/>
      <c r="R246" s="485"/>
      <c r="S246" s="485"/>
      <c r="T246" s="485"/>
      <c r="U246" s="485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494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485"/>
      <c r="P247" s="485"/>
      <c r="Q247" s="485"/>
      <c r="R247" s="485"/>
      <c r="S247" s="485"/>
      <c r="T247" s="485"/>
      <c r="U247" s="485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494">
        <f t="shared" si="92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485"/>
      <c r="P248" s="485"/>
      <c r="Q248" s="485"/>
      <c r="R248" s="485"/>
      <c r="S248" s="485"/>
      <c r="T248" s="485"/>
      <c r="U248" s="485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494">
        <f t="shared" si="92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485"/>
      <c r="P249" s="485"/>
      <c r="Q249" s="485"/>
      <c r="R249" s="485"/>
      <c r="S249" s="485"/>
      <c r="T249" s="485"/>
      <c r="U249" s="485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494">
        <f t="shared" si="92"/>
        <v>0</v>
      </c>
      <c r="I250" s="129"/>
      <c r="J250" s="130"/>
      <c r="K250" s="131"/>
      <c r="L250" s="129">
        <v>4</v>
      </c>
      <c r="M250" s="109"/>
      <c r="N250" s="130"/>
      <c r="O250" s="485"/>
      <c r="P250" s="485"/>
      <c r="Q250" s="485"/>
      <c r="R250" s="485"/>
      <c r="S250" s="485"/>
      <c r="T250" s="485"/>
      <c r="U250" s="485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494">
        <f t="shared" si="92"/>
        <v>0</v>
      </c>
      <c r="I251" s="129"/>
      <c r="J251" s="130"/>
      <c r="K251" s="131"/>
      <c r="L251" s="129">
        <v>4</v>
      </c>
      <c r="M251" s="109"/>
      <c r="N251" s="130"/>
      <c r="O251" s="485"/>
      <c r="P251" s="485"/>
      <c r="Q251" s="485"/>
      <c r="R251" s="485"/>
      <c r="S251" s="485"/>
      <c r="T251" s="485"/>
      <c r="U251" s="485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494">
        <f t="shared" si="92"/>
        <v>0</v>
      </c>
      <c r="I252" s="129"/>
      <c r="J252" s="130"/>
      <c r="K252" s="131"/>
      <c r="L252" s="129">
        <v>4</v>
      </c>
      <c r="M252" s="109"/>
      <c r="N252" s="130"/>
      <c r="O252" s="485"/>
      <c r="P252" s="485"/>
      <c r="Q252" s="485"/>
      <c r="R252" s="485"/>
      <c r="S252" s="485"/>
      <c r="T252" s="485"/>
      <c r="U252" s="485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494">
        <f t="shared" si="92"/>
        <v>0</v>
      </c>
      <c r="I253" s="129"/>
      <c r="J253" s="130"/>
      <c r="K253" s="131"/>
      <c r="L253" s="129">
        <v>4</v>
      </c>
      <c r="M253" s="109"/>
      <c r="N253" s="130"/>
      <c r="O253" s="485"/>
      <c r="P253" s="485"/>
      <c r="Q253" s="485"/>
      <c r="R253" s="485"/>
      <c r="S253" s="485"/>
      <c r="T253" s="485"/>
      <c r="U253" s="485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494">
        <f t="shared" si="92"/>
        <v>0</v>
      </c>
      <c r="I254" s="129"/>
      <c r="J254" s="130"/>
      <c r="K254" s="131"/>
      <c r="L254" s="129">
        <v>4</v>
      </c>
      <c r="M254" s="109"/>
      <c r="N254" s="130"/>
      <c r="O254" s="485"/>
      <c r="P254" s="485"/>
      <c r="Q254" s="485"/>
      <c r="R254" s="485"/>
      <c r="S254" s="485"/>
      <c r="T254" s="485"/>
      <c r="U254" s="485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494">
        <f t="shared" si="92"/>
        <v>0</v>
      </c>
      <c r="I255" s="129"/>
      <c r="J255" s="130"/>
      <c r="K255" s="131"/>
      <c r="L255" s="129">
        <v>4</v>
      </c>
      <c r="M255" s="109"/>
      <c r="N255" s="130"/>
      <c r="O255" s="485"/>
      <c r="P255" s="485"/>
      <c r="Q255" s="485"/>
      <c r="R255" s="485"/>
      <c r="S255" s="485"/>
      <c r="T255" s="485"/>
      <c r="U255" s="485"/>
      <c r="V255" s="132"/>
      <c r="W255" s="133"/>
      <c r="X255" s="132"/>
      <c r="Y255" s="132"/>
      <c r="Z255" s="132"/>
      <c r="AA255" s="132"/>
    </row>
    <row r="256" spans="1:27" ht="20.100000000000001" customHeight="1">
      <c r="A256" s="641" t="s">
        <v>216</v>
      </c>
      <c r="B256" s="641"/>
      <c r="C256" s="492" t="s">
        <v>202</v>
      </c>
      <c r="D256" s="143"/>
      <c r="E256" s="143"/>
      <c r="F256" s="144"/>
      <c r="G256" s="145">
        <f>SUM(G199:G255)</f>
        <v>1564</v>
      </c>
      <c r="H256" s="146">
        <f>SUM(H199:H255)</f>
        <v>7866.92</v>
      </c>
      <c r="I256" s="146">
        <f>SUM(I199:I255)</f>
        <v>23</v>
      </c>
      <c r="J256" s="130">
        <f t="array" ref="J256">IF(ISERROR(G256/I256),"",G256/I256)</f>
        <v>68</v>
      </c>
      <c r="K256" s="146">
        <f>SUM(K199:K255)</f>
        <v>29.678062678062677</v>
      </c>
      <c r="L256" s="147"/>
      <c r="M256" s="150">
        <f t="shared" ref="M256:V256" si="115">SUM(M199:M255)</f>
        <v>-6.6780626780626777</v>
      </c>
      <c r="N256" s="146">
        <f t="shared" si="115"/>
        <v>0</v>
      </c>
      <c r="O256" s="148">
        <f t="shared" si="115"/>
        <v>0</v>
      </c>
      <c r="P256" s="148">
        <f t="shared" si="115"/>
        <v>0</v>
      </c>
      <c r="Q256" s="148">
        <f t="shared" si="115"/>
        <v>0</v>
      </c>
      <c r="R256" s="148">
        <f t="shared" si="115"/>
        <v>0</v>
      </c>
      <c r="S256" s="148">
        <f t="shared" si="115"/>
        <v>0</v>
      </c>
      <c r="T256" s="148">
        <f t="shared" si="115"/>
        <v>0</v>
      </c>
      <c r="U256" s="148">
        <f t="shared" si="115"/>
        <v>0</v>
      </c>
      <c r="V256" s="149">
        <f t="shared" si="115"/>
        <v>0</v>
      </c>
      <c r="W256" s="133">
        <f t="shared" ref="W256:W263" si="116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486" t="s">
        <v>217</v>
      </c>
      <c r="C257" s="126" t="s">
        <v>179</v>
      </c>
      <c r="D257" s="108">
        <v>5.03</v>
      </c>
      <c r="E257" s="108"/>
      <c r="F257" s="127"/>
      <c r="G257" s="128"/>
      <c r="H257" s="494">
        <f t="shared" ref="H257:H290" si="117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8">IF(ISERROR(I257-K257),"",I257-K257)</f>
        <v>0</v>
      </c>
      <c r="N257" s="130">
        <f t="shared" ref="N257:N264" si="119">SUM(O257:U257)</f>
        <v>0</v>
      </c>
      <c r="O257" s="485"/>
      <c r="P257" s="485"/>
      <c r="Q257" s="485"/>
      <c r="R257" s="485"/>
      <c r="S257" s="485"/>
      <c r="T257" s="485"/>
      <c r="U257" s="485"/>
      <c r="V257" s="132">
        <f t="shared" ref="V257:V263" si="120">SUM(X257:AA257)</f>
        <v>0</v>
      </c>
      <c r="W257" s="133" t="str">
        <f t="shared" si="116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486" t="s">
        <v>217</v>
      </c>
      <c r="C258" s="126" t="s">
        <v>186</v>
      </c>
      <c r="D258" s="108">
        <v>5.03</v>
      </c>
      <c r="E258" s="108"/>
      <c r="F258" s="127"/>
      <c r="G258" s="128"/>
      <c r="H258" s="494">
        <f t="shared" si="117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8"/>
        <v>0</v>
      </c>
      <c r="N258" s="130">
        <f t="shared" si="119"/>
        <v>0</v>
      </c>
      <c r="O258" s="485"/>
      <c r="P258" s="485"/>
      <c r="Q258" s="485"/>
      <c r="R258" s="485"/>
      <c r="S258" s="485"/>
      <c r="T258" s="485"/>
      <c r="U258" s="485"/>
      <c r="V258" s="132">
        <f t="shared" si="120"/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486" t="s">
        <v>217</v>
      </c>
      <c r="C259" s="126" t="s">
        <v>204</v>
      </c>
      <c r="D259" s="108">
        <v>5.03</v>
      </c>
      <c r="E259" s="108"/>
      <c r="F259" s="127"/>
      <c r="G259" s="128"/>
      <c r="H259" s="494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485"/>
      <c r="P259" s="485"/>
      <c r="Q259" s="485"/>
      <c r="R259" s="485"/>
      <c r="S259" s="485"/>
      <c r="T259" s="485"/>
      <c r="U259" s="485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494">
        <f t="shared" si="117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8"/>
        <v>0</v>
      </c>
      <c r="N260" s="130">
        <f t="shared" si="119"/>
        <v>0</v>
      </c>
      <c r="O260" s="485"/>
      <c r="P260" s="485"/>
      <c r="Q260" s="485"/>
      <c r="R260" s="485"/>
      <c r="S260" s="485"/>
      <c r="T260" s="485"/>
      <c r="U260" s="485"/>
      <c r="V260" s="132">
        <f t="shared" si="120"/>
        <v>0</v>
      </c>
      <c r="W260" s="133" t="str">
        <f t="shared" si="116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494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485"/>
      <c r="P261" s="485"/>
      <c r="Q261" s="485"/>
      <c r="R261" s="485"/>
      <c r="S261" s="485"/>
      <c r="T261" s="485"/>
      <c r="U261" s="485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494">
        <f t="shared" si="117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8"/>
        <v>0</v>
      </c>
      <c r="N262" s="130">
        <f t="shared" si="119"/>
        <v>0</v>
      </c>
      <c r="O262" s="485"/>
      <c r="P262" s="485"/>
      <c r="Q262" s="485"/>
      <c r="R262" s="485"/>
      <c r="S262" s="485"/>
      <c r="T262" s="485"/>
      <c r="U262" s="485"/>
      <c r="V262" s="132">
        <f t="shared" si="120"/>
        <v>0</v>
      </c>
      <c r="W262" s="133" t="str">
        <f t="shared" si="116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494">
        <f t="shared" si="117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8"/>
        <v>0</v>
      </c>
      <c r="N263" s="130">
        <f t="shared" si="119"/>
        <v>0</v>
      </c>
      <c r="O263" s="485"/>
      <c r="P263" s="485"/>
      <c r="Q263" s="485"/>
      <c r="R263" s="485"/>
      <c r="S263" s="485"/>
      <c r="T263" s="485"/>
      <c r="U263" s="485"/>
      <c r="V263" s="132">
        <f t="shared" si="120"/>
        <v>0</v>
      </c>
      <c r="W263" s="133" t="str">
        <f t="shared" si="116"/>
        <v/>
      </c>
      <c r="X263" s="132"/>
      <c r="Y263" s="132"/>
      <c r="Z263" s="132"/>
      <c r="AA263" s="132"/>
    </row>
    <row r="264" spans="1:27" ht="20.10000000000000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>
        <v>42718</v>
      </c>
      <c r="G264" s="128">
        <v>62</v>
      </c>
      <c r="H264" s="494">
        <f t="shared" si="117"/>
        <v>311.86</v>
      </c>
      <c r="I264" s="129">
        <f>4*2+8</f>
        <v>16</v>
      </c>
      <c r="J264" s="130">
        <f t="array" ref="J264">IF(ISERROR(G264/I264),"",G264/I264)</f>
        <v>3.875</v>
      </c>
      <c r="K264" s="131">
        <f t="array" ref="K264">IF(ISERROR(G264/L264),"",G264/L264)</f>
        <v>6.6666666666666661</v>
      </c>
      <c r="L264" s="129">
        <v>9.3000000000000007</v>
      </c>
      <c r="M264" s="109">
        <f t="shared" si="118"/>
        <v>9.3333333333333339</v>
      </c>
      <c r="N264" s="130">
        <f t="shared" si="119"/>
        <v>0</v>
      </c>
      <c r="O264" s="485"/>
      <c r="P264" s="485"/>
      <c r="Q264" s="485"/>
      <c r="R264" s="485"/>
      <c r="S264" s="485"/>
      <c r="T264" s="485"/>
      <c r="U264" s="485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494">
        <f t="shared" si="117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85"/>
      <c r="P265" s="485"/>
      <c r="Q265" s="485"/>
      <c r="R265" s="485"/>
      <c r="S265" s="485"/>
      <c r="T265" s="485"/>
      <c r="U265" s="485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494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85"/>
      <c r="P266" s="485"/>
      <c r="Q266" s="485"/>
      <c r="R266" s="485"/>
      <c r="S266" s="485"/>
      <c r="T266" s="485"/>
      <c r="U266" s="485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494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85"/>
      <c r="P267" s="485"/>
      <c r="Q267" s="485"/>
      <c r="R267" s="485"/>
      <c r="S267" s="485"/>
      <c r="T267" s="485"/>
      <c r="U267" s="485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494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85"/>
      <c r="P268" s="485"/>
      <c r="Q268" s="485"/>
      <c r="R268" s="485"/>
      <c r="S268" s="485"/>
      <c r="T268" s="485"/>
      <c r="U268" s="485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494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1">IF(ISERROR(I269-K269),"",I269-K269)</f>
        <v>0</v>
      </c>
      <c r="N269" s="130">
        <f t="shared" ref="N269:N284" si="122">SUM(O269:U269)</f>
        <v>0</v>
      </c>
      <c r="O269" s="485"/>
      <c r="P269" s="485"/>
      <c r="Q269" s="485"/>
      <c r="R269" s="485"/>
      <c r="S269" s="485"/>
      <c r="T269" s="485"/>
      <c r="U269" s="485"/>
      <c r="V269" s="132">
        <f t="shared" ref="V269:V272" si="123">SUM(X269:AA269)</f>
        <v>0</v>
      </c>
      <c r="W269" s="133" t="str">
        <f t="shared" ref="W269:W276" si="124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494">
        <f t="shared" si="117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1"/>
        <v/>
      </c>
      <c r="N270" s="130">
        <f t="shared" si="122"/>
        <v>0</v>
      </c>
      <c r="O270" s="485"/>
      <c r="P270" s="485"/>
      <c r="Q270" s="485"/>
      <c r="R270" s="485"/>
      <c r="S270" s="485"/>
      <c r="T270" s="485"/>
      <c r="U270" s="485"/>
      <c r="V270" s="132">
        <f t="shared" si="123"/>
        <v>0</v>
      </c>
      <c r="W270" s="133" t="str">
        <f t="shared" si="124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494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485"/>
      <c r="P271" s="485"/>
      <c r="Q271" s="485"/>
      <c r="R271" s="485"/>
      <c r="S271" s="485"/>
      <c r="T271" s="485"/>
      <c r="U271" s="485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494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485"/>
      <c r="P272" s="485"/>
      <c r="Q272" s="485"/>
      <c r="R272" s="485"/>
      <c r="S272" s="485"/>
      <c r="T272" s="485"/>
      <c r="U272" s="485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486" t="s">
        <v>222</v>
      </c>
      <c r="C273" s="126" t="s">
        <v>181</v>
      </c>
      <c r="D273" s="108">
        <v>9.36</v>
      </c>
      <c r="E273" s="108"/>
      <c r="F273" s="127"/>
      <c r="G273" s="128"/>
      <c r="H273" s="494">
        <f t="shared" si="117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1"/>
        <v>0</v>
      </c>
      <c r="N273" s="130">
        <f t="shared" si="122"/>
        <v>0</v>
      </c>
      <c r="O273" s="485"/>
      <c r="P273" s="485"/>
      <c r="Q273" s="485"/>
      <c r="R273" s="485"/>
      <c r="S273" s="485"/>
      <c r="T273" s="485"/>
      <c r="U273" s="485"/>
      <c r="V273" s="132">
        <f t="shared" ref="V273:V276" si="125">SUM(X273:AA273)</f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486" t="s">
        <v>222</v>
      </c>
      <c r="C274" s="126" t="s">
        <v>179</v>
      </c>
      <c r="D274" s="108">
        <v>9.36</v>
      </c>
      <c r="E274" s="108"/>
      <c r="F274" s="127"/>
      <c r="G274" s="128"/>
      <c r="H274" s="494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485"/>
      <c r="P274" s="485"/>
      <c r="Q274" s="485"/>
      <c r="R274" s="485"/>
      <c r="S274" s="485"/>
      <c r="T274" s="485"/>
      <c r="U274" s="485"/>
      <c r="V274" s="132">
        <f t="shared" si="125"/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486" t="s">
        <v>222</v>
      </c>
      <c r="C275" s="126" t="s">
        <v>221</v>
      </c>
      <c r="D275" s="108">
        <v>9.36</v>
      </c>
      <c r="E275" s="108"/>
      <c r="F275" s="127"/>
      <c r="G275" s="128"/>
      <c r="H275" s="494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485"/>
      <c r="P275" s="485"/>
      <c r="Q275" s="485"/>
      <c r="R275" s="485"/>
      <c r="S275" s="485"/>
      <c r="T275" s="485"/>
      <c r="U275" s="485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486" t="s">
        <v>222</v>
      </c>
      <c r="C276" s="126" t="s">
        <v>186</v>
      </c>
      <c r="D276" s="108">
        <v>9.36</v>
      </c>
      <c r="E276" s="108"/>
      <c r="F276" s="127"/>
      <c r="G276" s="128"/>
      <c r="H276" s="494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485"/>
      <c r="P276" s="485"/>
      <c r="Q276" s="485"/>
      <c r="R276" s="485"/>
      <c r="S276" s="485"/>
      <c r="T276" s="485"/>
      <c r="U276" s="485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486" t="s">
        <v>393</v>
      </c>
      <c r="C277" s="187" t="s">
        <v>395</v>
      </c>
      <c r="D277" s="108">
        <v>5</v>
      </c>
      <c r="E277" s="108"/>
      <c r="F277" s="127"/>
      <c r="G277" s="128"/>
      <c r="H277" s="494">
        <f t="shared" si="117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1"/>
        <v>0</v>
      </c>
      <c r="N277" s="130">
        <f t="shared" si="122"/>
        <v>0</v>
      </c>
      <c r="O277" s="485"/>
      <c r="P277" s="485"/>
      <c r="Q277" s="485"/>
      <c r="R277" s="485"/>
      <c r="S277" s="485"/>
      <c r="T277" s="485"/>
      <c r="U277" s="485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486" t="s">
        <v>393</v>
      </c>
      <c r="C278" s="187" t="s">
        <v>402</v>
      </c>
      <c r="D278" s="108">
        <v>5</v>
      </c>
      <c r="E278" s="108"/>
      <c r="F278" s="127"/>
      <c r="G278" s="128"/>
      <c r="H278" s="494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485"/>
      <c r="P278" s="485"/>
      <c r="Q278" s="485"/>
      <c r="R278" s="485"/>
      <c r="S278" s="485"/>
      <c r="T278" s="485"/>
      <c r="U278" s="485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486" t="s">
        <v>404</v>
      </c>
      <c r="C279" s="187" t="s">
        <v>405</v>
      </c>
      <c r="D279" s="108">
        <v>5</v>
      </c>
      <c r="E279" s="108"/>
      <c r="F279" s="127"/>
      <c r="G279" s="128"/>
      <c r="H279" s="494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485"/>
      <c r="P279" s="485"/>
      <c r="Q279" s="485"/>
      <c r="R279" s="485"/>
      <c r="S279" s="485"/>
      <c r="T279" s="485"/>
      <c r="U279" s="485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486" t="s">
        <v>342</v>
      </c>
      <c r="C280" s="187" t="s">
        <v>372</v>
      </c>
      <c r="D280" s="108">
        <v>5</v>
      </c>
      <c r="E280" s="108"/>
      <c r="F280" s="127"/>
      <c r="G280" s="128"/>
      <c r="H280" s="494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485"/>
      <c r="P280" s="485"/>
      <c r="Q280" s="485"/>
      <c r="R280" s="485"/>
      <c r="S280" s="485"/>
      <c r="T280" s="485"/>
      <c r="U280" s="485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486" t="s">
        <v>343</v>
      </c>
      <c r="C281" s="126" t="s">
        <v>345</v>
      </c>
      <c r="D281" s="108">
        <v>5</v>
      </c>
      <c r="E281" s="108"/>
      <c r="F281" s="127"/>
      <c r="G281" s="128"/>
      <c r="H281" s="494">
        <f t="shared" si="117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1"/>
        <v>0</v>
      </c>
      <c r="N281" s="130">
        <f t="shared" si="122"/>
        <v>0</v>
      </c>
      <c r="O281" s="485"/>
      <c r="P281" s="485"/>
      <c r="Q281" s="485"/>
      <c r="R281" s="485"/>
      <c r="S281" s="485"/>
      <c r="T281" s="485"/>
      <c r="U281" s="485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486" t="s">
        <v>343</v>
      </c>
      <c r="C282" s="126" t="s">
        <v>347</v>
      </c>
      <c r="D282" s="108">
        <v>5</v>
      </c>
      <c r="E282" s="108"/>
      <c r="F282" s="127"/>
      <c r="G282" s="128"/>
      <c r="H282" s="494">
        <f t="shared" si="117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1"/>
        <v>0</v>
      </c>
      <c r="N282" s="130">
        <f t="shared" si="122"/>
        <v>0</v>
      </c>
      <c r="O282" s="485"/>
      <c r="P282" s="485"/>
      <c r="Q282" s="485"/>
      <c r="R282" s="485"/>
      <c r="S282" s="485"/>
      <c r="T282" s="485"/>
      <c r="U282" s="485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494">
        <f t="shared" si="117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1"/>
        <v>0</v>
      </c>
      <c r="N283" s="130">
        <f t="shared" si="122"/>
        <v>0</v>
      </c>
      <c r="O283" s="485"/>
      <c r="P283" s="485"/>
      <c r="Q283" s="485"/>
      <c r="R283" s="485"/>
      <c r="S283" s="485"/>
      <c r="T283" s="485"/>
      <c r="U283" s="485"/>
      <c r="V283" s="132">
        <f t="shared" ref="V283:V284" si="126">SUM(X283:AA283)</f>
        <v>0</v>
      </c>
      <c r="W283" s="133" t="str">
        <f t="shared" ref="W283:W284" si="127">IF(ISERROR(V283/G283),"",V283/G283)</f>
        <v/>
      </c>
      <c r="X283" s="132"/>
      <c r="Y283" s="132"/>
      <c r="Z283" s="132"/>
      <c r="AA283" s="132"/>
    </row>
    <row r="284" spans="1:27" ht="20.10000000000000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>
        <v>42719</v>
      </c>
      <c r="G284" s="128">
        <f>61+90</f>
        <v>151</v>
      </c>
      <c r="H284" s="494">
        <f t="shared" si="117"/>
        <v>764.06</v>
      </c>
      <c r="I284" s="129">
        <f>7.5*2+3.5*2</f>
        <v>22</v>
      </c>
      <c r="J284" s="130">
        <f t="array" ref="J284">IF(ISERROR(G284/I284),"",G284/I284)</f>
        <v>6.8636363636363633</v>
      </c>
      <c r="K284" s="131">
        <f t="array" ref="K284">IF(ISERROR(G284/L284),"",G284/L284)</f>
        <v>9.741935483870968</v>
      </c>
      <c r="L284" s="129">
        <v>15.5</v>
      </c>
      <c r="M284" s="109">
        <f t="shared" si="121"/>
        <v>12.258064516129032</v>
      </c>
      <c r="N284" s="130">
        <f t="shared" si="122"/>
        <v>0</v>
      </c>
      <c r="O284" s="485"/>
      <c r="P284" s="485"/>
      <c r="Q284" s="485"/>
      <c r="R284" s="485"/>
      <c r="S284" s="485"/>
      <c r="T284" s="485"/>
      <c r="U284" s="485"/>
      <c r="V284" s="132">
        <f t="shared" si="126"/>
        <v>0</v>
      </c>
      <c r="W284" s="133">
        <f t="shared" si="127"/>
        <v>0</v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420</v>
      </c>
      <c r="D285" s="108">
        <v>5.03</v>
      </c>
      <c r="E285" s="108"/>
      <c r="F285" s="127"/>
      <c r="G285" s="128"/>
      <c r="H285" s="494">
        <f t="shared" si="117"/>
        <v>0</v>
      </c>
      <c r="I285" s="129"/>
      <c r="J285" s="130"/>
      <c r="K285" s="131"/>
      <c r="L285" s="129">
        <v>24</v>
      </c>
      <c r="M285" s="109"/>
      <c r="N285" s="130"/>
      <c r="O285" s="485"/>
      <c r="P285" s="485"/>
      <c r="Q285" s="485"/>
      <c r="R285" s="485"/>
      <c r="S285" s="485"/>
      <c r="T285" s="485"/>
      <c r="U285" s="485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494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485"/>
      <c r="P286" s="485"/>
      <c r="Q286" s="485"/>
      <c r="R286" s="485"/>
      <c r="S286" s="485"/>
      <c r="T286" s="485"/>
      <c r="U286" s="485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494">
        <f t="shared" si="117"/>
        <v>0</v>
      </c>
      <c r="I287" s="129"/>
      <c r="J287" s="130"/>
      <c r="K287" s="131"/>
      <c r="L287" s="129">
        <v>24</v>
      </c>
      <c r="M287" s="109"/>
      <c r="N287" s="130"/>
      <c r="O287" s="485"/>
      <c r="P287" s="485"/>
      <c r="Q287" s="485"/>
      <c r="R287" s="485"/>
      <c r="S287" s="485"/>
      <c r="T287" s="485"/>
      <c r="U287" s="485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494">
        <f t="shared" si="117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8">IF(ISERROR(I288-K288),"",I288-K288)</f>
        <v>0</v>
      </c>
      <c r="N288" s="130">
        <f t="shared" ref="N288:N290" si="129">SUM(O288:U288)</f>
        <v>0</v>
      </c>
      <c r="O288" s="485"/>
      <c r="P288" s="485"/>
      <c r="Q288" s="485"/>
      <c r="R288" s="485"/>
      <c r="S288" s="485"/>
      <c r="T288" s="485"/>
      <c r="U288" s="485"/>
      <c r="V288" s="132">
        <f t="shared" ref="V288:V290" si="130">SUM(X288:AA288)</f>
        <v>0</v>
      </c>
      <c r="W288" s="133" t="str">
        <f t="shared" ref="W288:W312" si="131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494">
        <f t="shared" si="117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8"/>
        <v>0</v>
      </c>
      <c r="N289" s="130">
        <f t="shared" si="129"/>
        <v>0</v>
      </c>
      <c r="O289" s="485"/>
      <c r="P289" s="485"/>
      <c r="Q289" s="485"/>
      <c r="R289" s="485"/>
      <c r="S289" s="485"/>
      <c r="T289" s="485"/>
      <c r="U289" s="485"/>
      <c r="V289" s="132">
        <f t="shared" si="130"/>
        <v>0</v>
      </c>
      <c r="W289" s="133" t="str">
        <f t="shared" si="131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494">
        <f t="shared" si="117"/>
        <v>0</v>
      </c>
      <c r="I290" s="129"/>
      <c r="J290" s="130" t="str">
        <f t="array" ref="J290">IF(ISERROR(G290/I290),"",G290/I290)</f>
        <v/>
      </c>
      <c r="K290" s="494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485"/>
      <c r="P290" s="485"/>
      <c r="Q290" s="485"/>
      <c r="R290" s="485"/>
      <c r="S290" s="485"/>
      <c r="T290" s="485"/>
      <c r="U290" s="485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customHeight="1">
      <c r="A291" s="630" t="s">
        <v>224</v>
      </c>
      <c r="B291" s="631"/>
      <c r="C291" s="492" t="s">
        <v>202</v>
      </c>
      <c r="D291" s="143"/>
      <c r="E291" s="143"/>
      <c r="F291" s="144"/>
      <c r="G291" s="145">
        <f>SUM(G257:G290)</f>
        <v>213</v>
      </c>
      <c r="H291" s="146">
        <f>SUM(H257:H290)</f>
        <v>1075.92</v>
      </c>
      <c r="I291" s="146">
        <f>SUM(I257:I290)</f>
        <v>38</v>
      </c>
      <c r="J291" s="130">
        <f t="array" ref="J291">IF(ISERROR(G291/I291),"",G291/I291)</f>
        <v>5.6052631578947372</v>
      </c>
      <c r="K291" s="146">
        <f>SUM(K257:K290)</f>
        <v>16.408602150537632</v>
      </c>
      <c r="L291" s="147"/>
      <c r="M291" s="150">
        <f t="shared" ref="M291:V291" si="132">SUM(M257:M290)</f>
        <v>21.591397849462368</v>
      </c>
      <c r="N291" s="146">
        <f t="shared" si="132"/>
        <v>0</v>
      </c>
      <c r="O291" s="148">
        <f t="shared" si="132"/>
        <v>0</v>
      </c>
      <c r="P291" s="148">
        <f t="shared" si="132"/>
        <v>0</v>
      </c>
      <c r="Q291" s="148">
        <f t="shared" si="132"/>
        <v>0</v>
      </c>
      <c r="R291" s="148">
        <f t="shared" si="132"/>
        <v>0</v>
      </c>
      <c r="S291" s="148">
        <f t="shared" si="132"/>
        <v>0</v>
      </c>
      <c r="T291" s="148">
        <f t="shared" si="132"/>
        <v>0</v>
      </c>
      <c r="U291" s="148">
        <f t="shared" si="132"/>
        <v>0</v>
      </c>
      <c r="V291" s="149">
        <f t="shared" si="132"/>
        <v>0</v>
      </c>
      <c r="W291" s="133">
        <f t="shared" si="131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494">
        <f t="shared" ref="H292:H306" si="133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4">IF(ISERROR(I292-K292),"",I292-K292)</f>
        <v>0</v>
      </c>
      <c r="N292" s="130">
        <f t="shared" ref="N292:N306" si="135">SUM(O292:U292)</f>
        <v>0</v>
      </c>
      <c r="O292" s="485"/>
      <c r="P292" s="485"/>
      <c r="Q292" s="485"/>
      <c r="R292" s="485"/>
      <c r="S292" s="485"/>
      <c r="T292" s="485"/>
      <c r="U292" s="485"/>
      <c r="V292" s="132">
        <f t="shared" ref="V292:V306" si="136">SUM(X292:AA292)</f>
        <v>0</v>
      </c>
      <c r="W292" s="133" t="str">
        <f t="shared" si="131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494">
        <f t="shared" si="133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4"/>
        <v>0</v>
      </c>
      <c r="N293" s="130">
        <f t="shared" si="135"/>
        <v>0</v>
      </c>
      <c r="O293" s="485"/>
      <c r="P293" s="485"/>
      <c r="Q293" s="485"/>
      <c r="R293" s="485"/>
      <c r="S293" s="485"/>
      <c r="T293" s="485"/>
      <c r="U293" s="485"/>
      <c r="V293" s="132">
        <f t="shared" si="136"/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494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4"/>
        <v>0</v>
      </c>
      <c r="N294" s="130">
        <f t="shared" si="135"/>
        <v>0</v>
      </c>
      <c r="O294" s="485"/>
      <c r="P294" s="485"/>
      <c r="Q294" s="485"/>
      <c r="R294" s="485"/>
      <c r="S294" s="485"/>
      <c r="T294" s="485"/>
      <c r="U294" s="485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494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4"/>
        <v>0</v>
      </c>
      <c r="N295" s="130">
        <f t="shared" si="135"/>
        <v>0</v>
      </c>
      <c r="O295" s="485"/>
      <c r="P295" s="485"/>
      <c r="Q295" s="485"/>
      <c r="R295" s="485"/>
      <c r="S295" s="485"/>
      <c r="T295" s="485"/>
      <c r="U295" s="485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490" t="s">
        <v>203</v>
      </c>
      <c r="D296" s="108">
        <v>5.03</v>
      </c>
      <c r="E296" s="108"/>
      <c r="F296" s="127"/>
      <c r="G296" s="128"/>
      <c r="H296" s="494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485"/>
      <c r="P296" s="485"/>
      <c r="Q296" s="485"/>
      <c r="R296" s="485"/>
      <c r="S296" s="485"/>
      <c r="T296" s="485"/>
      <c r="U296" s="485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494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485"/>
      <c r="P297" s="485"/>
      <c r="Q297" s="485"/>
      <c r="R297" s="485"/>
      <c r="S297" s="485"/>
      <c r="T297" s="485"/>
      <c r="U297" s="485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494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485"/>
      <c r="P298" s="485"/>
      <c r="Q298" s="485"/>
      <c r="R298" s="485"/>
      <c r="S298" s="485"/>
      <c r="T298" s="485"/>
      <c r="U298" s="485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490" t="s">
        <v>228</v>
      </c>
      <c r="D299" s="108">
        <v>5.03</v>
      </c>
      <c r="E299" s="108"/>
      <c r="F299" s="127"/>
      <c r="G299" s="128"/>
      <c r="H299" s="494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485"/>
      <c r="P299" s="485"/>
      <c r="Q299" s="485"/>
      <c r="R299" s="485"/>
      <c r="S299" s="485"/>
      <c r="T299" s="485"/>
      <c r="U299" s="485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490" t="s">
        <v>212</v>
      </c>
      <c r="D300" s="108">
        <v>5.03</v>
      </c>
      <c r="E300" s="108"/>
      <c r="F300" s="127"/>
      <c r="G300" s="128"/>
      <c r="H300" s="494">
        <f t="shared" si="133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4"/>
        <v/>
      </c>
      <c r="N300" s="130">
        <f t="shared" si="135"/>
        <v>0</v>
      </c>
      <c r="O300" s="485"/>
      <c r="P300" s="485"/>
      <c r="Q300" s="485"/>
      <c r="R300" s="485"/>
      <c r="S300" s="485"/>
      <c r="T300" s="485"/>
      <c r="U300" s="485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490" t="s">
        <v>203</v>
      </c>
      <c r="D301" s="108">
        <v>5.03</v>
      </c>
      <c r="E301" s="108"/>
      <c r="F301" s="127"/>
      <c r="G301" s="128"/>
      <c r="H301" s="494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485"/>
      <c r="P301" s="485"/>
      <c r="Q301" s="485"/>
      <c r="R301" s="485"/>
      <c r="S301" s="485"/>
      <c r="T301" s="485"/>
      <c r="U301" s="485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490" t="s">
        <v>186</v>
      </c>
      <c r="D302" s="108">
        <v>5.03</v>
      </c>
      <c r="E302" s="108"/>
      <c r="F302" s="127"/>
      <c r="G302" s="128"/>
      <c r="H302" s="494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485"/>
      <c r="P302" s="485"/>
      <c r="Q302" s="485"/>
      <c r="R302" s="485"/>
      <c r="S302" s="485"/>
      <c r="T302" s="485"/>
      <c r="U302" s="485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490" t="s">
        <v>228</v>
      </c>
      <c r="D303" s="108">
        <v>5.03</v>
      </c>
      <c r="E303" s="108"/>
      <c r="F303" s="127"/>
      <c r="G303" s="128"/>
      <c r="H303" s="494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485"/>
      <c r="P303" s="485"/>
      <c r="Q303" s="485"/>
      <c r="R303" s="485"/>
      <c r="S303" s="485"/>
      <c r="T303" s="485"/>
      <c r="U303" s="485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490" t="s">
        <v>199</v>
      </c>
      <c r="D304" s="108">
        <v>5.03</v>
      </c>
      <c r="E304" s="108"/>
      <c r="F304" s="127"/>
      <c r="G304" s="128"/>
      <c r="H304" s="494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485"/>
      <c r="P304" s="485"/>
      <c r="Q304" s="485"/>
      <c r="R304" s="485"/>
      <c r="S304" s="485"/>
      <c r="T304" s="485"/>
      <c r="U304" s="485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>
        <v>42718</v>
      </c>
      <c r="G305" s="128">
        <f>90*9</f>
        <v>810</v>
      </c>
      <c r="H305" s="494">
        <f t="shared" si="133"/>
        <v>4098.5999999999995</v>
      </c>
      <c r="I305" s="129">
        <f>11.5*3</f>
        <v>34.5</v>
      </c>
      <c r="J305" s="130">
        <f t="array" ref="J305">IF(ISERROR(G305/I305),"",G305/I305)</f>
        <v>23.478260869565219</v>
      </c>
      <c r="K305" s="131">
        <f t="array" ref="K305">IF(ISERROR(G305/L305),"",G305/L305)</f>
        <v>32.4</v>
      </c>
      <c r="L305" s="129">
        <v>25</v>
      </c>
      <c r="M305" s="109">
        <f t="shared" si="134"/>
        <v>2.1000000000000014</v>
      </c>
      <c r="N305" s="130">
        <f t="shared" si="135"/>
        <v>0</v>
      </c>
      <c r="O305" s="485"/>
      <c r="P305" s="485"/>
      <c r="Q305" s="485"/>
      <c r="R305" s="485"/>
      <c r="S305" s="485"/>
      <c r="T305" s="485"/>
      <c r="U305" s="485"/>
      <c r="V305" s="132">
        <f t="shared" si="136"/>
        <v>0</v>
      </c>
      <c r="W305" s="133">
        <f t="shared" si="131"/>
        <v>0</v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494">
        <f t="shared" si="133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4"/>
        <v>0</v>
      </c>
      <c r="N306" s="130">
        <f t="shared" si="135"/>
        <v>0</v>
      </c>
      <c r="O306" s="485"/>
      <c r="P306" s="485"/>
      <c r="Q306" s="485"/>
      <c r="R306" s="485"/>
      <c r="S306" s="485"/>
      <c r="T306" s="485"/>
      <c r="U306" s="485"/>
      <c r="V306" s="132">
        <f t="shared" si="136"/>
        <v>0</v>
      </c>
      <c r="W306" s="133" t="str">
        <f t="shared" si="131"/>
        <v/>
      </c>
      <c r="X306" s="132"/>
      <c r="Y306" s="132"/>
      <c r="Z306" s="132"/>
      <c r="AA306" s="132"/>
    </row>
    <row r="307" spans="1:27" ht="20.100000000000001" customHeight="1">
      <c r="A307" s="630" t="s">
        <v>231</v>
      </c>
      <c r="B307" s="631"/>
      <c r="C307" s="492" t="s">
        <v>202</v>
      </c>
      <c r="D307" s="143"/>
      <c r="E307" s="143"/>
      <c r="F307" s="144"/>
      <c r="G307" s="145">
        <f>SUM(G292:G306)</f>
        <v>810</v>
      </c>
      <c r="H307" s="146">
        <f>SUM(H292:H306)</f>
        <v>4098.5999999999995</v>
      </c>
      <c r="I307" s="146">
        <f>SUM(I292:I306)</f>
        <v>34.5</v>
      </c>
      <c r="J307" s="130">
        <f t="array" ref="J307">IF(ISERROR(G307/I307),"",G307/I307)</f>
        <v>23.478260869565219</v>
      </c>
      <c r="K307" s="146">
        <f>SUM(K292:K306)</f>
        <v>32.4</v>
      </c>
      <c r="L307" s="146"/>
      <c r="M307" s="150">
        <f>SUM(M292:M306)</f>
        <v>2.1000000000000014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>
        <f t="shared" si="131"/>
        <v>0</v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494">
        <f t="shared" ref="H308:H316" si="137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8">IF(ISERROR(I308-K308),"",I308-K308)</f>
        <v>0</v>
      </c>
      <c r="N308" s="130">
        <f t="shared" ref="N308:N312" si="139">SUM(O308:U308)</f>
        <v>0</v>
      </c>
      <c r="O308" s="485"/>
      <c r="P308" s="485"/>
      <c r="Q308" s="485"/>
      <c r="R308" s="485"/>
      <c r="S308" s="485"/>
      <c r="T308" s="485"/>
      <c r="U308" s="485"/>
      <c r="V308" s="132">
        <f t="shared" ref="V308:V312" si="140">SUM(X308:AA308)</f>
        <v>0</v>
      </c>
      <c r="W308" s="133" t="str">
        <f t="shared" si="131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494">
        <f t="shared" si="137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8"/>
        <v>0</v>
      </c>
      <c r="N309" s="130">
        <f t="shared" si="139"/>
        <v>0</v>
      </c>
      <c r="O309" s="485"/>
      <c r="P309" s="485"/>
      <c r="Q309" s="485"/>
      <c r="R309" s="485"/>
      <c r="S309" s="485"/>
      <c r="T309" s="485"/>
      <c r="U309" s="485"/>
      <c r="V309" s="132">
        <f t="shared" si="140"/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494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485"/>
      <c r="P310" s="485"/>
      <c r="Q310" s="485"/>
      <c r="R310" s="485"/>
      <c r="S310" s="485"/>
      <c r="T310" s="485"/>
      <c r="U310" s="485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494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485"/>
      <c r="P311" s="485"/>
      <c r="Q311" s="485"/>
      <c r="R311" s="485"/>
      <c r="S311" s="485"/>
      <c r="T311" s="485"/>
      <c r="U311" s="485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494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485"/>
      <c r="P312" s="485"/>
      <c r="Q312" s="485"/>
      <c r="R312" s="485"/>
      <c r="S312" s="485"/>
      <c r="T312" s="485"/>
      <c r="U312" s="485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>
        <v>42705</v>
      </c>
      <c r="G313" s="128">
        <f>90*5</f>
        <v>450</v>
      </c>
      <c r="H313" s="494">
        <f t="shared" si="137"/>
        <v>2263.5</v>
      </c>
      <c r="I313" s="129">
        <f>8.5*2</f>
        <v>17</v>
      </c>
      <c r="J313" s="130">
        <f t="array" ref="J313">IF(ISERROR(G313/I313),"",G313/I313)</f>
        <v>26.470588235294116</v>
      </c>
      <c r="K313" s="131"/>
      <c r="L313" s="129">
        <v>13.5</v>
      </c>
      <c r="M313" s="109"/>
      <c r="N313" s="130"/>
      <c r="O313" s="485"/>
      <c r="P313" s="485"/>
      <c r="Q313" s="485"/>
      <c r="R313" s="485"/>
      <c r="S313" s="485"/>
      <c r="T313" s="485"/>
      <c r="U313" s="485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>
        <v>42712</v>
      </c>
      <c r="G314" s="128">
        <f>38+90</f>
        <v>128</v>
      </c>
      <c r="H314" s="494">
        <f t="shared" si="137"/>
        <v>643.84</v>
      </c>
      <c r="I314" s="129">
        <f>3*4</f>
        <v>12</v>
      </c>
      <c r="J314" s="130">
        <f t="array" ref="J314">IF(ISERROR(G314/I314),"",G314/I314)</f>
        <v>10.666666666666666</v>
      </c>
      <c r="K314" s="131"/>
      <c r="L314" s="129">
        <v>13.5</v>
      </c>
      <c r="M314" s="109"/>
      <c r="N314" s="130"/>
      <c r="O314" s="485"/>
      <c r="P314" s="485"/>
      <c r="Q314" s="485"/>
      <c r="R314" s="485"/>
      <c r="S314" s="485"/>
      <c r="T314" s="485"/>
      <c r="U314" s="485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37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494">
        <f t="shared" si="137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1">IF(ISERROR(I316-K316),"",I316-K316)</f>
        <v>0</v>
      </c>
      <c r="N316" s="130">
        <f t="shared" ref="N316" si="142">SUM(O316:U316)</f>
        <v>0</v>
      </c>
      <c r="O316" s="485"/>
      <c r="P316" s="485"/>
      <c r="Q316" s="485"/>
      <c r="R316" s="485"/>
      <c r="S316" s="485"/>
      <c r="T316" s="485"/>
      <c r="U316" s="485"/>
      <c r="V316" s="132">
        <f t="shared" ref="V316" si="143">SUM(X316:AA316)</f>
        <v>0</v>
      </c>
      <c r="W316" s="133" t="str">
        <f t="shared" ref="W316:W321" si="144">IF(ISERROR(V316/G316),"",V316/G316)</f>
        <v/>
      </c>
      <c r="X316" s="132"/>
      <c r="Y316" s="132"/>
      <c r="Z316" s="132"/>
      <c r="AA316" s="132"/>
    </row>
    <row r="317" spans="1:27" ht="20.100000000000001" customHeight="1">
      <c r="A317" s="630" t="s">
        <v>234</v>
      </c>
      <c r="B317" s="631"/>
      <c r="C317" s="492" t="s">
        <v>202</v>
      </c>
      <c r="D317" s="143"/>
      <c r="E317" s="143"/>
      <c r="F317" s="144"/>
      <c r="G317" s="145">
        <f>SUM(G308:G316)</f>
        <v>578</v>
      </c>
      <c r="H317" s="146">
        <f>SUM(H308:H316)</f>
        <v>2907.34</v>
      </c>
      <c r="I317" s="146">
        <f>SUM(I308:I316)</f>
        <v>29</v>
      </c>
      <c r="J317" s="130">
        <f t="array" ref="J317">IF(ISERROR(G317/I317),"",G317/I317)</f>
        <v>19.931034482758619</v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>
        <f t="shared" si="144"/>
        <v>0</v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484"/>
      <c r="D318" s="108">
        <v>3.65</v>
      </c>
      <c r="E318" s="108"/>
      <c r="F318" s="153"/>
      <c r="G318" s="128"/>
      <c r="H318" s="494">
        <f t="shared" ref="H318:H331" si="145">D318*G318</f>
        <v>0</v>
      </c>
      <c r="I318" s="129"/>
      <c r="J318" s="130" t="str">
        <f t="array" ref="J318">IF(ISERROR(G318/I318),"",G318/I318)</f>
        <v/>
      </c>
      <c r="K318" s="494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485"/>
      <c r="P318" s="485"/>
      <c r="Q318" s="485"/>
      <c r="R318" s="485"/>
      <c r="S318" s="485"/>
      <c r="T318" s="485"/>
      <c r="U318" s="485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484"/>
      <c r="D319" s="108">
        <v>6.58</v>
      </c>
      <c r="E319" s="108"/>
      <c r="F319" s="127"/>
      <c r="G319" s="128"/>
      <c r="H319" s="494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485"/>
      <c r="P319" s="485"/>
      <c r="Q319" s="485"/>
      <c r="R319" s="485"/>
      <c r="S319" s="485"/>
      <c r="T319" s="485"/>
      <c r="U319" s="485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484"/>
      <c r="D320" s="108">
        <v>7.8</v>
      </c>
      <c r="E320" s="108"/>
      <c r="F320" s="127"/>
      <c r="G320" s="128"/>
      <c r="H320" s="494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485"/>
      <c r="P320" s="485"/>
      <c r="Q320" s="485"/>
      <c r="R320" s="485"/>
      <c r="S320" s="485"/>
      <c r="T320" s="485"/>
      <c r="U320" s="485"/>
      <c r="V320" s="132">
        <f t="shared" si="148"/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484"/>
      <c r="D321" s="108">
        <v>4.4000000000000004</v>
      </c>
      <c r="E321" s="108"/>
      <c r="F321" s="127"/>
      <c r="G321" s="128"/>
      <c r="H321" s="494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485"/>
      <c r="P321" s="485"/>
      <c r="Q321" s="485"/>
      <c r="R321" s="485"/>
      <c r="S321" s="485"/>
      <c r="T321" s="485"/>
      <c r="U321" s="485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484"/>
      <c r="D322" s="108"/>
      <c r="E322" s="108"/>
      <c r="F322" s="127"/>
      <c r="G322" s="128"/>
      <c r="H322" s="494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485"/>
      <c r="P322" s="485"/>
      <c r="Q322" s="485"/>
      <c r="R322" s="485"/>
      <c r="S322" s="485"/>
      <c r="T322" s="485"/>
      <c r="U322" s="485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484" t="s">
        <v>239</v>
      </c>
      <c r="C323" s="484" t="s">
        <v>179</v>
      </c>
      <c r="D323" s="108">
        <v>6.04</v>
      </c>
      <c r="E323" s="108"/>
      <c r="F323" s="127"/>
      <c r="G323" s="128"/>
      <c r="H323" s="494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485"/>
      <c r="P323" s="485"/>
      <c r="Q323" s="485"/>
      <c r="R323" s="485"/>
      <c r="S323" s="485"/>
      <c r="T323" s="485"/>
      <c r="U323" s="485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484" t="s">
        <v>239</v>
      </c>
      <c r="C324" s="484" t="s">
        <v>186</v>
      </c>
      <c r="D324" s="108">
        <v>6.04</v>
      </c>
      <c r="E324" s="108"/>
      <c r="F324" s="127"/>
      <c r="G324" s="128"/>
      <c r="H324" s="494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485"/>
      <c r="P324" s="485"/>
      <c r="Q324" s="485"/>
      <c r="R324" s="485"/>
      <c r="S324" s="485"/>
      <c r="T324" s="485"/>
      <c r="U324" s="485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484" t="s">
        <v>443</v>
      </c>
      <c r="C325" s="484" t="s">
        <v>179</v>
      </c>
      <c r="D325" s="108">
        <v>6</v>
      </c>
      <c r="E325" s="108"/>
      <c r="F325" s="127"/>
      <c r="G325" s="128"/>
      <c r="H325" s="494">
        <f t="shared" si="145"/>
        <v>0</v>
      </c>
      <c r="I325" s="129"/>
      <c r="J325" s="130"/>
      <c r="K325" s="131"/>
      <c r="L325" s="129"/>
      <c r="M325" s="109"/>
      <c r="N325" s="130"/>
      <c r="O325" s="485"/>
      <c r="P325" s="485"/>
      <c r="Q325" s="485"/>
      <c r="R325" s="485"/>
      <c r="S325" s="485"/>
      <c r="T325" s="485"/>
      <c r="U325" s="485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484" t="s">
        <v>443</v>
      </c>
      <c r="C326" s="484" t="s">
        <v>60</v>
      </c>
      <c r="D326" s="108">
        <v>6</v>
      </c>
      <c r="E326" s="108"/>
      <c r="F326" s="127"/>
      <c r="G326" s="128"/>
      <c r="H326" s="494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485"/>
      <c r="P326" s="485"/>
      <c r="Q326" s="485"/>
      <c r="R326" s="485"/>
      <c r="S326" s="485"/>
      <c r="T326" s="485"/>
      <c r="U326" s="485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486" t="s">
        <v>240</v>
      </c>
      <c r="C327" s="126"/>
      <c r="D327" s="108">
        <v>7.3</v>
      </c>
      <c r="E327" s="108"/>
      <c r="F327" s="127"/>
      <c r="G327" s="128"/>
      <c r="H327" s="494">
        <f t="shared" si="145"/>
        <v>0</v>
      </c>
      <c r="I327" s="129"/>
      <c r="J327" s="130"/>
      <c r="K327" s="131"/>
      <c r="L327" s="129"/>
      <c r="M327" s="109"/>
      <c r="N327" s="130"/>
      <c r="O327" s="485"/>
      <c r="P327" s="485"/>
      <c r="Q327" s="485"/>
      <c r="R327" s="485"/>
      <c r="S327" s="485"/>
      <c r="T327" s="485"/>
      <c r="U327" s="485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486" t="s">
        <v>241</v>
      </c>
      <c r="C328" s="126"/>
      <c r="D328" s="108">
        <f>78*120/1000</f>
        <v>9.36</v>
      </c>
      <c r="E328" s="108"/>
      <c r="F328" s="127"/>
      <c r="G328" s="128"/>
      <c r="H328" s="494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485"/>
      <c r="P328" s="485"/>
      <c r="Q328" s="485"/>
      <c r="R328" s="485"/>
      <c r="S328" s="485"/>
      <c r="T328" s="485"/>
      <c r="U328" s="485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486" t="s">
        <v>242</v>
      </c>
      <c r="C329" s="126"/>
      <c r="D329" s="108">
        <v>4.5</v>
      </c>
      <c r="E329" s="108"/>
      <c r="F329" s="127"/>
      <c r="G329" s="128"/>
      <c r="H329" s="494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485"/>
      <c r="P329" s="485"/>
      <c r="Q329" s="485"/>
      <c r="R329" s="485"/>
      <c r="S329" s="485"/>
      <c r="T329" s="485"/>
      <c r="U329" s="485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486" t="s">
        <v>243</v>
      </c>
      <c r="C330" s="126"/>
      <c r="D330" s="108">
        <v>4.5</v>
      </c>
      <c r="E330" s="108"/>
      <c r="F330" s="127"/>
      <c r="G330" s="128"/>
      <c r="H330" s="494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485"/>
      <c r="P330" s="485"/>
      <c r="Q330" s="485"/>
      <c r="R330" s="485"/>
      <c r="S330" s="485"/>
      <c r="T330" s="485"/>
      <c r="U330" s="485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494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85"/>
      <c r="P331" s="485"/>
      <c r="Q331" s="485"/>
      <c r="R331" s="485"/>
      <c r="S331" s="485"/>
      <c r="T331" s="485"/>
      <c r="U331" s="485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630" t="s">
        <v>244</v>
      </c>
      <c r="B332" s="631"/>
      <c r="C332" s="492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6">SUM(M318:M328)</f>
        <v>0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632" t="s">
        <v>246</v>
      </c>
      <c r="B333" s="633"/>
      <c r="C333" s="633"/>
      <c r="D333" s="633"/>
      <c r="E333" s="633"/>
      <c r="F333" s="634"/>
      <c r="G333" s="154">
        <f>SUM(G198,G256,G291,G307,G317,G332)</f>
        <v>4655</v>
      </c>
      <c r="H333" s="154">
        <f>SUM(H198,H256,H291,H307,H317,H332)</f>
        <v>23515.279999999999</v>
      </c>
      <c r="I333" s="154">
        <f>SUM(I198,I256,I291,I307,I317,I332)</f>
        <v>237.5</v>
      </c>
      <c r="J333" s="155">
        <f t="array" ref="J333">IF(ISERROR(G333/I333),"",G333/I333)</f>
        <v>19.600000000000001</v>
      </c>
      <c r="K333" s="154">
        <f>SUM(K198,K256,K291,K307,K317,K332)</f>
        <v>147.15028038924103</v>
      </c>
      <c r="L333" s="155">
        <f>IF(ISERROR(G333/K333),"",G333/K333)</f>
        <v>31.634326402142232</v>
      </c>
      <c r="M333" s="154">
        <f t="shared" ref="M333:AA333" si="157">SUM(M198,M256,M291,M307,M317,M332)</f>
        <v>61.349719610758953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635" t="s">
        <v>476</v>
      </c>
      <c r="B334" s="491" t="s">
        <v>247</v>
      </c>
      <c r="C334" s="638" t="s">
        <v>248</v>
      </c>
      <c r="D334" s="639"/>
      <c r="E334" s="640" t="s">
        <v>249</v>
      </c>
      <c r="F334" s="640"/>
      <c r="G334" s="643" t="s">
        <v>250</v>
      </c>
      <c r="H334" s="643"/>
      <c r="I334" s="640" t="s">
        <v>251</v>
      </c>
      <c r="J334" s="640"/>
      <c r="K334" s="640" t="s">
        <v>252</v>
      </c>
      <c r="L334" s="640"/>
      <c r="M334" s="640" t="s">
        <v>253</v>
      </c>
      <c r="N334" s="640"/>
      <c r="O334" s="640" t="s">
        <v>254</v>
      </c>
      <c r="P334" s="643" t="s">
        <v>255</v>
      </c>
      <c r="Q334" s="643"/>
      <c r="R334" s="643" t="s">
        <v>252</v>
      </c>
      <c r="S334" s="643"/>
      <c r="T334" s="643" t="s">
        <v>256</v>
      </c>
      <c r="U334" s="643"/>
      <c r="V334" s="643" t="s">
        <v>257</v>
      </c>
      <c r="W334" s="643"/>
      <c r="X334" s="643" t="s">
        <v>252</v>
      </c>
      <c r="Y334" s="643"/>
      <c r="Z334" s="643" t="s">
        <v>256</v>
      </c>
      <c r="AA334" s="643"/>
    </row>
    <row r="335" spans="1:27" ht="20.100000000000001" customHeight="1">
      <c r="A335" s="636"/>
      <c r="B335" s="491" t="s">
        <v>258</v>
      </c>
      <c r="C335" s="678">
        <v>1</v>
      </c>
      <c r="D335" s="679"/>
      <c r="E335" s="642">
        <f>C335*11</f>
        <v>11</v>
      </c>
      <c r="F335" s="642"/>
      <c r="G335" s="643">
        <v>1</v>
      </c>
      <c r="H335" s="643"/>
      <c r="I335" s="642">
        <f>G335*11</f>
        <v>11</v>
      </c>
      <c r="J335" s="642"/>
      <c r="K335" s="642">
        <f>E335-I335</f>
        <v>0</v>
      </c>
      <c r="L335" s="642"/>
      <c r="M335" s="644">
        <f>IF(ISERROR(K335/E335),"",K335/E335)</f>
        <v>0</v>
      </c>
      <c r="N335" s="644"/>
      <c r="O335" s="640"/>
      <c r="P335" s="643" t="s">
        <v>201</v>
      </c>
      <c r="Q335" s="643"/>
      <c r="R335" s="645">
        <f>SUM(O198:U198)</f>
        <v>0</v>
      </c>
      <c r="S335" s="645"/>
      <c r="T335" s="646" t="str">
        <f t="array" ref="T335">IF(ISERROR(R335/R342),"",R335/R342)</f>
        <v/>
      </c>
      <c r="U335" s="646"/>
      <c r="V335" s="643" t="s">
        <v>259</v>
      </c>
      <c r="W335" s="643"/>
      <c r="X335" s="680">
        <f>SUM(P197,P255,P290,P306,P316,P331)</f>
        <v>0</v>
      </c>
      <c r="Y335" s="681"/>
      <c r="Z335" s="646" t="str">
        <f t="array" ref="Z335">IF(ISERROR(X335/X342),"",X335/X342)</f>
        <v/>
      </c>
      <c r="AA335" s="646"/>
    </row>
    <row r="336" spans="1:27" ht="20.100000000000001" customHeight="1">
      <c r="A336" s="636"/>
      <c r="B336" s="491" t="s">
        <v>260</v>
      </c>
      <c r="C336" s="638">
        <v>0</v>
      </c>
      <c r="D336" s="639"/>
      <c r="E336" s="642">
        <f>C336*11</f>
        <v>0</v>
      </c>
      <c r="F336" s="642"/>
      <c r="G336" s="643">
        <v>0</v>
      </c>
      <c r="H336" s="643"/>
      <c r="I336" s="642">
        <f>G336*11</f>
        <v>0</v>
      </c>
      <c r="J336" s="642"/>
      <c r="K336" s="642">
        <f>E336-I336</f>
        <v>0</v>
      </c>
      <c r="L336" s="642"/>
      <c r="M336" s="644" t="str">
        <f>IF(ISERROR(K336/E336),"",K336/E336)</f>
        <v/>
      </c>
      <c r="N336" s="644"/>
      <c r="O336" s="640"/>
      <c r="P336" s="643" t="s">
        <v>216</v>
      </c>
      <c r="Q336" s="643"/>
      <c r="R336" s="645">
        <f>SUM(O256:U256)</f>
        <v>0</v>
      </c>
      <c r="S336" s="645"/>
      <c r="T336" s="646" t="str">
        <f>IF(ISERROR(R336/R342),"",R336/R342)</f>
        <v/>
      </c>
      <c r="U336" s="646"/>
      <c r="V336" s="643" t="s">
        <v>261</v>
      </c>
      <c r="W336" s="643"/>
      <c r="X336" s="680">
        <f>SUM(P198,P256,P291,P307,P317,P332)</f>
        <v>0</v>
      </c>
      <c r="Y336" s="681"/>
      <c r="Z336" s="646" t="str">
        <f>IF(ISERROR(X336/X342),"",X336/X342)</f>
        <v/>
      </c>
      <c r="AA336" s="646"/>
    </row>
    <row r="337" spans="1:27" ht="20.100000000000001" customHeight="1">
      <c r="A337" s="636"/>
      <c r="B337" s="491" t="s">
        <v>262</v>
      </c>
      <c r="C337" s="638">
        <v>0</v>
      </c>
      <c r="D337" s="639"/>
      <c r="E337" s="642">
        <f>C337*8</f>
        <v>0</v>
      </c>
      <c r="F337" s="642"/>
      <c r="G337" s="643">
        <v>1</v>
      </c>
      <c r="H337" s="643"/>
      <c r="I337" s="642">
        <f>G337*8</f>
        <v>8</v>
      </c>
      <c r="J337" s="642"/>
      <c r="K337" s="642">
        <f>E337-I337</f>
        <v>-8</v>
      </c>
      <c r="L337" s="642"/>
      <c r="M337" s="644" t="str">
        <f>IF(ISERROR(K337/E337),"",K337/E337)</f>
        <v/>
      </c>
      <c r="N337" s="644"/>
      <c r="O337" s="640"/>
      <c r="P337" s="643" t="s">
        <v>224</v>
      </c>
      <c r="Q337" s="643"/>
      <c r="R337" s="645">
        <f>SUM(O291:U291)</f>
        <v>0</v>
      </c>
      <c r="S337" s="645"/>
      <c r="T337" s="646" t="str">
        <f>IF(ISERROR(R337/R342),"",R337/R342)</f>
        <v/>
      </c>
      <c r="U337" s="646"/>
      <c r="V337" s="643" t="s">
        <v>263</v>
      </c>
      <c r="W337" s="643"/>
      <c r="X337" s="680">
        <f>SUM(P199,P257,P292,P308,P318,P333)</f>
        <v>0</v>
      </c>
      <c r="Y337" s="681"/>
      <c r="Z337" s="646" t="str">
        <f>IF(ISERROR(X337/X342),"",X337/X342)</f>
        <v/>
      </c>
      <c r="AA337" s="646"/>
    </row>
    <row r="338" spans="1:27" ht="20.100000000000001" customHeight="1">
      <c r="A338" s="636"/>
      <c r="B338" s="491" t="s">
        <v>264</v>
      </c>
      <c r="C338" s="638">
        <v>1</v>
      </c>
      <c r="D338" s="639"/>
      <c r="E338" s="642">
        <f>C338*11</f>
        <v>11</v>
      </c>
      <c r="F338" s="642"/>
      <c r="G338" s="643">
        <v>1</v>
      </c>
      <c r="H338" s="643"/>
      <c r="I338" s="642">
        <f>G338*11</f>
        <v>11</v>
      </c>
      <c r="J338" s="642"/>
      <c r="K338" s="642">
        <f>E338-I338</f>
        <v>0</v>
      </c>
      <c r="L338" s="642"/>
      <c r="M338" s="644">
        <f>IF(ISERROR(K338/E338),"",K338/E338)</f>
        <v>0</v>
      </c>
      <c r="N338" s="644"/>
      <c r="O338" s="640"/>
      <c r="P338" s="643" t="s">
        <v>231</v>
      </c>
      <c r="Q338" s="643"/>
      <c r="R338" s="645">
        <f>SUM(O307:U307)</f>
        <v>0</v>
      </c>
      <c r="S338" s="645"/>
      <c r="T338" s="646" t="str">
        <f>IF(ISERROR(R338/R342),"",R338/R342)</f>
        <v/>
      </c>
      <c r="U338" s="646"/>
      <c r="V338" s="643" t="s">
        <v>265</v>
      </c>
      <c r="W338" s="643"/>
      <c r="X338" s="680">
        <f>SUM(P201,P258,P293,P309,P319,P334)</f>
        <v>0</v>
      </c>
      <c r="Y338" s="681"/>
      <c r="Z338" s="646" t="str">
        <f>IF(ISERROR(X338/X342),"",X338/X342)</f>
        <v/>
      </c>
      <c r="AA338" s="646"/>
    </row>
    <row r="339" spans="1:27" ht="20.100000000000001" customHeight="1">
      <c r="A339" s="637"/>
      <c r="B339" s="491" t="s">
        <v>266</v>
      </c>
      <c r="C339" s="648">
        <f>SUM(C335:D338)</f>
        <v>2</v>
      </c>
      <c r="D339" s="649"/>
      <c r="E339" s="642">
        <f>SUM(E335:F338)</f>
        <v>22</v>
      </c>
      <c r="F339" s="642"/>
      <c r="G339" s="643">
        <f>SUM(G335:H338)</f>
        <v>3</v>
      </c>
      <c r="H339" s="643"/>
      <c r="I339" s="642">
        <f>SUM(I335:J338)</f>
        <v>30</v>
      </c>
      <c r="J339" s="642"/>
      <c r="K339" s="642">
        <f>SUM(K335:L338)</f>
        <v>-8</v>
      </c>
      <c r="L339" s="642"/>
      <c r="M339" s="644">
        <f>IF(ISERROR(K339/E339),"",K339/E339)</f>
        <v>-0.36363636363636365</v>
      </c>
      <c r="N339" s="644"/>
      <c r="O339" s="640"/>
      <c r="P339" s="643" t="s">
        <v>234</v>
      </c>
      <c r="Q339" s="643"/>
      <c r="R339" s="645">
        <f>SUM(O317:U317)</f>
        <v>0</v>
      </c>
      <c r="S339" s="645"/>
      <c r="T339" s="646" t="str">
        <f>IF(ISERROR(R339/R342),"",R339/R342)</f>
        <v/>
      </c>
      <c r="U339" s="646"/>
      <c r="V339" s="643" t="s">
        <v>267</v>
      </c>
      <c r="W339" s="643"/>
      <c r="X339" s="680">
        <f>SUM(P202,P259,P294,P310,P320,P335)</f>
        <v>0</v>
      </c>
      <c r="Y339" s="681"/>
      <c r="Z339" s="646" t="str">
        <f>IF(ISERROR(X339/X342),"",X339/X342)</f>
        <v/>
      </c>
      <c r="AA339" s="646"/>
    </row>
    <row r="340" spans="1:27" ht="20.100000000000001" customHeight="1">
      <c r="A340" s="309" t="s">
        <v>477</v>
      </c>
      <c r="B340" s="491">
        <f>G333</f>
        <v>4655</v>
      </c>
      <c r="C340" s="650" t="s">
        <v>269</v>
      </c>
      <c r="D340" s="651"/>
      <c r="E340" s="643">
        <f>H333</f>
        <v>23515.279999999999</v>
      </c>
      <c r="F340" s="643"/>
      <c r="G340" s="643" t="s">
        <v>270</v>
      </c>
      <c r="H340" s="643"/>
      <c r="I340" s="652">
        <f>L333</f>
        <v>31.634326402142232</v>
      </c>
      <c r="J340" s="652"/>
      <c r="K340" s="640" t="s">
        <v>271</v>
      </c>
      <c r="L340" s="640"/>
      <c r="M340" s="652">
        <f>J333</f>
        <v>19.600000000000001</v>
      </c>
      <c r="N340" s="652"/>
      <c r="O340" s="640"/>
      <c r="P340" s="643" t="s">
        <v>244</v>
      </c>
      <c r="Q340" s="643"/>
      <c r="R340" s="645">
        <f>SUM(O332:U332)</f>
        <v>0</v>
      </c>
      <c r="S340" s="645"/>
      <c r="T340" s="646" t="str">
        <f>IF(ISERROR(R340/R342),"",R340/R342)</f>
        <v/>
      </c>
      <c r="U340" s="646"/>
      <c r="V340" s="643" t="s">
        <v>272</v>
      </c>
      <c r="W340" s="643"/>
      <c r="X340" s="680">
        <f>SUM(P203,P260,P295,P311,P321,P336)</f>
        <v>0</v>
      </c>
      <c r="Y340" s="681"/>
      <c r="Z340" s="646" t="str">
        <f>IF(ISERROR(X340/X342),"",X340/X342)</f>
        <v/>
      </c>
      <c r="AA340" s="646"/>
    </row>
    <row r="341" spans="1:27" ht="20.100000000000001" customHeight="1">
      <c r="A341" s="310" t="s">
        <v>478</v>
      </c>
      <c r="B341" s="491">
        <f>I333+C339</f>
        <v>239.5</v>
      </c>
      <c r="C341" s="653" t="s">
        <v>251</v>
      </c>
      <c r="D341" s="654"/>
      <c r="E341" s="655">
        <f>K333+I339</f>
        <v>177.15028038924103</v>
      </c>
      <c r="F341" s="655"/>
      <c r="G341" s="643" t="s">
        <v>274</v>
      </c>
      <c r="H341" s="643"/>
      <c r="I341" s="652">
        <f>B341-E341</f>
        <v>62.349719610758967</v>
      </c>
      <c r="J341" s="652"/>
      <c r="K341" s="640" t="s">
        <v>275</v>
      </c>
      <c r="L341" s="640"/>
      <c r="M341" s="644">
        <f>IF(ISERROR(I341/E341),"",I341/E341)</f>
        <v>0.35195947459841381</v>
      </c>
      <c r="N341" s="644"/>
      <c r="O341" s="640"/>
      <c r="P341" s="643" t="s">
        <v>245</v>
      </c>
      <c r="Q341" s="643"/>
      <c r="R341" s="645"/>
      <c r="S341" s="645"/>
      <c r="T341" s="646" t="str">
        <f>IF(ISERROR(R341/R342),"",R341/R342)</f>
        <v/>
      </c>
      <c r="U341" s="646"/>
      <c r="V341" s="643" t="s">
        <v>264</v>
      </c>
      <c r="W341" s="643"/>
      <c r="X341" s="680">
        <f>SUM(P204,P261,P296,P312,P322,P337)</f>
        <v>0</v>
      </c>
      <c r="Y341" s="681"/>
      <c r="Z341" s="646" t="str">
        <f>IF(ISERROR(X341/X342),"",X341/X342)</f>
        <v/>
      </c>
      <c r="AA341" s="646"/>
    </row>
    <row r="342" spans="1:27" ht="20.100000000000001" customHeight="1">
      <c r="A342" s="310" t="s">
        <v>479</v>
      </c>
      <c r="B342" s="491">
        <f>N333</f>
        <v>0</v>
      </c>
      <c r="C342" s="653" t="s">
        <v>277</v>
      </c>
      <c r="D342" s="654"/>
      <c r="E342" s="646">
        <f>IF(ISERROR(B342/B341),"",B342/B341)</f>
        <v>0</v>
      </c>
      <c r="F342" s="646"/>
      <c r="G342" s="643" t="s">
        <v>278</v>
      </c>
      <c r="H342" s="643"/>
      <c r="I342" s="640">
        <f>V333</f>
        <v>0</v>
      </c>
      <c r="J342" s="640"/>
      <c r="K342" s="640" t="s">
        <v>279</v>
      </c>
      <c r="L342" s="640"/>
      <c r="M342" s="644">
        <f t="array" ref="M342">IF(ISERROR(I342/B340),"",I342/B340)</f>
        <v>0</v>
      </c>
      <c r="N342" s="644"/>
      <c r="O342" s="640"/>
      <c r="P342" s="643" t="s">
        <v>266</v>
      </c>
      <c r="Q342" s="643"/>
      <c r="R342" s="645">
        <f>SUM(R335:S341)</f>
        <v>0</v>
      </c>
      <c r="S342" s="645"/>
      <c r="T342" s="646"/>
      <c r="U342" s="646"/>
      <c r="V342" s="643" t="s">
        <v>266</v>
      </c>
      <c r="W342" s="643"/>
      <c r="X342" s="647">
        <f>SUM(X335:Y341)</f>
        <v>0</v>
      </c>
      <c r="Y342" s="647"/>
      <c r="Z342" s="646"/>
      <c r="AA342" s="646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56" t="s">
        <v>480</v>
      </c>
      <c r="B344" s="659" t="s">
        <v>280</v>
      </c>
      <c r="C344" s="659" t="s">
        <v>281</v>
      </c>
      <c r="D344" s="659" t="s">
        <v>282</v>
      </c>
      <c r="E344" s="662" t="s">
        <v>283</v>
      </c>
      <c r="F344" s="675" t="s">
        <v>284</v>
      </c>
      <c r="G344" s="640" t="s">
        <v>285</v>
      </c>
      <c r="H344" s="640"/>
      <c r="I344" s="659" t="s">
        <v>286</v>
      </c>
      <c r="J344" s="665" t="s">
        <v>271</v>
      </c>
      <c r="K344" s="668" t="s">
        <v>287</v>
      </c>
      <c r="L344" s="659" t="s">
        <v>270</v>
      </c>
      <c r="M344" s="671" t="s">
        <v>288</v>
      </c>
      <c r="N344" s="673" t="s">
        <v>252</v>
      </c>
      <c r="O344" s="640" t="s">
        <v>289</v>
      </c>
      <c r="P344" s="640"/>
      <c r="Q344" s="640"/>
      <c r="R344" s="640"/>
      <c r="S344" s="640"/>
      <c r="T344" s="640"/>
      <c r="U344" s="640"/>
      <c r="V344" s="640" t="s">
        <v>290</v>
      </c>
      <c r="W344" s="673" t="s">
        <v>291</v>
      </c>
      <c r="X344" s="640" t="s">
        <v>292</v>
      </c>
      <c r="Y344" s="640"/>
      <c r="Z344" s="640"/>
      <c r="AA344" s="640"/>
    </row>
    <row r="345" spans="1:27" ht="21.95" customHeight="1">
      <c r="A345" s="657"/>
      <c r="B345" s="660"/>
      <c r="C345" s="660"/>
      <c r="D345" s="660"/>
      <c r="E345" s="663"/>
      <c r="F345" s="676"/>
      <c r="G345" s="640"/>
      <c r="H345" s="640"/>
      <c r="I345" s="660"/>
      <c r="J345" s="666"/>
      <c r="K345" s="669"/>
      <c r="L345" s="660"/>
      <c r="M345" s="672"/>
      <c r="N345" s="673"/>
      <c r="O345" s="640" t="s">
        <v>259</v>
      </c>
      <c r="P345" s="640" t="s">
        <v>261</v>
      </c>
      <c r="Q345" s="640" t="s">
        <v>263</v>
      </c>
      <c r="R345" s="674" t="s">
        <v>265</v>
      </c>
      <c r="S345" s="643" t="s">
        <v>267</v>
      </c>
      <c r="T345" s="640" t="s">
        <v>272</v>
      </c>
      <c r="U345" s="640" t="s">
        <v>264</v>
      </c>
      <c r="V345" s="640"/>
      <c r="W345" s="673"/>
      <c r="X345" s="640" t="s">
        <v>293</v>
      </c>
      <c r="Y345" s="640" t="s">
        <v>294</v>
      </c>
      <c r="Z345" s="640" t="s">
        <v>295</v>
      </c>
      <c r="AA345" s="640" t="s">
        <v>264</v>
      </c>
    </row>
    <row r="346" spans="1:27" ht="21.95" customHeight="1">
      <c r="A346" s="658"/>
      <c r="B346" s="661"/>
      <c r="C346" s="661"/>
      <c r="D346" s="661"/>
      <c r="E346" s="664"/>
      <c r="F346" s="677"/>
      <c r="G346" s="348" t="s">
        <v>524</v>
      </c>
      <c r="H346" s="484" t="s">
        <v>297</v>
      </c>
      <c r="I346" s="661"/>
      <c r="J346" s="667"/>
      <c r="K346" s="670"/>
      <c r="L346" s="661"/>
      <c r="M346" s="672"/>
      <c r="N346" s="673"/>
      <c r="O346" s="640"/>
      <c r="P346" s="640"/>
      <c r="Q346" s="640"/>
      <c r="R346" s="674"/>
      <c r="S346" s="643"/>
      <c r="T346" s="640"/>
      <c r="U346" s="640"/>
      <c r="V346" s="640"/>
      <c r="W346" s="673"/>
      <c r="X346" s="640"/>
      <c r="Y346" s="640"/>
      <c r="Z346" s="640"/>
      <c r="AA346" s="640"/>
    </row>
    <row r="347" spans="1:27" ht="20.100000000000001" hidden="1" customHeight="1">
      <c r="A347" s="299">
        <v>30100030</v>
      </c>
      <c r="B347" s="486" t="s">
        <v>178</v>
      </c>
      <c r="C347" s="126" t="s">
        <v>179</v>
      </c>
      <c r="D347" s="108">
        <v>5.03</v>
      </c>
      <c r="E347" s="108"/>
      <c r="F347" s="127"/>
      <c r="G347" s="128"/>
      <c r="H347" s="494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485"/>
      <c r="P347" s="485"/>
      <c r="Q347" s="485"/>
      <c r="R347" s="485"/>
      <c r="S347" s="485"/>
      <c r="T347" s="485"/>
      <c r="U347" s="485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494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485"/>
      <c r="P348" s="485"/>
      <c r="Q348" s="485"/>
      <c r="R348" s="485"/>
      <c r="S348" s="485"/>
      <c r="T348" s="485"/>
      <c r="U348" s="485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494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485"/>
      <c r="P349" s="485"/>
      <c r="Q349" s="485"/>
      <c r="R349" s="485"/>
      <c r="S349" s="485"/>
      <c r="T349" s="485"/>
      <c r="U349" s="485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494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485"/>
      <c r="P350" s="485"/>
      <c r="Q350" s="485"/>
      <c r="R350" s="485"/>
      <c r="S350" s="485"/>
      <c r="T350" s="485"/>
      <c r="U350" s="485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494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485"/>
      <c r="P351" s="485"/>
      <c r="Q351" s="485"/>
      <c r="R351" s="485"/>
      <c r="S351" s="485"/>
      <c r="T351" s="485"/>
      <c r="U351" s="485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494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485"/>
      <c r="P352" s="485"/>
      <c r="Q352" s="485"/>
      <c r="R352" s="485"/>
      <c r="S352" s="485"/>
      <c r="T352" s="485"/>
      <c r="U352" s="485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494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485"/>
      <c r="P353" s="485"/>
      <c r="Q353" s="485"/>
      <c r="R353" s="485"/>
      <c r="S353" s="485"/>
      <c r="T353" s="485"/>
      <c r="U353" s="485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494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485"/>
      <c r="P354" s="485"/>
      <c r="Q354" s="485"/>
      <c r="R354" s="485"/>
      <c r="S354" s="485"/>
      <c r="T354" s="485"/>
      <c r="U354" s="485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494">
        <f t="shared" si="158"/>
        <v>0</v>
      </c>
      <c r="I355" s="494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485"/>
      <c r="P355" s="485"/>
      <c r="Q355" s="485"/>
      <c r="R355" s="485"/>
      <c r="S355" s="485"/>
      <c r="T355" s="485"/>
      <c r="U355" s="485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494">
        <f t="shared" si="158"/>
        <v>0</v>
      </c>
      <c r="I356" s="494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485"/>
      <c r="P356" s="485"/>
      <c r="Q356" s="485"/>
      <c r="R356" s="485"/>
      <c r="S356" s="485"/>
      <c r="T356" s="485"/>
      <c r="U356" s="485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494">
        <f t="shared" si="158"/>
        <v>0</v>
      </c>
      <c r="I357" s="494"/>
      <c r="J357" s="130"/>
      <c r="K357" s="131"/>
      <c r="L357" s="129"/>
      <c r="M357" s="109"/>
      <c r="N357" s="130"/>
      <c r="O357" s="485"/>
      <c r="P357" s="485"/>
      <c r="Q357" s="485"/>
      <c r="R357" s="485"/>
      <c r="S357" s="485"/>
      <c r="T357" s="485"/>
      <c r="U357" s="485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494">
        <f t="shared" si="158"/>
        <v>0</v>
      </c>
      <c r="I358" s="494"/>
      <c r="J358" s="130"/>
      <c r="K358" s="131"/>
      <c r="L358" s="129"/>
      <c r="M358" s="109"/>
      <c r="N358" s="130"/>
      <c r="O358" s="485"/>
      <c r="P358" s="485"/>
      <c r="Q358" s="485"/>
      <c r="R358" s="485"/>
      <c r="S358" s="485"/>
      <c r="T358" s="485"/>
      <c r="U358" s="485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494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485"/>
      <c r="P359" s="485"/>
      <c r="Q359" s="485"/>
      <c r="R359" s="485"/>
      <c r="S359" s="485"/>
      <c r="T359" s="485"/>
      <c r="U359" s="485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494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485"/>
      <c r="P360" s="485"/>
      <c r="Q360" s="485"/>
      <c r="R360" s="485"/>
      <c r="S360" s="485"/>
      <c r="T360" s="485"/>
      <c r="U360" s="485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494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485"/>
      <c r="P361" s="485"/>
      <c r="Q361" s="485"/>
      <c r="R361" s="485"/>
      <c r="S361" s="485"/>
      <c r="T361" s="485"/>
      <c r="U361" s="485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484" t="s">
        <v>190</v>
      </c>
      <c r="D362" s="108">
        <v>4.8</v>
      </c>
      <c r="E362" s="108"/>
      <c r="F362" s="127"/>
      <c r="G362" s="128"/>
      <c r="H362" s="494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485"/>
      <c r="P362" s="485"/>
      <c r="Q362" s="485"/>
      <c r="R362" s="485"/>
      <c r="S362" s="485"/>
      <c r="T362" s="485"/>
      <c r="U362" s="485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484" t="s">
        <v>187</v>
      </c>
      <c r="D363" s="108">
        <v>4.8</v>
      </c>
      <c r="E363" s="108"/>
      <c r="F363" s="127"/>
      <c r="G363" s="128"/>
      <c r="H363" s="494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485"/>
      <c r="P363" s="485"/>
      <c r="Q363" s="485"/>
      <c r="R363" s="485"/>
      <c r="S363" s="485"/>
      <c r="T363" s="485"/>
      <c r="U363" s="485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484" t="s">
        <v>179</v>
      </c>
      <c r="D364" s="108">
        <v>4.8</v>
      </c>
      <c r="E364" s="108"/>
      <c r="F364" s="127"/>
      <c r="G364" s="128"/>
      <c r="H364" s="494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485"/>
      <c r="P364" s="485"/>
      <c r="Q364" s="485"/>
      <c r="R364" s="485"/>
      <c r="S364" s="485"/>
      <c r="T364" s="485"/>
      <c r="U364" s="485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484" t="s">
        <v>199</v>
      </c>
      <c r="D365" s="108">
        <v>4.8</v>
      </c>
      <c r="E365" s="108"/>
      <c r="F365" s="127"/>
      <c r="G365" s="128"/>
      <c r="H365" s="494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485"/>
      <c r="P365" s="485"/>
      <c r="Q365" s="485"/>
      <c r="R365" s="485"/>
      <c r="S365" s="485"/>
      <c r="T365" s="485"/>
      <c r="U365" s="485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494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485"/>
      <c r="P366" s="485"/>
      <c r="Q366" s="485"/>
      <c r="R366" s="485"/>
      <c r="S366" s="485"/>
      <c r="T366" s="485"/>
      <c r="U366" s="485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494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485"/>
      <c r="P367" s="485"/>
      <c r="Q367" s="485"/>
      <c r="R367" s="485"/>
      <c r="S367" s="485"/>
      <c r="T367" s="485"/>
      <c r="U367" s="485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630" t="s">
        <v>201</v>
      </c>
      <c r="B368" s="631"/>
      <c r="C368" s="492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486" t="s">
        <v>206</v>
      </c>
      <c r="C369" s="126" t="s">
        <v>199</v>
      </c>
      <c r="D369" s="108">
        <v>5.03</v>
      </c>
      <c r="E369" s="108"/>
      <c r="F369" s="127"/>
      <c r="G369" s="128"/>
      <c r="H369" s="494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489"/>
      <c r="P369" s="489"/>
      <c r="Q369" s="489"/>
      <c r="R369" s="489"/>
      <c r="S369" s="489"/>
      <c r="T369" s="489"/>
      <c r="U369" s="489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486" t="s">
        <v>431</v>
      </c>
      <c r="C370" s="187" t="s">
        <v>427</v>
      </c>
      <c r="D370" s="108">
        <v>5.03</v>
      </c>
      <c r="E370" s="108"/>
      <c r="F370" s="127"/>
      <c r="G370" s="128"/>
      <c r="H370" s="494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489"/>
      <c r="P370" s="489"/>
      <c r="Q370" s="489"/>
      <c r="R370" s="489"/>
      <c r="S370" s="489"/>
      <c r="T370" s="489"/>
      <c r="U370" s="489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486" t="s">
        <v>206</v>
      </c>
      <c r="C371" s="126" t="s">
        <v>186</v>
      </c>
      <c r="D371" s="108">
        <v>5.03</v>
      </c>
      <c r="E371" s="108"/>
      <c r="F371" s="127"/>
      <c r="G371" s="128"/>
      <c r="H371" s="494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489"/>
      <c r="P371" s="489"/>
      <c r="Q371" s="489"/>
      <c r="R371" s="489"/>
      <c r="S371" s="489"/>
      <c r="T371" s="489"/>
      <c r="U371" s="489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486" t="s">
        <v>206</v>
      </c>
      <c r="C372" s="126" t="s">
        <v>203</v>
      </c>
      <c r="D372" s="108">
        <v>5.03</v>
      </c>
      <c r="E372" s="108"/>
      <c r="F372" s="127"/>
      <c r="G372" s="128"/>
      <c r="H372" s="494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489"/>
      <c r="P372" s="489"/>
      <c r="Q372" s="489"/>
      <c r="R372" s="489"/>
      <c r="S372" s="489"/>
      <c r="T372" s="489"/>
      <c r="U372" s="489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486" t="s">
        <v>206</v>
      </c>
      <c r="C373" s="126" t="s">
        <v>207</v>
      </c>
      <c r="D373" s="108">
        <v>5.03</v>
      </c>
      <c r="E373" s="108"/>
      <c r="F373" s="127"/>
      <c r="G373" s="128"/>
      <c r="H373" s="494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489"/>
      <c r="P373" s="489"/>
      <c r="Q373" s="489"/>
      <c r="R373" s="489"/>
      <c r="S373" s="489"/>
      <c r="T373" s="489"/>
      <c r="U373" s="489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486" t="s">
        <v>414</v>
      </c>
      <c r="C374" s="187" t="s">
        <v>415</v>
      </c>
      <c r="D374" s="108"/>
      <c r="E374" s="108"/>
      <c r="F374" s="127"/>
      <c r="G374" s="128"/>
      <c r="H374" s="494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489"/>
      <c r="P374" s="489"/>
      <c r="Q374" s="489"/>
      <c r="R374" s="489"/>
      <c r="S374" s="489"/>
      <c r="T374" s="489"/>
      <c r="U374" s="489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486" t="s">
        <v>414</v>
      </c>
      <c r="C375" s="187" t="s">
        <v>416</v>
      </c>
      <c r="D375" s="108"/>
      <c r="E375" s="108"/>
      <c r="F375" s="127"/>
      <c r="G375" s="128"/>
      <c r="H375" s="494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489"/>
      <c r="P375" s="489"/>
      <c r="Q375" s="489"/>
      <c r="R375" s="489"/>
      <c r="S375" s="489"/>
      <c r="T375" s="489"/>
      <c r="U375" s="489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486" t="s">
        <v>414</v>
      </c>
      <c r="C376" s="187" t="s">
        <v>61</v>
      </c>
      <c r="D376" s="108"/>
      <c r="E376" s="108"/>
      <c r="F376" s="127"/>
      <c r="G376" s="128"/>
      <c r="H376" s="494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489"/>
      <c r="P376" s="489"/>
      <c r="Q376" s="489"/>
      <c r="R376" s="489"/>
      <c r="S376" s="489"/>
      <c r="T376" s="489"/>
      <c r="U376" s="489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486" t="s">
        <v>208</v>
      </c>
      <c r="C377" s="126" t="s">
        <v>179</v>
      </c>
      <c r="D377" s="108">
        <v>5.08</v>
      </c>
      <c r="E377" s="108"/>
      <c r="F377" s="127"/>
      <c r="G377" s="128"/>
      <c r="H377" s="494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489"/>
      <c r="P377" s="489"/>
      <c r="Q377" s="489"/>
      <c r="R377" s="489"/>
      <c r="S377" s="489"/>
      <c r="T377" s="489"/>
      <c r="U377" s="489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486" t="s">
        <v>208</v>
      </c>
      <c r="C378" s="126" t="s">
        <v>204</v>
      </c>
      <c r="D378" s="108">
        <v>5.08</v>
      </c>
      <c r="E378" s="108"/>
      <c r="F378" s="127"/>
      <c r="G378" s="128"/>
      <c r="H378" s="494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489"/>
      <c r="P378" s="489"/>
      <c r="Q378" s="489"/>
      <c r="R378" s="489"/>
      <c r="S378" s="489"/>
      <c r="T378" s="489"/>
      <c r="U378" s="489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486" t="s">
        <v>208</v>
      </c>
      <c r="C379" s="126" t="s">
        <v>205</v>
      </c>
      <c r="D379" s="108">
        <v>5.08</v>
      </c>
      <c r="E379" s="108"/>
      <c r="F379" s="127"/>
      <c r="G379" s="128"/>
      <c r="H379" s="494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489"/>
      <c r="P379" s="489"/>
      <c r="Q379" s="489"/>
      <c r="R379" s="489"/>
      <c r="S379" s="489"/>
      <c r="T379" s="489"/>
      <c r="U379" s="489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486" t="s">
        <v>208</v>
      </c>
      <c r="C380" s="126" t="s">
        <v>186</v>
      </c>
      <c r="D380" s="108">
        <v>5.08</v>
      </c>
      <c r="E380" s="108"/>
      <c r="F380" s="127"/>
      <c r="G380" s="128"/>
      <c r="H380" s="494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489"/>
      <c r="P380" s="489"/>
      <c r="Q380" s="489"/>
      <c r="R380" s="489"/>
      <c r="S380" s="489"/>
      <c r="T380" s="489"/>
      <c r="U380" s="489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486" t="s">
        <v>208</v>
      </c>
      <c r="C381" s="126" t="s">
        <v>203</v>
      </c>
      <c r="D381" s="108">
        <v>5.08</v>
      </c>
      <c r="E381" s="108"/>
      <c r="F381" s="127"/>
      <c r="G381" s="128"/>
      <c r="H381" s="494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489"/>
      <c r="P381" s="489"/>
      <c r="Q381" s="489"/>
      <c r="R381" s="489"/>
      <c r="S381" s="489"/>
      <c r="T381" s="489"/>
      <c r="U381" s="489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486" t="s">
        <v>208</v>
      </c>
      <c r="C382" s="126" t="s">
        <v>199</v>
      </c>
      <c r="D382" s="108">
        <v>5.08</v>
      </c>
      <c r="E382" s="108"/>
      <c r="F382" s="127"/>
      <c r="G382" s="128"/>
      <c r="H382" s="494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485"/>
      <c r="P382" s="485"/>
      <c r="Q382" s="485"/>
      <c r="R382" s="485"/>
      <c r="S382" s="485"/>
      <c r="T382" s="485"/>
      <c r="U382" s="485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486" t="s">
        <v>208</v>
      </c>
      <c r="C383" s="126" t="s">
        <v>187</v>
      </c>
      <c r="D383" s="108">
        <v>5.08</v>
      </c>
      <c r="E383" s="108"/>
      <c r="F383" s="127"/>
      <c r="G383" s="128"/>
      <c r="H383" s="494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489"/>
      <c r="P383" s="489"/>
      <c r="Q383" s="489"/>
      <c r="R383" s="489"/>
      <c r="S383" s="489"/>
      <c r="T383" s="489"/>
      <c r="U383" s="489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486" t="s">
        <v>208</v>
      </c>
      <c r="C384" s="126" t="s">
        <v>207</v>
      </c>
      <c r="D384" s="108">
        <v>5.08</v>
      </c>
      <c r="E384" s="108"/>
      <c r="F384" s="127"/>
      <c r="G384" s="128"/>
      <c r="H384" s="494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485"/>
      <c r="P384" s="485"/>
      <c r="Q384" s="485"/>
      <c r="R384" s="485"/>
      <c r="S384" s="485"/>
      <c r="T384" s="485"/>
      <c r="U384" s="485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486" t="s">
        <v>209</v>
      </c>
      <c r="C385" s="126" t="s">
        <v>194</v>
      </c>
      <c r="D385" s="108">
        <v>5.03</v>
      </c>
      <c r="E385" s="108"/>
      <c r="F385" s="127"/>
      <c r="G385" s="128"/>
      <c r="H385" s="494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489"/>
      <c r="P385" s="489"/>
      <c r="Q385" s="489"/>
      <c r="R385" s="489"/>
      <c r="S385" s="489"/>
      <c r="T385" s="489"/>
      <c r="U385" s="489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486" t="s">
        <v>209</v>
      </c>
      <c r="C386" s="126" t="s">
        <v>179</v>
      </c>
      <c r="D386" s="108">
        <v>5.03</v>
      </c>
      <c r="E386" s="108"/>
      <c r="F386" s="127"/>
      <c r="G386" s="128"/>
      <c r="H386" s="494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489"/>
      <c r="P386" s="489"/>
      <c r="Q386" s="489"/>
      <c r="R386" s="489"/>
      <c r="S386" s="489"/>
      <c r="T386" s="489"/>
      <c r="U386" s="489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486" t="s">
        <v>209</v>
      </c>
      <c r="C387" s="126" t="s">
        <v>195</v>
      </c>
      <c r="D387" s="108">
        <v>5.03</v>
      </c>
      <c r="E387" s="108"/>
      <c r="F387" s="127"/>
      <c r="G387" s="128"/>
      <c r="H387" s="494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489"/>
      <c r="P387" s="489"/>
      <c r="Q387" s="489"/>
      <c r="R387" s="489"/>
      <c r="S387" s="489"/>
      <c r="T387" s="489"/>
      <c r="U387" s="489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486" t="s">
        <v>209</v>
      </c>
      <c r="C388" s="126" t="s">
        <v>204</v>
      </c>
      <c r="D388" s="108">
        <v>5.03</v>
      </c>
      <c r="E388" s="108"/>
      <c r="F388" s="127"/>
      <c r="G388" s="128"/>
      <c r="H388" s="494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489"/>
      <c r="P388" s="489"/>
      <c r="Q388" s="489"/>
      <c r="R388" s="489"/>
      <c r="S388" s="489"/>
      <c r="T388" s="489"/>
      <c r="U388" s="489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486" t="s">
        <v>382</v>
      </c>
      <c r="C389" s="187" t="s">
        <v>383</v>
      </c>
      <c r="D389" s="108">
        <v>5.03</v>
      </c>
      <c r="E389" s="108"/>
      <c r="F389" s="127"/>
      <c r="G389" s="128"/>
      <c r="H389" s="494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489"/>
      <c r="P389" s="489"/>
      <c r="Q389" s="489"/>
      <c r="R389" s="489"/>
      <c r="S389" s="489"/>
      <c r="T389" s="489"/>
      <c r="U389" s="489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486" t="s">
        <v>382</v>
      </c>
      <c r="C390" s="187" t="s">
        <v>384</v>
      </c>
      <c r="D390" s="108">
        <v>5.03</v>
      </c>
      <c r="E390" s="108"/>
      <c r="F390" s="127"/>
      <c r="G390" s="128"/>
      <c r="H390" s="494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489"/>
      <c r="P390" s="489"/>
      <c r="Q390" s="489"/>
      <c r="R390" s="489"/>
      <c r="S390" s="489"/>
      <c r="T390" s="489"/>
      <c r="U390" s="489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486" t="s">
        <v>382</v>
      </c>
      <c r="C391" s="187" t="s">
        <v>389</v>
      </c>
      <c r="D391" s="108">
        <v>5.03</v>
      </c>
      <c r="E391" s="108"/>
      <c r="F391" s="127"/>
      <c r="G391" s="128"/>
      <c r="H391" s="494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489"/>
      <c r="P391" s="489"/>
      <c r="Q391" s="489"/>
      <c r="R391" s="489"/>
      <c r="S391" s="489"/>
      <c r="T391" s="489"/>
      <c r="U391" s="489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486" t="s">
        <v>382</v>
      </c>
      <c r="C392" s="187" t="s">
        <v>391</v>
      </c>
      <c r="D392" s="108">
        <v>5.03</v>
      </c>
      <c r="E392" s="108"/>
      <c r="F392" s="127"/>
      <c r="G392" s="128"/>
      <c r="H392" s="494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489"/>
      <c r="P392" s="489"/>
      <c r="Q392" s="489"/>
      <c r="R392" s="489"/>
      <c r="S392" s="489"/>
      <c r="T392" s="489"/>
      <c r="U392" s="489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486" t="s">
        <v>418</v>
      </c>
      <c r="C393" s="187" t="s">
        <v>364</v>
      </c>
      <c r="D393" s="108">
        <v>5.03</v>
      </c>
      <c r="E393" s="108"/>
      <c r="F393" s="127"/>
      <c r="G393" s="128"/>
      <c r="H393" s="494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489"/>
      <c r="P393" s="489"/>
      <c r="Q393" s="489"/>
      <c r="R393" s="489"/>
      <c r="S393" s="489"/>
      <c r="T393" s="489"/>
      <c r="U393" s="489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486" t="s">
        <v>418</v>
      </c>
      <c r="C394" s="187" t="s">
        <v>365</v>
      </c>
      <c r="D394" s="108">
        <v>5.03</v>
      </c>
      <c r="E394" s="108"/>
      <c r="F394" s="127"/>
      <c r="G394" s="128"/>
      <c r="H394" s="494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489"/>
      <c r="P394" s="489"/>
      <c r="Q394" s="489"/>
      <c r="R394" s="489"/>
      <c r="S394" s="489"/>
      <c r="T394" s="489"/>
      <c r="U394" s="489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486" t="s">
        <v>418</v>
      </c>
      <c r="C395" s="187" t="s">
        <v>366</v>
      </c>
      <c r="D395" s="108">
        <v>5.03</v>
      </c>
      <c r="E395" s="108"/>
      <c r="F395" s="127"/>
      <c r="G395" s="128"/>
      <c r="H395" s="494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489"/>
      <c r="P395" s="489"/>
      <c r="Q395" s="489"/>
      <c r="R395" s="489"/>
      <c r="S395" s="489"/>
      <c r="T395" s="489"/>
      <c r="U395" s="489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486" t="s">
        <v>418</v>
      </c>
      <c r="C396" s="187" t="s">
        <v>367</v>
      </c>
      <c r="D396" s="108">
        <v>5.03</v>
      </c>
      <c r="E396" s="108"/>
      <c r="F396" s="127"/>
      <c r="G396" s="128"/>
      <c r="H396" s="494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489"/>
      <c r="P396" s="489"/>
      <c r="Q396" s="489"/>
      <c r="R396" s="489"/>
      <c r="S396" s="489"/>
      <c r="T396" s="489"/>
      <c r="U396" s="489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494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485"/>
      <c r="P397" s="485"/>
      <c r="Q397" s="485"/>
      <c r="R397" s="485"/>
      <c r="S397" s="485"/>
      <c r="T397" s="485"/>
      <c r="U397" s="485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494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485"/>
      <c r="P398" s="485"/>
      <c r="Q398" s="485"/>
      <c r="R398" s="485"/>
      <c r="S398" s="485"/>
      <c r="T398" s="485"/>
      <c r="U398" s="485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494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485"/>
      <c r="P399" s="485"/>
      <c r="Q399" s="485"/>
      <c r="R399" s="485"/>
      <c r="S399" s="485"/>
      <c r="T399" s="485"/>
      <c r="U399" s="485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494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485"/>
      <c r="P400" s="485"/>
      <c r="Q400" s="485"/>
      <c r="R400" s="485"/>
      <c r="S400" s="485"/>
      <c r="T400" s="485"/>
      <c r="U400" s="485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494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485"/>
      <c r="P401" s="485"/>
      <c r="Q401" s="485"/>
      <c r="R401" s="485"/>
      <c r="S401" s="485"/>
      <c r="T401" s="485"/>
      <c r="U401" s="485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494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485"/>
      <c r="P402" s="485"/>
      <c r="Q402" s="485"/>
      <c r="R402" s="485"/>
      <c r="S402" s="485"/>
      <c r="T402" s="485"/>
      <c r="U402" s="485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494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485"/>
      <c r="P403" s="485"/>
      <c r="Q403" s="485"/>
      <c r="R403" s="485"/>
      <c r="S403" s="485"/>
      <c r="T403" s="485"/>
      <c r="U403" s="485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494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485"/>
      <c r="P404" s="485"/>
      <c r="Q404" s="485"/>
      <c r="R404" s="485"/>
      <c r="S404" s="485"/>
      <c r="T404" s="485"/>
      <c r="U404" s="485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494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485"/>
      <c r="P405" s="485"/>
      <c r="Q405" s="485"/>
      <c r="R405" s="485"/>
      <c r="S405" s="485"/>
      <c r="T405" s="485"/>
      <c r="U405" s="485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494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485"/>
      <c r="P406" s="485"/>
      <c r="Q406" s="485"/>
      <c r="R406" s="485"/>
      <c r="S406" s="485"/>
      <c r="T406" s="485"/>
      <c r="U406" s="485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433</v>
      </c>
      <c r="C407" s="187" t="s">
        <v>427</v>
      </c>
      <c r="D407" s="108">
        <v>50.3</v>
      </c>
      <c r="E407" s="108"/>
      <c r="F407" s="127"/>
      <c r="G407" s="128"/>
      <c r="H407" s="494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485"/>
      <c r="P407" s="485"/>
      <c r="Q407" s="485"/>
      <c r="R407" s="485"/>
      <c r="S407" s="485"/>
      <c r="T407" s="485"/>
      <c r="U407" s="485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494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485"/>
      <c r="P408" s="485"/>
      <c r="Q408" s="485"/>
      <c r="R408" s="485"/>
      <c r="S408" s="485"/>
      <c r="T408" s="485"/>
      <c r="U408" s="485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494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485"/>
      <c r="P409" s="485"/>
      <c r="Q409" s="485"/>
      <c r="R409" s="485"/>
      <c r="S409" s="485"/>
      <c r="T409" s="485"/>
      <c r="U409" s="485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494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485"/>
      <c r="P410" s="485"/>
      <c r="Q410" s="485"/>
      <c r="R410" s="485"/>
      <c r="S410" s="485"/>
      <c r="T410" s="485"/>
      <c r="U410" s="485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494">
        <f t="shared" si="171"/>
        <v>0</v>
      </c>
      <c r="I411" s="129"/>
      <c r="J411" s="130"/>
      <c r="K411" s="131"/>
      <c r="L411" s="129"/>
      <c r="M411" s="109"/>
      <c r="N411" s="130"/>
      <c r="O411" s="485"/>
      <c r="P411" s="485"/>
      <c r="Q411" s="485"/>
      <c r="R411" s="485"/>
      <c r="S411" s="485"/>
      <c r="T411" s="485"/>
      <c r="U411" s="485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494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485"/>
      <c r="P412" s="485"/>
      <c r="Q412" s="485"/>
      <c r="R412" s="485"/>
      <c r="S412" s="485"/>
      <c r="T412" s="485"/>
      <c r="U412" s="485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494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485"/>
      <c r="P413" s="485"/>
      <c r="Q413" s="485"/>
      <c r="R413" s="485"/>
      <c r="S413" s="485"/>
      <c r="T413" s="485"/>
      <c r="U413" s="485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494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485"/>
      <c r="P414" s="485"/>
      <c r="Q414" s="485"/>
      <c r="R414" s="485"/>
      <c r="S414" s="485"/>
      <c r="T414" s="485"/>
      <c r="U414" s="485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494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485"/>
      <c r="P415" s="485"/>
      <c r="Q415" s="485"/>
      <c r="R415" s="485"/>
      <c r="S415" s="485"/>
      <c r="T415" s="485"/>
      <c r="U415" s="485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494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485"/>
      <c r="P416" s="485"/>
      <c r="Q416" s="485"/>
      <c r="R416" s="485"/>
      <c r="S416" s="485"/>
      <c r="T416" s="485"/>
      <c r="U416" s="485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494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485"/>
      <c r="P417" s="485"/>
      <c r="Q417" s="485"/>
      <c r="R417" s="485"/>
      <c r="S417" s="485"/>
      <c r="T417" s="485"/>
      <c r="U417" s="485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494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485"/>
      <c r="P418" s="485"/>
      <c r="Q418" s="485"/>
      <c r="R418" s="485"/>
      <c r="S418" s="485"/>
      <c r="T418" s="485"/>
      <c r="U418" s="485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494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485"/>
      <c r="P419" s="485"/>
      <c r="Q419" s="485"/>
      <c r="R419" s="485"/>
      <c r="S419" s="485"/>
      <c r="T419" s="485"/>
      <c r="U419" s="485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494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485"/>
      <c r="P420" s="485"/>
      <c r="Q420" s="485"/>
      <c r="R420" s="485"/>
      <c r="S420" s="485"/>
      <c r="T420" s="485"/>
      <c r="U420" s="485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494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485"/>
      <c r="P421" s="485"/>
      <c r="Q421" s="485"/>
      <c r="R421" s="485"/>
      <c r="S421" s="485"/>
      <c r="T421" s="485"/>
      <c r="U421" s="485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494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485"/>
      <c r="P422" s="485"/>
      <c r="Q422" s="485"/>
      <c r="R422" s="485"/>
      <c r="S422" s="485"/>
      <c r="T422" s="485"/>
      <c r="U422" s="485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494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485"/>
      <c r="P423" s="485"/>
      <c r="Q423" s="485"/>
      <c r="R423" s="485"/>
      <c r="S423" s="485"/>
      <c r="T423" s="485"/>
      <c r="U423" s="485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494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485"/>
      <c r="P424" s="485"/>
      <c r="Q424" s="485"/>
      <c r="R424" s="485"/>
      <c r="S424" s="485"/>
      <c r="T424" s="485"/>
      <c r="U424" s="485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494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485"/>
      <c r="P425" s="485"/>
      <c r="Q425" s="485"/>
      <c r="R425" s="485"/>
      <c r="S425" s="485"/>
      <c r="T425" s="485"/>
      <c r="U425" s="485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41" t="s">
        <v>216</v>
      </c>
      <c r="B426" s="641"/>
      <c r="C426" s="492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486" t="s">
        <v>217</v>
      </c>
      <c r="C427" s="126" t="s">
        <v>179</v>
      </c>
      <c r="D427" s="108">
        <v>5.03</v>
      </c>
      <c r="E427" s="108"/>
      <c r="F427" s="127"/>
      <c r="G427" s="128"/>
      <c r="H427" s="494">
        <f t="shared" ref="H427:H460" si="196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7">IF(ISERROR(I427-K427),"",I427-K427)</f>
        <v>0</v>
      </c>
      <c r="N427" s="130">
        <f t="shared" ref="N427:N434" si="198">SUM(O427:U427)</f>
        <v>0</v>
      </c>
      <c r="O427" s="485"/>
      <c r="P427" s="485"/>
      <c r="Q427" s="485"/>
      <c r="R427" s="485"/>
      <c r="S427" s="485"/>
      <c r="T427" s="485"/>
      <c r="U427" s="485"/>
      <c r="V427" s="132">
        <f t="shared" ref="V427:V433" si="199">SUM(X427:AA427)</f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customHeight="1">
      <c r="A428" s="299">
        <v>30400010</v>
      </c>
      <c r="B428" s="486" t="s">
        <v>217</v>
      </c>
      <c r="C428" s="126" t="s">
        <v>186</v>
      </c>
      <c r="D428" s="108">
        <v>5.03</v>
      </c>
      <c r="E428" s="108"/>
      <c r="F428" s="127">
        <v>42714</v>
      </c>
      <c r="G428" s="128">
        <f>72*4+16+8+23</f>
        <v>335</v>
      </c>
      <c r="H428" s="494">
        <f t="shared" si="196"/>
        <v>1685.0500000000002</v>
      </c>
      <c r="I428" s="129">
        <f>8*2+8.5+9</f>
        <v>33.5</v>
      </c>
      <c r="J428" s="130">
        <f t="array" ref="J428">IF(ISERROR(G428/I428),"",G428/I428)</f>
        <v>10</v>
      </c>
      <c r="K428" s="131">
        <f t="array" ref="K428">IF(ISERROR(G428/L428),"",G428/L428)</f>
        <v>38.068181818181813</v>
      </c>
      <c r="L428" s="129">
        <v>8.8000000000000007</v>
      </c>
      <c r="M428" s="109">
        <f t="shared" si="197"/>
        <v>-4.568181818181813</v>
      </c>
      <c r="N428" s="130">
        <f t="shared" si="198"/>
        <v>0</v>
      </c>
      <c r="O428" s="485"/>
      <c r="P428" s="485"/>
      <c r="Q428" s="485"/>
      <c r="R428" s="485"/>
      <c r="S428" s="485"/>
      <c r="T428" s="485"/>
      <c r="U428" s="485"/>
      <c r="V428" s="132">
        <f t="shared" si="199"/>
        <v>0</v>
      </c>
      <c r="W428" s="133">
        <f t="shared" si="195"/>
        <v>0</v>
      </c>
      <c r="X428" s="132"/>
      <c r="Y428" s="132"/>
      <c r="Z428" s="132"/>
      <c r="AA428" s="132"/>
    </row>
    <row r="429" spans="1:27" ht="20.100000000000001" customHeight="1">
      <c r="A429" s="299">
        <v>30400011</v>
      </c>
      <c r="B429" s="486" t="s">
        <v>217</v>
      </c>
      <c r="C429" s="126" t="s">
        <v>204</v>
      </c>
      <c r="D429" s="108">
        <v>5.03</v>
      </c>
      <c r="E429" s="108"/>
      <c r="F429" s="127">
        <v>42718</v>
      </c>
      <c r="G429" s="128">
        <f>26+41</f>
        <v>67</v>
      </c>
      <c r="H429" s="494">
        <f t="shared" si="196"/>
        <v>337.01</v>
      </c>
      <c r="I429" s="129">
        <f>1.5*2+2+2</f>
        <v>7</v>
      </c>
      <c r="J429" s="130">
        <f t="array" ref="J429">IF(ISERROR(G429/I429),"",G429/I429)</f>
        <v>9.5714285714285712</v>
      </c>
      <c r="K429" s="131">
        <f t="array" ref="K429">IF(ISERROR(G429/L429),"",G429/L429)</f>
        <v>7.6136363636363633</v>
      </c>
      <c r="L429" s="129">
        <v>8.8000000000000007</v>
      </c>
      <c r="M429" s="109">
        <f t="shared" si="197"/>
        <v>-0.61363636363636331</v>
      </c>
      <c r="N429" s="130">
        <f t="shared" si="198"/>
        <v>0</v>
      </c>
      <c r="O429" s="485"/>
      <c r="P429" s="485"/>
      <c r="Q429" s="485"/>
      <c r="R429" s="485"/>
      <c r="S429" s="485"/>
      <c r="T429" s="485"/>
      <c r="U429" s="485"/>
      <c r="V429" s="132">
        <f t="shared" si="199"/>
        <v>0</v>
      </c>
      <c r="W429" s="133">
        <f t="shared" si="195"/>
        <v>0</v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494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485"/>
      <c r="P430" s="485"/>
      <c r="Q430" s="485"/>
      <c r="R430" s="485"/>
      <c r="S430" s="485"/>
      <c r="T430" s="485"/>
      <c r="U430" s="485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494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7"/>
        <v>0</v>
      </c>
      <c r="N431" s="130">
        <f t="shared" si="198"/>
        <v>0</v>
      </c>
      <c r="O431" s="485"/>
      <c r="P431" s="485"/>
      <c r="Q431" s="485"/>
      <c r="R431" s="485"/>
      <c r="S431" s="485"/>
      <c r="T431" s="485"/>
      <c r="U431" s="485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494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7"/>
        <v>0</v>
      </c>
      <c r="N432" s="130">
        <f t="shared" si="198"/>
        <v>0</v>
      </c>
      <c r="O432" s="485"/>
      <c r="P432" s="485"/>
      <c r="Q432" s="485"/>
      <c r="R432" s="485"/>
      <c r="S432" s="485"/>
      <c r="T432" s="485"/>
      <c r="U432" s="485"/>
      <c r="V432" s="132">
        <f t="shared" si="199"/>
        <v>0</v>
      </c>
      <c r="W432" s="133" t="str">
        <f t="shared" si="195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494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485"/>
      <c r="P433" s="485"/>
      <c r="Q433" s="485"/>
      <c r="R433" s="485"/>
      <c r="S433" s="485"/>
      <c r="T433" s="485"/>
      <c r="U433" s="485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>
        <v>42718</v>
      </c>
      <c r="G434" s="128">
        <f>108+93+92+73</f>
        <v>366</v>
      </c>
      <c r="H434" s="494">
        <f t="shared" si="196"/>
        <v>1840.98</v>
      </c>
      <c r="I434" s="129">
        <f>8*2+8.5+8.5</f>
        <v>33</v>
      </c>
      <c r="J434" s="130">
        <f t="array" ref="J434">IF(ISERROR(G434/I434),"",G434/I434)</f>
        <v>11.090909090909092</v>
      </c>
      <c r="K434" s="131">
        <f t="array" ref="K434">IF(ISERROR(G434/L434),"",G434/L434)</f>
        <v>39.354838709677416</v>
      </c>
      <c r="L434" s="129">
        <v>9.3000000000000007</v>
      </c>
      <c r="M434" s="109">
        <f t="shared" si="197"/>
        <v>-6.3548387096774164</v>
      </c>
      <c r="N434" s="130">
        <f t="shared" si="198"/>
        <v>0</v>
      </c>
      <c r="O434" s="485"/>
      <c r="P434" s="485"/>
      <c r="Q434" s="485"/>
      <c r="R434" s="485"/>
      <c r="S434" s="485"/>
      <c r="T434" s="485"/>
      <c r="U434" s="485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494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485"/>
      <c r="P435" s="485"/>
      <c r="Q435" s="485"/>
      <c r="R435" s="485"/>
      <c r="S435" s="485"/>
      <c r="T435" s="485"/>
      <c r="U435" s="485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494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485"/>
      <c r="P436" s="485"/>
      <c r="Q436" s="485"/>
      <c r="R436" s="485"/>
      <c r="S436" s="485"/>
      <c r="T436" s="485"/>
      <c r="U436" s="485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494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85"/>
      <c r="P437" s="485"/>
      <c r="Q437" s="485"/>
      <c r="R437" s="485"/>
      <c r="S437" s="485"/>
      <c r="T437" s="485"/>
      <c r="U437" s="485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494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85"/>
      <c r="P438" s="485"/>
      <c r="Q438" s="485"/>
      <c r="R438" s="485"/>
      <c r="S438" s="485"/>
      <c r="T438" s="485"/>
      <c r="U438" s="485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494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485"/>
      <c r="P439" s="485"/>
      <c r="Q439" s="485"/>
      <c r="R439" s="485"/>
      <c r="S439" s="485"/>
      <c r="T439" s="485"/>
      <c r="U439" s="485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494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485"/>
      <c r="P440" s="485"/>
      <c r="Q440" s="485"/>
      <c r="R440" s="485"/>
      <c r="S440" s="485"/>
      <c r="T440" s="485"/>
      <c r="U440" s="485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494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485"/>
      <c r="P441" s="485"/>
      <c r="Q441" s="485"/>
      <c r="R441" s="485"/>
      <c r="S441" s="485"/>
      <c r="T441" s="485"/>
      <c r="U441" s="485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494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485"/>
      <c r="P442" s="485"/>
      <c r="Q442" s="485"/>
      <c r="R442" s="485"/>
      <c r="S442" s="485"/>
      <c r="T442" s="485"/>
      <c r="U442" s="485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486" t="s">
        <v>222</v>
      </c>
      <c r="C443" s="126" t="s">
        <v>181</v>
      </c>
      <c r="D443" s="108">
        <v>9.36</v>
      </c>
      <c r="E443" s="108"/>
      <c r="F443" s="127"/>
      <c r="G443" s="128"/>
      <c r="H443" s="494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485"/>
      <c r="P443" s="485"/>
      <c r="Q443" s="485"/>
      <c r="R443" s="485"/>
      <c r="S443" s="485"/>
      <c r="T443" s="485"/>
      <c r="U443" s="485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486" t="s">
        <v>222</v>
      </c>
      <c r="C444" s="126" t="s">
        <v>179</v>
      </c>
      <c r="D444" s="108">
        <v>9.36</v>
      </c>
      <c r="E444" s="108"/>
      <c r="F444" s="127"/>
      <c r="G444" s="128"/>
      <c r="H444" s="494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485"/>
      <c r="P444" s="485"/>
      <c r="Q444" s="485"/>
      <c r="R444" s="485"/>
      <c r="S444" s="485"/>
      <c r="T444" s="485"/>
      <c r="U444" s="485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486" t="s">
        <v>222</v>
      </c>
      <c r="C445" s="126" t="s">
        <v>221</v>
      </c>
      <c r="D445" s="108">
        <v>9.36</v>
      </c>
      <c r="E445" s="108"/>
      <c r="F445" s="127"/>
      <c r="G445" s="128"/>
      <c r="H445" s="494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485"/>
      <c r="P445" s="485"/>
      <c r="Q445" s="485"/>
      <c r="R445" s="485"/>
      <c r="S445" s="485"/>
      <c r="T445" s="485"/>
      <c r="U445" s="485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486" t="s">
        <v>222</v>
      </c>
      <c r="C446" s="126" t="s">
        <v>186</v>
      </c>
      <c r="D446" s="108">
        <v>9.36</v>
      </c>
      <c r="E446" s="108"/>
      <c r="F446" s="127"/>
      <c r="G446" s="128"/>
      <c r="H446" s="494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485"/>
      <c r="P446" s="485"/>
      <c r="Q446" s="485"/>
      <c r="R446" s="485"/>
      <c r="S446" s="485"/>
      <c r="T446" s="485"/>
      <c r="U446" s="485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486" t="s">
        <v>393</v>
      </c>
      <c r="C447" s="187" t="s">
        <v>395</v>
      </c>
      <c r="D447" s="108">
        <v>5</v>
      </c>
      <c r="E447" s="108"/>
      <c r="F447" s="127"/>
      <c r="G447" s="128"/>
      <c r="H447" s="494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485"/>
      <c r="P447" s="485"/>
      <c r="Q447" s="485"/>
      <c r="R447" s="485"/>
      <c r="S447" s="485"/>
      <c r="T447" s="485"/>
      <c r="U447" s="485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486" t="s">
        <v>393</v>
      </c>
      <c r="C448" s="187" t="s">
        <v>402</v>
      </c>
      <c r="D448" s="108">
        <v>5</v>
      </c>
      <c r="E448" s="108"/>
      <c r="F448" s="127"/>
      <c r="G448" s="128"/>
      <c r="H448" s="494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485"/>
      <c r="P448" s="485"/>
      <c r="Q448" s="485"/>
      <c r="R448" s="485"/>
      <c r="S448" s="485"/>
      <c r="T448" s="485"/>
      <c r="U448" s="485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486" t="s">
        <v>404</v>
      </c>
      <c r="C449" s="187" t="s">
        <v>405</v>
      </c>
      <c r="D449" s="108">
        <v>5</v>
      </c>
      <c r="E449" s="108"/>
      <c r="F449" s="127"/>
      <c r="G449" s="128"/>
      <c r="H449" s="494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485"/>
      <c r="P449" s="485"/>
      <c r="Q449" s="485"/>
      <c r="R449" s="485"/>
      <c r="S449" s="485"/>
      <c r="T449" s="485"/>
      <c r="U449" s="485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486" t="s">
        <v>342</v>
      </c>
      <c r="C450" s="187" t="s">
        <v>372</v>
      </c>
      <c r="D450" s="108">
        <v>5</v>
      </c>
      <c r="E450" s="108"/>
      <c r="F450" s="127"/>
      <c r="G450" s="128"/>
      <c r="H450" s="494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485"/>
      <c r="P450" s="485"/>
      <c r="Q450" s="485"/>
      <c r="R450" s="485"/>
      <c r="S450" s="485"/>
      <c r="T450" s="485"/>
      <c r="U450" s="485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486" t="s">
        <v>343</v>
      </c>
      <c r="C451" s="126" t="s">
        <v>345</v>
      </c>
      <c r="D451" s="108">
        <v>5</v>
      </c>
      <c r="E451" s="108"/>
      <c r="F451" s="127"/>
      <c r="G451" s="128"/>
      <c r="H451" s="494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485"/>
      <c r="P451" s="485"/>
      <c r="Q451" s="485"/>
      <c r="R451" s="485"/>
      <c r="S451" s="485"/>
      <c r="T451" s="485"/>
      <c r="U451" s="485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486" t="s">
        <v>343</v>
      </c>
      <c r="C452" s="126" t="s">
        <v>347</v>
      </c>
      <c r="D452" s="108">
        <v>5</v>
      </c>
      <c r="E452" s="108"/>
      <c r="F452" s="127"/>
      <c r="G452" s="128"/>
      <c r="H452" s="494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485"/>
      <c r="P452" s="485"/>
      <c r="Q452" s="485"/>
      <c r="R452" s="485"/>
      <c r="S452" s="485"/>
      <c r="T452" s="485"/>
      <c r="U452" s="485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494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485"/>
      <c r="P453" s="485"/>
      <c r="Q453" s="485"/>
      <c r="R453" s="485"/>
      <c r="S453" s="485"/>
      <c r="T453" s="485"/>
      <c r="U453" s="485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494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485"/>
      <c r="P454" s="485"/>
      <c r="Q454" s="485"/>
      <c r="R454" s="485"/>
      <c r="S454" s="485"/>
      <c r="T454" s="485"/>
      <c r="U454" s="485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420</v>
      </c>
      <c r="D455" s="108"/>
      <c r="E455" s="108"/>
      <c r="F455" s="127"/>
      <c r="G455" s="128"/>
      <c r="H455" s="494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485"/>
      <c r="P455" s="485"/>
      <c r="Q455" s="485"/>
      <c r="R455" s="485"/>
      <c r="S455" s="485"/>
      <c r="T455" s="485"/>
      <c r="U455" s="485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494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485"/>
      <c r="P456" s="485"/>
      <c r="Q456" s="485"/>
      <c r="R456" s="485"/>
      <c r="S456" s="485"/>
      <c r="T456" s="485"/>
      <c r="U456" s="485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494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485"/>
      <c r="P457" s="485"/>
      <c r="Q457" s="485"/>
      <c r="R457" s="485"/>
      <c r="S457" s="485"/>
      <c r="T457" s="485"/>
      <c r="U457" s="485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494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485"/>
      <c r="P458" s="485"/>
      <c r="Q458" s="485"/>
      <c r="R458" s="485"/>
      <c r="S458" s="485"/>
      <c r="T458" s="485"/>
      <c r="U458" s="485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494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485"/>
      <c r="P459" s="485"/>
      <c r="Q459" s="485"/>
      <c r="R459" s="485"/>
      <c r="S459" s="485"/>
      <c r="T459" s="485"/>
      <c r="U459" s="485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494">
        <f t="shared" si="196"/>
        <v>0</v>
      </c>
      <c r="I460" s="129"/>
      <c r="J460" s="130" t="str">
        <f t="array" ref="J460">IF(ISERROR(G460/I460),"",G460/I460)</f>
        <v/>
      </c>
      <c r="K460" s="494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485"/>
      <c r="P460" s="485"/>
      <c r="Q460" s="485"/>
      <c r="R460" s="485"/>
      <c r="S460" s="485"/>
      <c r="T460" s="485"/>
      <c r="U460" s="485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customHeight="1">
      <c r="A461" s="630" t="s">
        <v>224</v>
      </c>
      <c r="B461" s="631"/>
      <c r="C461" s="492" t="s">
        <v>202</v>
      </c>
      <c r="D461" s="143"/>
      <c r="E461" s="143"/>
      <c r="F461" s="144"/>
      <c r="G461" s="145">
        <f>SUM(G427:G460)</f>
        <v>768</v>
      </c>
      <c r="H461" s="146">
        <f>SUM(H427:H460)</f>
        <v>3863.04</v>
      </c>
      <c r="I461" s="146">
        <f>SUM(I427:I460)</f>
        <v>73.5</v>
      </c>
      <c r="J461" s="130">
        <f t="array" ref="J461">IF(ISERROR(G461/I461),"",G461/I461)</f>
        <v>10.448979591836734</v>
      </c>
      <c r="K461" s="146">
        <f>SUM(K427:K460)</f>
        <v>85.036656891495596</v>
      </c>
      <c r="L461" s="147"/>
      <c r="M461" s="150">
        <f t="shared" ref="M461:V461" si="210">SUM(M427:M460)</f>
        <v>-11.536656891495593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>
        <f t="shared" si="209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494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485"/>
      <c r="P462" s="485"/>
      <c r="Q462" s="485"/>
      <c r="R462" s="485"/>
      <c r="S462" s="485"/>
      <c r="T462" s="485"/>
      <c r="U462" s="485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494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485"/>
      <c r="P463" s="485"/>
      <c r="Q463" s="485"/>
      <c r="R463" s="485"/>
      <c r="S463" s="485"/>
      <c r="T463" s="485"/>
      <c r="U463" s="485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494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485"/>
      <c r="P464" s="485"/>
      <c r="Q464" s="485"/>
      <c r="R464" s="485"/>
      <c r="S464" s="485"/>
      <c r="T464" s="485"/>
      <c r="U464" s="485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494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485"/>
      <c r="P465" s="485"/>
      <c r="Q465" s="485"/>
      <c r="R465" s="485"/>
      <c r="S465" s="485"/>
      <c r="T465" s="485"/>
      <c r="U465" s="485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490" t="s">
        <v>203</v>
      </c>
      <c r="D466" s="108">
        <v>5.03</v>
      </c>
      <c r="E466" s="108"/>
      <c r="F466" s="127"/>
      <c r="G466" s="128"/>
      <c r="H466" s="494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485"/>
      <c r="P466" s="485"/>
      <c r="Q466" s="485"/>
      <c r="R466" s="485"/>
      <c r="S466" s="485"/>
      <c r="T466" s="485"/>
      <c r="U466" s="485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494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485"/>
      <c r="P467" s="485"/>
      <c r="Q467" s="485"/>
      <c r="R467" s="485"/>
      <c r="S467" s="485"/>
      <c r="T467" s="485"/>
      <c r="U467" s="485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494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485"/>
      <c r="P468" s="485"/>
      <c r="Q468" s="485"/>
      <c r="R468" s="485"/>
      <c r="S468" s="485"/>
      <c r="T468" s="485"/>
      <c r="U468" s="485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490" t="s">
        <v>228</v>
      </c>
      <c r="D469" s="108">
        <v>5.03</v>
      </c>
      <c r="E469" s="108"/>
      <c r="F469" s="127"/>
      <c r="G469" s="128"/>
      <c r="H469" s="494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485"/>
      <c r="P469" s="485"/>
      <c r="Q469" s="485"/>
      <c r="R469" s="485"/>
      <c r="S469" s="485"/>
      <c r="T469" s="485"/>
      <c r="U469" s="485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490" t="s">
        <v>212</v>
      </c>
      <c r="D470" s="108">
        <v>5.03</v>
      </c>
      <c r="E470" s="108"/>
      <c r="F470" s="127"/>
      <c r="G470" s="128"/>
      <c r="H470" s="494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485"/>
      <c r="P470" s="485"/>
      <c r="Q470" s="485"/>
      <c r="R470" s="485"/>
      <c r="S470" s="485"/>
      <c r="T470" s="485"/>
      <c r="U470" s="485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490" t="s">
        <v>203</v>
      </c>
      <c r="D471" s="108">
        <v>5.03</v>
      </c>
      <c r="E471" s="108"/>
      <c r="F471" s="127"/>
      <c r="G471" s="128"/>
      <c r="H471" s="494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485"/>
      <c r="P471" s="485"/>
      <c r="Q471" s="485"/>
      <c r="R471" s="485"/>
      <c r="S471" s="485"/>
      <c r="T471" s="485"/>
      <c r="U471" s="485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490" t="s">
        <v>186</v>
      </c>
      <c r="D472" s="108">
        <v>5.03</v>
      </c>
      <c r="E472" s="108"/>
      <c r="F472" s="127"/>
      <c r="G472" s="128"/>
      <c r="H472" s="494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485"/>
      <c r="P472" s="485"/>
      <c r="Q472" s="485"/>
      <c r="R472" s="485"/>
      <c r="S472" s="485"/>
      <c r="T472" s="485"/>
      <c r="U472" s="485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490" t="s">
        <v>228</v>
      </c>
      <c r="D473" s="108">
        <v>5.03</v>
      </c>
      <c r="E473" s="108"/>
      <c r="F473" s="127"/>
      <c r="G473" s="128"/>
      <c r="H473" s="494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485"/>
      <c r="P473" s="485"/>
      <c r="Q473" s="485"/>
      <c r="R473" s="485"/>
      <c r="S473" s="485"/>
      <c r="T473" s="485"/>
      <c r="U473" s="485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490" t="s">
        <v>199</v>
      </c>
      <c r="D474" s="108">
        <v>5.03</v>
      </c>
      <c r="E474" s="108"/>
      <c r="F474" s="127"/>
      <c r="G474" s="128"/>
      <c r="H474" s="494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485"/>
      <c r="P474" s="485"/>
      <c r="Q474" s="485"/>
      <c r="R474" s="485"/>
      <c r="S474" s="485"/>
      <c r="T474" s="485"/>
      <c r="U474" s="485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494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485"/>
      <c r="P475" s="485"/>
      <c r="Q475" s="485"/>
      <c r="R475" s="485"/>
      <c r="S475" s="485"/>
      <c r="T475" s="485"/>
      <c r="U475" s="485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494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485"/>
      <c r="P476" s="485"/>
      <c r="Q476" s="485"/>
      <c r="R476" s="485"/>
      <c r="S476" s="485"/>
      <c r="T476" s="485"/>
      <c r="U476" s="485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630" t="s">
        <v>231</v>
      </c>
      <c r="B477" s="631"/>
      <c r="C477" s="492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494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485"/>
      <c r="P478" s="485"/>
      <c r="Q478" s="485"/>
      <c r="R478" s="485"/>
      <c r="S478" s="485"/>
      <c r="T478" s="485"/>
      <c r="U478" s="485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494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485"/>
      <c r="P479" s="485"/>
      <c r="Q479" s="485"/>
      <c r="R479" s="485"/>
      <c r="S479" s="485"/>
      <c r="T479" s="485"/>
      <c r="U479" s="485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494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485"/>
      <c r="P480" s="485"/>
      <c r="Q480" s="485"/>
      <c r="R480" s="485"/>
      <c r="S480" s="485"/>
      <c r="T480" s="485"/>
      <c r="U480" s="485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494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485"/>
      <c r="P481" s="485"/>
      <c r="Q481" s="485"/>
      <c r="R481" s="485"/>
      <c r="S481" s="485"/>
      <c r="T481" s="485"/>
      <c r="U481" s="485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494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485"/>
      <c r="P482" s="485"/>
      <c r="Q482" s="485"/>
      <c r="R482" s="485"/>
      <c r="S482" s="485"/>
      <c r="T482" s="485"/>
      <c r="U482" s="485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494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485"/>
      <c r="P483" s="485"/>
      <c r="Q483" s="485"/>
      <c r="R483" s="485"/>
      <c r="S483" s="485"/>
      <c r="T483" s="485"/>
      <c r="U483" s="485"/>
      <c r="V483" s="132"/>
      <c r="W483" s="133"/>
      <c r="X483" s="132"/>
      <c r="Y483" s="132"/>
      <c r="Z483" s="132"/>
      <c r="AA483" s="132"/>
    </row>
    <row r="484" spans="1:27" ht="20.100000000000001" hidden="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485"/>
      <c r="P484" s="485"/>
      <c r="Q484" s="485"/>
      <c r="R484" s="485"/>
      <c r="S484" s="485"/>
      <c r="T484" s="485"/>
      <c r="U484" s="485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494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485"/>
      <c r="P486" s="485"/>
      <c r="Q486" s="485"/>
      <c r="R486" s="485"/>
      <c r="S486" s="485"/>
      <c r="T486" s="485"/>
      <c r="U486" s="485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30" t="s">
        <v>234</v>
      </c>
      <c r="B487" s="631"/>
      <c r="C487" s="492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484"/>
      <c r="D488" s="108">
        <v>3.65</v>
      </c>
      <c r="E488" s="108"/>
      <c r="F488" s="153"/>
      <c r="G488" s="128"/>
      <c r="H488" s="494">
        <f t="shared" ref="H488:H502" si="223">D488*G488</f>
        <v>0</v>
      </c>
      <c r="I488" s="129"/>
      <c r="J488" s="130" t="str">
        <f t="array" ref="J488">IF(ISERROR(G488/I488),"",G488/I488)</f>
        <v/>
      </c>
      <c r="K488" s="494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485"/>
      <c r="P488" s="485"/>
      <c r="Q488" s="485"/>
      <c r="R488" s="485"/>
      <c r="S488" s="485"/>
      <c r="T488" s="485"/>
      <c r="U488" s="485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484"/>
      <c r="D489" s="108">
        <v>6.58</v>
      </c>
      <c r="E489" s="108"/>
      <c r="F489" s="127"/>
      <c r="G489" s="128"/>
      <c r="H489" s="494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485"/>
      <c r="P489" s="485"/>
      <c r="Q489" s="485"/>
      <c r="R489" s="485"/>
      <c r="S489" s="485"/>
      <c r="T489" s="485"/>
      <c r="U489" s="485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484"/>
      <c r="D490" s="108">
        <v>7.8</v>
      </c>
      <c r="E490" s="108"/>
      <c r="F490" s="127"/>
      <c r="G490" s="128"/>
      <c r="H490" s="494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485"/>
      <c r="P490" s="485"/>
      <c r="Q490" s="485"/>
      <c r="R490" s="485"/>
      <c r="S490" s="485"/>
      <c r="T490" s="485"/>
      <c r="U490" s="485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484"/>
      <c r="D491" s="108">
        <v>4.4000000000000004</v>
      </c>
      <c r="E491" s="108"/>
      <c r="F491" s="127"/>
      <c r="G491" s="128"/>
      <c r="H491" s="494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485"/>
      <c r="P491" s="485"/>
      <c r="Q491" s="485"/>
      <c r="R491" s="485"/>
      <c r="S491" s="485"/>
      <c r="T491" s="485"/>
      <c r="U491" s="485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494">
        <f t="shared" si="223"/>
        <v>0</v>
      </c>
      <c r="I492" s="129"/>
      <c r="J492" s="130"/>
      <c r="K492" s="131"/>
      <c r="L492" s="129"/>
      <c r="M492" s="109"/>
      <c r="N492" s="130"/>
      <c r="O492" s="485"/>
      <c r="P492" s="485"/>
      <c r="Q492" s="485"/>
      <c r="R492" s="485"/>
      <c r="S492" s="485"/>
      <c r="T492" s="485"/>
      <c r="U492" s="485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484"/>
      <c r="D493" s="108"/>
      <c r="E493" s="108"/>
      <c r="F493" s="127"/>
      <c r="G493" s="128"/>
      <c r="H493" s="494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485"/>
      <c r="P493" s="485"/>
      <c r="Q493" s="485"/>
      <c r="R493" s="485"/>
      <c r="S493" s="485"/>
      <c r="T493" s="485"/>
      <c r="U493" s="485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484" t="s">
        <v>239</v>
      </c>
      <c r="C494" s="484" t="s">
        <v>179</v>
      </c>
      <c r="D494" s="108">
        <v>6.04</v>
      </c>
      <c r="E494" s="108"/>
      <c r="F494" s="127"/>
      <c r="G494" s="128"/>
      <c r="H494" s="494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485"/>
      <c r="P494" s="485"/>
      <c r="Q494" s="485"/>
      <c r="R494" s="485"/>
      <c r="S494" s="485"/>
      <c r="T494" s="485"/>
      <c r="U494" s="485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484" t="s">
        <v>239</v>
      </c>
      <c r="C495" s="484" t="s">
        <v>186</v>
      </c>
      <c r="D495" s="108">
        <v>6.04</v>
      </c>
      <c r="E495" s="108"/>
      <c r="F495" s="127"/>
      <c r="G495" s="128"/>
      <c r="H495" s="494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485"/>
      <c r="P495" s="485"/>
      <c r="Q495" s="485"/>
      <c r="R495" s="485"/>
      <c r="S495" s="485"/>
      <c r="T495" s="485"/>
      <c r="U495" s="485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484" t="s">
        <v>443</v>
      </c>
      <c r="C496" s="484" t="s">
        <v>179</v>
      </c>
      <c r="D496" s="108"/>
      <c r="E496" s="108"/>
      <c r="F496" s="127"/>
      <c r="G496" s="128"/>
      <c r="H496" s="494">
        <f t="shared" si="223"/>
        <v>0</v>
      </c>
      <c r="I496" s="129"/>
      <c r="J496" s="130"/>
      <c r="K496" s="131"/>
      <c r="L496" s="129"/>
      <c r="M496" s="109"/>
      <c r="N496" s="130"/>
      <c r="O496" s="485"/>
      <c r="P496" s="485"/>
      <c r="Q496" s="485"/>
      <c r="R496" s="485"/>
      <c r="S496" s="485"/>
      <c r="T496" s="485"/>
      <c r="U496" s="485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484" t="s">
        <v>443</v>
      </c>
      <c r="C497" s="484" t="s">
        <v>186</v>
      </c>
      <c r="D497" s="108"/>
      <c r="E497" s="108"/>
      <c r="F497" s="127"/>
      <c r="G497" s="128"/>
      <c r="H497" s="494">
        <f t="shared" si="223"/>
        <v>0</v>
      </c>
      <c r="I497" s="129"/>
      <c r="J497" s="130"/>
      <c r="K497" s="131"/>
      <c r="L497" s="129"/>
      <c r="M497" s="109"/>
      <c r="N497" s="130"/>
      <c r="O497" s="485"/>
      <c r="P497" s="485"/>
      <c r="Q497" s="485"/>
      <c r="R497" s="485"/>
      <c r="S497" s="485"/>
      <c r="T497" s="485"/>
      <c r="U497" s="485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486" t="s">
        <v>240</v>
      </c>
      <c r="C498" s="126"/>
      <c r="D498" s="108">
        <v>7.3</v>
      </c>
      <c r="E498" s="108"/>
      <c r="F498" s="127"/>
      <c r="G498" s="128"/>
      <c r="H498" s="494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485"/>
      <c r="P498" s="485"/>
      <c r="Q498" s="485"/>
      <c r="R498" s="485"/>
      <c r="S498" s="485"/>
      <c r="T498" s="485"/>
      <c r="U498" s="485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486" t="s">
        <v>241</v>
      </c>
      <c r="C499" s="126"/>
      <c r="D499" s="108">
        <f>78*120/1000</f>
        <v>9.36</v>
      </c>
      <c r="E499" s="108"/>
      <c r="F499" s="127"/>
      <c r="G499" s="128"/>
      <c r="H499" s="494">
        <f t="shared" si="223"/>
        <v>0</v>
      </c>
      <c r="I499" s="129"/>
      <c r="J499" s="130"/>
      <c r="K499" s="131"/>
      <c r="L499" s="129"/>
      <c r="M499" s="109"/>
      <c r="N499" s="130"/>
      <c r="O499" s="485"/>
      <c r="P499" s="485"/>
      <c r="Q499" s="485"/>
      <c r="R499" s="485"/>
      <c r="S499" s="485"/>
      <c r="T499" s="485"/>
      <c r="U499" s="485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486" t="s">
        <v>242</v>
      </c>
      <c r="C500" s="126"/>
      <c r="D500" s="108">
        <v>4.5</v>
      </c>
      <c r="E500" s="108"/>
      <c r="F500" s="127"/>
      <c r="G500" s="128"/>
      <c r="H500" s="494">
        <f t="shared" si="223"/>
        <v>0</v>
      </c>
      <c r="I500" s="129"/>
      <c r="J500" s="130"/>
      <c r="K500" s="131"/>
      <c r="L500" s="129"/>
      <c r="M500" s="109"/>
      <c r="N500" s="130"/>
      <c r="O500" s="485"/>
      <c r="P500" s="485"/>
      <c r="Q500" s="485"/>
      <c r="R500" s="485"/>
      <c r="S500" s="485"/>
      <c r="T500" s="485"/>
      <c r="U500" s="485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486" t="s">
        <v>243</v>
      </c>
      <c r="C501" s="126"/>
      <c r="D501" s="108">
        <v>4.5</v>
      </c>
      <c r="E501" s="108"/>
      <c r="F501" s="127"/>
      <c r="G501" s="128"/>
      <c r="H501" s="494">
        <f t="shared" si="223"/>
        <v>0</v>
      </c>
      <c r="I501" s="129"/>
      <c r="J501" s="130"/>
      <c r="K501" s="131"/>
      <c r="L501" s="129"/>
      <c r="M501" s="109"/>
      <c r="N501" s="130"/>
      <c r="O501" s="485"/>
      <c r="P501" s="485"/>
      <c r="Q501" s="485"/>
      <c r="R501" s="485"/>
      <c r="S501" s="485"/>
      <c r="T501" s="485"/>
      <c r="U501" s="485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486"/>
      <c r="C502" s="126"/>
      <c r="D502" s="108"/>
      <c r="E502" s="108"/>
      <c r="F502" s="127"/>
      <c r="G502" s="128"/>
      <c r="H502" s="494">
        <f t="shared" si="223"/>
        <v>0</v>
      </c>
      <c r="I502" s="129"/>
      <c r="J502" s="130"/>
      <c r="K502" s="131"/>
      <c r="L502" s="129"/>
      <c r="M502" s="109"/>
      <c r="N502" s="130"/>
      <c r="O502" s="485"/>
      <c r="P502" s="485"/>
      <c r="Q502" s="485"/>
      <c r="R502" s="485"/>
      <c r="S502" s="485"/>
      <c r="T502" s="485"/>
      <c r="U502" s="485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30" t="s">
        <v>244</v>
      </c>
      <c r="B503" s="631"/>
      <c r="C503" s="492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632" t="s">
        <v>246</v>
      </c>
      <c r="B504" s="633"/>
      <c r="C504" s="633"/>
      <c r="D504" s="633"/>
      <c r="E504" s="633"/>
      <c r="F504" s="634"/>
      <c r="G504" s="154">
        <f>SUM(G368,G426,G461,G477,G487,G503)</f>
        <v>768</v>
      </c>
      <c r="H504" s="154">
        <f>SUM(H368,H426,H461,H477,H487,H503)</f>
        <v>3863.04</v>
      </c>
      <c r="I504" s="154">
        <f>SUM(I368,I426,I461,I477,I487,I503)</f>
        <v>73.5</v>
      </c>
      <c r="J504" s="155">
        <f t="array" ref="J504">IF(ISERROR(G504/I504),"",G504/I504)</f>
        <v>10.448979591836734</v>
      </c>
      <c r="K504" s="154">
        <f>SUM(K368,K426,K461,K477,K487,K503)</f>
        <v>85.036656891495596</v>
      </c>
      <c r="L504" s="155">
        <f>IF(ISERROR(G504/K504),"",G504/K504)</f>
        <v>9.0313992585567728</v>
      </c>
      <c r="M504" s="154">
        <f t="shared" ref="M504:V504" si="236">SUM(M368,M426,M461,M477,M487,M503)</f>
        <v>-11.536656891495593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>
        <f t="shared" ref="W504" si="237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35" t="s">
        <v>476</v>
      </c>
      <c r="B505" s="491" t="s">
        <v>247</v>
      </c>
      <c r="C505" s="638" t="s">
        <v>248</v>
      </c>
      <c r="D505" s="639"/>
      <c r="E505" s="640" t="s">
        <v>249</v>
      </c>
      <c r="F505" s="640"/>
      <c r="G505" s="643" t="s">
        <v>250</v>
      </c>
      <c r="H505" s="643"/>
      <c r="I505" s="640" t="s">
        <v>251</v>
      </c>
      <c r="J505" s="640"/>
      <c r="K505" s="640" t="s">
        <v>252</v>
      </c>
      <c r="L505" s="640"/>
      <c r="M505" s="640" t="s">
        <v>253</v>
      </c>
      <c r="N505" s="640"/>
      <c r="O505" s="640" t="s">
        <v>254</v>
      </c>
      <c r="P505" s="643" t="s">
        <v>255</v>
      </c>
      <c r="Q505" s="643"/>
      <c r="R505" s="643" t="s">
        <v>252</v>
      </c>
      <c r="S505" s="643"/>
      <c r="T505" s="643" t="s">
        <v>256</v>
      </c>
      <c r="U505" s="643"/>
      <c r="V505" s="643" t="s">
        <v>257</v>
      </c>
      <c r="W505" s="643"/>
      <c r="X505" s="643" t="s">
        <v>252</v>
      </c>
      <c r="Y505" s="643"/>
      <c r="Z505" s="643" t="s">
        <v>256</v>
      </c>
      <c r="AA505" s="643"/>
    </row>
    <row r="506" spans="1:27" ht="20.100000000000001" customHeight="1">
      <c r="A506" s="636"/>
      <c r="B506" s="491" t="s">
        <v>258</v>
      </c>
      <c r="C506" s="638">
        <v>0</v>
      </c>
      <c r="D506" s="639"/>
      <c r="E506" s="642">
        <f>C506*11</f>
        <v>0</v>
      </c>
      <c r="F506" s="642"/>
      <c r="G506" s="643">
        <v>0</v>
      </c>
      <c r="H506" s="643"/>
      <c r="I506" s="642">
        <f>G506*11</f>
        <v>0</v>
      </c>
      <c r="J506" s="642"/>
      <c r="K506" s="642">
        <f>E506-I506</f>
        <v>0</v>
      </c>
      <c r="L506" s="642"/>
      <c r="M506" s="644" t="str">
        <f>IF(ISERROR(K506/E506),"",K506/E506)</f>
        <v/>
      </c>
      <c r="N506" s="644"/>
      <c r="O506" s="640"/>
      <c r="P506" s="643" t="s">
        <v>201</v>
      </c>
      <c r="Q506" s="643"/>
      <c r="R506" s="645">
        <f>SUM(O368:U368)</f>
        <v>0</v>
      </c>
      <c r="S506" s="645"/>
      <c r="T506" s="646" t="str">
        <f t="array" ref="T506">IF(ISERROR(R506/R513),"",R506/R513)</f>
        <v/>
      </c>
      <c r="U506" s="646"/>
      <c r="V506" s="643" t="s">
        <v>259</v>
      </c>
      <c r="W506" s="643"/>
      <c r="X506" s="647">
        <f>SUM(O368,O426,O461,O477,O487,O503)</f>
        <v>0</v>
      </c>
      <c r="Y506" s="647"/>
      <c r="Z506" s="646" t="str">
        <f t="array" ref="Z506">IF(ISERROR(X506/X513),"",X506/X513)</f>
        <v/>
      </c>
      <c r="AA506" s="646"/>
    </row>
    <row r="507" spans="1:27" ht="20.100000000000001" customHeight="1">
      <c r="A507" s="636"/>
      <c r="B507" s="491" t="s">
        <v>260</v>
      </c>
      <c r="C507" s="638">
        <v>0</v>
      </c>
      <c r="D507" s="639"/>
      <c r="E507" s="642">
        <f>C507*11</f>
        <v>0</v>
      </c>
      <c r="F507" s="642"/>
      <c r="G507" s="643">
        <v>0</v>
      </c>
      <c r="H507" s="643"/>
      <c r="I507" s="642">
        <f>G507*11</f>
        <v>0</v>
      </c>
      <c r="J507" s="642"/>
      <c r="K507" s="642">
        <f>E507-I507</f>
        <v>0</v>
      </c>
      <c r="L507" s="642"/>
      <c r="M507" s="644" t="str">
        <f>IF(ISERROR(K507/E507),"",K507/E507)</f>
        <v/>
      </c>
      <c r="N507" s="644"/>
      <c r="O507" s="640"/>
      <c r="P507" s="643" t="s">
        <v>216</v>
      </c>
      <c r="Q507" s="643"/>
      <c r="R507" s="645">
        <f>SUM(O426:U426)</f>
        <v>0</v>
      </c>
      <c r="S507" s="645"/>
      <c r="T507" s="646" t="str">
        <f>IF(ISERROR(R507/R513),"",R507/R513)</f>
        <v/>
      </c>
      <c r="U507" s="646"/>
      <c r="V507" s="643" t="s">
        <v>261</v>
      </c>
      <c r="W507" s="643"/>
      <c r="X507" s="647">
        <f>SUM(O369,O427,O462,O478,O488,O504)</f>
        <v>0</v>
      </c>
      <c r="Y507" s="647"/>
      <c r="Z507" s="646" t="str">
        <f>IF(ISERROR(X507/X513),"",X507/X513)</f>
        <v/>
      </c>
      <c r="AA507" s="646"/>
    </row>
    <row r="508" spans="1:27" ht="20.100000000000001" customHeight="1">
      <c r="A508" s="636"/>
      <c r="B508" s="491" t="s">
        <v>262</v>
      </c>
      <c r="C508" s="638">
        <v>0</v>
      </c>
      <c r="D508" s="639"/>
      <c r="E508" s="642">
        <f>C508*11</f>
        <v>0</v>
      </c>
      <c r="F508" s="642"/>
      <c r="G508" s="643">
        <v>0</v>
      </c>
      <c r="H508" s="643"/>
      <c r="I508" s="642">
        <f>G508*11</f>
        <v>0</v>
      </c>
      <c r="J508" s="642"/>
      <c r="K508" s="642">
        <f>E508-I508</f>
        <v>0</v>
      </c>
      <c r="L508" s="642"/>
      <c r="M508" s="644" t="str">
        <f>IF(ISERROR(K508/E508),"",K508/E508)</f>
        <v/>
      </c>
      <c r="N508" s="644"/>
      <c r="O508" s="640"/>
      <c r="P508" s="643" t="s">
        <v>224</v>
      </c>
      <c r="Q508" s="643"/>
      <c r="R508" s="645">
        <f>SUM(O461:U461)</f>
        <v>0</v>
      </c>
      <c r="S508" s="645"/>
      <c r="T508" s="646" t="str">
        <f>IF(ISERROR(R508/R513),"",R508/R513)</f>
        <v/>
      </c>
      <c r="U508" s="646"/>
      <c r="V508" s="643" t="s">
        <v>263</v>
      </c>
      <c r="W508" s="643"/>
      <c r="X508" s="647">
        <f>SUM(O371,O428,O463,O479,O489,O505)</f>
        <v>0</v>
      </c>
      <c r="Y508" s="647"/>
      <c r="Z508" s="646" t="str">
        <f>IF(ISERROR(X508/X513),"",X508/X513)</f>
        <v/>
      </c>
      <c r="AA508" s="646"/>
    </row>
    <row r="509" spans="1:27" ht="20.100000000000001" customHeight="1">
      <c r="A509" s="636"/>
      <c r="B509" s="491" t="s">
        <v>264</v>
      </c>
      <c r="C509" s="638">
        <v>1</v>
      </c>
      <c r="D509" s="639"/>
      <c r="E509" s="642">
        <f>C509*11</f>
        <v>11</v>
      </c>
      <c r="F509" s="642"/>
      <c r="G509" s="643">
        <v>1</v>
      </c>
      <c r="H509" s="643"/>
      <c r="I509" s="642">
        <f>G509*11</f>
        <v>11</v>
      </c>
      <c r="J509" s="642"/>
      <c r="K509" s="642">
        <f>E509-I509</f>
        <v>0</v>
      </c>
      <c r="L509" s="642"/>
      <c r="M509" s="644">
        <f>IF(ISERROR(K509/E509),"",K509/E509)</f>
        <v>0</v>
      </c>
      <c r="N509" s="644"/>
      <c r="O509" s="640"/>
      <c r="P509" s="643" t="s">
        <v>231</v>
      </c>
      <c r="Q509" s="643"/>
      <c r="R509" s="645">
        <f>SUM(O477:U477)</f>
        <v>0</v>
      </c>
      <c r="S509" s="645"/>
      <c r="T509" s="646" t="str">
        <f>IF(ISERROR(R509/R513),"",R509/R513)</f>
        <v/>
      </c>
      <c r="U509" s="646"/>
      <c r="V509" s="643" t="s">
        <v>265</v>
      </c>
      <c r="W509" s="643"/>
      <c r="X509" s="647">
        <f>SUM(O372,O429,O464,O480,O490,O506)</f>
        <v>0</v>
      </c>
      <c r="Y509" s="647"/>
      <c r="Z509" s="646" t="str">
        <f>IF(ISERROR(X509/X513),"",X509/X513)</f>
        <v/>
      </c>
      <c r="AA509" s="646"/>
    </row>
    <row r="510" spans="1:27" ht="20.100000000000001" customHeight="1">
      <c r="A510" s="637"/>
      <c r="B510" s="491" t="s">
        <v>266</v>
      </c>
      <c r="C510" s="648">
        <f>SUM(C506:D509)</f>
        <v>1</v>
      </c>
      <c r="D510" s="649"/>
      <c r="E510" s="642">
        <f>SUM(E506:F509)</f>
        <v>11</v>
      </c>
      <c r="F510" s="642"/>
      <c r="G510" s="643">
        <f>SUM(G506:H509)</f>
        <v>1</v>
      </c>
      <c r="H510" s="643"/>
      <c r="I510" s="642">
        <f>SUM(I506:J509)</f>
        <v>11</v>
      </c>
      <c r="J510" s="642"/>
      <c r="K510" s="642">
        <f>SUM(K506:L509)</f>
        <v>0</v>
      </c>
      <c r="L510" s="642"/>
      <c r="M510" s="644">
        <f>IF(ISERROR(K510/E510),"",K510/E510)</f>
        <v>0</v>
      </c>
      <c r="N510" s="644"/>
      <c r="O510" s="640"/>
      <c r="P510" s="643" t="s">
        <v>234</v>
      </c>
      <c r="Q510" s="643"/>
      <c r="R510" s="645">
        <f>SUM(O487:U487)</f>
        <v>0</v>
      </c>
      <c r="S510" s="645"/>
      <c r="T510" s="646" t="str">
        <f>IF(ISERROR(R510/R513),"",R510/R513)</f>
        <v/>
      </c>
      <c r="U510" s="646"/>
      <c r="V510" s="643" t="s">
        <v>267</v>
      </c>
      <c r="W510" s="643"/>
      <c r="X510" s="647">
        <f>SUM(O373,O430,O465,O481,O491,O507)</f>
        <v>0</v>
      </c>
      <c r="Y510" s="647"/>
      <c r="Z510" s="646" t="str">
        <f>IF(ISERROR(X510/X513),"",X510/X513)</f>
        <v/>
      </c>
      <c r="AA510" s="646"/>
    </row>
    <row r="511" spans="1:27" ht="20.100000000000001" customHeight="1">
      <c r="A511" s="307" t="s">
        <v>477</v>
      </c>
      <c r="B511" s="491">
        <f>G504</f>
        <v>768</v>
      </c>
      <c r="C511" s="650" t="s">
        <v>269</v>
      </c>
      <c r="D511" s="651"/>
      <c r="E511" s="643">
        <f>H504</f>
        <v>3863.04</v>
      </c>
      <c r="F511" s="643"/>
      <c r="G511" s="643" t="s">
        <v>270</v>
      </c>
      <c r="H511" s="643"/>
      <c r="I511" s="652">
        <f>L504</f>
        <v>9.0313992585567728</v>
      </c>
      <c r="J511" s="652"/>
      <c r="K511" s="640" t="s">
        <v>271</v>
      </c>
      <c r="L511" s="640"/>
      <c r="M511" s="652">
        <f>J504</f>
        <v>10.448979591836734</v>
      </c>
      <c r="N511" s="652"/>
      <c r="O511" s="640"/>
      <c r="P511" s="643" t="s">
        <v>244</v>
      </c>
      <c r="Q511" s="643"/>
      <c r="R511" s="645">
        <f>SUM(O503:U503)</f>
        <v>0</v>
      </c>
      <c r="S511" s="645"/>
      <c r="T511" s="646" t="str">
        <f>IF(ISERROR(R511/R513),"",R511/R513)</f>
        <v/>
      </c>
      <c r="U511" s="646"/>
      <c r="V511" s="643" t="s">
        <v>272</v>
      </c>
      <c r="W511" s="643"/>
      <c r="X511" s="647">
        <f>SUM(O374,O431,O466,O482,O492,O508)</f>
        <v>0</v>
      </c>
      <c r="Y511" s="647"/>
      <c r="Z511" s="646" t="str">
        <f>IF(ISERROR(X511/X513),"",X511/X513)</f>
        <v/>
      </c>
      <c r="AA511" s="646"/>
    </row>
    <row r="512" spans="1:27" ht="20.100000000000001" customHeight="1">
      <c r="A512" s="308" t="s">
        <v>478</v>
      </c>
      <c r="B512" s="491">
        <f>I504+C510</f>
        <v>74.5</v>
      </c>
      <c r="C512" s="653" t="s">
        <v>251</v>
      </c>
      <c r="D512" s="654"/>
      <c r="E512" s="655">
        <f>K504+I510</f>
        <v>96.036656891495596</v>
      </c>
      <c r="F512" s="655"/>
      <c r="G512" s="643" t="s">
        <v>274</v>
      </c>
      <c r="H512" s="643"/>
      <c r="I512" s="652">
        <f>B512-E512</f>
        <v>-21.536656891495596</v>
      </c>
      <c r="J512" s="652"/>
      <c r="K512" s="640" t="s">
        <v>275</v>
      </c>
      <c r="L512" s="640"/>
      <c r="M512" s="644">
        <f>IF(ISERROR(I512/E512),"",I512/E512)</f>
        <v>-0.22425454600974087</v>
      </c>
      <c r="N512" s="644"/>
      <c r="O512" s="640"/>
      <c r="P512" s="643" t="s">
        <v>245</v>
      </c>
      <c r="Q512" s="643"/>
      <c r="R512" s="645"/>
      <c r="S512" s="645"/>
      <c r="T512" s="646" t="str">
        <f>IF(ISERROR(R512/R513),"",R512/R513)</f>
        <v/>
      </c>
      <c r="U512" s="646"/>
      <c r="V512" s="643" t="s">
        <v>264</v>
      </c>
      <c r="W512" s="643"/>
      <c r="X512" s="647">
        <f>SUM(O375,O432,O467,O486,O493,O509)</f>
        <v>0</v>
      </c>
      <c r="Y512" s="647"/>
      <c r="Z512" s="646" t="str">
        <f>IF(ISERROR(X512/X513),"",X512/X513)</f>
        <v/>
      </c>
      <c r="AA512" s="646"/>
    </row>
    <row r="513" spans="1:27" ht="20.100000000000001" customHeight="1">
      <c r="A513" s="308" t="s">
        <v>479</v>
      </c>
      <c r="B513" s="491">
        <f>N504</f>
        <v>0</v>
      </c>
      <c r="C513" s="653" t="s">
        <v>277</v>
      </c>
      <c r="D513" s="654"/>
      <c r="E513" s="646">
        <f>IF(ISERROR(B513/B512),"",B513/B512)</f>
        <v>0</v>
      </c>
      <c r="F513" s="646"/>
      <c r="G513" s="643" t="s">
        <v>278</v>
      </c>
      <c r="H513" s="643"/>
      <c r="I513" s="640">
        <f>V504</f>
        <v>0</v>
      </c>
      <c r="J513" s="640"/>
      <c r="K513" s="640" t="s">
        <v>279</v>
      </c>
      <c r="L513" s="640"/>
      <c r="M513" s="644">
        <f t="array" ref="M513">IF(ISERROR(I513/B511),"",I513/B511)</f>
        <v>0</v>
      </c>
      <c r="N513" s="644"/>
      <c r="O513" s="640"/>
      <c r="P513" s="643" t="s">
        <v>266</v>
      </c>
      <c r="Q513" s="643"/>
      <c r="R513" s="645">
        <f>SUM(R506:S512)</f>
        <v>0</v>
      </c>
      <c r="S513" s="645"/>
      <c r="T513" s="646"/>
      <c r="U513" s="646"/>
      <c r="V513" s="643" t="s">
        <v>266</v>
      </c>
      <c r="W513" s="643"/>
      <c r="X513" s="647">
        <f>SUM(X506:Y512)</f>
        <v>0</v>
      </c>
      <c r="Y513" s="647"/>
      <c r="Z513" s="646"/>
      <c r="AA513" s="646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682" t="str">
        <f>IF(ISERROR(#REF!/#REF!),"",#REF!/#REF!)</f>
        <v/>
      </c>
      <c r="H514" s="682"/>
      <c r="I514" s="682"/>
      <c r="J514" s="125"/>
      <c r="K514" s="160"/>
      <c r="L514" s="122"/>
      <c r="M514" s="122"/>
      <c r="N514" s="682" t="str">
        <f>IF(ISERROR(G514/#REF!),"",G514/#REF!)</f>
        <v/>
      </c>
      <c r="O514" s="682"/>
      <c r="P514" s="682"/>
      <c r="Q514" s="682"/>
      <c r="R514" s="682"/>
      <c r="S514" s="493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685" t="s">
        <v>268</v>
      </c>
      <c r="B516" s="685"/>
      <c r="C516" s="638">
        <f>SUM(B170,B340,B511)</f>
        <v>9516</v>
      </c>
      <c r="D516" s="639"/>
      <c r="E516" s="685" t="s">
        <v>269</v>
      </c>
      <c r="F516" s="685"/>
      <c r="G516" s="655">
        <f>SUM(E170,E340,E511)</f>
        <v>48007.24</v>
      </c>
      <c r="H516" s="655"/>
      <c r="I516" s="643" t="s">
        <v>270</v>
      </c>
      <c r="J516" s="685"/>
      <c r="K516" s="638">
        <f>IF(ISERROR(C516/G517),"",C516/G517)</f>
        <v>19.293925652378132</v>
      </c>
      <c r="L516" s="639"/>
      <c r="M516" s="643" t="s">
        <v>271</v>
      </c>
      <c r="N516" s="643"/>
      <c r="O516" s="680">
        <f t="array" ref="O516">IF(ISERROR(C516/C517),"",C516/C517)</f>
        <v>18.843564356435643</v>
      </c>
      <c r="P516" s="681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643" t="s">
        <v>273</v>
      </c>
      <c r="B517" s="643"/>
      <c r="C517" s="638">
        <f>SUM(B171,B341,B512)</f>
        <v>505</v>
      </c>
      <c r="D517" s="639"/>
      <c r="E517" s="643" t="s">
        <v>251</v>
      </c>
      <c r="F517" s="643"/>
      <c r="G517" s="655">
        <f>SUM(E171,E341,E512)</f>
        <v>493.21222500031126</v>
      </c>
      <c r="H517" s="655"/>
      <c r="I517" s="653" t="s">
        <v>274</v>
      </c>
      <c r="J517" s="654"/>
      <c r="K517" s="650">
        <f>C517-G517</f>
        <v>11.787774999688736</v>
      </c>
      <c r="L517" s="651"/>
      <c r="M517" s="650" t="s">
        <v>275</v>
      </c>
      <c r="N517" s="651"/>
      <c r="O517" s="683">
        <f>IF(ISERROR(K517/C517),"",K517/C517)</f>
        <v>2.3342128712254922E-2</v>
      </c>
      <c r="P517" s="684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653" t="s">
        <v>276</v>
      </c>
      <c r="B518" s="654"/>
      <c r="C518" s="638">
        <f>SUM(B172,B342,B513)</f>
        <v>0</v>
      </c>
      <c r="D518" s="639"/>
      <c r="E518" s="653" t="s">
        <v>277</v>
      </c>
      <c r="F518" s="654"/>
      <c r="G518" s="646">
        <f>IF(ISERROR(C518/C517),"",C518/C517)</f>
        <v>0</v>
      </c>
      <c r="H518" s="646"/>
      <c r="I518" s="643" t="s">
        <v>278</v>
      </c>
      <c r="J518" s="685"/>
      <c r="K518" s="655">
        <f>SUM(I172,I342,I513)</f>
        <v>0</v>
      </c>
      <c r="L518" s="655"/>
      <c r="M518" s="685" t="s">
        <v>279</v>
      </c>
      <c r="N518" s="685"/>
      <c r="O518" s="683">
        <f t="array" ref="O518">IF(ISERROR(K518/C516),"",K518/C516)</f>
        <v>0</v>
      </c>
      <c r="P518" s="684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493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653" t="s">
        <v>298</v>
      </c>
      <c r="B520" s="654"/>
      <c r="C520" s="653" t="s">
        <v>299</v>
      </c>
      <c r="D520" s="654"/>
      <c r="E520" s="653" t="s">
        <v>256</v>
      </c>
      <c r="F520" s="654"/>
      <c r="G520" s="686" t="s">
        <v>254</v>
      </c>
      <c r="H520" s="687"/>
      <c r="I520" s="653" t="s">
        <v>255</v>
      </c>
      <c r="J520" s="651"/>
      <c r="K520" s="653" t="s">
        <v>300</v>
      </c>
      <c r="L520" s="654"/>
      <c r="M520" s="653" t="s">
        <v>256</v>
      </c>
      <c r="N520" s="654"/>
      <c r="O520" s="643" t="s">
        <v>257</v>
      </c>
      <c r="P520" s="643"/>
      <c r="Q520" s="653" t="s">
        <v>300</v>
      </c>
      <c r="R520" s="654"/>
      <c r="S520" s="653" t="s">
        <v>256</v>
      </c>
      <c r="T520" s="654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692" t="s">
        <v>201</v>
      </c>
      <c r="B521" s="654"/>
      <c r="C521" s="653">
        <f>SUM(G28,G198,G368)</f>
        <v>1937</v>
      </c>
      <c r="D521" s="654"/>
      <c r="E521" s="693">
        <f>IF(ISERROR(C521/C527),"",C521/C527)</f>
        <v>0.20355191256830601</v>
      </c>
      <c r="F521" s="694"/>
      <c r="G521" s="688"/>
      <c r="H521" s="689"/>
      <c r="I521" s="695" t="s">
        <v>301</v>
      </c>
      <c r="J521" s="696"/>
      <c r="K521" s="650">
        <f t="shared" ref="K521:K526" si="238">SUM(R165,U335,U506)</f>
        <v>0</v>
      </c>
      <c r="L521" s="651"/>
      <c r="M521" s="693" t="str">
        <f t="array" ref="M521">IF(ISERROR(K521/K527),"",K521/K527)</f>
        <v/>
      </c>
      <c r="N521" s="694"/>
      <c r="O521" s="643" t="s">
        <v>259</v>
      </c>
      <c r="P521" s="643"/>
      <c r="Q521" s="680">
        <f t="shared" ref="Q521:Q526" si="239">SUM(X165,AA335,AA506)</f>
        <v>0</v>
      </c>
      <c r="R521" s="681"/>
      <c r="S521" s="693" t="str">
        <f t="array" ref="S521">IF(ISERROR(Q521/Q527),"",Q521/Q527)</f>
        <v/>
      </c>
      <c r="T521" s="694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692" t="s">
        <v>216</v>
      </c>
      <c r="B522" s="654"/>
      <c r="C522" s="653">
        <f>SUM(G86,G256,G426)</f>
        <v>3480</v>
      </c>
      <c r="D522" s="654"/>
      <c r="E522" s="693">
        <f>IF(ISERROR(C522/C527),"",C522/C527)</f>
        <v>0.3656998738965952</v>
      </c>
      <c r="F522" s="694"/>
      <c r="G522" s="688"/>
      <c r="H522" s="689"/>
      <c r="I522" s="695" t="s">
        <v>302</v>
      </c>
      <c r="J522" s="696"/>
      <c r="K522" s="650">
        <f t="shared" si="238"/>
        <v>0</v>
      </c>
      <c r="L522" s="651"/>
      <c r="M522" s="693" t="str">
        <f>IF(ISERROR(K522/K527),"",K522/K527)</f>
        <v/>
      </c>
      <c r="N522" s="694"/>
      <c r="O522" s="643" t="s">
        <v>261</v>
      </c>
      <c r="P522" s="643"/>
      <c r="Q522" s="680">
        <f t="shared" si="239"/>
        <v>0</v>
      </c>
      <c r="R522" s="681"/>
      <c r="S522" s="693" t="str">
        <f>IF(ISERROR(Q522/Q527),"",Q522/Q527)</f>
        <v/>
      </c>
      <c r="T522" s="694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692" t="s">
        <v>224</v>
      </c>
      <c r="B523" s="654"/>
      <c r="C523" s="653">
        <f>SUM(G121,G291,G461)</f>
        <v>1257</v>
      </c>
      <c r="D523" s="654"/>
      <c r="E523" s="693">
        <f>IF(ISERROR(C523/C527),"",C523/C527)</f>
        <v>0.13209331651954603</v>
      </c>
      <c r="F523" s="694"/>
      <c r="G523" s="688"/>
      <c r="H523" s="689"/>
      <c r="I523" s="695" t="s">
        <v>303</v>
      </c>
      <c r="J523" s="696"/>
      <c r="K523" s="650">
        <f t="shared" si="238"/>
        <v>0</v>
      </c>
      <c r="L523" s="651"/>
      <c r="M523" s="693" t="str">
        <f>IF(ISERROR(K523/K527),"",K523/K527)</f>
        <v/>
      </c>
      <c r="N523" s="694"/>
      <c r="O523" s="643" t="s">
        <v>263</v>
      </c>
      <c r="P523" s="643"/>
      <c r="Q523" s="680">
        <f t="shared" si="239"/>
        <v>0</v>
      </c>
      <c r="R523" s="681"/>
      <c r="S523" s="693" t="str">
        <f>IF(ISERROR(Q523/Q527),"",Q523/Q527)</f>
        <v/>
      </c>
      <c r="T523" s="694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692" t="s">
        <v>231</v>
      </c>
      <c r="B524" s="654"/>
      <c r="C524" s="653">
        <f>SUM(G137,G307,G477)</f>
        <v>1634</v>
      </c>
      <c r="D524" s="654"/>
      <c r="E524" s="693">
        <f>IF(ISERROR(C524/C527),"",C524/C527)</f>
        <v>0.17171080285834384</v>
      </c>
      <c r="F524" s="694"/>
      <c r="G524" s="688"/>
      <c r="H524" s="689"/>
      <c r="I524" s="695" t="s">
        <v>304</v>
      </c>
      <c r="J524" s="696"/>
      <c r="K524" s="650">
        <f t="shared" si="238"/>
        <v>0</v>
      </c>
      <c r="L524" s="651"/>
      <c r="M524" s="693" t="str">
        <f>IF(ISERROR(K524/K527),"",K524/K527)</f>
        <v/>
      </c>
      <c r="N524" s="694"/>
      <c r="O524" s="643" t="s">
        <v>305</v>
      </c>
      <c r="P524" s="643"/>
      <c r="Q524" s="680">
        <f t="shared" si="239"/>
        <v>0</v>
      </c>
      <c r="R524" s="681"/>
      <c r="S524" s="693" t="str">
        <f>IF(ISERROR(Q524/Q527),"",Q524/Q527)</f>
        <v/>
      </c>
      <c r="T524" s="694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92" t="s">
        <v>234</v>
      </c>
      <c r="B525" s="654"/>
      <c r="C525" s="653">
        <f>SUM(G147,G317,G487)</f>
        <v>1208</v>
      </c>
      <c r="D525" s="654"/>
      <c r="E525" s="693">
        <f>IF(ISERROR(C525/C527),"",C525/C527)</f>
        <v>0.12694409415720892</v>
      </c>
      <c r="F525" s="694"/>
      <c r="G525" s="688"/>
      <c r="H525" s="689"/>
      <c r="I525" s="695" t="s">
        <v>306</v>
      </c>
      <c r="J525" s="696"/>
      <c r="K525" s="650">
        <f t="shared" si="238"/>
        <v>0</v>
      </c>
      <c r="L525" s="651"/>
      <c r="M525" s="693" t="str">
        <f>IF(ISERROR(K525/K527),"",K525/K527)</f>
        <v/>
      </c>
      <c r="N525" s="694"/>
      <c r="O525" s="643" t="s">
        <v>267</v>
      </c>
      <c r="P525" s="643"/>
      <c r="Q525" s="680">
        <f t="shared" si="239"/>
        <v>0</v>
      </c>
      <c r="R525" s="681"/>
      <c r="S525" s="693" t="str">
        <f>IF(ISERROR(Q525/Q527),"",Q525/Q527)</f>
        <v/>
      </c>
      <c r="T525" s="694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92" t="s">
        <v>244</v>
      </c>
      <c r="B526" s="654"/>
      <c r="C526" s="653">
        <f>SUM(G162,G332,G503)</f>
        <v>0</v>
      </c>
      <c r="D526" s="654"/>
      <c r="E526" s="693">
        <f>IF(ISERROR(C526/C527),"",C526/C527)</f>
        <v>0</v>
      </c>
      <c r="F526" s="694"/>
      <c r="G526" s="688"/>
      <c r="H526" s="689"/>
      <c r="I526" s="695" t="s">
        <v>307</v>
      </c>
      <c r="J526" s="696"/>
      <c r="K526" s="650">
        <f t="shared" si="238"/>
        <v>0</v>
      </c>
      <c r="L526" s="651"/>
      <c r="M526" s="693" t="str">
        <f>IF(ISERROR(K526/K527),"",K526/K527)</f>
        <v/>
      </c>
      <c r="N526" s="694"/>
      <c r="O526" s="643" t="s">
        <v>272</v>
      </c>
      <c r="P526" s="643"/>
      <c r="Q526" s="680">
        <f t="shared" si="239"/>
        <v>0</v>
      </c>
      <c r="R526" s="681"/>
      <c r="S526" s="693" t="str">
        <f>IF(ISERROR(Q526/Q527),"",Q526/Q527)</f>
        <v/>
      </c>
      <c r="T526" s="694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53" t="s">
        <v>266</v>
      </c>
      <c r="B527" s="654"/>
      <c r="C527" s="653">
        <f>SUM(C521:C526)</f>
        <v>9516</v>
      </c>
      <c r="D527" s="654"/>
      <c r="E527" s="693">
        <f>SUM(E521:F526)</f>
        <v>1</v>
      </c>
      <c r="F527" s="694"/>
      <c r="G527" s="690"/>
      <c r="H527" s="691"/>
      <c r="I527" s="653" t="s">
        <v>266</v>
      </c>
      <c r="J527" s="651"/>
      <c r="K527" s="650">
        <f>SUM(R172,U342,U513)</f>
        <v>0</v>
      </c>
      <c r="L527" s="651"/>
      <c r="M527" s="693"/>
      <c r="N527" s="694"/>
      <c r="O527" s="643" t="s">
        <v>266</v>
      </c>
      <c r="P527" s="643"/>
      <c r="Q527" s="680">
        <f>SUM(Q521:R526)</f>
        <v>0</v>
      </c>
      <c r="R527" s="681"/>
      <c r="S527" s="693">
        <f>SUM(S521:T526)</f>
        <v>0</v>
      </c>
      <c r="T527" s="694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695" t="s">
        <v>308</v>
      </c>
      <c r="B529" s="649"/>
      <c r="C529" s="484" t="s">
        <v>309</v>
      </c>
      <c r="D529" s="484" t="s">
        <v>310</v>
      </c>
      <c r="E529" s="484" t="s">
        <v>311</v>
      </c>
      <c r="F529" s="484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485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494" t="s">
        <v>322</v>
      </c>
      <c r="Q529" s="129" t="s">
        <v>323</v>
      </c>
      <c r="R529" s="109" t="s">
        <v>324</v>
      </c>
      <c r="S529" s="484" t="s">
        <v>325</v>
      </c>
      <c r="T529" s="484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697" t="s">
        <v>327</v>
      </c>
      <c r="B530" s="698"/>
      <c r="C530" s="106">
        <f>D530+E530+F530-G530-O530-P530</f>
        <v>33</v>
      </c>
      <c r="D530" s="106">
        <f>+'13'!C530</f>
        <v>33</v>
      </c>
      <c r="E530" s="106"/>
      <c r="F530" s="106"/>
      <c r="G530" s="107"/>
      <c r="H530" s="106"/>
      <c r="I530" s="106"/>
      <c r="J530" s="106">
        <f>C530-H530-I530</f>
        <v>33</v>
      </c>
      <c r="K530" s="106">
        <v>3</v>
      </c>
      <c r="L530" s="106"/>
      <c r="M530" s="106"/>
      <c r="N530" s="106"/>
      <c r="O530" s="106"/>
      <c r="P530" s="108"/>
      <c r="Q530" s="106">
        <f>J530-K530-L530</f>
        <v>30</v>
      </c>
      <c r="R530" s="109">
        <f>Q530*11-M530-N530</f>
        <v>330</v>
      </c>
      <c r="S530" s="487">
        <f t="array" ref="S530">IF(ISERROR(Q530/J530),"",Q530/J530)</f>
        <v>0.90909090909090906</v>
      </c>
      <c r="T530" s="487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697" t="s">
        <v>328</v>
      </c>
      <c r="B531" s="698"/>
      <c r="C531" s="106">
        <f>D531+E531+F531-G531-O531-P531</f>
        <v>31</v>
      </c>
      <c r="D531" s="106">
        <f>+'13'!C531</f>
        <v>31</v>
      </c>
      <c r="E531" s="110"/>
      <c r="F531" s="110"/>
      <c r="G531" s="107"/>
      <c r="H531" s="106"/>
      <c r="I531" s="106"/>
      <c r="J531" s="106">
        <f>C531-H531-I531</f>
        <v>31</v>
      </c>
      <c r="K531" s="106"/>
      <c r="L531" s="106"/>
      <c r="M531" s="106"/>
      <c r="N531" s="106"/>
      <c r="O531" s="110"/>
      <c r="P531" s="111"/>
      <c r="Q531" s="106">
        <f>J531-K531-L531</f>
        <v>31</v>
      </c>
      <c r="R531" s="109">
        <f>Q531*11-M531-N531</f>
        <v>341</v>
      </c>
      <c r="S531" s="487">
        <f t="array" ref="S531">IF(ISERROR(Q531/J531),"",Q531/J531)</f>
        <v>1</v>
      </c>
      <c r="T531" s="487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697" t="s">
        <v>329</v>
      </c>
      <c r="B532" s="698"/>
      <c r="C532" s="106">
        <f>D532+E532+F532-G532-O532-P532</f>
        <v>10</v>
      </c>
      <c r="D532" s="106">
        <f>+'13'!C532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>
        <v>1</v>
      </c>
      <c r="L532" s="106"/>
      <c r="M532" s="106"/>
      <c r="N532" s="106"/>
      <c r="O532" s="110"/>
      <c r="P532" s="111"/>
      <c r="Q532" s="106">
        <f>J532-K532-L532</f>
        <v>9</v>
      </c>
      <c r="R532" s="109">
        <f>Q532*11-M532-N532</f>
        <v>99</v>
      </c>
      <c r="S532" s="487">
        <f t="array" ref="S532">IF(ISERROR(Q532/J532),"",Q532/J532)</f>
        <v>0.9</v>
      </c>
      <c r="T532" s="487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699" t="s">
        <v>330</v>
      </c>
      <c r="B533" s="700"/>
      <c r="C533" s="112">
        <f>SUM(C530:C532)</f>
        <v>74</v>
      </c>
      <c r="D533" s="112">
        <f t="shared" ref="D533:N533" si="240">SUM(D530:D532)</f>
        <v>74</v>
      </c>
      <c r="E533" s="112">
        <f t="shared" si="240"/>
        <v>0</v>
      </c>
      <c r="F533" s="112">
        <f t="shared" si="240"/>
        <v>0</v>
      </c>
      <c r="G533" s="113">
        <f t="shared" si="240"/>
        <v>0</v>
      </c>
      <c r="H533" s="112">
        <f t="shared" si="240"/>
        <v>0</v>
      </c>
      <c r="I533" s="112">
        <f t="shared" si="240"/>
        <v>0</v>
      </c>
      <c r="J533" s="112">
        <f t="shared" si="240"/>
        <v>74</v>
      </c>
      <c r="K533" s="112">
        <f t="shared" si="240"/>
        <v>4</v>
      </c>
      <c r="L533" s="112">
        <f t="shared" si="240"/>
        <v>0</v>
      </c>
      <c r="M533" s="112">
        <f t="shared" si="240"/>
        <v>0</v>
      </c>
      <c r="N533" s="112">
        <f t="shared" si="240"/>
        <v>0</v>
      </c>
      <c r="O533" s="112">
        <f>SUM(O530:O532)</f>
        <v>0</v>
      </c>
      <c r="P533" s="112">
        <f>SUM(P530:P532)</f>
        <v>0</v>
      </c>
      <c r="Q533" s="112">
        <f>SUM(Q530:Q532)</f>
        <v>70</v>
      </c>
      <c r="R533" s="114">
        <f>SUM(R530:R532)</f>
        <v>770</v>
      </c>
      <c r="S533" s="115">
        <f t="array" ref="S533">IF(ISERROR(Q533/J533),"",Q533/J533)</f>
        <v>0.94594594594594594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527" activePane="bottomRight" state="frozen"/>
      <selection activeCell="L144" sqref="L144"/>
      <selection pane="topRight" activeCell="L144" sqref="L144"/>
      <selection pane="bottomLeft" activeCell="L144" sqref="L144"/>
      <selection pane="bottomRight" activeCell="E537" sqref="E537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07" t="s">
        <v>413</v>
      </c>
      <c r="B1" s="607"/>
      <c r="C1" s="607"/>
      <c r="D1" s="607"/>
      <c r="E1" s="607"/>
      <c r="F1" s="607"/>
      <c r="G1" s="607"/>
      <c r="H1" s="607"/>
      <c r="I1" s="607"/>
      <c r="J1" s="607"/>
      <c r="K1" s="607"/>
      <c r="L1" s="607"/>
      <c r="M1" s="607"/>
      <c r="N1" s="607"/>
      <c r="O1" s="607"/>
      <c r="P1" s="607"/>
      <c r="Q1" s="607"/>
      <c r="R1" s="607"/>
      <c r="S1" s="607"/>
      <c r="T1" s="607"/>
      <c r="U1" s="607"/>
      <c r="V1" s="607"/>
      <c r="W1" s="607"/>
      <c r="X1" s="607"/>
      <c r="Y1" s="607"/>
      <c r="Z1" s="607"/>
      <c r="AA1" s="607"/>
    </row>
    <row r="2" spans="1:27" ht="18.75">
      <c r="A2" s="608"/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09" t="s">
        <v>12</v>
      </c>
      <c r="B4" s="609" t="s">
        <v>25</v>
      </c>
      <c r="C4" s="609" t="s">
        <v>26</v>
      </c>
      <c r="D4" s="609" t="s">
        <v>27</v>
      </c>
      <c r="E4" s="612" t="s">
        <v>28</v>
      </c>
      <c r="F4" s="615" t="s">
        <v>29</v>
      </c>
      <c r="G4" s="618" t="s">
        <v>30</v>
      </c>
      <c r="H4" s="618"/>
      <c r="I4" s="609" t="s">
        <v>31</v>
      </c>
      <c r="J4" s="621" t="s">
        <v>32</v>
      </c>
      <c r="K4" s="624" t="s">
        <v>33</v>
      </c>
      <c r="L4" s="609" t="s">
        <v>34</v>
      </c>
      <c r="M4" s="627" t="s">
        <v>35</v>
      </c>
      <c r="N4" s="629" t="s">
        <v>36</v>
      </c>
      <c r="O4" s="618" t="s">
        <v>37</v>
      </c>
      <c r="P4" s="618"/>
      <c r="Q4" s="618"/>
      <c r="R4" s="618"/>
      <c r="S4" s="618"/>
      <c r="T4" s="618"/>
      <c r="U4" s="618"/>
      <c r="V4" s="618" t="s">
        <v>38</v>
      </c>
      <c r="W4" s="629" t="s">
        <v>39</v>
      </c>
      <c r="X4" s="618" t="s">
        <v>40</v>
      </c>
      <c r="Y4" s="618"/>
      <c r="Z4" s="618"/>
      <c r="AA4" s="618"/>
    </row>
    <row r="5" spans="1:27" s="104" customFormat="1" ht="15" customHeight="1">
      <c r="A5" s="610"/>
      <c r="B5" s="610"/>
      <c r="C5" s="610"/>
      <c r="D5" s="610"/>
      <c r="E5" s="613"/>
      <c r="F5" s="616"/>
      <c r="G5" s="618"/>
      <c r="H5" s="618"/>
      <c r="I5" s="610"/>
      <c r="J5" s="622"/>
      <c r="K5" s="625"/>
      <c r="L5" s="610"/>
      <c r="M5" s="628"/>
      <c r="N5" s="629"/>
      <c r="O5" s="618" t="s">
        <v>41</v>
      </c>
      <c r="P5" s="618" t="s">
        <v>42</v>
      </c>
      <c r="Q5" s="618" t="s">
        <v>43</v>
      </c>
      <c r="R5" s="619" t="s">
        <v>44</v>
      </c>
      <c r="S5" s="620" t="s">
        <v>45</v>
      </c>
      <c r="T5" s="618" t="s">
        <v>46</v>
      </c>
      <c r="U5" s="618" t="s">
        <v>47</v>
      </c>
      <c r="V5" s="618"/>
      <c r="W5" s="629"/>
      <c r="X5" s="618" t="s">
        <v>13</v>
      </c>
      <c r="Y5" s="618" t="s">
        <v>48</v>
      </c>
      <c r="Z5" s="618" t="s">
        <v>49</v>
      </c>
      <c r="AA5" s="618" t="s">
        <v>47</v>
      </c>
    </row>
    <row r="6" spans="1:27" s="104" customFormat="1" ht="27.75" customHeight="1">
      <c r="A6" s="611"/>
      <c r="B6" s="611"/>
      <c r="C6" s="611"/>
      <c r="D6" s="611"/>
      <c r="E6" s="614"/>
      <c r="F6" s="617"/>
      <c r="G6" s="350" t="s">
        <v>50</v>
      </c>
      <c r="H6" s="495" t="s">
        <v>51</v>
      </c>
      <c r="I6" s="611"/>
      <c r="J6" s="623"/>
      <c r="K6" s="626"/>
      <c r="L6" s="611"/>
      <c r="M6" s="628"/>
      <c r="N6" s="629"/>
      <c r="O6" s="618"/>
      <c r="P6" s="618"/>
      <c r="Q6" s="618"/>
      <c r="R6" s="619"/>
      <c r="S6" s="620"/>
      <c r="T6" s="618"/>
      <c r="U6" s="618"/>
      <c r="V6" s="618"/>
      <c r="W6" s="629"/>
      <c r="X6" s="618"/>
      <c r="Y6" s="618"/>
      <c r="Z6" s="618"/>
      <c r="AA6" s="618"/>
    </row>
    <row r="7" spans="1:27" ht="20.100000000000001" hidden="1" customHeight="1">
      <c r="A7" s="299">
        <v>30100030</v>
      </c>
      <c r="B7" s="498" t="s">
        <v>178</v>
      </c>
      <c r="C7" s="126" t="s">
        <v>179</v>
      </c>
      <c r="D7" s="108">
        <v>5.03</v>
      </c>
      <c r="E7" s="108"/>
      <c r="F7" s="127"/>
      <c r="G7" s="128"/>
      <c r="H7" s="506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97"/>
      <c r="P7" s="497"/>
      <c r="Q7" s="497"/>
      <c r="R7" s="497"/>
      <c r="S7" s="497"/>
      <c r="T7" s="497"/>
      <c r="U7" s="497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506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97"/>
      <c r="Q8" s="497"/>
      <c r="R8" s="497"/>
      <c r="S8" s="497"/>
      <c r="T8" s="497"/>
      <c r="U8" s="497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506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97"/>
      <c r="P9" s="497"/>
      <c r="Q9" s="497"/>
      <c r="R9" s="497"/>
      <c r="S9" s="497"/>
      <c r="T9" s="497"/>
      <c r="U9" s="497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506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97"/>
      <c r="P10" s="497"/>
      <c r="Q10" s="497"/>
      <c r="R10" s="497"/>
      <c r="S10" s="497"/>
      <c r="T10" s="497"/>
      <c r="U10" s="497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506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97"/>
      <c r="P11" s="497"/>
      <c r="Q11" s="497"/>
      <c r="R11" s="497"/>
      <c r="S11" s="497"/>
      <c r="T11" s="497"/>
      <c r="U11" s="497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27">
        <v>42715</v>
      </c>
      <c r="G12" s="128">
        <f>15+100*2</f>
        <v>215</v>
      </c>
      <c r="H12" s="506">
        <f t="shared" si="0"/>
        <v>1083.5999999999999</v>
      </c>
      <c r="I12" s="129">
        <f>11*2</f>
        <v>22</v>
      </c>
      <c r="J12" s="130">
        <f t="array" ref="J12">IF(ISERROR(G12/I12),"",G12/I12)</f>
        <v>9.7727272727272734</v>
      </c>
      <c r="K12" s="131">
        <f t="array" ref="K12">IF(ISERROR(G12/L12),"",G12/L12)</f>
        <v>11.315789473684211</v>
      </c>
      <c r="L12" s="129">
        <v>19</v>
      </c>
      <c r="M12" s="109">
        <f t="shared" si="1"/>
        <v>10.684210526315789</v>
      </c>
      <c r="N12" s="130">
        <f t="shared" si="4"/>
        <v>0</v>
      </c>
      <c r="O12" s="497"/>
      <c r="P12" s="497"/>
      <c r="Q12" s="497"/>
      <c r="R12" s="497"/>
      <c r="S12" s="497"/>
      <c r="T12" s="497"/>
      <c r="U12" s="497"/>
      <c r="V12" s="132">
        <f t="shared" si="2"/>
        <v>0</v>
      </c>
      <c r="W12" s="133">
        <f t="shared" si="3"/>
        <v>0</v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506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97"/>
      <c r="P13" s="497"/>
      <c r="Q13" s="497"/>
      <c r="R13" s="497"/>
      <c r="S13" s="497"/>
      <c r="T13" s="497"/>
      <c r="U13" s="497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506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97"/>
      <c r="P14" s="497"/>
      <c r="Q14" s="497"/>
      <c r="R14" s="497"/>
      <c r="S14" s="497"/>
      <c r="T14" s="497"/>
      <c r="U14" s="497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506">
        <f t="shared" si="0"/>
        <v>0</v>
      </c>
      <c r="I15" s="506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97"/>
      <c r="P15" s="497"/>
      <c r="Q15" s="497"/>
      <c r="R15" s="497"/>
      <c r="S15" s="497"/>
      <c r="T15" s="497"/>
      <c r="U15" s="497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506">
        <f t="shared" si="0"/>
        <v>0</v>
      </c>
      <c r="I16" s="506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97"/>
      <c r="P16" s="497"/>
      <c r="Q16" s="497"/>
      <c r="R16" s="497"/>
      <c r="S16" s="497"/>
      <c r="T16" s="497"/>
      <c r="U16" s="497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506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97"/>
      <c r="P17" s="497"/>
      <c r="Q17" s="497"/>
      <c r="R17" s="497"/>
      <c r="S17" s="497"/>
      <c r="T17" s="497"/>
      <c r="U17" s="497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506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97"/>
      <c r="P18" s="497"/>
      <c r="Q18" s="497"/>
      <c r="R18" s="497"/>
      <c r="S18" s="497"/>
      <c r="T18" s="497"/>
      <c r="U18" s="497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506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97"/>
      <c r="P19" s="497"/>
      <c r="Q19" s="497"/>
      <c r="R19" s="497"/>
      <c r="S19" s="497"/>
      <c r="T19" s="497"/>
      <c r="U19" s="497"/>
      <c r="V19" s="132">
        <f t="shared" ref="V19:V21" si="5">SUM(X19:AA19)</f>
        <v>0</v>
      </c>
      <c r="W19" s="500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>
        <v>42718</v>
      </c>
      <c r="G20" s="128">
        <v>84</v>
      </c>
      <c r="H20" s="506">
        <f t="shared" si="0"/>
        <v>427.56</v>
      </c>
      <c r="I20" s="129">
        <f>1*5</f>
        <v>5</v>
      </c>
      <c r="J20" s="130">
        <f t="array" ref="J20">IF(ISERROR(G20/I20),"",G20/I20)</f>
        <v>16.8</v>
      </c>
      <c r="K20" s="131">
        <f t="array" ref="K20">IF(ISERROR(G20/L20),"",G20/L20)</f>
        <v>3.652173913043478</v>
      </c>
      <c r="L20" s="129">
        <v>23</v>
      </c>
      <c r="M20" s="109">
        <f t="shared" si="1"/>
        <v>1.347826086956522</v>
      </c>
      <c r="N20" s="130">
        <f t="shared" si="4"/>
        <v>0</v>
      </c>
      <c r="O20" s="497"/>
      <c r="P20" s="497"/>
      <c r="Q20" s="497"/>
      <c r="R20" s="497"/>
      <c r="S20" s="497"/>
      <c r="T20" s="497"/>
      <c r="U20" s="497"/>
      <c r="V20" s="132">
        <f t="shared" si="5"/>
        <v>0</v>
      </c>
      <c r="W20" s="133">
        <f t="shared" si="6"/>
        <v>0</v>
      </c>
      <c r="X20" s="132"/>
      <c r="Y20" s="132"/>
      <c r="Z20" s="132"/>
      <c r="AA20" s="132"/>
    </row>
    <row r="21" spans="1:27" ht="20.10000000000000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>
        <v>42718</v>
      </c>
      <c r="G21" s="128">
        <f>78+100*9+99</f>
        <v>1077</v>
      </c>
      <c r="H21" s="506">
        <f t="shared" si="0"/>
        <v>5481.93</v>
      </c>
      <c r="I21" s="129">
        <f>10*5</f>
        <v>50</v>
      </c>
      <c r="J21" s="130">
        <f t="array" ref="J21">IF(ISERROR(G21/I21),"",G21/I21)</f>
        <v>21.54</v>
      </c>
      <c r="K21" s="131">
        <f t="array" ref="K21">IF(ISERROR(G21/L21),"",G21/L21)</f>
        <v>46.826086956521742</v>
      </c>
      <c r="L21" s="129">
        <v>23</v>
      </c>
      <c r="M21" s="109">
        <f t="shared" si="1"/>
        <v>3.1739130434782581</v>
      </c>
      <c r="N21" s="130">
        <f t="shared" si="4"/>
        <v>0</v>
      </c>
      <c r="O21" s="497"/>
      <c r="P21" s="497"/>
      <c r="Q21" s="497"/>
      <c r="R21" s="497"/>
      <c r="S21" s="497"/>
      <c r="T21" s="497"/>
      <c r="U21" s="497"/>
      <c r="V21" s="132">
        <f t="shared" si="5"/>
        <v>0</v>
      </c>
      <c r="W21" s="133">
        <f t="shared" si="6"/>
        <v>0</v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96" t="s">
        <v>190</v>
      </c>
      <c r="D22" s="108">
        <v>4.8</v>
      </c>
      <c r="E22" s="108"/>
      <c r="F22" s="127"/>
      <c r="G22" s="128"/>
      <c r="H22" s="506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97"/>
      <c r="P22" s="497"/>
      <c r="Q22" s="497"/>
      <c r="R22" s="497"/>
      <c r="S22" s="497"/>
      <c r="T22" s="497"/>
      <c r="U22" s="497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96" t="s">
        <v>187</v>
      </c>
      <c r="D23" s="108">
        <v>4.8</v>
      </c>
      <c r="E23" s="108"/>
      <c r="F23" s="127"/>
      <c r="G23" s="128"/>
      <c r="H23" s="506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97"/>
      <c r="P23" s="497"/>
      <c r="Q23" s="497"/>
      <c r="R23" s="497"/>
      <c r="S23" s="497"/>
      <c r="T23" s="497"/>
      <c r="U23" s="497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96" t="s">
        <v>179</v>
      </c>
      <c r="D24" s="108">
        <v>4.8</v>
      </c>
      <c r="E24" s="108"/>
      <c r="F24" s="127"/>
      <c r="G24" s="128"/>
      <c r="H24" s="506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97"/>
      <c r="P24" s="497"/>
      <c r="Q24" s="497"/>
      <c r="R24" s="497"/>
      <c r="S24" s="497"/>
      <c r="T24" s="497"/>
      <c r="U24" s="497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96" t="s">
        <v>199</v>
      </c>
      <c r="D25" s="108">
        <v>4.8</v>
      </c>
      <c r="E25" s="108"/>
      <c r="F25" s="127"/>
      <c r="G25" s="128"/>
      <c r="H25" s="506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97"/>
      <c r="P25" s="497"/>
      <c r="Q25" s="497"/>
      <c r="R25" s="497"/>
      <c r="S25" s="497"/>
      <c r="T25" s="497"/>
      <c r="U25" s="497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506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97"/>
      <c r="P26" s="497"/>
      <c r="Q26" s="497"/>
      <c r="R26" s="497"/>
      <c r="S26" s="497"/>
      <c r="T26" s="497"/>
      <c r="U26" s="497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506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97"/>
      <c r="P27" s="497"/>
      <c r="Q27" s="497"/>
      <c r="R27" s="497"/>
      <c r="S27" s="497"/>
      <c r="T27" s="497"/>
      <c r="U27" s="497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30" t="s">
        <v>201</v>
      </c>
      <c r="B28" s="631"/>
      <c r="C28" s="504" t="s">
        <v>202</v>
      </c>
      <c r="D28" s="143"/>
      <c r="E28" s="143"/>
      <c r="F28" s="144"/>
      <c r="G28" s="145">
        <f>SUM(G7:G27)</f>
        <v>1376</v>
      </c>
      <c r="H28" s="146">
        <f>SUM(H7:H27)</f>
        <v>6993.09</v>
      </c>
      <c r="I28" s="146">
        <f>SUM(I7:I27)</f>
        <v>77</v>
      </c>
      <c r="J28" s="130">
        <f t="array" ref="J28">IF(ISERROR(G28/I28),"",G28/I28)</f>
        <v>17.870129870129869</v>
      </c>
      <c r="K28" s="146">
        <f>SUM(K7:K27)</f>
        <v>61.794050343249431</v>
      </c>
      <c r="L28" s="147"/>
      <c r="M28" s="146">
        <f t="shared" ref="M28:V28" si="10">SUM(M7:M27)</f>
        <v>15.205949656750569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98" t="s">
        <v>206</v>
      </c>
      <c r="C29" s="126" t="s">
        <v>199</v>
      </c>
      <c r="D29" s="108">
        <v>5.03</v>
      </c>
      <c r="E29" s="108"/>
      <c r="F29" s="127"/>
      <c r="G29" s="128"/>
      <c r="H29" s="506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501"/>
      <c r="P29" s="501"/>
      <c r="Q29" s="501"/>
      <c r="R29" s="501"/>
      <c r="S29" s="501"/>
      <c r="T29" s="501"/>
      <c r="U29" s="501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98" t="s">
        <v>425</v>
      </c>
      <c r="C30" s="187" t="s">
        <v>427</v>
      </c>
      <c r="D30" s="108">
        <v>5.03</v>
      </c>
      <c r="E30" s="108"/>
      <c r="F30" s="127"/>
      <c r="G30" s="128"/>
      <c r="H30" s="506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501"/>
      <c r="P30" s="501"/>
      <c r="Q30" s="501"/>
      <c r="R30" s="501"/>
      <c r="S30" s="501"/>
      <c r="T30" s="501"/>
      <c r="U30" s="501"/>
      <c r="V30" s="132"/>
      <c r="W30" s="133"/>
      <c r="X30" s="132"/>
      <c r="Y30" s="132"/>
      <c r="Z30" s="132"/>
      <c r="AA30" s="132"/>
    </row>
    <row r="31" spans="1:27" ht="20.100000000000001" customHeight="1">
      <c r="A31" s="300">
        <v>30100010</v>
      </c>
      <c r="B31" s="498" t="s">
        <v>206</v>
      </c>
      <c r="C31" s="126" t="s">
        <v>186</v>
      </c>
      <c r="D31" s="108">
        <v>5.03</v>
      </c>
      <c r="E31" s="108"/>
      <c r="F31" s="127">
        <v>42718</v>
      </c>
      <c r="G31" s="128">
        <f>108+108+20+1</f>
        <v>237</v>
      </c>
      <c r="H31" s="506">
        <f t="shared" si="11"/>
        <v>1192.1100000000001</v>
      </c>
      <c r="I31" s="129">
        <v>2.5</v>
      </c>
      <c r="J31" s="130">
        <f t="array" ref="J31">IF(ISERROR(G31/I31),"",G31/I31)</f>
        <v>94.8</v>
      </c>
      <c r="K31" s="131">
        <f t="array" ref="K31">IF(ISERROR(G31/L31),"",G31/L31)</f>
        <v>4.5576923076923075</v>
      </c>
      <c r="L31" s="129">
        <v>52</v>
      </c>
      <c r="M31" s="109">
        <f t="shared" ref="M31:M33" si="15">IF(ISERROR(I31-K31),"",I31-K31)</f>
        <v>-2.0576923076923075</v>
      </c>
      <c r="N31" s="130">
        <f t="shared" ref="N31:N33" si="16">SUM(O31:U31)</f>
        <v>0</v>
      </c>
      <c r="O31" s="501"/>
      <c r="P31" s="501"/>
      <c r="Q31" s="501"/>
      <c r="R31" s="501"/>
      <c r="S31" s="501"/>
      <c r="T31" s="501"/>
      <c r="U31" s="501"/>
      <c r="V31" s="132">
        <f t="shared" ref="V31:V33" si="17">SUM(X31:AA31)</f>
        <v>0</v>
      </c>
      <c r="W31" s="133">
        <f t="shared" ref="W31:W33" si="18">IF(ISERROR(V31/G31),"",V31/G31)</f>
        <v>0</v>
      </c>
      <c r="X31" s="132"/>
      <c r="Y31" s="132"/>
      <c r="Z31" s="132"/>
      <c r="AA31" s="132"/>
    </row>
    <row r="32" spans="1:27" ht="20.100000000000001" customHeight="1">
      <c r="A32" s="300">
        <v>30100014</v>
      </c>
      <c r="B32" s="498" t="s">
        <v>206</v>
      </c>
      <c r="C32" s="126" t="s">
        <v>203</v>
      </c>
      <c r="D32" s="108">
        <v>5.03</v>
      </c>
      <c r="E32" s="108"/>
      <c r="F32" s="127">
        <v>42718</v>
      </c>
      <c r="G32" s="128">
        <f>108*6+75</f>
        <v>723</v>
      </c>
      <c r="H32" s="506">
        <f t="shared" si="11"/>
        <v>3636.69</v>
      </c>
      <c r="I32" s="129">
        <v>8.5</v>
      </c>
      <c r="J32" s="130">
        <f t="array" ref="J32">IF(ISERROR(G32/I32),"",G32/I32)</f>
        <v>85.058823529411768</v>
      </c>
      <c r="K32" s="131">
        <f t="array" ref="K32">IF(ISERROR(G32/L32),"",G32/L32)</f>
        <v>13.903846153846153</v>
      </c>
      <c r="L32" s="129">
        <v>52</v>
      </c>
      <c r="M32" s="109">
        <f t="shared" si="15"/>
        <v>-5.4038461538461533</v>
      </c>
      <c r="N32" s="130">
        <f t="shared" si="16"/>
        <v>0</v>
      </c>
      <c r="O32" s="501"/>
      <c r="P32" s="501"/>
      <c r="Q32" s="501"/>
      <c r="R32" s="501"/>
      <c r="S32" s="501"/>
      <c r="T32" s="501"/>
      <c r="U32" s="501"/>
      <c r="V32" s="132">
        <f t="shared" si="17"/>
        <v>0</v>
      </c>
      <c r="W32" s="133">
        <f t="shared" si="18"/>
        <v>0</v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98" t="s">
        <v>206</v>
      </c>
      <c r="C33" s="126" t="s">
        <v>207</v>
      </c>
      <c r="D33" s="108">
        <v>5.03</v>
      </c>
      <c r="E33" s="108"/>
      <c r="F33" s="127"/>
      <c r="G33" s="128"/>
      <c r="H33" s="506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501"/>
      <c r="P33" s="501"/>
      <c r="Q33" s="501"/>
      <c r="R33" s="501"/>
      <c r="S33" s="501"/>
      <c r="T33" s="501"/>
      <c r="U33" s="501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98" t="s">
        <v>414</v>
      </c>
      <c r="C34" s="187" t="s">
        <v>415</v>
      </c>
      <c r="D34" s="108">
        <v>5.03</v>
      </c>
      <c r="E34" s="108"/>
      <c r="F34" s="127"/>
      <c r="G34" s="128"/>
      <c r="H34" s="506">
        <f t="shared" si="11"/>
        <v>0</v>
      </c>
      <c r="I34" s="129"/>
      <c r="J34" s="130"/>
      <c r="K34" s="131"/>
      <c r="L34" s="129">
        <v>52</v>
      </c>
      <c r="M34" s="109"/>
      <c r="N34" s="130"/>
      <c r="O34" s="501"/>
      <c r="P34" s="501"/>
      <c r="Q34" s="501"/>
      <c r="R34" s="501"/>
      <c r="S34" s="501"/>
      <c r="T34" s="501"/>
      <c r="U34" s="501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98" t="s">
        <v>414</v>
      </c>
      <c r="C35" s="187" t="s">
        <v>416</v>
      </c>
      <c r="D35" s="108">
        <v>5.03</v>
      </c>
      <c r="E35" s="108"/>
      <c r="F35" s="127"/>
      <c r="G35" s="128"/>
      <c r="H35" s="506">
        <f t="shared" si="11"/>
        <v>0</v>
      </c>
      <c r="I35" s="129"/>
      <c r="J35" s="130"/>
      <c r="K35" s="131"/>
      <c r="L35" s="129">
        <v>52</v>
      </c>
      <c r="M35" s="109"/>
      <c r="N35" s="130"/>
      <c r="O35" s="501"/>
      <c r="P35" s="501"/>
      <c r="Q35" s="501"/>
      <c r="R35" s="501"/>
      <c r="S35" s="501"/>
      <c r="T35" s="501"/>
      <c r="U35" s="501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98" t="s">
        <v>414</v>
      </c>
      <c r="C36" s="187" t="s">
        <v>61</v>
      </c>
      <c r="D36" s="108">
        <v>5.03</v>
      </c>
      <c r="E36" s="108"/>
      <c r="F36" s="127"/>
      <c r="G36" s="128"/>
      <c r="H36" s="506">
        <f t="shared" si="11"/>
        <v>0</v>
      </c>
      <c r="I36" s="129"/>
      <c r="J36" s="130"/>
      <c r="K36" s="131"/>
      <c r="L36" s="129">
        <v>52</v>
      </c>
      <c r="M36" s="109"/>
      <c r="N36" s="130"/>
      <c r="O36" s="501"/>
      <c r="P36" s="501"/>
      <c r="Q36" s="501"/>
      <c r="R36" s="501"/>
      <c r="S36" s="501"/>
      <c r="T36" s="501"/>
      <c r="U36" s="501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98" t="s">
        <v>208</v>
      </c>
      <c r="C37" s="126" t="s">
        <v>179</v>
      </c>
      <c r="D37" s="108">
        <v>5.08</v>
      </c>
      <c r="E37" s="108"/>
      <c r="F37" s="127"/>
      <c r="G37" s="128"/>
      <c r="H37" s="506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501"/>
      <c r="P37" s="501"/>
      <c r="Q37" s="501"/>
      <c r="R37" s="501"/>
      <c r="S37" s="501"/>
      <c r="T37" s="501"/>
      <c r="U37" s="501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98" t="s">
        <v>208</v>
      </c>
      <c r="C38" s="126" t="s">
        <v>204</v>
      </c>
      <c r="D38" s="108">
        <v>5.08</v>
      </c>
      <c r="E38" s="108"/>
      <c r="F38" s="127"/>
      <c r="G38" s="128"/>
      <c r="H38" s="506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501"/>
      <c r="P38" s="501"/>
      <c r="Q38" s="501"/>
      <c r="R38" s="501"/>
      <c r="S38" s="501"/>
      <c r="T38" s="501"/>
      <c r="U38" s="501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98" t="s">
        <v>208</v>
      </c>
      <c r="C39" s="126" t="s">
        <v>205</v>
      </c>
      <c r="D39" s="108">
        <v>5.08</v>
      </c>
      <c r="E39" s="108"/>
      <c r="F39" s="127"/>
      <c r="G39" s="128"/>
      <c r="H39" s="506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501"/>
      <c r="P39" s="501"/>
      <c r="Q39" s="501"/>
      <c r="R39" s="501"/>
      <c r="S39" s="501"/>
      <c r="T39" s="501"/>
      <c r="U39" s="501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98" t="s">
        <v>208</v>
      </c>
      <c r="C40" s="126" t="s">
        <v>186</v>
      </c>
      <c r="D40" s="108">
        <v>5.08</v>
      </c>
      <c r="E40" s="108"/>
      <c r="F40" s="127"/>
      <c r="G40" s="128"/>
      <c r="H40" s="506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501"/>
      <c r="P40" s="501"/>
      <c r="Q40" s="501"/>
      <c r="R40" s="501"/>
      <c r="S40" s="501"/>
      <c r="T40" s="501"/>
      <c r="U40" s="501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98" t="s">
        <v>208</v>
      </c>
      <c r="C41" s="126" t="s">
        <v>203</v>
      </c>
      <c r="D41" s="108">
        <v>5.08</v>
      </c>
      <c r="E41" s="108"/>
      <c r="F41" s="127"/>
      <c r="G41" s="128"/>
      <c r="H41" s="506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501"/>
      <c r="P41" s="501"/>
      <c r="Q41" s="501"/>
      <c r="R41" s="501"/>
      <c r="S41" s="501"/>
      <c r="T41" s="501"/>
      <c r="U41" s="501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98" t="s">
        <v>208</v>
      </c>
      <c r="C42" s="126" t="s">
        <v>199</v>
      </c>
      <c r="D42" s="108">
        <v>5.08</v>
      </c>
      <c r="E42" s="108"/>
      <c r="F42" s="127"/>
      <c r="G42" s="128"/>
      <c r="H42" s="506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97"/>
      <c r="P42" s="497"/>
      <c r="Q42" s="497"/>
      <c r="R42" s="497"/>
      <c r="S42" s="497"/>
      <c r="T42" s="497"/>
      <c r="U42" s="497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98" t="s">
        <v>208</v>
      </c>
      <c r="C43" s="126" t="s">
        <v>187</v>
      </c>
      <c r="D43" s="108">
        <v>5.08</v>
      </c>
      <c r="E43" s="108"/>
      <c r="F43" s="127"/>
      <c r="G43" s="128"/>
      <c r="H43" s="506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501"/>
      <c r="P43" s="501"/>
      <c r="Q43" s="501"/>
      <c r="R43" s="501"/>
      <c r="S43" s="501"/>
      <c r="T43" s="501"/>
      <c r="U43" s="501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98" t="s">
        <v>208</v>
      </c>
      <c r="C44" s="126" t="s">
        <v>207</v>
      </c>
      <c r="D44" s="108">
        <v>5.08</v>
      </c>
      <c r="E44" s="108"/>
      <c r="F44" s="127"/>
      <c r="G44" s="128"/>
      <c r="H44" s="506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97"/>
      <c r="P44" s="497"/>
      <c r="Q44" s="497"/>
      <c r="R44" s="497"/>
      <c r="S44" s="497"/>
      <c r="T44" s="497"/>
      <c r="U44" s="497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98" t="s">
        <v>209</v>
      </c>
      <c r="C45" s="126" t="s">
        <v>194</v>
      </c>
      <c r="D45" s="108">
        <v>5.03</v>
      </c>
      <c r="E45" s="108"/>
      <c r="F45" s="127"/>
      <c r="G45" s="128"/>
      <c r="H45" s="506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501"/>
      <c r="P45" s="501"/>
      <c r="Q45" s="501"/>
      <c r="R45" s="501"/>
      <c r="S45" s="501"/>
      <c r="T45" s="501"/>
      <c r="U45" s="501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98" t="s">
        <v>209</v>
      </c>
      <c r="C46" s="126" t="s">
        <v>179</v>
      </c>
      <c r="D46" s="108">
        <v>5.03</v>
      </c>
      <c r="E46" s="108"/>
      <c r="F46" s="127"/>
      <c r="G46" s="128"/>
      <c r="H46" s="506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501"/>
      <c r="P46" s="501"/>
      <c r="Q46" s="501"/>
      <c r="R46" s="501"/>
      <c r="S46" s="501"/>
      <c r="T46" s="501"/>
      <c r="U46" s="501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98" t="s">
        <v>209</v>
      </c>
      <c r="C47" s="126" t="s">
        <v>195</v>
      </c>
      <c r="D47" s="108">
        <v>5.03</v>
      </c>
      <c r="E47" s="108"/>
      <c r="F47" s="127"/>
      <c r="G47" s="128"/>
      <c r="H47" s="506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501"/>
      <c r="P47" s="501"/>
      <c r="Q47" s="501"/>
      <c r="R47" s="501"/>
      <c r="S47" s="501"/>
      <c r="T47" s="501"/>
      <c r="U47" s="501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98" t="s">
        <v>209</v>
      </c>
      <c r="C48" s="126" t="s">
        <v>204</v>
      </c>
      <c r="D48" s="108">
        <v>5.03</v>
      </c>
      <c r="E48" s="108"/>
      <c r="F48" s="127"/>
      <c r="G48" s="128"/>
      <c r="H48" s="506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501"/>
      <c r="P48" s="501"/>
      <c r="Q48" s="501"/>
      <c r="R48" s="501"/>
      <c r="S48" s="501"/>
      <c r="T48" s="501"/>
      <c r="U48" s="501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98" t="s">
        <v>382</v>
      </c>
      <c r="C49" s="187" t="s">
        <v>383</v>
      </c>
      <c r="D49" s="108">
        <v>5.03</v>
      </c>
      <c r="E49" s="108"/>
      <c r="F49" s="127"/>
      <c r="G49" s="128"/>
      <c r="H49" s="506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501"/>
      <c r="P49" s="501"/>
      <c r="Q49" s="501"/>
      <c r="R49" s="501"/>
      <c r="S49" s="501"/>
      <c r="T49" s="501"/>
      <c r="U49" s="501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98" t="s">
        <v>382</v>
      </c>
      <c r="C50" s="187" t="s">
        <v>384</v>
      </c>
      <c r="D50" s="108">
        <v>5.03</v>
      </c>
      <c r="E50" s="108"/>
      <c r="F50" s="127"/>
      <c r="G50" s="128"/>
      <c r="H50" s="506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501"/>
      <c r="P50" s="501"/>
      <c r="Q50" s="501"/>
      <c r="R50" s="501"/>
      <c r="S50" s="501"/>
      <c r="T50" s="501"/>
      <c r="U50" s="501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98" t="s">
        <v>382</v>
      </c>
      <c r="C51" s="187" t="s">
        <v>389</v>
      </c>
      <c r="D51" s="108">
        <v>5.03</v>
      </c>
      <c r="E51" s="108"/>
      <c r="F51" s="127"/>
      <c r="G51" s="128"/>
      <c r="H51" s="506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501"/>
      <c r="P51" s="501"/>
      <c r="Q51" s="501"/>
      <c r="R51" s="501"/>
      <c r="S51" s="501"/>
      <c r="T51" s="501"/>
      <c r="U51" s="501"/>
      <c r="V51" s="132"/>
      <c r="W51" s="133"/>
      <c r="X51" s="132"/>
      <c r="Y51" s="132"/>
      <c r="Z51" s="132"/>
      <c r="AA51" s="132"/>
    </row>
    <row r="52" spans="1:27" ht="20.100000000000001" customHeight="1">
      <c r="A52" s="300">
        <v>30100018</v>
      </c>
      <c r="B52" s="498" t="s">
        <v>382</v>
      </c>
      <c r="C52" s="187" t="s">
        <v>391</v>
      </c>
      <c r="D52" s="108">
        <v>5.03</v>
      </c>
      <c r="E52" s="108"/>
      <c r="F52" s="127">
        <v>42716</v>
      </c>
      <c r="G52" s="128">
        <f>90*2+13</f>
        <v>193</v>
      </c>
      <c r="H52" s="506">
        <f t="shared" si="11"/>
        <v>970.79000000000008</v>
      </c>
      <c r="I52" s="129">
        <v>3.5</v>
      </c>
      <c r="J52" s="130">
        <f t="array" ref="J52">IF(ISERROR(G52/I52),"",G52/I52)</f>
        <v>55.142857142857146</v>
      </c>
      <c r="K52" s="131">
        <f t="array" ref="K52">IF(ISERROR(G52/L52),"",G52/L52)</f>
        <v>3.574074074074074</v>
      </c>
      <c r="L52" s="129">
        <v>54</v>
      </c>
      <c r="M52" s="109">
        <f t="shared" si="19"/>
        <v>-7.4074074074073959E-2</v>
      </c>
      <c r="N52" s="130">
        <f t="shared" si="20"/>
        <v>0</v>
      </c>
      <c r="O52" s="501"/>
      <c r="P52" s="501"/>
      <c r="Q52" s="501"/>
      <c r="R52" s="501"/>
      <c r="S52" s="501"/>
      <c r="T52" s="501"/>
      <c r="U52" s="501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98" t="s">
        <v>418</v>
      </c>
      <c r="C53" s="187" t="s">
        <v>364</v>
      </c>
      <c r="D53" s="108">
        <v>5.03</v>
      </c>
      <c r="E53" s="108"/>
      <c r="F53" s="127"/>
      <c r="G53" s="128"/>
      <c r="H53" s="506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501"/>
      <c r="P53" s="501"/>
      <c r="Q53" s="501"/>
      <c r="R53" s="501"/>
      <c r="S53" s="501"/>
      <c r="T53" s="501"/>
      <c r="U53" s="501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98" t="s">
        <v>418</v>
      </c>
      <c r="C54" s="187" t="s">
        <v>365</v>
      </c>
      <c r="D54" s="108">
        <v>5.03</v>
      </c>
      <c r="E54" s="108"/>
      <c r="F54" s="127"/>
      <c r="G54" s="128"/>
      <c r="H54" s="506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501"/>
      <c r="P54" s="501"/>
      <c r="Q54" s="501"/>
      <c r="R54" s="501"/>
      <c r="S54" s="501"/>
      <c r="T54" s="501"/>
      <c r="U54" s="501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98" t="s">
        <v>418</v>
      </c>
      <c r="C55" s="187" t="s">
        <v>366</v>
      </c>
      <c r="D55" s="108">
        <v>5.03</v>
      </c>
      <c r="E55" s="108"/>
      <c r="F55" s="127"/>
      <c r="G55" s="128"/>
      <c r="H55" s="506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501"/>
      <c r="P55" s="501"/>
      <c r="Q55" s="501"/>
      <c r="R55" s="501"/>
      <c r="S55" s="501"/>
      <c r="T55" s="501"/>
      <c r="U55" s="501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98" t="s">
        <v>418</v>
      </c>
      <c r="C56" s="187" t="s">
        <v>367</v>
      </c>
      <c r="D56" s="108">
        <v>5.03</v>
      </c>
      <c r="E56" s="108"/>
      <c r="F56" s="127"/>
      <c r="G56" s="128"/>
      <c r="H56" s="506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501"/>
      <c r="P56" s="501"/>
      <c r="Q56" s="501"/>
      <c r="R56" s="501"/>
      <c r="S56" s="501"/>
      <c r="T56" s="501"/>
      <c r="U56" s="501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506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97"/>
      <c r="P57" s="497"/>
      <c r="Q57" s="497"/>
      <c r="R57" s="497"/>
      <c r="S57" s="497"/>
      <c r="T57" s="497"/>
      <c r="U57" s="497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506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97"/>
      <c r="P58" s="497"/>
      <c r="Q58" s="497"/>
      <c r="R58" s="497"/>
      <c r="S58" s="497"/>
      <c r="T58" s="497"/>
      <c r="U58" s="497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506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97"/>
      <c r="P59" s="497"/>
      <c r="Q59" s="497"/>
      <c r="R59" s="497"/>
      <c r="S59" s="497"/>
      <c r="T59" s="497"/>
      <c r="U59" s="497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506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97"/>
      <c r="P60" s="497"/>
      <c r="Q60" s="497"/>
      <c r="R60" s="497"/>
      <c r="S60" s="497"/>
      <c r="T60" s="497"/>
      <c r="U60" s="497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506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97"/>
      <c r="P61" s="497"/>
      <c r="Q61" s="497"/>
      <c r="R61" s="497"/>
      <c r="S61" s="497"/>
      <c r="T61" s="497"/>
      <c r="U61" s="497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506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97"/>
      <c r="P62" s="497"/>
      <c r="Q62" s="497"/>
      <c r="R62" s="497"/>
      <c r="S62" s="497"/>
      <c r="T62" s="497"/>
      <c r="U62" s="497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506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97"/>
      <c r="P63" s="497"/>
      <c r="Q63" s="497"/>
      <c r="R63" s="497"/>
      <c r="S63" s="497"/>
      <c r="T63" s="497"/>
      <c r="U63" s="497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>
        <v>42719</v>
      </c>
      <c r="G64" s="128">
        <f>90*7</f>
        <v>630</v>
      </c>
      <c r="H64" s="506">
        <f t="shared" si="11"/>
        <v>3168.9</v>
      </c>
      <c r="I64" s="129">
        <v>7.5</v>
      </c>
      <c r="J64" s="130">
        <f t="array" ref="J64">IF(ISERROR(G64/I64),"",G64/I64)</f>
        <v>84</v>
      </c>
      <c r="K64" s="131">
        <f t="array" ref="K64">IF(ISERROR(G64/L64),"",G64/L64)</f>
        <v>12.6</v>
      </c>
      <c r="L64" s="129">
        <v>50</v>
      </c>
      <c r="M64" s="109">
        <f t="shared" si="19"/>
        <v>-5.0999999999999996</v>
      </c>
      <c r="N64" s="130">
        <f t="shared" si="23"/>
        <v>0</v>
      </c>
      <c r="O64" s="497"/>
      <c r="P64" s="497"/>
      <c r="Q64" s="497"/>
      <c r="R64" s="497"/>
      <c r="S64" s="497"/>
      <c r="T64" s="497"/>
      <c r="U64" s="497"/>
      <c r="V64" s="132">
        <f t="shared" si="24"/>
        <v>0</v>
      </c>
      <c r="W64" s="133">
        <f t="shared" si="25"/>
        <v>0</v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506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97"/>
      <c r="P65" s="497"/>
      <c r="Q65" s="497"/>
      <c r="R65" s="497"/>
      <c r="S65" s="497"/>
      <c r="T65" s="497"/>
      <c r="U65" s="497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506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97"/>
      <c r="P66" s="497"/>
      <c r="Q66" s="497"/>
      <c r="R66" s="497"/>
      <c r="S66" s="497"/>
      <c r="T66" s="497"/>
      <c r="U66" s="497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506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97"/>
      <c r="P67" s="497"/>
      <c r="Q67" s="497"/>
      <c r="R67" s="497"/>
      <c r="S67" s="497"/>
      <c r="T67" s="497"/>
      <c r="U67" s="497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506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97"/>
      <c r="P68" s="497"/>
      <c r="Q68" s="497"/>
      <c r="R68" s="497"/>
      <c r="S68" s="497"/>
      <c r="T68" s="497"/>
      <c r="U68" s="497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506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97"/>
      <c r="P69" s="497"/>
      <c r="Q69" s="497"/>
      <c r="R69" s="497"/>
      <c r="S69" s="497"/>
      <c r="T69" s="497"/>
      <c r="U69" s="497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506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97"/>
      <c r="P70" s="497"/>
      <c r="Q70" s="497"/>
      <c r="R70" s="497"/>
      <c r="S70" s="497"/>
      <c r="T70" s="497"/>
      <c r="U70" s="497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506">
        <f t="shared" si="11"/>
        <v>0</v>
      </c>
      <c r="I71" s="129"/>
      <c r="J71" s="130"/>
      <c r="K71" s="131"/>
      <c r="L71" s="129"/>
      <c r="M71" s="109"/>
      <c r="N71" s="130"/>
      <c r="O71" s="497"/>
      <c r="P71" s="497"/>
      <c r="Q71" s="497"/>
      <c r="R71" s="497"/>
      <c r="S71" s="497"/>
      <c r="T71" s="497"/>
      <c r="U71" s="497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506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97"/>
      <c r="P72" s="497"/>
      <c r="Q72" s="497"/>
      <c r="R72" s="497"/>
      <c r="S72" s="497"/>
      <c r="T72" s="497"/>
      <c r="U72" s="497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506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97"/>
      <c r="P73" s="497"/>
      <c r="Q73" s="497"/>
      <c r="R73" s="497"/>
      <c r="S73" s="497"/>
      <c r="T73" s="497"/>
      <c r="U73" s="497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506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97"/>
      <c r="P74" s="497"/>
      <c r="Q74" s="497"/>
      <c r="R74" s="497"/>
      <c r="S74" s="497"/>
      <c r="T74" s="497"/>
      <c r="U74" s="497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506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97"/>
      <c r="P75" s="497"/>
      <c r="Q75" s="497"/>
      <c r="R75" s="497"/>
      <c r="S75" s="497"/>
      <c r="T75" s="497"/>
      <c r="U75" s="497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506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97"/>
      <c r="P76" s="497"/>
      <c r="Q76" s="497"/>
      <c r="R76" s="497"/>
      <c r="S76" s="497"/>
      <c r="T76" s="497"/>
      <c r="U76" s="497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506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97"/>
      <c r="P77" s="497"/>
      <c r="Q77" s="497"/>
      <c r="R77" s="497"/>
      <c r="S77" s="497"/>
      <c r="T77" s="497"/>
      <c r="U77" s="497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506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97"/>
      <c r="P78" s="497"/>
      <c r="Q78" s="497"/>
      <c r="R78" s="497"/>
      <c r="S78" s="497"/>
      <c r="T78" s="497"/>
      <c r="U78" s="497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506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97"/>
      <c r="P79" s="497"/>
      <c r="Q79" s="497"/>
      <c r="R79" s="497"/>
      <c r="S79" s="497"/>
      <c r="T79" s="497"/>
      <c r="U79" s="497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506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97"/>
      <c r="P80" s="497"/>
      <c r="Q80" s="497"/>
      <c r="R80" s="497"/>
      <c r="S80" s="497"/>
      <c r="T80" s="497"/>
      <c r="U80" s="497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506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97"/>
      <c r="P81" s="497"/>
      <c r="Q81" s="497"/>
      <c r="R81" s="497"/>
      <c r="S81" s="497"/>
      <c r="T81" s="497"/>
      <c r="U81" s="497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506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97"/>
      <c r="P82" s="497"/>
      <c r="Q82" s="497"/>
      <c r="R82" s="497"/>
      <c r="S82" s="497"/>
      <c r="T82" s="497"/>
      <c r="U82" s="497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506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97"/>
      <c r="P83" s="497"/>
      <c r="Q83" s="497"/>
      <c r="R83" s="497"/>
      <c r="S83" s="497"/>
      <c r="T83" s="497"/>
      <c r="U83" s="497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506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97"/>
      <c r="P84" s="497"/>
      <c r="Q84" s="497"/>
      <c r="R84" s="497"/>
      <c r="S84" s="497"/>
      <c r="T84" s="497"/>
      <c r="U84" s="497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506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97"/>
      <c r="P85" s="497"/>
      <c r="Q85" s="497"/>
      <c r="R85" s="497"/>
      <c r="S85" s="497"/>
      <c r="T85" s="497"/>
      <c r="U85" s="497"/>
      <c r="V85" s="132"/>
      <c r="W85" s="133"/>
      <c r="X85" s="132"/>
      <c r="Y85" s="132"/>
      <c r="Z85" s="132"/>
      <c r="AA85" s="132"/>
    </row>
    <row r="86" spans="1:27" ht="20.100000000000001" customHeight="1">
      <c r="A86" s="641" t="s">
        <v>216</v>
      </c>
      <c r="B86" s="641"/>
      <c r="C86" s="504" t="s">
        <v>202</v>
      </c>
      <c r="D86" s="143"/>
      <c r="E86" s="143"/>
      <c r="F86" s="144"/>
      <c r="G86" s="145">
        <f>SUM(G29:G85)</f>
        <v>1783</v>
      </c>
      <c r="H86" s="146">
        <f>SUM(H29:H85)</f>
        <v>8968.49</v>
      </c>
      <c r="I86" s="146">
        <f>SUM(I29:I85)</f>
        <v>22</v>
      </c>
      <c r="J86" s="130">
        <f t="array" ref="J86">IF(ISERROR(G86/I86),"",G86/I86)</f>
        <v>81.045454545454547</v>
      </c>
      <c r="K86" s="146">
        <f>SUM(K29:K85)</f>
        <v>34.63561253561253</v>
      </c>
      <c r="L86" s="147"/>
      <c r="M86" s="150">
        <f t="shared" ref="M86:V86" si="34">SUM(M29:M85)</f>
        <v>-12.635612535612534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98" t="s">
        <v>217</v>
      </c>
      <c r="C87" s="126" t="s">
        <v>179</v>
      </c>
      <c r="D87" s="108">
        <v>5.03</v>
      </c>
      <c r="E87" s="108"/>
      <c r="F87" s="127"/>
      <c r="G87" s="128"/>
      <c r="H87" s="506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97"/>
      <c r="P87" s="497"/>
      <c r="Q87" s="497"/>
      <c r="R87" s="497"/>
      <c r="S87" s="497"/>
      <c r="T87" s="497"/>
      <c r="U87" s="497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98" t="s">
        <v>217</v>
      </c>
      <c r="C88" s="126" t="s">
        <v>186</v>
      </c>
      <c r="D88" s="108">
        <v>5.03</v>
      </c>
      <c r="E88" s="108"/>
      <c r="F88" s="127"/>
      <c r="G88" s="128"/>
      <c r="H88" s="506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97"/>
      <c r="P88" s="497"/>
      <c r="Q88" s="497"/>
      <c r="R88" s="497"/>
      <c r="S88" s="497"/>
      <c r="T88" s="497"/>
      <c r="U88" s="497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98" t="s">
        <v>217</v>
      </c>
      <c r="C89" s="126" t="s">
        <v>204</v>
      </c>
      <c r="D89" s="108">
        <v>5.03</v>
      </c>
      <c r="E89" s="108"/>
      <c r="F89" s="127"/>
      <c r="G89" s="128"/>
      <c r="H89" s="506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97"/>
      <c r="P89" s="497"/>
      <c r="Q89" s="497"/>
      <c r="R89" s="497"/>
      <c r="S89" s="497"/>
      <c r="T89" s="497"/>
      <c r="U89" s="497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506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97"/>
      <c r="P90" s="497"/>
      <c r="Q90" s="497"/>
      <c r="R90" s="497"/>
      <c r="S90" s="497"/>
      <c r="T90" s="497"/>
      <c r="U90" s="497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506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97"/>
      <c r="P91" s="497"/>
      <c r="Q91" s="497"/>
      <c r="R91" s="497"/>
      <c r="S91" s="497"/>
      <c r="T91" s="497"/>
      <c r="U91" s="497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506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97"/>
      <c r="P92" s="497"/>
      <c r="Q92" s="497"/>
      <c r="R92" s="497"/>
      <c r="S92" s="497"/>
      <c r="T92" s="497"/>
      <c r="U92" s="497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506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97"/>
      <c r="P93" s="497"/>
      <c r="Q93" s="497"/>
      <c r="R93" s="497"/>
      <c r="S93" s="497"/>
      <c r="T93" s="497"/>
      <c r="U93" s="497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506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97"/>
      <c r="P94" s="497"/>
      <c r="Q94" s="497"/>
      <c r="R94" s="497"/>
      <c r="S94" s="497"/>
      <c r="T94" s="497"/>
      <c r="U94" s="497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506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97"/>
      <c r="P95" s="497"/>
      <c r="Q95" s="497"/>
      <c r="R95" s="497"/>
      <c r="S95" s="497"/>
      <c r="T95" s="497"/>
      <c r="U95" s="497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506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97"/>
      <c r="P96" s="497"/>
      <c r="Q96" s="497"/>
      <c r="R96" s="497"/>
      <c r="S96" s="497"/>
      <c r="T96" s="497"/>
      <c r="U96" s="497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506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97"/>
      <c r="P97" s="497"/>
      <c r="Q97" s="497"/>
      <c r="R97" s="497"/>
      <c r="S97" s="497"/>
      <c r="T97" s="497"/>
      <c r="U97" s="497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506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97"/>
      <c r="P98" s="497"/>
      <c r="Q98" s="497"/>
      <c r="R98" s="497"/>
      <c r="S98" s="497"/>
      <c r="T98" s="497"/>
      <c r="U98" s="497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506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97"/>
      <c r="P99" s="497"/>
      <c r="Q99" s="497"/>
      <c r="R99" s="497"/>
      <c r="S99" s="497"/>
      <c r="T99" s="497"/>
      <c r="U99" s="497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506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97"/>
      <c r="P100" s="497"/>
      <c r="Q100" s="497"/>
      <c r="R100" s="497"/>
      <c r="S100" s="497"/>
      <c r="T100" s="497"/>
      <c r="U100" s="497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506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97"/>
      <c r="P101" s="497"/>
      <c r="Q101" s="497"/>
      <c r="R101" s="497"/>
      <c r="S101" s="497"/>
      <c r="T101" s="497"/>
      <c r="U101" s="497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506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97"/>
      <c r="P102" s="497"/>
      <c r="Q102" s="497"/>
      <c r="R102" s="497"/>
      <c r="S102" s="497"/>
      <c r="T102" s="497"/>
      <c r="U102" s="497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98" t="s">
        <v>222</v>
      </c>
      <c r="C103" s="126" t="s">
        <v>181</v>
      </c>
      <c r="D103" s="108">
        <v>10.199999999999999</v>
      </c>
      <c r="E103" s="108"/>
      <c r="F103" s="127"/>
      <c r="G103" s="128"/>
      <c r="H103" s="506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97"/>
      <c r="P103" s="497"/>
      <c r="Q103" s="497"/>
      <c r="R103" s="497"/>
      <c r="S103" s="497"/>
      <c r="T103" s="497"/>
      <c r="U103" s="497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98" t="s">
        <v>222</v>
      </c>
      <c r="C104" s="126" t="s">
        <v>179</v>
      </c>
      <c r="D104" s="108">
        <v>10.199999999999999</v>
      </c>
      <c r="E104" s="108"/>
      <c r="F104" s="127"/>
      <c r="G104" s="128"/>
      <c r="H104" s="506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97"/>
      <c r="P104" s="497"/>
      <c r="Q104" s="497"/>
      <c r="R104" s="497"/>
      <c r="S104" s="497"/>
      <c r="T104" s="497"/>
      <c r="U104" s="497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98" t="s">
        <v>222</v>
      </c>
      <c r="C105" s="126" t="s">
        <v>221</v>
      </c>
      <c r="D105" s="108">
        <v>10.199999999999999</v>
      </c>
      <c r="E105" s="108"/>
      <c r="F105" s="127"/>
      <c r="G105" s="128"/>
      <c r="H105" s="506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97"/>
      <c r="P105" s="497"/>
      <c r="Q105" s="497"/>
      <c r="R105" s="497"/>
      <c r="S105" s="497"/>
      <c r="T105" s="497"/>
      <c r="U105" s="497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98" t="s">
        <v>222</v>
      </c>
      <c r="C106" s="126" t="s">
        <v>186</v>
      </c>
      <c r="D106" s="108">
        <v>10.199999999999999</v>
      </c>
      <c r="E106" s="108"/>
      <c r="F106" s="127"/>
      <c r="G106" s="128"/>
      <c r="H106" s="506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97"/>
      <c r="P106" s="497"/>
      <c r="Q106" s="497"/>
      <c r="R106" s="497"/>
      <c r="S106" s="497"/>
      <c r="T106" s="497"/>
      <c r="U106" s="497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98" t="s">
        <v>393</v>
      </c>
      <c r="C107" s="187" t="s">
        <v>395</v>
      </c>
      <c r="D107" s="108">
        <v>5</v>
      </c>
      <c r="E107" s="108"/>
      <c r="F107" s="127"/>
      <c r="G107" s="128"/>
      <c r="H107" s="506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97"/>
      <c r="P107" s="497"/>
      <c r="Q107" s="497"/>
      <c r="R107" s="497"/>
      <c r="S107" s="497"/>
      <c r="T107" s="497"/>
      <c r="U107" s="497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98" t="s">
        <v>393</v>
      </c>
      <c r="C108" s="187" t="s">
        <v>402</v>
      </c>
      <c r="D108" s="108">
        <v>5</v>
      </c>
      <c r="E108" s="108"/>
      <c r="F108" s="127"/>
      <c r="G108" s="128"/>
      <c r="H108" s="506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97"/>
      <c r="P108" s="497"/>
      <c r="Q108" s="497"/>
      <c r="R108" s="497"/>
      <c r="S108" s="497"/>
      <c r="T108" s="497"/>
      <c r="U108" s="497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98" t="s">
        <v>404</v>
      </c>
      <c r="C109" s="187" t="s">
        <v>405</v>
      </c>
      <c r="D109" s="108">
        <v>5</v>
      </c>
      <c r="E109" s="108"/>
      <c r="F109" s="127"/>
      <c r="G109" s="128"/>
      <c r="H109" s="506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97"/>
      <c r="P109" s="497"/>
      <c r="Q109" s="497"/>
      <c r="R109" s="497"/>
      <c r="S109" s="497"/>
      <c r="T109" s="497"/>
      <c r="U109" s="497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98" t="s">
        <v>492</v>
      </c>
      <c r="C110" s="187" t="s">
        <v>372</v>
      </c>
      <c r="D110" s="108">
        <v>5</v>
      </c>
      <c r="E110" s="108"/>
      <c r="F110" s="127"/>
      <c r="G110" s="128"/>
      <c r="H110" s="506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97"/>
      <c r="P110" s="497"/>
      <c r="Q110" s="497"/>
      <c r="R110" s="497"/>
      <c r="S110" s="497"/>
      <c r="T110" s="497"/>
      <c r="U110" s="497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98" t="s">
        <v>343</v>
      </c>
      <c r="C111" s="126" t="s">
        <v>345</v>
      </c>
      <c r="D111" s="108">
        <v>5</v>
      </c>
      <c r="E111" s="108"/>
      <c r="F111" s="127"/>
      <c r="G111" s="128"/>
      <c r="H111" s="506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97"/>
      <c r="P111" s="497"/>
      <c r="Q111" s="497"/>
      <c r="R111" s="497"/>
      <c r="S111" s="497"/>
      <c r="T111" s="497"/>
      <c r="U111" s="497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98" t="s">
        <v>343</v>
      </c>
      <c r="C112" s="126" t="s">
        <v>347</v>
      </c>
      <c r="D112" s="108">
        <v>5</v>
      </c>
      <c r="E112" s="108"/>
      <c r="F112" s="127"/>
      <c r="G112" s="128"/>
      <c r="H112" s="506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97"/>
      <c r="P112" s="497"/>
      <c r="Q112" s="497"/>
      <c r="R112" s="497"/>
      <c r="S112" s="497"/>
      <c r="T112" s="497"/>
      <c r="U112" s="497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506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97"/>
      <c r="P113" s="497"/>
      <c r="Q113" s="497"/>
      <c r="R113" s="497"/>
      <c r="S113" s="497"/>
      <c r="T113" s="497"/>
      <c r="U113" s="497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>
        <v>42719</v>
      </c>
      <c r="G114" s="128">
        <f>100*2+106+100*2</f>
        <v>506</v>
      </c>
      <c r="H114" s="506">
        <f t="shared" si="36"/>
        <v>2560.3599999999997</v>
      </c>
      <c r="I114" s="129">
        <f>11*3</f>
        <v>33</v>
      </c>
      <c r="J114" s="130">
        <f t="array" ref="J114">IF(ISERROR(G114/I114),"",G114/I114)</f>
        <v>15.333333333333334</v>
      </c>
      <c r="K114" s="131">
        <f t="array" ref="K114">IF(ISERROR(G114/L114),"",G114/L114)</f>
        <v>32.645161290322584</v>
      </c>
      <c r="L114" s="129">
        <v>15.5</v>
      </c>
      <c r="M114" s="109">
        <f t="shared" si="37"/>
        <v>0.35483870967741638</v>
      </c>
      <c r="N114" s="130">
        <f t="shared" si="40"/>
        <v>0</v>
      </c>
      <c r="O114" s="497"/>
      <c r="P114" s="497"/>
      <c r="Q114" s="497"/>
      <c r="R114" s="497"/>
      <c r="S114" s="497"/>
      <c r="T114" s="497"/>
      <c r="U114" s="497"/>
      <c r="V114" s="132">
        <f t="shared" si="44"/>
        <v>0</v>
      </c>
      <c r="W114" s="133">
        <f t="shared" si="45"/>
        <v>0</v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506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97"/>
      <c r="P115" s="497"/>
      <c r="Q115" s="497"/>
      <c r="R115" s="497"/>
      <c r="S115" s="497"/>
      <c r="T115" s="497"/>
      <c r="U115" s="497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506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97"/>
      <c r="P116" s="497"/>
      <c r="Q116" s="497"/>
      <c r="R116" s="497"/>
      <c r="S116" s="497"/>
      <c r="T116" s="497"/>
      <c r="U116" s="497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506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97"/>
      <c r="P117" s="497"/>
      <c r="Q117" s="497"/>
      <c r="R117" s="497"/>
      <c r="S117" s="497"/>
      <c r="T117" s="497"/>
      <c r="U117" s="497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506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97"/>
      <c r="P118" s="497"/>
      <c r="Q118" s="497"/>
      <c r="R118" s="497"/>
      <c r="S118" s="497"/>
      <c r="T118" s="497"/>
      <c r="U118" s="497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506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97"/>
      <c r="P119" s="497"/>
      <c r="Q119" s="497"/>
      <c r="R119" s="497"/>
      <c r="S119" s="497"/>
      <c r="T119" s="497"/>
      <c r="U119" s="497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506">
        <f t="shared" si="36"/>
        <v>0</v>
      </c>
      <c r="I120" s="129"/>
      <c r="J120" s="130" t="str">
        <f t="array" ref="J120">IF(ISERROR(G120/I120),"",G120/I120)</f>
        <v/>
      </c>
      <c r="K120" s="506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97"/>
      <c r="P120" s="497"/>
      <c r="Q120" s="497"/>
      <c r="R120" s="497"/>
      <c r="S120" s="497"/>
      <c r="T120" s="497"/>
      <c r="U120" s="497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30" t="s">
        <v>224</v>
      </c>
      <c r="B121" s="631"/>
      <c r="C121" s="504" t="s">
        <v>202</v>
      </c>
      <c r="D121" s="143"/>
      <c r="E121" s="143"/>
      <c r="F121" s="144"/>
      <c r="G121" s="145">
        <f>SUM(G87:G120)</f>
        <v>506</v>
      </c>
      <c r="H121" s="146">
        <f>SUM(H87:H120)</f>
        <v>2560.3599999999997</v>
      </c>
      <c r="I121" s="146">
        <f>SUM(I87:I120)</f>
        <v>33</v>
      </c>
      <c r="J121" s="130">
        <f t="array" ref="J121">IF(ISERROR(G121/I121),"",G121/I121)</f>
        <v>15.333333333333334</v>
      </c>
      <c r="K121" s="146">
        <f>SUM(K87:K120)</f>
        <v>32.645161290322584</v>
      </c>
      <c r="L121" s="147"/>
      <c r="M121" s="150">
        <f t="shared" ref="M121:V121" si="50">SUM(M87:M120)</f>
        <v>0.35483870967741638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506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97"/>
      <c r="P122" s="497"/>
      <c r="Q122" s="497"/>
      <c r="R122" s="497"/>
      <c r="S122" s="497"/>
      <c r="T122" s="497"/>
      <c r="U122" s="497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506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97"/>
      <c r="P123" s="497"/>
      <c r="Q123" s="497"/>
      <c r="R123" s="497"/>
      <c r="S123" s="497"/>
      <c r="T123" s="497"/>
      <c r="U123" s="497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506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97"/>
      <c r="P124" s="497"/>
      <c r="Q124" s="497"/>
      <c r="R124" s="497"/>
      <c r="S124" s="497"/>
      <c r="T124" s="497"/>
      <c r="U124" s="497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506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97"/>
      <c r="P125" s="497"/>
      <c r="Q125" s="497"/>
      <c r="R125" s="497"/>
      <c r="S125" s="497"/>
      <c r="T125" s="497"/>
      <c r="U125" s="497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502" t="s">
        <v>203</v>
      </c>
      <c r="D126" s="108">
        <v>5.03</v>
      </c>
      <c r="E126" s="108"/>
      <c r="F126" s="127"/>
      <c r="G126" s="128"/>
      <c r="H126" s="506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97"/>
      <c r="P126" s="497"/>
      <c r="Q126" s="497"/>
      <c r="R126" s="497"/>
      <c r="S126" s="497"/>
      <c r="T126" s="497"/>
      <c r="U126" s="497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506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97"/>
      <c r="P127" s="497"/>
      <c r="Q127" s="497"/>
      <c r="R127" s="497"/>
      <c r="S127" s="497"/>
      <c r="T127" s="497"/>
      <c r="U127" s="497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506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97"/>
      <c r="P128" s="497"/>
      <c r="Q128" s="497"/>
      <c r="R128" s="497"/>
      <c r="S128" s="497"/>
      <c r="T128" s="497"/>
      <c r="U128" s="497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502" t="s">
        <v>228</v>
      </c>
      <c r="D129" s="108">
        <v>5.03</v>
      </c>
      <c r="E129" s="108"/>
      <c r="F129" s="127"/>
      <c r="G129" s="128"/>
      <c r="H129" s="506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97"/>
      <c r="P129" s="497"/>
      <c r="Q129" s="497"/>
      <c r="R129" s="497"/>
      <c r="S129" s="497"/>
      <c r="T129" s="497"/>
      <c r="U129" s="497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502" t="s">
        <v>212</v>
      </c>
      <c r="D130" s="108">
        <v>5.03</v>
      </c>
      <c r="E130" s="108"/>
      <c r="F130" s="127"/>
      <c r="G130" s="128"/>
      <c r="H130" s="506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97"/>
      <c r="P130" s="497"/>
      <c r="Q130" s="497"/>
      <c r="R130" s="497"/>
      <c r="S130" s="497"/>
      <c r="T130" s="497"/>
      <c r="U130" s="497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502" t="s">
        <v>203</v>
      </c>
      <c r="D131" s="108">
        <v>5.03</v>
      </c>
      <c r="E131" s="108"/>
      <c r="F131" s="127"/>
      <c r="G131" s="128"/>
      <c r="H131" s="506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97"/>
      <c r="P131" s="497"/>
      <c r="Q131" s="497"/>
      <c r="R131" s="497"/>
      <c r="S131" s="497"/>
      <c r="T131" s="497"/>
      <c r="U131" s="497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502" t="s">
        <v>186</v>
      </c>
      <c r="D132" s="108">
        <v>5.03</v>
      </c>
      <c r="E132" s="108"/>
      <c r="F132" s="127"/>
      <c r="G132" s="128"/>
      <c r="H132" s="506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97"/>
      <c r="P132" s="497"/>
      <c r="Q132" s="497"/>
      <c r="R132" s="497"/>
      <c r="S132" s="497"/>
      <c r="T132" s="497"/>
      <c r="U132" s="497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502" t="s">
        <v>228</v>
      </c>
      <c r="D133" s="108">
        <v>5.03</v>
      </c>
      <c r="E133" s="108"/>
      <c r="F133" s="127"/>
      <c r="G133" s="128"/>
      <c r="H133" s="506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97"/>
      <c r="P133" s="497"/>
      <c r="Q133" s="497"/>
      <c r="R133" s="497"/>
      <c r="S133" s="497"/>
      <c r="T133" s="497"/>
      <c r="U133" s="497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502" t="s">
        <v>199</v>
      </c>
      <c r="D134" s="108">
        <v>5.03</v>
      </c>
      <c r="E134" s="108"/>
      <c r="F134" s="127"/>
      <c r="G134" s="128"/>
      <c r="H134" s="506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97"/>
      <c r="P134" s="497"/>
      <c r="Q134" s="497"/>
      <c r="R134" s="497"/>
      <c r="S134" s="497"/>
      <c r="T134" s="497"/>
      <c r="U134" s="497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>
        <v>42718</v>
      </c>
      <c r="G135" s="128">
        <f>90*3+81</f>
        <v>351</v>
      </c>
      <c r="H135" s="506">
        <f t="shared" si="51"/>
        <v>1776.06</v>
      </c>
      <c r="I135" s="129">
        <f>4.5*3</f>
        <v>13.5</v>
      </c>
      <c r="J135" s="130">
        <f t="array" ref="J135">IF(ISERROR(G135/I135),"",G135/I135)</f>
        <v>26</v>
      </c>
      <c r="K135" s="131">
        <f t="array" ref="K135">IF(ISERROR(G135/L135),"",G135/L135)</f>
        <v>14.04</v>
      </c>
      <c r="L135" s="129">
        <v>25</v>
      </c>
      <c r="M135" s="109">
        <f t="shared" si="52"/>
        <v>-0.53999999999999915</v>
      </c>
      <c r="N135" s="130">
        <f t="shared" si="53"/>
        <v>0</v>
      </c>
      <c r="O135" s="497"/>
      <c r="P135" s="497"/>
      <c r="Q135" s="497"/>
      <c r="R135" s="497"/>
      <c r="S135" s="497"/>
      <c r="T135" s="497"/>
      <c r="U135" s="497"/>
      <c r="V135" s="132">
        <f t="shared" si="54"/>
        <v>0</v>
      </c>
      <c r="W135" s="133">
        <f t="shared" si="49"/>
        <v>0</v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>
        <v>42719</v>
      </c>
      <c r="G136" s="128">
        <f>90*6+66</f>
        <v>606</v>
      </c>
      <c r="H136" s="506">
        <f t="shared" si="51"/>
        <v>3066.3599999999997</v>
      </c>
      <c r="I136" s="129">
        <f>6.5*3</f>
        <v>19.5</v>
      </c>
      <c r="J136" s="130">
        <f t="array" ref="J136">IF(ISERROR(G136/I136),"",G136/I136)</f>
        <v>31.076923076923077</v>
      </c>
      <c r="K136" s="131">
        <f t="array" ref="K136">IF(ISERROR(G136/L136),"",G136/L136)</f>
        <v>26.347826086956523</v>
      </c>
      <c r="L136" s="129">
        <v>23</v>
      </c>
      <c r="M136" s="109">
        <f t="shared" si="52"/>
        <v>-6.8478260869565233</v>
      </c>
      <c r="N136" s="130">
        <f t="shared" si="53"/>
        <v>0</v>
      </c>
      <c r="O136" s="497"/>
      <c r="P136" s="497"/>
      <c r="Q136" s="497"/>
      <c r="R136" s="497"/>
      <c r="S136" s="497"/>
      <c r="T136" s="497"/>
      <c r="U136" s="497"/>
      <c r="V136" s="132">
        <f t="shared" si="54"/>
        <v>0</v>
      </c>
      <c r="W136" s="133">
        <f t="shared" si="49"/>
        <v>0</v>
      </c>
      <c r="X136" s="132"/>
      <c r="Y136" s="132"/>
      <c r="Z136" s="132"/>
      <c r="AA136" s="132"/>
    </row>
    <row r="137" spans="1:27" ht="20.100000000000001" customHeight="1">
      <c r="A137" s="630" t="s">
        <v>231</v>
      </c>
      <c r="B137" s="631"/>
      <c r="C137" s="504" t="s">
        <v>202</v>
      </c>
      <c r="D137" s="143"/>
      <c r="E137" s="143"/>
      <c r="F137" s="144"/>
      <c r="G137" s="145">
        <f>SUM(G122:G136)</f>
        <v>957</v>
      </c>
      <c r="H137" s="146">
        <f>SUM(H122:H136)</f>
        <v>4842.42</v>
      </c>
      <c r="I137" s="146">
        <f>SUM(I122:I136)</f>
        <v>33</v>
      </c>
      <c r="J137" s="130">
        <f t="array" ref="J137">IF(ISERROR(G137/I137),"",G137/I137)</f>
        <v>29</v>
      </c>
      <c r="K137" s="146">
        <f>SUM(K122:K136)</f>
        <v>40.387826086956522</v>
      </c>
      <c r="L137" s="147"/>
      <c r="M137" s="150">
        <f>SUM(M122:M136)</f>
        <v>-7.3878260869565224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>
        <v>42705</v>
      </c>
      <c r="G138" s="128">
        <v>62</v>
      </c>
      <c r="H138" s="506">
        <f t="shared" ref="H138:H146" si="55">D138*G138</f>
        <v>312.48</v>
      </c>
      <c r="I138" s="129">
        <f>0.5*4</f>
        <v>2</v>
      </c>
      <c r="J138" s="130">
        <f t="array" ref="J138">IF(ISERROR(G138/I138),"",G138/I138)</f>
        <v>31</v>
      </c>
      <c r="K138" s="131">
        <f t="array" ref="K138">IF(ISERROR(G138/L138),"",G138/L138)</f>
        <v>2.8181818181818183</v>
      </c>
      <c r="L138" s="129">
        <v>22</v>
      </c>
      <c r="M138" s="109">
        <f t="shared" ref="M138:M145" si="56">IF(ISERROR(I138-K138),"",I138-K138)</f>
        <v>-0.81818181818181834</v>
      </c>
      <c r="N138" s="130">
        <f t="shared" ref="N138:N142" si="57">SUM(O138:U138)</f>
        <v>0</v>
      </c>
      <c r="O138" s="497"/>
      <c r="P138" s="497"/>
      <c r="Q138" s="497"/>
      <c r="R138" s="497"/>
      <c r="S138" s="497"/>
      <c r="T138" s="497"/>
      <c r="U138" s="497"/>
      <c r="V138" s="132">
        <f t="shared" ref="V138:V142" si="58">SUM(X138:AA138)</f>
        <v>0</v>
      </c>
      <c r="W138" s="133">
        <f t="shared" si="49"/>
        <v>0</v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506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97"/>
      <c r="P139" s="497"/>
      <c r="Q139" s="497"/>
      <c r="R139" s="497"/>
      <c r="S139" s="497"/>
      <c r="T139" s="497"/>
      <c r="U139" s="497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506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97"/>
      <c r="P140" s="497"/>
      <c r="Q140" s="497"/>
      <c r="R140" s="497"/>
      <c r="S140" s="497"/>
      <c r="T140" s="497"/>
      <c r="U140" s="497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506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97"/>
      <c r="P141" s="497"/>
      <c r="Q141" s="497"/>
      <c r="R141" s="497"/>
      <c r="S141" s="497"/>
      <c r="T141" s="497"/>
      <c r="U141" s="497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506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97"/>
      <c r="P142" s="497"/>
      <c r="Q142" s="497"/>
      <c r="R142" s="497"/>
      <c r="S142" s="497"/>
      <c r="T142" s="497"/>
      <c r="U142" s="497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>
        <v>42705</v>
      </c>
      <c r="G143" s="128">
        <f>15+90*2+50</f>
        <v>245</v>
      </c>
      <c r="H143" s="506">
        <f t="shared" si="55"/>
        <v>1234.8</v>
      </c>
      <c r="I143" s="129">
        <f>5*4</f>
        <v>20</v>
      </c>
      <c r="J143" s="130">
        <f t="array" ref="J143">IF(ISERROR(G143/I143),"",G143/I143)</f>
        <v>12.25</v>
      </c>
      <c r="K143" s="131">
        <f t="array" ref="K143">IF(ISERROR(G143/L143),"",G143/L143)</f>
        <v>18.148148148148149</v>
      </c>
      <c r="L143" s="129">
        <v>13.5</v>
      </c>
      <c r="M143" s="109">
        <f t="shared" si="56"/>
        <v>1.8518518518518512</v>
      </c>
      <c r="N143" s="130"/>
      <c r="O143" s="497"/>
      <c r="P143" s="497"/>
      <c r="Q143" s="497"/>
      <c r="R143" s="497"/>
      <c r="S143" s="497"/>
      <c r="T143" s="497"/>
      <c r="U143" s="497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506">
        <f t="shared" si="55"/>
        <v>0</v>
      </c>
      <c r="I144" s="129"/>
      <c r="J144" s="130" t="str">
        <f t="array" ref="J144">IF(ISERROR(G144/I144),"",G144/I144)</f>
        <v/>
      </c>
      <c r="K144" s="131">
        <f t="array" ref="K144">IF(ISERROR(G144/L144),"",G144/L144)</f>
        <v>0</v>
      </c>
      <c r="L144" s="129">
        <v>13.5</v>
      </c>
      <c r="M144" s="109">
        <f t="shared" si="56"/>
        <v>0</v>
      </c>
      <c r="N144" s="130"/>
      <c r="O144" s="497"/>
      <c r="P144" s="497"/>
      <c r="Q144" s="497"/>
      <c r="R144" s="497"/>
      <c r="S144" s="497"/>
      <c r="T144" s="497"/>
      <c r="U144" s="497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>
        <v>42719</v>
      </c>
      <c r="G145" s="128">
        <f>90*2+42</f>
        <v>222</v>
      </c>
      <c r="H145" s="506">
        <f t="shared" si="55"/>
        <v>1118.8800000000001</v>
      </c>
      <c r="I145" s="129">
        <f>5.5*4</f>
        <v>22</v>
      </c>
      <c r="J145" s="130">
        <f t="array" ref="J145">IF(ISERROR(G145/I145),"",G145/I145)</f>
        <v>10.090909090909092</v>
      </c>
      <c r="K145" s="131">
        <f t="array" ref="K145">IF(ISERROR(G145/L145),"",G145/L145)</f>
        <v>16.444444444444443</v>
      </c>
      <c r="L145" s="129">
        <v>13.5</v>
      </c>
      <c r="M145" s="109">
        <f t="shared" si="56"/>
        <v>5.5555555555555571</v>
      </c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506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497"/>
      <c r="P146" s="497"/>
      <c r="Q146" s="497"/>
      <c r="R146" s="497"/>
      <c r="S146" s="497"/>
      <c r="T146" s="497"/>
      <c r="U146" s="497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customHeight="1">
      <c r="A147" s="630" t="s">
        <v>234</v>
      </c>
      <c r="B147" s="631"/>
      <c r="C147" s="504" t="s">
        <v>202</v>
      </c>
      <c r="D147" s="143"/>
      <c r="E147" s="143"/>
      <c r="F147" s="144"/>
      <c r="G147" s="145">
        <f>SUM(G138:G146)</f>
        <v>529</v>
      </c>
      <c r="H147" s="146">
        <f>SUM(H138:H146)</f>
        <v>2666.16</v>
      </c>
      <c r="I147" s="146">
        <f>SUM(I138:I146)</f>
        <v>44</v>
      </c>
      <c r="J147" s="130">
        <f t="array" ref="J147">IF(ISERROR(G147/I147),"",G147/I147)</f>
        <v>12.022727272727273</v>
      </c>
      <c r="K147" s="146">
        <f>SUM(K138:K146)</f>
        <v>37.410774410774408</v>
      </c>
      <c r="L147" s="147"/>
      <c r="M147" s="150">
        <f>SUM(M138:M146)</f>
        <v>6.58922558922559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>
        <f t="shared" si="62"/>
        <v>0</v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496"/>
      <c r="D148" s="108">
        <v>3.65</v>
      </c>
      <c r="E148" s="108"/>
      <c r="F148" s="153"/>
      <c r="G148" s="128"/>
      <c r="H148" s="506">
        <f t="shared" ref="H148:H161" si="63">D148*G148</f>
        <v>0</v>
      </c>
      <c r="I148" s="129"/>
      <c r="J148" s="130" t="str">
        <f t="array" ref="J148">IF(ISERROR(G148/I148),"",G148/I148)</f>
        <v/>
      </c>
      <c r="K148" s="506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497"/>
      <c r="P148" s="497"/>
      <c r="Q148" s="497"/>
      <c r="R148" s="497"/>
      <c r="S148" s="497"/>
      <c r="T148" s="497"/>
      <c r="U148" s="497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496"/>
      <c r="D149" s="108">
        <v>6.58</v>
      </c>
      <c r="E149" s="108"/>
      <c r="F149" s="127"/>
      <c r="G149" s="128"/>
      <c r="H149" s="506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497"/>
      <c r="P149" s="497"/>
      <c r="Q149" s="497"/>
      <c r="R149" s="497"/>
      <c r="S149" s="497"/>
      <c r="T149" s="497"/>
      <c r="U149" s="497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496"/>
      <c r="D150" s="108">
        <v>7.8</v>
      </c>
      <c r="E150" s="108"/>
      <c r="F150" s="127"/>
      <c r="G150" s="128"/>
      <c r="H150" s="506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497"/>
      <c r="P150" s="497"/>
      <c r="Q150" s="497"/>
      <c r="R150" s="497"/>
      <c r="S150" s="497"/>
      <c r="T150" s="497"/>
      <c r="U150" s="497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496"/>
      <c r="D151" s="108">
        <v>4.4000000000000004</v>
      </c>
      <c r="E151" s="108"/>
      <c r="F151" s="127"/>
      <c r="G151" s="128"/>
      <c r="H151" s="506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497"/>
      <c r="P151" s="497"/>
      <c r="Q151" s="497"/>
      <c r="R151" s="497"/>
      <c r="S151" s="497"/>
      <c r="T151" s="497"/>
      <c r="U151" s="497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506">
        <f t="shared" si="63"/>
        <v>0</v>
      </c>
      <c r="I152" s="129"/>
      <c r="J152" s="130"/>
      <c r="K152" s="131"/>
      <c r="L152" s="129">
        <v>6</v>
      </c>
      <c r="M152" s="109"/>
      <c r="N152" s="130"/>
      <c r="O152" s="497"/>
      <c r="P152" s="497"/>
      <c r="Q152" s="497"/>
      <c r="R152" s="497"/>
      <c r="S152" s="497"/>
      <c r="T152" s="497"/>
      <c r="U152" s="497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496" t="s">
        <v>239</v>
      </c>
      <c r="C153" s="496" t="s">
        <v>179</v>
      </c>
      <c r="D153" s="108">
        <v>6.04</v>
      </c>
      <c r="E153" s="108"/>
      <c r="F153" s="127"/>
      <c r="G153" s="128"/>
      <c r="H153" s="506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497"/>
      <c r="P153" s="497"/>
      <c r="Q153" s="497"/>
      <c r="R153" s="497"/>
      <c r="S153" s="497"/>
      <c r="T153" s="497"/>
      <c r="U153" s="497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496" t="s">
        <v>239</v>
      </c>
      <c r="C154" s="496" t="s">
        <v>186</v>
      </c>
      <c r="D154" s="108">
        <v>6.04</v>
      </c>
      <c r="E154" s="108"/>
      <c r="F154" s="127"/>
      <c r="G154" s="128"/>
      <c r="H154" s="506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497"/>
      <c r="P154" s="497"/>
      <c r="Q154" s="497"/>
      <c r="R154" s="497"/>
      <c r="S154" s="497"/>
      <c r="T154" s="497"/>
      <c r="U154" s="497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496" t="s">
        <v>443</v>
      </c>
      <c r="C155" s="496" t="s">
        <v>179</v>
      </c>
      <c r="D155" s="108">
        <v>6</v>
      </c>
      <c r="E155" s="108"/>
      <c r="F155" s="127"/>
      <c r="G155" s="128"/>
      <c r="H155" s="506">
        <f t="shared" si="63"/>
        <v>0</v>
      </c>
      <c r="I155" s="129"/>
      <c r="J155" s="130"/>
      <c r="K155" s="131"/>
      <c r="L155" s="129"/>
      <c r="M155" s="109"/>
      <c r="N155" s="130"/>
      <c r="O155" s="497"/>
      <c r="P155" s="497"/>
      <c r="Q155" s="497"/>
      <c r="R155" s="497"/>
      <c r="S155" s="497"/>
      <c r="T155" s="497"/>
      <c r="U155" s="497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496" t="s">
        <v>443</v>
      </c>
      <c r="C156" s="496" t="s">
        <v>60</v>
      </c>
      <c r="D156" s="108">
        <v>6</v>
      </c>
      <c r="E156" s="108"/>
      <c r="F156" s="127"/>
      <c r="G156" s="128"/>
      <c r="H156" s="506">
        <f t="shared" si="63"/>
        <v>0</v>
      </c>
      <c r="I156" s="129"/>
      <c r="J156" s="130"/>
      <c r="K156" s="131"/>
      <c r="L156" s="129">
        <v>6</v>
      </c>
      <c r="M156" s="109"/>
      <c r="N156" s="130"/>
      <c r="O156" s="497"/>
      <c r="P156" s="497"/>
      <c r="Q156" s="497"/>
      <c r="R156" s="497"/>
      <c r="S156" s="497"/>
      <c r="T156" s="497"/>
      <c r="U156" s="497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498" t="s">
        <v>240</v>
      </c>
      <c r="C157" s="126"/>
      <c r="D157" s="108">
        <v>7.3</v>
      </c>
      <c r="E157" s="108"/>
      <c r="F157" s="127"/>
      <c r="G157" s="128"/>
      <c r="H157" s="506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497"/>
      <c r="P157" s="497"/>
      <c r="Q157" s="497"/>
      <c r="R157" s="497"/>
      <c r="S157" s="497"/>
      <c r="T157" s="497"/>
      <c r="U157" s="497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498" t="s">
        <v>241</v>
      </c>
      <c r="C158" s="126"/>
      <c r="D158" s="108">
        <f>78*120/1000</f>
        <v>9.36</v>
      </c>
      <c r="E158" s="108"/>
      <c r="F158" s="127"/>
      <c r="G158" s="128"/>
      <c r="H158" s="506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497"/>
      <c r="P158" s="497"/>
      <c r="Q158" s="497"/>
      <c r="R158" s="497"/>
      <c r="S158" s="497"/>
      <c r="T158" s="497"/>
      <c r="U158" s="497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498" t="s">
        <v>242</v>
      </c>
      <c r="C159" s="126"/>
      <c r="D159" s="108">
        <v>4.5</v>
      </c>
      <c r="E159" s="108"/>
      <c r="F159" s="127"/>
      <c r="G159" s="128"/>
      <c r="H159" s="506">
        <f t="shared" si="63"/>
        <v>0</v>
      </c>
      <c r="I159" s="129"/>
      <c r="J159" s="130"/>
      <c r="K159" s="131"/>
      <c r="L159" s="129"/>
      <c r="M159" s="109"/>
      <c r="N159" s="130"/>
      <c r="O159" s="497"/>
      <c r="P159" s="497"/>
      <c r="Q159" s="497"/>
      <c r="R159" s="497"/>
      <c r="S159" s="497"/>
      <c r="T159" s="497"/>
      <c r="U159" s="497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498" t="s">
        <v>243</v>
      </c>
      <c r="C160" s="126"/>
      <c r="D160" s="108">
        <v>4.5</v>
      </c>
      <c r="E160" s="108"/>
      <c r="F160" s="127"/>
      <c r="G160" s="128"/>
      <c r="H160" s="506">
        <f t="shared" si="63"/>
        <v>0</v>
      </c>
      <c r="I160" s="129"/>
      <c r="J160" s="130"/>
      <c r="K160" s="131"/>
      <c r="L160" s="129"/>
      <c r="M160" s="109"/>
      <c r="N160" s="130"/>
      <c r="O160" s="497"/>
      <c r="P160" s="497"/>
      <c r="Q160" s="497"/>
      <c r="R160" s="497"/>
      <c r="S160" s="497"/>
      <c r="T160" s="497"/>
      <c r="U160" s="497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506">
        <f t="shared" si="63"/>
        <v>0</v>
      </c>
      <c r="I161" s="129"/>
      <c r="J161" s="130"/>
      <c r="K161" s="131"/>
      <c r="L161" s="129"/>
      <c r="M161" s="109"/>
      <c r="N161" s="130"/>
      <c r="O161" s="497"/>
      <c r="P161" s="497"/>
      <c r="Q161" s="497"/>
      <c r="R161" s="497"/>
      <c r="S161" s="497"/>
      <c r="T161" s="497"/>
      <c r="U161" s="497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630" t="s">
        <v>244</v>
      </c>
      <c r="B162" s="631"/>
      <c r="C162" s="504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32" t="s">
        <v>246</v>
      </c>
      <c r="B163" s="633"/>
      <c r="C163" s="633"/>
      <c r="D163" s="633"/>
      <c r="E163" s="633"/>
      <c r="F163" s="634"/>
      <c r="G163" s="154">
        <f>SUM(G28,G86,G121,G137,G147,G162)</f>
        <v>5151</v>
      </c>
      <c r="H163" s="154">
        <f>SUM(H28,H86,H121,H137,H147,H162)</f>
        <v>26030.52</v>
      </c>
      <c r="I163" s="154">
        <f>SUM(I28,I86,I121,I137,I147,I162)</f>
        <v>209</v>
      </c>
      <c r="J163" s="155">
        <f t="array" ref="J163">IF(ISERROR(G163/I163),"",G163/I163)</f>
        <v>24.645933014354068</v>
      </c>
      <c r="K163" s="154">
        <f>SUM(K28,K86,K121,K137,K147,K162)</f>
        <v>206.87342466691547</v>
      </c>
      <c r="L163" s="155">
        <f>IF(ISERROR(G163/K163),"",G163/K163)</f>
        <v>24.899283261219107</v>
      </c>
      <c r="M163" s="154">
        <f t="shared" ref="M163:AA163" si="76">SUM(M28,M86,M121,M137,M147,M162)</f>
        <v>2.126575333084519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635" t="s">
        <v>476</v>
      </c>
      <c r="B164" s="503" t="s">
        <v>247</v>
      </c>
      <c r="C164" s="638" t="s">
        <v>248</v>
      </c>
      <c r="D164" s="639"/>
      <c r="E164" s="640" t="s">
        <v>249</v>
      </c>
      <c r="F164" s="640"/>
      <c r="G164" s="643" t="s">
        <v>250</v>
      </c>
      <c r="H164" s="643"/>
      <c r="I164" s="640" t="s">
        <v>251</v>
      </c>
      <c r="J164" s="640"/>
      <c r="K164" s="640" t="s">
        <v>252</v>
      </c>
      <c r="L164" s="640"/>
      <c r="M164" s="640" t="s">
        <v>253</v>
      </c>
      <c r="N164" s="640"/>
      <c r="O164" s="640" t="s">
        <v>254</v>
      </c>
      <c r="P164" s="643" t="s">
        <v>255</v>
      </c>
      <c r="Q164" s="643"/>
      <c r="R164" s="643" t="s">
        <v>252</v>
      </c>
      <c r="S164" s="643"/>
      <c r="T164" s="643" t="s">
        <v>256</v>
      </c>
      <c r="U164" s="643"/>
      <c r="V164" s="643" t="s">
        <v>257</v>
      </c>
      <c r="W164" s="643"/>
      <c r="X164" s="643" t="s">
        <v>252</v>
      </c>
      <c r="Y164" s="643"/>
      <c r="Z164" s="643" t="s">
        <v>256</v>
      </c>
      <c r="AA164" s="643"/>
    </row>
    <row r="165" spans="1:27" ht="20.100000000000001" customHeight="1">
      <c r="A165" s="636"/>
      <c r="B165" s="503" t="s">
        <v>258</v>
      </c>
      <c r="C165" s="638">
        <v>1</v>
      </c>
      <c r="D165" s="639"/>
      <c r="E165" s="642">
        <f>C165*11</f>
        <v>11</v>
      </c>
      <c r="F165" s="642"/>
      <c r="G165" s="643">
        <v>1</v>
      </c>
      <c r="H165" s="643"/>
      <c r="I165" s="642">
        <f>G165*11</f>
        <v>11</v>
      </c>
      <c r="J165" s="642"/>
      <c r="K165" s="642">
        <f>E165-I165</f>
        <v>0</v>
      </c>
      <c r="L165" s="642"/>
      <c r="M165" s="644">
        <f>IF(ISERROR(K165/E165),"",K165/E165)</f>
        <v>0</v>
      </c>
      <c r="N165" s="644"/>
      <c r="O165" s="640"/>
      <c r="P165" s="643" t="s">
        <v>201</v>
      </c>
      <c r="Q165" s="643"/>
      <c r="R165" s="645">
        <f>SUM(O28:U28)</f>
        <v>0</v>
      </c>
      <c r="S165" s="645"/>
      <c r="T165" s="646" t="str">
        <f t="array" ref="T165">IF(ISERROR(R165/R172),"",R165/R172)</f>
        <v/>
      </c>
      <c r="U165" s="646"/>
      <c r="V165" s="643" t="s">
        <v>259</v>
      </c>
      <c r="W165" s="643"/>
      <c r="X165" s="647">
        <f>SUM(P27,P85,P120,P136,P146,P160)</f>
        <v>0</v>
      </c>
      <c r="Y165" s="647"/>
      <c r="Z165" s="646" t="str">
        <f t="array" ref="Z165">IF(ISERROR(X165/X172),"",X165/X172)</f>
        <v/>
      </c>
      <c r="AA165" s="646"/>
    </row>
    <row r="166" spans="1:27" ht="20.100000000000001" customHeight="1">
      <c r="A166" s="636"/>
      <c r="B166" s="503" t="s">
        <v>260</v>
      </c>
      <c r="C166" s="638">
        <v>1</v>
      </c>
      <c r="D166" s="639"/>
      <c r="E166" s="642">
        <f>C166*11</f>
        <v>11</v>
      </c>
      <c r="F166" s="642"/>
      <c r="G166" s="643">
        <v>1</v>
      </c>
      <c r="H166" s="643"/>
      <c r="I166" s="642">
        <f>G166*11</f>
        <v>11</v>
      </c>
      <c r="J166" s="642"/>
      <c r="K166" s="642">
        <f>E166-I166</f>
        <v>0</v>
      </c>
      <c r="L166" s="642"/>
      <c r="M166" s="644">
        <f>IF(ISERROR(K166/E166),"",K166/E166)</f>
        <v>0</v>
      </c>
      <c r="N166" s="644"/>
      <c r="O166" s="640"/>
      <c r="P166" s="643" t="s">
        <v>216</v>
      </c>
      <c r="Q166" s="643"/>
      <c r="R166" s="645">
        <f>SUM(O86:U86)</f>
        <v>0</v>
      </c>
      <c r="S166" s="645"/>
      <c r="T166" s="646" t="str">
        <f>IF(ISERROR(R166/R172),"",R166/R172)</f>
        <v/>
      </c>
      <c r="U166" s="646"/>
      <c r="V166" s="643" t="s">
        <v>261</v>
      </c>
      <c r="W166" s="643"/>
      <c r="X166" s="647">
        <f>SUM(P28,P86,P121,P137,P147,P162)</f>
        <v>0</v>
      </c>
      <c r="Y166" s="647"/>
      <c r="Z166" s="646" t="str">
        <f>IF(ISERROR(X166/X172),"",X166/X172)</f>
        <v/>
      </c>
      <c r="AA166" s="646"/>
    </row>
    <row r="167" spans="1:27" ht="20.100000000000001" customHeight="1">
      <c r="A167" s="636"/>
      <c r="B167" s="503" t="s">
        <v>262</v>
      </c>
      <c r="C167" s="638">
        <v>1</v>
      </c>
      <c r="D167" s="639"/>
      <c r="E167" s="642">
        <f>C167*8</f>
        <v>8</v>
      </c>
      <c r="F167" s="642"/>
      <c r="G167" s="643">
        <v>1</v>
      </c>
      <c r="H167" s="643"/>
      <c r="I167" s="642">
        <f>G167*8</f>
        <v>8</v>
      </c>
      <c r="J167" s="642"/>
      <c r="K167" s="642">
        <f>E167-I167</f>
        <v>0</v>
      </c>
      <c r="L167" s="642"/>
      <c r="M167" s="644">
        <f>IF(ISERROR(K167/E167),"",K167/E167)</f>
        <v>0</v>
      </c>
      <c r="N167" s="644"/>
      <c r="O167" s="640"/>
      <c r="P167" s="643" t="s">
        <v>224</v>
      </c>
      <c r="Q167" s="643"/>
      <c r="R167" s="645">
        <f>SUM(O121:U121)</f>
        <v>0</v>
      </c>
      <c r="S167" s="645"/>
      <c r="T167" s="646" t="str">
        <f>IF(ISERROR(R167/R172),"",R167/R172)</f>
        <v/>
      </c>
      <c r="U167" s="646"/>
      <c r="V167" s="643" t="s">
        <v>263</v>
      </c>
      <c r="W167" s="643"/>
      <c r="X167" s="647">
        <f>SUM(P29,P87,P122,P138,P148,P163)</f>
        <v>0</v>
      </c>
      <c r="Y167" s="647"/>
      <c r="Z167" s="646" t="str">
        <f>IF(ISERROR(X167/X172),"",X167/X172)</f>
        <v/>
      </c>
      <c r="AA167" s="646"/>
    </row>
    <row r="168" spans="1:27" ht="20.100000000000001" customHeight="1">
      <c r="A168" s="636"/>
      <c r="B168" s="503" t="s">
        <v>264</v>
      </c>
      <c r="C168" s="638">
        <v>1</v>
      </c>
      <c r="D168" s="639"/>
      <c r="E168" s="642">
        <f>C168*11</f>
        <v>11</v>
      </c>
      <c r="F168" s="642"/>
      <c r="G168" s="643">
        <v>1</v>
      </c>
      <c r="H168" s="643"/>
      <c r="I168" s="642">
        <f>G168*11</f>
        <v>11</v>
      </c>
      <c r="J168" s="642"/>
      <c r="K168" s="642">
        <f>E168-I168</f>
        <v>0</v>
      </c>
      <c r="L168" s="642"/>
      <c r="M168" s="644">
        <f>IF(ISERROR(K168/E168),"",K168/E168)</f>
        <v>0</v>
      </c>
      <c r="N168" s="644"/>
      <c r="O168" s="640"/>
      <c r="P168" s="643" t="s">
        <v>231</v>
      </c>
      <c r="Q168" s="643"/>
      <c r="R168" s="645">
        <f>SUM(O137:U137)</f>
        <v>0</v>
      </c>
      <c r="S168" s="645"/>
      <c r="T168" s="646" t="str">
        <f>IF(ISERROR(R168/R172),"",R168/R172)</f>
        <v/>
      </c>
      <c r="U168" s="646"/>
      <c r="V168" s="643" t="s">
        <v>265</v>
      </c>
      <c r="W168" s="643"/>
      <c r="X168" s="647">
        <f>SUM(P31,P88,P123,P139,P149,P164)</f>
        <v>0</v>
      </c>
      <c r="Y168" s="647"/>
      <c r="Z168" s="646" t="str">
        <f>IF(ISERROR(X168/X172),"",X168/X172)</f>
        <v/>
      </c>
      <c r="AA168" s="646"/>
    </row>
    <row r="169" spans="1:27" ht="20.100000000000001" customHeight="1">
      <c r="A169" s="637"/>
      <c r="B169" s="503" t="s">
        <v>266</v>
      </c>
      <c r="C169" s="648">
        <f>SUM(C165:D168)</f>
        <v>4</v>
      </c>
      <c r="D169" s="649"/>
      <c r="E169" s="642">
        <f>SUM(E165:F168)</f>
        <v>41</v>
      </c>
      <c r="F169" s="642"/>
      <c r="G169" s="643">
        <f>SUM(G165:H168)</f>
        <v>4</v>
      </c>
      <c r="H169" s="643"/>
      <c r="I169" s="642">
        <f>SUM(I165:J168)</f>
        <v>41</v>
      </c>
      <c r="J169" s="642"/>
      <c r="K169" s="642">
        <f>SUM(K165:L168)</f>
        <v>0</v>
      </c>
      <c r="L169" s="642"/>
      <c r="M169" s="644">
        <f>IF(ISERROR(K169/E169),"",K169/E169)</f>
        <v>0</v>
      </c>
      <c r="N169" s="644"/>
      <c r="O169" s="640"/>
      <c r="P169" s="643" t="s">
        <v>234</v>
      </c>
      <c r="Q169" s="643"/>
      <c r="R169" s="645">
        <f>SUM(O147:U147)</f>
        <v>0</v>
      </c>
      <c r="S169" s="645"/>
      <c r="T169" s="646" t="str">
        <f>IF(ISERROR(R169/R172),"",R169/R172)</f>
        <v/>
      </c>
      <c r="U169" s="646"/>
      <c r="V169" s="643" t="s">
        <v>267</v>
      </c>
      <c r="W169" s="643"/>
      <c r="X169" s="647">
        <f>SUM(P32,P89,P124,P140,P150,P165)</f>
        <v>0</v>
      </c>
      <c r="Y169" s="647"/>
      <c r="Z169" s="646" t="str">
        <f>IF(ISERROR(X169/X172),"",X169/X172)</f>
        <v/>
      </c>
      <c r="AA169" s="646"/>
    </row>
    <row r="170" spans="1:27" ht="20.100000000000001" customHeight="1">
      <c r="A170" s="307" t="s">
        <v>477</v>
      </c>
      <c r="B170" s="503">
        <f>G163</f>
        <v>5151</v>
      </c>
      <c r="C170" s="650" t="s">
        <v>269</v>
      </c>
      <c r="D170" s="651"/>
      <c r="E170" s="643">
        <f>H163</f>
        <v>26030.52</v>
      </c>
      <c r="F170" s="643"/>
      <c r="G170" s="643" t="s">
        <v>270</v>
      </c>
      <c r="H170" s="643"/>
      <c r="I170" s="652">
        <f>L163</f>
        <v>24.899283261219107</v>
      </c>
      <c r="J170" s="652"/>
      <c r="K170" s="640" t="s">
        <v>271</v>
      </c>
      <c r="L170" s="640"/>
      <c r="M170" s="652">
        <f>J163</f>
        <v>24.645933014354068</v>
      </c>
      <c r="N170" s="652"/>
      <c r="O170" s="640"/>
      <c r="P170" s="643" t="s">
        <v>244</v>
      </c>
      <c r="Q170" s="643"/>
      <c r="R170" s="645">
        <f>SUM(O162:U162)</f>
        <v>0</v>
      </c>
      <c r="S170" s="645"/>
      <c r="T170" s="646" t="str">
        <f>IF(ISERROR(R170/R172),"",R170/R172)</f>
        <v/>
      </c>
      <c r="U170" s="646"/>
      <c r="V170" s="643" t="s">
        <v>272</v>
      </c>
      <c r="W170" s="643"/>
      <c r="X170" s="647">
        <f>SUM(P33,P90,P125,P141,P151,P166)</f>
        <v>0</v>
      </c>
      <c r="Y170" s="647"/>
      <c r="Z170" s="646" t="str">
        <f>IF(ISERROR(X170/X172),"",X170/X172)</f>
        <v/>
      </c>
      <c r="AA170" s="646"/>
    </row>
    <row r="171" spans="1:27" ht="20.100000000000001" customHeight="1">
      <c r="A171" s="308" t="s">
        <v>478</v>
      </c>
      <c r="B171" s="503">
        <f>I163+C169</f>
        <v>213</v>
      </c>
      <c r="C171" s="653" t="s">
        <v>251</v>
      </c>
      <c r="D171" s="654"/>
      <c r="E171" s="655">
        <f>K163+I169</f>
        <v>247.87342466691547</v>
      </c>
      <c r="F171" s="655"/>
      <c r="G171" s="643" t="s">
        <v>274</v>
      </c>
      <c r="H171" s="643"/>
      <c r="I171" s="652">
        <f>B171-E171</f>
        <v>-34.873424666915469</v>
      </c>
      <c r="J171" s="652"/>
      <c r="K171" s="640" t="s">
        <v>275</v>
      </c>
      <c r="L171" s="640"/>
      <c r="M171" s="644">
        <f>IF(ISERROR(I171/E171),"",I171/E171)</f>
        <v>-0.14069045406451813</v>
      </c>
      <c r="N171" s="644"/>
      <c r="O171" s="640"/>
      <c r="P171" s="643" t="s">
        <v>245</v>
      </c>
      <c r="Q171" s="643"/>
      <c r="R171" s="645"/>
      <c r="S171" s="645"/>
      <c r="T171" s="646" t="str">
        <f>IF(ISERROR(R171/R172),"",R171/R172)</f>
        <v/>
      </c>
      <c r="U171" s="646"/>
      <c r="V171" s="643" t="s">
        <v>264</v>
      </c>
      <c r="W171" s="643"/>
      <c r="X171" s="647"/>
      <c r="Y171" s="647"/>
      <c r="Z171" s="646" t="str">
        <f>IF(ISERROR(X171/X172),"",X171/X172)</f>
        <v/>
      </c>
      <c r="AA171" s="646"/>
    </row>
    <row r="172" spans="1:27" ht="20.100000000000001" customHeight="1">
      <c r="A172" s="308" t="s">
        <v>479</v>
      </c>
      <c r="B172" s="503">
        <f>N163</f>
        <v>0</v>
      </c>
      <c r="C172" s="653" t="s">
        <v>277</v>
      </c>
      <c r="D172" s="654"/>
      <c r="E172" s="646">
        <f>IF(ISERROR(B172/B171),"",B172/B171)</f>
        <v>0</v>
      </c>
      <c r="F172" s="646"/>
      <c r="G172" s="643" t="s">
        <v>278</v>
      </c>
      <c r="H172" s="643"/>
      <c r="I172" s="640">
        <f>V163</f>
        <v>0</v>
      </c>
      <c r="J172" s="640"/>
      <c r="K172" s="640" t="s">
        <v>279</v>
      </c>
      <c r="L172" s="640"/>
      <c r="M172" s="644">
        <f t="array" ref="M172">IF(ISERROR(I172/B170),"",I172/B170)</f>
        <v>0</v>
      </c>
      <c r="N172" s="644"/>
      <c r="O172" s="640"/>
      <c r="P172" s="643" t="s">
        <v>266</v>
      </c>
      <c r="Q172" s="643"/>
      <c r="R172" s="645">
        <f>SUM(R165:S171)</f>
        <v>0</v>
      </c>
      <c r="S172" s="645"/>
      <c r="T172" s="646"/>
      <c r="U172" s="646"/>
      <c r="V172" s="643" t="s">
        <v>266</v>
      </c>
      <c r="W172" s="643"/>
      <c r="X172" s="647">
        <f>SUM(X165:Y171)</f>
        <v>0</v>
      </c>
      <c r="Y172" s="647"/>
      <c r="Z172" s="646"/>
      <c r="AA172" s="646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56" t="s">
        <v>480</v>
      </c>
      <c r="B174" s="659" t="s">
        <v>280</v>
      </c>
      <c r="C174" s="659" t="s">
        <v>281</v>
      </c>
      <c r="D174" s="659" t="s">
        <v>282</v>
      </c>
      <c r="E174" s="662" t="s">
        <v>283</v>
      </c>
      <c r="F174" s="675" t="s">
        <v>284</v>
      </c>
      <c r="G174" s="640" t="s">
        <v>285</v>
      </c>
      <c r="H174" s="640"/>
      <c r="I174" s="659" t="s">
        <v>286</v>
      </c>
      <c r="J174" s="665" t="s">
        <v>271</v>
      </c>
      <c r="K174" s="668" t="s">
        <v>287</v>
      </c>
      <c r="L174" s="659" t="s">
        <v>270</v>
      </c>
      <c r="M174" s="671" t="s">
        <v>288</v>
      </c>
      <c r="N174" s="673" t="s">
        <v>252</v>
      </c>
      <c r="O174" s="640" t="s">
        <v>289</v>
      </c>
      <c r="P174" s="640"/>
      <c r="Q174" s="640"/>
      <c r="R174" s="640"/>
      <c r="S174" s="640"/>
      <c r="T174" s="640"/>
      <c r="U174" s="640"/>
      <c r="V174" s="640" t="s">
        <v>290</v>
      </c>
      <c r="W174" s="673" t="s">
        <v>291</v>
      </c>
      <c r="X174" s="640" t="s">
        <v>292</v>
      </c>
      <c r="Y174" s="640"/>
      <c r="Z174" s="640"/>
      <c r="AA174" s="640"/>
    </row>
    <row r="175" spans="1:27" ht="21.95" customHeight="1">
      <c r="A175" s="657"/>
      <c r="B175" s="660"/>
      <c r="C175" s="660"/>
      <c r="D175" s="660"/>
      <c r="E175" s="663"/>
      <c r="F175" s="676"/>
      <c r="G175" s="640"/>
      <c r="H175" s="640"/>
      <c r="I175" s="660"/>
      <c r="J175" s="666"/>
      <c r="K175" s="669"/>
      <c r="L175" s="660"/>
      <c r="M175" s="672"/>
      <c r="N175" s="673"/>
      <c r="O175" s="640" t="s">
        <v>259</v>
      </c>
      <c r="P175" s="640" t="s">
        <v>261</v>
      </c>
      <c r="Q175" s="640" t="s">
        <v>263</v>
      </c>
      <c r="R175" s="674" t="s">
        <v>265</v>
      </c>
      <c r="S175" s="643" t="s">
        <v>267</v>
      </c>
      <c r="T175" s="640" t="s">
        <v>272</v>
      </c>
      <c r="U175" s="640" t="s">
        <v>264</v>
      </c>
      <c r="V175" s="640"/>
      <c r="W175" s="673"/>
      <c r="X175" s="640" t="s">
        <v>293</v>
      </c>
      <c r="Y175" s="640" t="s">
        <v>294</v>
      </c>
      <c r="Z175" s="640" t="s">
        <v>295</v>
      </c>
      <c r="AA175" s="640" t="s">
        <v>264</v>
      </c>
    </row>
    <row r="176" spans="1:27" ht="21.95" customHeight="1">
      <c r="A176" s="658"/>
      <c r="B176" s="661"/>
      <c r="C176" s="661"/>
      <c r="D176" s="661"/>
      <c r="E176" s="664"/>
      <c r="F176" s="677"/>
      <c r="G176" s="348" t="s">
        <v>526</v>
      </c>
      <c r="H176" s="496" t="s">
        <v>297</v>
      </c>
      <c r="I176" s="661"/>
      <c r="J176" s="667"/>
      <c r="K176" s="670"/>
      <c r="L176" s="661"/>
      <c r="M176" s="672"/>
      <c r="N176" s="673"/>
      <c r="O176" s="640"/>
      <c r="P176" s="640"/>
      <c r="Q176" s="640"/>
      <c r="R176" s="674"/>
      <c r="S176" s="643"/>
      <c r="T176" s="640"/>
      <c r="U176" s="640"/>
      <c r="V176" s="640"/>
      <c r="W176" s="673"/>
      <c r="X176" s="640"/>
      <c r="Y176" s="640"/>
      <c r="Z176" s="640"/>
      <c r="AA176" s="640"/>
    </row>
    <row r="177" spans="1:27" ht="20.100000000000001" hidden="1" customHeight="1">
      <c r="A177" s="299">
        <v>30100030</v>
      </c>
      <c r="B177" s="498" t="s">
        <v>178</v>
      </c>
      <c r="C177" s="126" t="s">
        <v>179</v>
      </c>
      <c r="D177" s="108">
        <v>5.03</v>
      </c>
      <c r="E177" s="108"/>
      <c r="F177" s="127"/>
      <c r="G177" s="128"/>
      <c r="H177" s="506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497"/>
      <c r="P177" s="497"/>
      <c r="Q177" s="497"/>
      <c r="R177" s="497"/>
      <c r="S177" s="497"/>
      <c r="T177" s="497"/>
      <c r="U177" s="497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506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497"/>
      <c r="P178" s="497"/>
      <c r="Q178" s="497"/>
      <c r="R178" s="497"/>
      <c r="S178" s="497"/>
      <c r="T178" s="497"/>
      <c r="U178" s="497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506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497"/>
      <c r="P179" s="497"/>
      <c r="Q179" s="497"/>
      <c r="R179" s="497"/>
      <c r="S179" s="497"/>
      <c r="T179" s="497"/>
      <c r="U179" s="497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506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97"/>
      <c r="P180" s="497"/>
      <c r="Q180" s="497"/>
      <c r="R180" s="497"/>
      <c r="S180" s="497"/>
      <c r="T180" s="497"/>
      <c r="U180" s="497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506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497"/>
      <c r="P181" s="497"/>
      <c r="Q181" s="497"/>
      <c r="R181" s="497"/>
      <c r="S181" s="497"/>
      <c r="T181" s="497"/>
      <c r="U181" s="497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27">
        <v>42715</v>
      </c>
      <c r="G182" s="128">
        <f>100+77</f>
        <v>177</v>
      </c>
      <c r="H182" s="506">
        <f t="shared" si="77"/>
        <v>892.08</v>
      </c>
      <c r="I182" s="129">
        <f>8.5*4</f>
        <v>34</v>
      </c>
      <c r="J182" s="130">
        <f t="array" ref="J182">IF(ISERROR(G182/I182),"",G182/I182)</f>
        <v>5.2058823529411766</v>
      </c>
      <c r="K182" s="131">
        <f t="array" ref="K182">IF(ISERROR(G182/L182),"",G182/L182)</f>
        <v>9.3157894736842106</v>
      </c>
      <c r="L182" s="129">
        <v>19</v>
      </c>
      <c r="M182" s="109">
        <f t="shared" si="78"/>
        <v>24.684210526315788</v>
      </c>
      <c r="N182" s="130">
        <f t="shared" si="81"/>
        <v>0</v>
      </c>
      <c r="O182" s="497"/>
      <c r="P182" s="497"/>
      <c r="Q182" s="497"/>
      <c r="R182" s="497"/>
      <c r="S182" s="497"/>
      <c r="T182" s="497"/>
      <c r="U182" s="497"/>
      <c r="V182" s="132">
        <f t="shared" si="79"/>
        <v>0</v>
      </c>
      <c r="W182" s="133">
        <f t="shared" si="80"/>
        <v>0</v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506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497"/>
      <c r="P183" s="497"/>
      <c r="Q183" s="497"/>
      <c r="R183" s="497"/>
      <c r="S183" s="497"/>
      <c r="T183" s="497"/>
      <c r="U183" s="497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506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97"/>
      <c r="P184" s="497"/>
      <c r="Q184" s="497"/>
      <c r="R184" s="497"/>
      <c r="S184" s="497"/>
      <c r="T184" s="497"/>
      <c r="U184" s="497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506">
        <f t="shared" si="77"/>
        <v>0</v>
      </c>
      <c r="I185" s="506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497"/>
      <c r="P185" s="497"/>
      <c r="Q185" s="497"/>
      <c r="R185" s="497"/>
      <c r="S185" s="497"/>
      <c r="T185" s="497"/>
      <c r="U185" s="497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506">
        <f t="shared" si="77"/>
        <v>0</v>
      </c>
      <c r="I186" s="506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497"/>
      <c r="P186" s="497"/>
      <c r="Q186" s="497"/>
      <c r="R186" s="497"/>
      <c r="S186" s="497"/>
      <c r="T186" s="497"/>
      <c r="U186" s="497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506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497"/>
      <c r="P187" s="497"/>
      <c r="Q187" s="497"/>
      <c r="R187" s="497"/>
      <c r="S187" s="497"/>
      <c r="T187" s="497"/>
      <c r="U187" s="497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506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97"/>
      <c r="P188" s="497"/>
      <c r="Q188" s="497"/>
      <c r="R188" s="497"/>
      <c r="S188" s="497"/>
      <c r="T188" s="497"/>
      <c r="U188" s="497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506">
        <f t="shared" ref="H189:H197" si="82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3">IF(ISERROR(I189-K189),"",I189-K189)</f>
        <v>0</v>
      </c>
      <c r="N189" s="130">
        <f t="shared" ref="N189:N191" si="84">SUM(O189:U189)</f>
        <v>0</v>
      </c>
      <c r="O189" s="497"/>
      <c r="P189" s="497"/>
      <c r="Q189" s="497"/>
      <c r="R189" s="497"/>
      <c r="S189" s="497"/>
      <c r="T189" s="497"/>
      <c r="U189" s="497"/>
      <c r="V189" s="132">
        <f t="shared" ref="V189:V191" si="85">SUM(X189:AA189)</f>
        <v>0</v>
      </c>
      <c r="W189" s="133" t="str">
        <f t="shared" ref="W189:W191" si="86">IF(ISERROR(V189/G189),"",V189/G189)</f>
        <v/>
      </c>
      <c r="X189" s="132"/>
      <c r="Y189" s="132"/>
      <c r="Z189" s="132"/>
      <c r="AA189" s="132"/>
    </row>
    <row r="190" spans="1:27" ht="20.10000000000000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>
        <v>42718</v>
      </c>
      <c r="G190" s="128">
        <f>100*4+84+100*6</f>
        <v>1084</v>
      </c>
      <c r="H190" s="506">
        <f t="shared" si="82"/>
        <v>5517.5599999999995</v>
      </c>
      <c r="I190" s="129">
        <f>11.5*5</f>
        <v>57.5</v>
      </c>
      <c r="J190" s="130">
        <f t="array" ref="J190">IF(ISERROR(G190/I190),"",G190/I190)</f>
        <v>18.85217391304348</v>
      </c>
      <c r="K190" s="131">
        <f t="array" ref="K190">IF(ISERROR(G190/L190),"",G190/L190)</f>
        <v>47.130434782608695</v>
      </c>
      <c r="L190" s="129">
        <v>23</v>
      </c>
      <c r="M190" s="109">
        <f t="shared" si="83"/>
        <v>10.369565217391305</v>
      </c>
      <c r="N190" s="130">
        <f t="shared" si="84"/>
        <v>0</v>
      </c>
      <c r="O190" s="497"/>
      <c r="P190" s="497"/>
      <c r="Q190" s="497"/>
      <c r="R190" s="497"/>
      <c r="S190" s="497"/>
      <c r="T190" s="497"/>
      <c r="U190" s="497"/>
      <c r="V190" s="132">
        <f t="shared" si="85"/>
        <v>0</v>
      </c>
      <c r="W190" s="133">
        <f t="shared" si="86"/>
        <v>0</v>
      </c>
      <c r="X190" s="132"/>
      <c r="Y190" s="132"/>
      <c r="Z190" s="132"/>
      <c r="AA190" s="132"/>
    </row>
    <row r="191" spans="1:27" ht="20.10000000000000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>
        <v>42718</v>
      </c>
      <c r="G191" s="128">
        <f>22</f>
        <v>22</v>
      </c>
      <c r="H191" s="506">
        <f t="shared" si="82"/>
        <v>111.97999999999999</v>
      </c>
      <c r="I191" s="129">
        <f>3*4</f>
        <v>12</v>
      </c>
      <c r="J191" s="130">
        <f t="array" ref="J191">IF(ISERROR(G191/I191),"",G191/I191)</f>
        <v>1.8333333333333333</v>
      </c>
      <c r="K191" s="131">
        <f t="array" ref="K191">IF(ISERROR(G191/L191),"",G191/L191)</f>
        <v>0.95652173913043481</v>
      </c>
      <c r="L191" s="129">
        <v>23</v>
      </c>
      <c r="M191" s="109">
        <f t="shared" si="83"/>
        <v>11.043478260869565</v>
      </c>
      <c r="N191" s="130">
        <f t="shared" si="84"/>
        <v>0</v>
      </c>
      <c r="O191" s="497"/>
      <c r="P191" s="497"/>
      <c r="Q191" s="497"/>
      <c r="R191" s="497"/>
      <c r="S191" s="497"/>
      <c r="T191" s="497"/>
      <c r="U191" s="497"/>
      <c r="V191" s="132">
        <f t="shared" si="85"/>
        <v>0</v>
      </c>
      <c r="W191" s="133">
        <f t="shared" si="86"/>
        <v>0</v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496" t="s">
        <v>190</v>
      </c>
      <c r="D192" s="108">
        <v>4.8</v>
      </c>
      <c r="E192" s="108"/>
      <c r="F192" s="127"/>
      <c r="G192" s="128"/>
      <c r="H192" s="506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497"/>
      <c r="P192" s="497"/>
      <c r="Q192" s="497"/>
      <c r="R192" s="497"/>
      <c r="S192" s="497"/>
      <c r="T192" s="497"/>
      <c r="U192" s="497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496" t="s">
        <v>187</v>
      </c>
      <c r="D193" s="108">
        <v>4.8</v>
      </c>
      <c r="E193" s="108"/>
      <c r="F193" s="127"/>
      <c r="G193" s="128"/>
      <c r="H193" s="506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97"/>
      <c r="P193" s="497"/>
      <c r="Q193" s="497"/>
      <c r="R193" s="497"/>
      <c r="S193" s="497"/>
      <c r="T193" s="497"/>
      <c r="U193" s="497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496" t="s">
        <v>179</v>
      </c>
      <c r="D194" s="108">
        <v>4.8</v>
      </c>
      <c r="E194" s="108"/>
      <c r="F194" s="127"/>
      <c r="G194" s="128"/>
      <c r="H194" s="506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97"/>
      <c r="P194" s="497"/>
      <c r="Q194" s="497"/>
      <c r="R194" s="497"/>
      <c r="S194" s="497"/>
      <c r="T194" s="497"/>
      <c r="U194" s="497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496" t="s">
        <v>199</v>
      </c>
      <c r="D195" s="108">
        <v>4.8</v>
      </c>
      <c r="E195" s="108"/>
      <c r="F195" s="127"/>
      <c r="G195" s="128"/>
      <c r="H195" s="506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97"/>
      <c r="P195" s="497"/>
      <c r="Q195" s="497"/>
      <c r="R195" s="497"/>
      <c r="S195" s="497"/>
      <c r="T195" s="497"/>
      <c r="U195" s="497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506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497"/>
      <c r="P196" s="497"/>
      <c r="Q196" s="497"/>
      <c r="R196" s="497"/>
      <c r="S196" s="497"/>
      <c r="T196" s="497"/>
      <c r="U196" s="497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506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497"/>
      <c r="P197" s="497"/>
      <c r="Q197" s="497"/>
      <c r="R197" s="497"/>
      <c r="S197" s="497"/>
      <c r="T197" s="497"/>
      <c r="U197" s="497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customHeight="1">
      <c r="A198" s="630" t="s">
        <v>201</v>
      </c>
      <c r="B198" s="631"/>
      <c r="C198" s="504" t="s">
        <v>202</v>
      </c>
      <c r="D198" s="143"/>
      <c r="E198" s="143"/>
      <c r="F198" s="144"/>
      <c r="G198" s="145">
        <f>SUM(G177:G197)</f>
        <v>1283</v>
      </c>
      <c r="H198" s="146">
        <f>SUM(H177:H197)</f>
        <v>6521.619999999999</v>
      </c>
      <c r="I198" s="146">
        <f>SUM(I177:I197)</f>
        <v>103.5</v>
      </c>
      <c r="J198" s="130">
        <f t="array" ref="J198">IF(ISERROR(G198/I198),"",G198/I198)</f>
        <v>12.396135265700483</v>
      </c>
      <c r="K198" s="146">
        <f>SUM(K177:K197)</f>
        <v>57.402745995423345</v>
      </c>
      <c r="L198" s="147"/>
      <c r="M198" s="150">
        <f t="shared" ref="M198:AA198" si="90">SUM(M177:M197)</f>
        <v>46.097254004576655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498" t="s">
        <v>206</v>
      </c>
      <c r="C199" s="126" t="s">
        <v>199</v>
      </c>
      <c r="D199" s="108">
        <v>5.03</v>
      </c>
      <c r="E199" s="108"/>
      <c r="F199" s="127"/>
      <c r="G199" s="128"/>
      <c r="H199" s="506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501"/>
      <c r="P199" s="501"/>
      <c r="Q199" s="501"/>
      <c r="R199" s="501"/>
      <c r="S199" s="501"/>
      <c r="T199" s="501"/>
      <c r="U199" s="501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498" t="s">
        <v>425</v>
      </c>
      <c r="C200" s="187" t="s">
        <v>427</v>
      </c>
      <c r="D200" s="108">
        <v>5.03</v>
      </c>
      <c r="E200" s="108"/>
      <c r="F200" s="127"/>
      <c r="G200" s="128"/>
      <c r="H200" s="506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501"/>
      <c r="P200" s="501"/>
      <c r="Q200" s="501"/>
      <c r="R200" s="501"/>
      <c r="S200" s="501"/>
      <c r="T200" s="501"/>
      <c r="U200" s="501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498" t="s">
        <v>206</v>
      </c>
      <c r="C201" s="126" t="s">
        <v>186</v>
      </c>
      <c r="D201" s="108">
        <v>5.03</v>
      </c>
      <c r="E201" s="108"/>
      <c r="F201" s="127"/>
      <c r="G201" s="128"/>
      <c r="H201" s="506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501"/>
      <c r="P201" s="501"/>
      <c r="Q201" s="501"/>
      <c r="R201" s="501"/>
      <c r="S201" s="501"/>
      <c r="T201" s="501"/>
      <c r="U201" s="501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customHeight="1">
      <c r="A202" s="300">
        <v>30100014</v>
      </c>
      <c r="B202" s="498" t="s">
        <v>206</v>
      </c>
      <c r="C202" s="126" t="s">
        <v>203</v>
      </c>
      <c r="D202" s="108">
        <v>5.03</v>
      </c>
      <c r="E202" s="108"/>
      <c r="F202" s="127">
        <v>42718</v>
      </c>
      <c r="G202" s="128">
        <f>108*2+55</f>
        <v>271</v>
      </c>
      <c r="H202" s="506">
        <f t="shared" si="91"/>
        <v>1363.13</v>
      </c>
      <c r="I202" s="129">
        <v>3.5</v>
      </c>
      <c r="J202" s="130">
        <f t="array" ref="J202">IF(ISERROR(G202/I202),"",G202/I202)</f>
        <v>77.428571428571431</v>
      </c>
      <c r="K202" s="131">
        <f t="array" ref="K202">IF(ISERROR(G202/L202),"",G202/L202)</f>
        <v>5.2115384615384617</v>
      </c>
      <c r="L202" s="129">
        <v>52</v>
      </c>
      <c r="M202" s="109">
        <f>IF(ISERROR(I202-K202),"",I202-K202)</f>
        <v>-1.7115384615384617</v>
      </c>
      <c r="N202" s="130">
        <f t="shared" si="97"/>
        <v>0</v>
      </c>
      <c r="O202" s="501"/>
      <c r="P202" s="501"/>
      <c r="Q202" s="501"/>
      <c r="R202" s="501"/>
      <c r="S202" s="501"/>
      <c r="T202" s="501"/>
      <c r="U202" s="501"/>
      <c r="V202" s="132">
        <f t="shared" si="98"/>
        <v>0</v>
      </c>
      <c r="W202" s="133">
        <f t="shared" si="99"/>
        <v>0</v>
      </c>
      <c r="X202" s="132"/>
      <c r="Y202" s="132"/>
      <c r="Z202" s="132"/>
      <c r="AA202" s="132"/>
    </row>
    <row r="203" spans="1:27" ht="20.100000000000001" customHeight="1">
      <c r="A203" s="300">
        <v>30100013</v>
      </c>
      <c r="B203" s="498" t="s">
        <v>206</v>
      </c>
      <c r="C203" s="126" t="s">
        <v>207</v>
      </c>
      <c r="D203" s="108">
        <v>5.03</v>
      </c>
      <c r="E203" s="108"/>
      <c r="F203" s="127">
        <v>42718</v>
      </c>
      <c r="G203" s="128">
        <f>108*6+101</f>
        <v>749</v>
      </c>
      <c r="H203" s="506">
        <f t="shared" si="91"/>
        <v>3767.4700000000003</v>
      </c>
      <c r="I203" s="129">
        <v>8</v>
      </c>
      <c r="J203" s="130">
        <f t="array" ref="J203">IF(ISERROR(G203/I203),"",G203/I203)</f>
        <v>93.625</v>
      </c>
      <c r="K203" s="131">
        <f t="array" ref="K203">IF(ISERROR(G203/L203),"",G203/L203)</f>
        <v>14.403846153846153</v>
      </c>
      <c r="L203" s="129">
        <v>52</v>
      </c>
      <c r="M203" s="109">
        <f t="shared" ref="M203" si="100">IF(ISERROR(I203-K203),"",I203-K203)</f>
        <v>-6.4038461538461533</v>
      </c>
      <c r="N203" s="130">
        <f t="shared" si="97"/>
        <v>0</v>
      </c>
      <c r="O203" s="501"/>
      <c r="P203" s="501"/>
      <c r="Q203" s="501"/>
      <c r="R203" s="501"/>
      <c r="S203" s="501"/>
      <c r="T203" s="501"/>
      <c r="U203" s="501"/>
      <c r="V203" s="132">
        <f t="shared" si="98"/>
        <v>0</v>
      </c>
      <c r="W203" s="133">
        <f t="shared" si="99"/>
        <v>0</v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498" t="s">
        <v>414</v>
      </c>
      <c r="C204" s="187" t="s">
        <v>415</v>
      </c>
      <c r="D204" s="108">
        <v>5.03</v>
      </c>
      <c r="E204" s="108"/>
      <c r="F204" s="127"/>
      <c r="G204" s="128"/>
      <c r="H204" s="506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501"/>
      <c r="P204" s="501"/>
      <c r="Q204" s="501"/>
      <c r="R204" s="501"/>
      <c r="S204" s="501"/>
      <c r="T204" s="501"/>
      <c r="U204" s="501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498" t="s">
        <v>414</v>
      </c>
      <c r="C205" s="187" t="s">
        <v>416</v>
      </c>
      <c r="D205" s="108">
        <v>5.03</v>
      </c>
      <c r="E205" s="108"/>
      <c r="F205" s="127"/>
      <c r="G205" s="128"/>
      <c r="H205" s="506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501"/>
      <c r="P205" s="501"/>
      <c r="Q205" s="501"/>
      <c r="R205" s="501"/>
      <c r="S205" s="501"/>
      <c r="T205" s="501"/>
      <c r="U205" s="501"/>
      <c r="V205" s="132"/>
      <c r="W205" s="133"/>
      <c r="X205" s="132"/>
      <c r="Y205" s="132"/>
      <c r="Z205" s="132"/>
      <c r="AA205" s="132"/>
    </row>
    <row r="206" spans="1:27" ht="20.100000000000001" customHeight="1">
      <c r="A206" s="300">
        <v>30100015</v>
      </c>
      <c r="B206" s="498" t="s">
        <v>414</v>
      </c>
      <c r="C206" s="187" t="s">
        <v>61</v>
      </c>
      <c r="D206" s="108">
        <v>5.03</v>
      </c>
      <c r="E206" s="108"/>
      <c r="F206" s="127">
        <v>42715</v>
      </c>
      <c r="G206" s="128">
        <f>12</f>
        <v>12</v>
      </c>
      <c r="H206" s="506">
        <f t="shared" si="91"/>
        <v>60.36</v>
      </c>
      <c r="I206" s="129">
        <v>0.5</v>
      </c>
      <c r="J206" s="130">
        <f t="array" ref="J206">IF(ISERROR(G206/I206),"",G206/I206)</f>
        <v>24</v>
      </c>
      <c r="K206" s="131">
        <f t="array" ref="K206">IF(ISERROR(G206/L206),"",G206/L206)</f>
        <v>0.23076923076923078</v>
      </c>
      <c r="L206" s="129">
        <v>52</v>
      </c>
      <c r="M206" s="109">
        <f t="shared" ref="M206" si="101">IF(ISERROR(I206-K206),"",I206-K206)</f>
        <v>0.26923076923076922</v>
      </c>
      <c r="N206" s="130"/>
      <c r="O206" s="501"/>
      <c r="P206" s="501"/>
      <c r="Q206" s="501"/>
      <c r="R206" s="501"/>
      <c r="S206" s="501"/>
      <c r="T206" s="501"/>
      <c r="U206" s="501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498" t="s">
        <v>208</v>
      </c>
      <c r="C207" s="126" t="s">
        <v>179</v>
      </c>
      <c r="D207" s="108">
        <v>5.08</v>
      </c>
      <c r="E207" s="108"/>
      <c r="F207" s="127"/>
      <c r="G207" s="128"/>
      <c r="H207" s="506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2">IF(ISERROR(I207-K207),"",I207-K207)</f>
        <v>0</v>
      </c>
      <c r="N207" s="130">
        <f t="shared" ref="N207:N236" si="103">SUM(O207:U207)</f>
        <v>0</v>
      </c>
      <c r="O207" s="501"/>
      <c r="P207" s="501"/>
      <c r="Q207" s="501"/>
      <c r="R207" s="501"/>
      <c r="S207" s="501"/>
      <c r="T207" s="501"/>
      <c r="U207" s="501"/>
      <c r="V207" s="132">
        <f t="shared" ref="V207:V218" si="104">SUM(X207:AA207)</f>
        <v>0</v>
      </c>
      <c r="W207" s="133" t="str">
        <f t="shared" ref="W207:W218" si="105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498" t="s">
        <v>208</v>
      </c>
      <c r="C208" s="126" t="s">
        <v>204</v>
      </c>
      <c r="D208" s="108">
        <v>5.08</v>
      </c>
      <c r="E208" s="108"/>
      <c r="F208" s="127"/>
      <c r="G208" s="128"/>
      <c r="H208" s="506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2"/>
        <v>0</v>
      </c>
      <c r="N208" s="130">
        <f t="shared" si="103"/>
        <v>0</v>
      </c>
      <c r="O208" s="501"/>
      <c r="P208" s="501"/>
      <c r="Q208" s="501"/>
      <c r="R208" s="501"/>
      <c r="S208" s="501"/>
      <c r="T208" s="501"/>
      <c r="U208" s="501"/>
      <c r="V208" s="132">
        <f t="shared" si="104"/>
        <v>0</v>
      </c>
      <c r="W208" s="133" t="str">
        <f t="shared" si="105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498" t="s">
        <v>208</v>
      </c>
      <c r="C209" s="126" t="s">
        <v>205</v>
      </c>
      <c r="D209" s="108">
        <v>5.08</v>
      </c>
      <c r="E209" s="108"/>
      <c r="F209" s="127"/>
      <c r="G209" s="128"/>
      <c r="H209" s="506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501"/>
      <c r="P209" s="501"/>
      <c r="Q209" s="501"/>
      <c r="R209" s="501"/>
      <c r="S209" s="501"/>
      <c r="T209" s="501"/>
      <c r="U209" s="501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498" t="s">
        <v>208</v>
      </c>
      <c r="C210" s="126" t="s">
        <v>186</v>
      </c>
      <c r="D210" s="108">
        <v>5.08</v>
      </c>
      <c r="E210" s="108"/>
      <c r="F210" s="127"/>
      <c r="G210" s="128"/>
      <c r="H210" s="506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501"/>
      <c r="P210" s="501"/>
      <c r="Q210" s="501"/>
      <c r="R210" s="501"/>
      <c r="S210" s="501"/>
      <c r="T210" s="501"/>
      <c r="U210" s="501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498" t="s">
        <v>208</v>
      </c>
      <c r="C211" s="126" t="s">
        <v>203</v>
      </c>
      <c r="D211" s="108">
        <v>5.08</v>
      </c>
      <c r="E211" s="108"/>
      <c r="F211" s="127"/>
      <c r="G211" s="128"/>
      <c r="H211" s="506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2"/>
        <v>0</v>
      </c>
      <c r="N211" s="130">
        <f t="shared" si="103"/>
        <v>0</v>
      </c>
      <c r="O211" s="501"/>
      <c r="P211" s="501"/>
      <c r="Q211" s="501"/>
      <c r="R211" s="501"/>
      <c r="S211" s="501"/>
      <c r="T211" s="501"/>
      <c r="U211" s="501"/>
      <c r="V211" s="132">
        <f t="shared" si="104"/>
        <v>0</v>
      </c>
      <c r="W211" s="133" t="str">
        <f t="shared" si="105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498" t="s">
        <v>208</v>
      </c>
      <c r="C212" s="126" t="s">
        <v>199</v>
      </c>
      <c r="D212" s="108">
        <v>5.08</v>
      </c>
      <c r="E212" s="108"/>
      <c r="F212" s="127"/>
      <c r="G212" s="128"/>
      <c r="H212" s="506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2"/>
        <v>0</v>
      </c>
      <c r="N212" s="130">
        <f t="shared" si="103"/>
        <v>0</v>
      </c>
      <c r="O212" s="497"/>
      <c r="P212" s="497"/>
      <c r="Q212" s="497"/>
      <c r="R212" s="497"/>
      <c r="S212" s="497"/>
      <c r="T212" s="497"/>
      <c r="U212" s="497"/>
      <c r="V212" s="132">
        <f t="shared" si="104"/>
        <v>0</v>
      </c>
      <c r="W212" s="133" t="str">
        <f t="shared" si="105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498" t="s">
        <v>208</v>
      </c>
      <c r="C213" s="126" t="s">
        <v>187</v>
      </c>
      <c r="D213" s="108">
        <v>5.08</v>
      </c>
      <c r="E213" s="108"/>
      <c r="F213" s="127"/>
      <c r="G213" s="128"/>
      <c r="H213" s="506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2"/>
        <v>0</v>
      </c>
      <c r="N213" s="130">
        <f t="shared" si="103"/>
        <v>0</v>
      </c>
      <c r="O213" s="501"/>
      <c r="P213" s="501"/>
      <c r="Q213" s="501"/>
      <c r="R213" s="501"/>
      <c r="S213" s="501"/>
      <c r="T213" s="501"/>
      <c r="U213" s="501"/>
      <c r="V213" s="132">
        <f t="shared" si="104"/>
        <v>0</v>
      </c>
      <c r="W213" s="133" t="str">
        <f t="shared" si="105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498" t="s">
        <v>208</v>
      </c>
      <c r="C214" s="126" t="s">
        <v>207</v>
      </c>
      <c r="D214" s="108">
        <v>5.08</v>
      </c>
      <c r="E214" s="108"/>
      <c r="F214" s="127"/>
      <c r="G214" s="128"/>
      <c r="H214" s="506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2"/>
        <v>0</v>
      </c>
      <c r="N214" s="130">
        <f t="shared" si="103"/>
        <v>0</v>
      </c>
      <c r="O214" s="497"/>
      <c r="P214" s="497"/>
      <c r="Q214" s="497"/>
      <c r="R214" s="497"/>
      <c r="S214" s="497"/>
      <c r="T214" s="497"/>
      <c r="U214" s="497"/>
      <c r="V214" s="132">
        <f t="shared" si="104"/>
        <v>0</v>
      </c>
      <c r="W214" s="133" t="str">
        <f t="shared" si="105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498" t="s">
        <v>209</v>
      </c>
      <c r="C215" s="126" t="s">
        <v>194</v>
      </c>
      <c r="D215" s="108">
        <v>5.03</v>
      </c>
      <c r="E215" s="108"/>
      <c r="F215" s="127"/>
      <c r="G215" s="128"/>
      <c r="H215" s="506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2"/>
        <v>0</v>
      </c>
      <c r="N215" s="130">
        <f t="shared" si="103"/>
        <v>0</v>
      </c>
      <c r="O215" s="501"/>
      <c r="P215" s="501"/>
      <c r="Q215" s="501"/>
      <c r="R215" s="501"/>
      <c r="S215" s="501"/>
      <c r="T215" s="501"/>
      <c r="U215" s="501"/>
      <c r="V215" s="132">
        <f t="shared" si="104"/>
        <v>0</v>
      </c>
      <c r="W215" s="133" t="str">
        <f t="shared" si="105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498" t="s">
        <v>209</v>
      </c>
      <c r="C216" s="126" t="s">
        <v>179</v>
      </c>
      <c r="D216" s="108">
        <v>5.03</v>
      </c>
      <c r="E216" s="108"/>
      <c r="F216" s="127"/>
      <c r="G216" s="128"/>
      <c r="H216" s="506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501"/>
      <c r="P216" s="501"/>
      <c r="Q216" s="501"/>
      <c r="R216" s="501"/>
      <c r="S216" s="501"/>
      <c r="T216" s="501"/>
      <c r="U216" s="501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498" t="s">
        <v>209</v>
      </c>
      <c r="C217" s="126" t="s">
        <v>195</v>
      </c>
      <c r="D217" s="108">
        <v>5.03</v>
      </c>
      <c r="E217" s="108"/>
      <c r="F217" s="127"/>
      <c r="G217" s="128"/>
      <c r="H217" s="506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501"/>
      <c r="P217" s="501"/>
      <c r="Q217" s="501"/>
      <c r="R217" s="501"/>
      <c r="S217" s="501"/>
      <c r="T217" s="501"/>
      <c r="U217" s="501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498" t="s">
        <v>209</v>
      </c>
      <c r="C218" s="126" t="s">
        <v>204</v>
      </c>
      <c r="D218" s="108">
        <v>5.03</v>
      </c>
      <c r="E218" s="108"/>
      <c r="F218" s="127"/>
      <c r="G218" s="128"/>
      <c r="H218" s="506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2"/>
        <v>0</v>
      </c>
      <c r="N218" s="130">
        <f t="shared" si="103"/>
        <v>0</v>
      </c>
      <c r="O218" s="501"/>
      <c r="P218" s="501"/>
      <c r="Q218" s="501"/>
      <c r="R218" s="501"/>
      <c r="S218" s="501"/>
      <c r="T218" s="501"/>
      <c r="U218" s="501"/>
      <c r="V218" s="132">
        <f t="shared" si="104"/>
        <v>0</v>
      </c>
      <c r="W218" s="133" t="str">
        <f t="shared" si="105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498" t="s">
        <v>382</v>
      </c>
      <c r="C219" s="187" t="s">
        <v>383</v>
      </c>
      <c r="D219" s="108">
        <v>5.03</v>
      </c>
      <c r="E219" s="108"/>
      <c r="F219" s="127"/>
      <c r="G219" s="128"/>
      <c r="H219" s="506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2"/>
        <v>0</v>
      </c>
      <c r="N219" s="130">
        <f t="shared" si="103"/>
        <v>0</v>
      </c>
      <c r="O219" s="501"/>
      <c r="P219" s="501"/>
      <c r="Q219" s="501"/>
      <c r="R219" s="501"/>
      <c r="S219" s="501"/>
      <c r="T219" s="501"/>
      <c r="U219" s="501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498" t="s">
        <v>382</v>
      </c>
      <c r="C220" s="187" t="s">
        <v>384</v>
      </c>
      <c r="D220" s="108">
        <v>5.03</v>
      </c>
      <c r="E220" s="108"/>
      <c r="F220" s="127"/>
      <c r="G220" s="128"/>
      <c r="H220" s="506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501"/>
      <c r="P220" s="501"/>
      <c r="Q220" s="501"/>
      <c r="R220" s="501"/>
      <c r="S220" s="501"/>
      <c r="T220" s="501"/>
      <c r="U220" s="501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498" t="s">
        <v>382</v>
      </c>
      <c r="C221" s="187" t="s">
        <v>389</v>
      </c>
      <c r="D221" s="108">
        <v>5.03</v>
      </c>
      <c r="E221" s="108"/>
      <c r="F221" s="127"/>
      <c r="G221" s="128"/>
      <c r="H221" s="506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2"/>
        <v>0</v>
      </c>
      <c r="N221" s="130">
        <f t="shared" si="103"/>
        <v>0</v>
      </c>
      <c r="O221" s="501"/>
      <c r="P221" s="501"/>
      <c r="Q221" s="501"/>
      <c r="R221" s="501"/>
      <c r="S221" s="501"/>
      <c r="T221" s="501"/>
      <c r="U221" s="501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498" t="s">
        <v>382</v>
      </c>
      <c r="C222" s="187" t="s">
        <v>391</v>
      </c>
      <c r="D222" s="108">
        <v>5.03</v>
      </c>
      <c r="E222" s="108"/>
      <c r="F222" s="127"/>
      <c r="G222" s="128"/>
      <c r="H222" s="506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2"/>
        <v>0</v>
      </c>
      <c r="N222" s="130">
        <f t="shared" si="103"/>
        <v>0</v>
      </c>
      <c r="O222" s="501"/>
      <c r="P222" s="501"/>
      <c r="Q222" s="501"/>
      <c r="R222" s="501"/>
      <c r="S222" s="501"/>
      <c r="T222" s="501"/>
      <c r="U222" s="501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498" t="s">
        <v>418</v>
      </c>
      <c r="C223" s="187" t="s">
        <v>364</v>
      </c>
      <c r="D223" s="108">
        <v>5.03</v>
      </c>
      <c r="E223" s="108"/>
      <c r="F223" s="127"/>
      <c r="G223" s="128"/>
      <c r="H223" s="506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2"/>
        <v>0</v>
      </c>
      <c r="N223" s="130">
        <f t="shared" si="103"/>
        <v>0</v>
      </c>
      <c r="O223" s="501"/>
      <c r="P223" s="501"/>
      <c r="Q223" s="501"/>
      <c r="R223" s="501"/>
      <c r="S223" s="501"/>
      <c r="T223" s="501"/>
      <c r="U223" s="501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498" t="s">
        <v>418</v>
      </c>
      <c r="C224" s="187" t="s">
        <v>365</v>
      </c>
      <c r="D224" s="108">
        <v>5.03</v>
      </c>
      <c r="E224" s="108"/>
      <c r="F224" s="127"/>
      <c r="G224" s="128"/>
      <c r="H224" s="506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501"/>
      <c r="P224" s="501"/>
      <c r="Q224" s="501"/>
      <c r="R224" s="501"/>
      <c r="S224" s="501"/>
      <c r="T224" s="501"/>
      <c r="U224" s="501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498" t="s">
        <v>418</v>
      </c>
      <c r="C225" s="187" t="s">
        <v>366</v>
      </c>
      <c r="D225" s="108">
        <v>5.03</v>
      </c>
      <c r="E225" s="108"/>
      <c r="F225" s="127"/>
      <c r="G225" s="128"/>
      <c r="H225" s="506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501"/>
      <c r="P225" s="501"/>
      <c r="Q225" s="501"/>
      <c r="R225" s="501"/>
      <c r="S225" s="501"/>
      <c r="T225" s="501"/>
      <c r="U225" s="501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498" t="s">
        <v>418</v>
      </c>
      <c r="C226" s="187" t="s">
        <v>367</v>
      </c>
      <c r="D226" s="108">
        <v>5.03</v>
      </c>
      <c r="E226" s="108"/>
      <c r="F226" s="127"/>
      <c r="G226" s="128"/>
      <c r="H226" s="506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501"/>
      <c r="P226" s="501"/>
      <c r="Q226" s="501"/>
      <c r="R226" s="501"/>
      <c r="S226" s="501"/>
      <c r="T226" s="501"/>
      <c r="U226" s="501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506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2"/>
        <v>0</v>
      </c>
      <c r="N227" s="130">
        <f t="shared" si="103"/>
        <v>0</v>
      </c>
      <c r="O227" s="497"/>
      <c r="P227" s="497"/>
      <c r="Q227" s="497"/>
      <c r="R227" s="497"/>
      <c r="S227" s="497"/>
      <c r="T227" s="497"/>
      <c r="U227" s="497"/>
      <c r="V227" s="132">
        <f t="shared" ref="V227:V236" si="106">SUM(X227:AA227)</f>
        <v>0</v>
      </c>
      <c r="W227" s="133" t="str">
        <f t="shared" ref="W227:W236" si="107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506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497"/>
      <c r="P228" s="497"/>
      <c r="Q228" s="497"/>
      <c r="R228" s="497"/>
      <c r="S228" s="497"/>
      <c r="T228" s="497"/>
      <c r="U228" s="497"/>
      <c r="V228" s="132">
        <f t="shared" si="106"/>
        <v>0</v>
      </c>
      <c r="W228" s="133" t="str">
        <f t="shared" si="107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506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2"/>
        <v>0</v>
      </c>
      <c r="N229" s="130">
        <f t="shared" si="103"/>
        <v>0</v>
      </c>
      <c r="O229" s="497"/>
      <c r="P229" s="497"/>
      <c r="Q229" s="497"/>
      <c r="R229" s="497"/>
      <c r="S229" s="497"/>
      <c r="T229" s="497"/>
      <c r="U229" s="497"/>
      <c r="V229" s="132">
        <f t="shared" si="106"/>
        <v>0</v>
      </c>
      <c r="W229" s="133" t="str">
        <f t="shared" si="107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506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2"/>
        <v>0</v>
      </c>
      <c r="N230" s="130">
        <f t="shared" si="103"/>
        <v>0</v>
      </c>
      <c r="O230" s="497"/>
      <c r="P230" s="497"/>
      <c r="Q230" s="497"/>
      <c r="R230" s="497"/>
      <c r="S230" s="497"/>
      <c r="T230" s="497"/>
      <c r="U230" s="497"/>
      <c r="V230" s="132">
        <f t="shared" si="106"/>
        <v>0</v>
      </c>
      <c r="W230" s="133" t="str">
        <f t="shared" si="107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506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497"/>
      <c r="P231" s="497"/>
      <c r="Q231" s="497"/>
      <c r="R231" s="497"/>
      <c r="S231" s="497"/>
      <c r="T231" s="497"/>
      <c r="U231" s="497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506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497"/>
      <c r="P232" s="497"/>
      <c r="Q232" s="497"/>
      <c r="R232" s="497"/>
      <c r="S232" s="497"/>
      <c r="T232" s="497"/>
      <c r="U232" s="497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506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497"/>
      <c r="P233" s="497"/>
      <c r="Q233" s="497"/>
      <c r="R233" s="497"/>
      <c r="S233" s="497"/>
      <c r="T233" s="497"/>
      <c r="U233" s="497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>
        <v>42719</v>
      </c>
      <c r="G234" s="128">
        <f>90+78</f>
        <v>168</v>
      </c>
      <c r="H234" s="506">
        <f t="shared" si="91"/>
        <v>845.04000000000008</v>
      </c>
      <c r="I234" s="129">
        <f>3.5*2</f>
        <v>7</v>
      </c>
      <c r="J234" s="130">
        <f t="array" ref="J234">IF(ISERROR(G234/I234),"",G234/I234)</f>
        <v>24</v>
      </c>
      <c r="K234" s="131">
        <f t="array" ref="K234">IF(ISERROR(G234/L234),"",G234/L234)</f>
        <v>3.36</v>
      </c>
      <c r="L234" s="129">
        <v>50</v>
      </c>
      <c r="M234" s="109">
        <f t="shared" si="102"/>
        <v>3.64</v>
      </c>
      <c r="N234" s="130">
        <f t="shared" si="103"/>
        <v>0</v>
      </c>
      <c r="O234" s="497"/>
      <c r="P234" s="497"/>
      <c r="Q234" s="497"/>
      <c r="R234" s="497"/>
      <c r="S234" s="497"/>
      <c r="T234" s="497"/>
      <c r="U234" s="497"/>
      <c r="V234" s="132">
        <f t="shared" si="106"/>
        <v>0</v>
      </c>
      <c r="W234" s="133">
        <f t="shared" si="107"/>
        <v>0</v>
      </c>
      <c r="X234" s="132"/>
      <c r="Y234" s="132"/>
      <c r="Z234" s="132"/>
      <c r="AA234" s="132"/>
    </row>
    <row r="235" spans="1:27" ht="20.10000000000000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>
        <v>42719</v>
      </c>
      <c r="G235" s="128">
        <f>90*2+22+90*4</f>
        <v>562</v>
      </c>
      <c r="H235" s="506">
        <f t="shared" si="91"/>
        <v>2826.86</v>
      </c>
      <c r="I235" s="129">
        <f>8*3</f>
        <v>24</v>
      </c>
      <c r="J235" s="130">
        <f t="array" ref="J235">IF(ISERROR(G235/I235),"",G235/I235)</f>
        <v>23.416666666666668</v>
      </c>
      <c r="K235" s="131">
        <f t="array" ref="K235">IF(ISERROR(G235/L235),"",G235/L235)</f>
        <v>11.24</v>
      </c>
      <c r="L235" s="129">
        <v>50</v>
      </c>
      <c r="M235" s="109">
        <f t="shared" si="102"/>
        <v>12.76</v>
      </c>
      <c r="N235" s="130">
        <f t="shared" si="103"/>
        <v>0</v>
      </c>
      <c r="O235" s="497"/>
      <c r="P235" s="497"/>
      <c r="Q235" s="497"/>
      <c r="R235" s="497"/>
      <c r="S235" s="497"/>
      <c r="T235" s="497"/>
      <c r="U235" s="497"/>
      <c r="V235" s="132">
        <f t="shared" si="106"/>
        <v>0</v>
      </c>
      <c r="W235" s="133">
        <f t="shared" si="107"/>
        <v>0</v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506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2"/>
        <v>0</v>
      </c>
      <c r="N236" s="130">
        <f t="shared" si="103"/>
        <v>0</v>
      </c>
      <c r="O236" s="497"/>
      <c r="P236" s="497"/>
      <c r="Q236" s="497"/>
      <c r="R236" s="497"/>
      <c r="S236" s="497"/>
      <c r="T236" s="497"/>
      <c r="U236" s="497"/>
      <c r="V236" s="132">
        <f t="shared" si="106"/>
        <v>0</v>
      </c>
      <c r="W236" s="133" t="str">
        <f t="shared" si="107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506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497"/>
      <c r="P237" s="497"/>
      <c r="Q237" s="497"/>
      <c r="R237" s="497"/>
      <c r="S237" s="497"/>
      <c r="T237" s="497"/>
      <c r="U237" s="497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506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8">IF(ISERROR(I238-K238),"",I238-K238)</f>
        <v>0</v>
      </c>
      <c r="N238" s="130"/>
      <c r="O238" s="497"/>
      <c r="P238" s="497"/>
      <c r="Q238" s="497"/>
      <c r="R238" s="497"/>
      <c r="S238" s="497"/>
      <c r="T238" s="497"/>
      <c r="U238" s="497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506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8"/>
        <v>0</v>
      </c>
      <c r="N239" s="130">
        <f t="shared" ref="N239:N240" si="109">SUM(O239:U239)</f>
        <v>0</v>
      </c>
      <c r="O239" s="497"/>
      <c r="P239" s="497"/>
      <c r="Q239" s="497"/>
      <c r="R239" s="497"/>
      <c r="S239" s="497"/>
      <c r="T239" s="497"/>
      <c r="U239" s="497"/>
      <c r="V239" s="132">
        <f t="shared" ref="V239:V240" si="110">SUM(X239:AA239)</f>
        <v>0</v>
      </c>
      <c r="W239" s="133" t="str">
        <f t="shared" ref="W239:W240" si="111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506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si="109"/>
        <v>0</v>
      </c>
      <c r="O240" s="497"/>
      <c r="P240" s="497"/>
      <c r="Q240" s="497"/>
      <c r="R240" s="497"/>
      <c r="S240" s="497"/>
      <c r="T240" s="497"/>
      <c r="U240" s="497"/>
      <c r="V240" s="132">
        <f t="shared" si="110"/>
        <v>0</v>
      </c>
      <c r="W240" s="133" t="str">
        <f t="shared" si="111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506">
        <f t="shared" si="91"/>
        <v>0</v>
      </c>
      <c r="I241" s="129"/>
      <c r="J241" s="130"/>
      <c r="K241" s="131"/>
      <c r="L241" s="129"/>
      <c r="M241" s="109">
        <f t="shared" si="108"/>
        <v>0</v>
      </c>
      <c r="N241" s="130"/>
      <c r="O241" s="497"/>
      <c r="P241" s="497"/>
      <c r="Q241" s="497"/>
      <c r="R241" s="497"/>
      <c r="S241" s="497"/>
      <c r="T241" s="497"/>
      <c r="U241" s="497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506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8"/>
        <v/>
      </c>
      <c r="N242" s="130">
        <f t="shared" ref="N242:N245" si="112">SUM(O242:U242)</f>
        <v>0</v>
      </c>
      <c r="O242" s="497"/>
      <c r="P242" s="497"/>
      <c r="Q242" s="497"/>
      <c r="R242" s="497"/>
      <c r="S242" s="497"/>
      <c r="T242" s="497"/>
      <c r="U242" s="497"/>
      <c r="V242" s="132">
        <f t="shared" ref="V242:V245" si="113">SUM(X242:AA242)</f>
        <v>0</v>
      </c>
      <c r="W242" s="133" t="str">
        <f t="shared" ref="W242:W245" si="114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506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si="112"/>
        <v>0</v>
      </c>
      <c r="O243" s="497"/>
      <c r="P243" s="497"/>
      <c r="Q243" s="497"/>
      <c r="R243" s="497"/>
      <c r="S243" s="497"/>
      <c r="T243" s="497"/>
      <c r="U243" s="497"/>
      <c r="V243" s="132">
        <f t="shared" si="113"/>
        <v>0</v>
      </c>
      <c r="W243" s="133" t="str">
        <f t="shared" si="114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506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497"/>
      <c r="P244" s="497"/>
      <c r="Q244" s="497"/>
      <c r="R244" s="497"/>
      <c r="S244" s="497"/>
      <c r="T244" s="497"/>
      <c r="U244" s="497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506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497"/>
      <c r="P245" s="497"/>
      <c r="Q245" s="497"/>
      <c r="R245" s="497"/>
      <c r="S245" s="497"/>
      <c r="T245" s="497"/>
      <c r="U245" s="497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506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8"/>
        <v>0</v>
      </c>
      <c r="N246" s="130"/>
      <c r="O246" s="497"/>
      <c r="P246" s="497"/>
      <c r="Q246" s="497"/>
      <c r="R246" s="497"/>
      <c r="S246" s="497"/>
      <c r="T246" s="497"/>
      <c r="U246" s="497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506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497"/>
      <c r="P247" s="497"/>
      <c r="Q247" s="497"/>
      <c r="R247" s="497"/>
      <c r="S247" s="497"/>
      <c r="T247" s="497"/>
      <c r="U247" s="497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506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497"/>
      <c r="P248" s="497"/>
      <c r="Q248" s="497"/>
      <c r="R248" s="497"/>
      <c r="S248" s="497"/>
      <c r="T248" s="497"/>
      <c r="U248" s="497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506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497"/>
      <c r="P249" s="497"/>
      <c r="Q249" s="497"/>
      <c r="R249" s="497"/>
      <c r="S249" s="497"/>
      <c r="T249" s="497"/>
      <c r="U249" s="497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506">
        <f t="shared" si="91"/>
        <v>0</v>
      </c>
      <c r="I250" s="129"/>
      <c r="J250" s="130"/>
      <c r="K250" s="131"/>
      <c r="L250" s="129">
        <v>4</v>
      </c>
      <c r="M250" s="109"/>
      <c r="N250" s="130"/>
      <c r="O250" s="497"/>
      <c r="P250" s="497"/>
      <c r="Q250" s="497"/>
      <c r="R250" s="497"/>
      <c r="S250" s="497"/>
      <c r="T250" s="497"/>
      <c r="U250" s="497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506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97"/>
      <c r="P251" s="497"/>
      <c r="Q251" s="497"/>
      <c r="R251" s="497"/>
      <c r="S251" s="497"/>
      <c r="T251" s="497"/>
      <c r="U251" s="497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506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97"/>
      <c r="P252" s="497"/>
      <c r="Q252" s="497"/>
      <c r="R252" s="497"/>
      <c r="S252" s="497"/>
      <c r="T252" s="497"/>
      <c r="U252" s="497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506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97"/>
      <c r="P253" s="497"/>
      <c r="Q253" s="497"/>
      <c r="R253" s="497"/>
      <c r="S253" s="497"/>
      <c r="T253" s="497"/>
      <c r="U253" s="497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506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97"/>
      <c r="P254" s="497"/>
      <c r="Q254" s="497"/>
      <c r="R254" s="497"/>
      <c r="S254" s="497"/>
      <c r="T254" s="497"/>
      <c r="U254" s="497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506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97"/>
      <c r="P255" s="497"/>
      <c r="Q255" s="497"/>
      <c r="R255" s="497"/>
      <c r="S255" s="497"/>
      <c r="T255" s="497"/>
      <c r="U255" s="497"/>
      <c r="V255" s="132"/>
      <c r="W255" s="133"/>
      <c r="X255" s="132"/>
      <c r="Y255" s="132"/>
      <c r="Z255" s="132"/>
      <c r="AA255" s="132"/>
    </row>
    <row r="256" spans="1:27" ht="20.100000000000001" customHeight="1">
      <c r="A256" s="641" t="s">
        <v>216</v>
      </c>
      <c r="B256" s="641"/>
      <c r="C256" s="504" t="s">
        <v>202</v>
      </c>
      <c r="D256" s="143"/>
      <c r="E256" s="143"/>
      <c r="F256" s="144"/>
      <c r="G256" s="145">
        <f>SUM(G199:G255)</f>
        <v>1762</v>
      </c>
      <c r="H256" s="146">
        <f>SUM(H199:H255)</f>
        <v>8862.86</v>
      </c>
      <c r="I256" s="146">
        <f>SUM(I199:I255)</f>
        <v>43</v>
      </c>
      <c r="J256" s="130">
        <f t="array" ref="J256">IF(ISERROR(G256/I256),"",G256/I256)</f>
        <v>40.97674418604651</v>
      </c>
      <c r="K256" s="146">
        <f>SUM(K199:K255)</f>
        <v>34.446153846153841</v>
      </c>
      <c r="L256" s="147"/>
      <c r="M256" s="150">
        <f t="shared" ref="M256:V256" si="115">SUM(M199:M255)</f>
        <v>8.5538461538461537</v>
      </c>
      <c r="N256" s="146">
        <f t="shared" si="115"/>
        <v>0</v>
      </c>
      <c r="O256" s="148">
        <f t="shared" si="115"/>
        <v>0</v>
      </c>
      <c r="P256" s="148">
        <f t="shared" si="115"/>
        <v>0</v>
      </c>
      <c r="Q256" s="148">
        <f t="shared" si="115"/>
        <v>0</v>
      </c>
      <c r="R256" s="148">
        <f t="shared" si="115"/>
        <v>0</v>
      </c>
      <c r="S256" s="148">
        <f t="shared" si="115"/>
        <v>0</v>
      </c>
      <c r="T256" s="148">
        <f t="shared" si="115"/>
        <v>0</v>
      </c>
      <c r="U256" s="148">
        <f t="shared" si="115"/>
        <v>0</v>
      </c>
      <c r="V256" s="149">
        <f t="shared" si="115"/>
        <v>0</v>
      </c>
      <c r="W256" s="133">
        <f t="shared" ref="W256:W263" si="116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498" t="s">
        <v>217</v>
      </c>
      <c r="C257" s="126" t="s">
        <v>179</v>
      </c>
      <c r="D257" s="108">
        <v>5.03</v>
      </c>
      <c r="E257" s="108"/>
      <c r="F257" s="127"/>
      <c r="G257" s="128"/>
      <c r="H257" s="506">
        <f t="shared" ref="H257:H290" si="117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8">IF(ISERROR(I257-K257),"",I257-K257)</f>
        <v>0</v>
      </c>
      <c r="N257" s="130">
        <f t="shared" ref="N257:N264" si="119">SUM(O257:U257)</f>
        <v>0</v>
      </c>
      <c r="O257" s="497"/>
      <c r="P257" s="497"/>
      <c r="Q257" s="497"/>
      <c r="R257" s="497"/>
      <c r="S257" s="497"/>
      <c r="T257" s="497"/>
      <c r="U257" s="497"/>
      <c r="V257" s="132">
        <f t="shared" ref="V257:V263" si="120">SUM(X257:AA257)</f>
        <v>0</v>
      </c>
      <c r="W257" s="133" t="str">
        <f t="shared" si="116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498" t="s">
        <v>217</v>
      </c>
      <c r="C258" s="126" t="s">
        <v>186</v>
      </c>
      <c r="D258" s="108">
        <v>5.03</v>
      </c>
      <c r="E258" s="108"/>
      <c r="F258" s="127"/>
      <c r="G258" s="128"/>
      <c r="H258" s="506">
        <f t="shared" si="117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8"/>
        <v>0</v>
      </c>
      <c r="N258" s="130">
        <f t="shared" si="119"/>
        <v>0</v>
      </c>
      <c r="O258" s="497"/>
      <c r="P258" s="497"/>
      <c r="Q258" s="497"/>
      <c r="R258" s="497"/>
      <c r="S258" s="497"/>
      <c r="T258" s="497"/>
      <c r="U258" s="497"/>
      <c r="V258" s="132">
        <f t="shared" si="120"/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498" t="s">
        <v>217</v>
      </c>
      <c r="C259" s="126" t="s">
        <v>204</v>
      </c>
      <c r="D259" s="108">
        <v>5.03</v>
      </c>
      <c r="E259" s="108"/>
      <c r="F259" s="127"/>
      <c r="G259" s="128"/>
      <c r="H259" s="506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497"/>
      <c r="P259" s="497"/>
      <c r="Q259" s="497"/>
      <c r="R259" s="497"/>
      <c r="S259" s="497"/>
      <c r="T259" s="497"/>
      <c r="U259" s="497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506">
        <f t="shared" si="117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8"/>
        <v>0</v>
      </c>
      <c r="N260" s="130">
        <f t="shared" si="119"/>
        <v>0</v>
      </c>
      <c r="O260" s="497"/>
      <c r="P260" s="497"/>
      <c r="Q260" s="497"/>
      <c r="R260" s="497"/>
      <c r="S260" s="497"/>
      <c r="T260" s="497"/>
      <c r="U260" s="497"/>
      <c r="V260" s="132">
        <f t="shared" si="120"/>
        <v>0</v>
      </c>
      <c r="W260" s="133" t="str">
        <f t="shared" si="116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506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497"/>
      <c r="P261" s="497"/>
      <c r="Q261" s="497"/>
      <c r="R261" s="497"/>
      <c r="S261" s="497"/>
      <c r="T261" s="497"/>
      <c r="U261" s="497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506">
        <f t="shared" si="117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8"/>
        <v>0</v>
      </c>
      <c r="N262" s="130">
        <f t="shared" si="119"/>
        <v>0</v>
      </c>
      <c r="O262" s="497"/>
      <c r="P262" s="497"/>
      <c r="Q262" s="497"/>
      <c r="R262" s="497"/>
      <c r="S262" s="497"/>
      <c r="T262" s="497"/>
      <c r="U262" s="497"/>
      <c r="V262" s="132">
        <f t="shared" si="120"/>
        <v>0</v>
      </c>
      <c r="W262" s="133" t="str">
        <f t="shared" si="116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506">
        <f t="shared" si="117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8"/>
        <v>0</v>
      </c>
      <c r="N263" s="130">
        <f t="shared" si="119"/>
        <v>0</v>
      </c>
      <c r="O263" s="497"/>
      <c r="P263" s="497"/>
      <c r="Q263" s="497"/>
      <c r="R263" s="497"/>
      <c r="S263" s="497"/>
      <c r="T263" s="497"/>
      <c r="U263" s="497"/>
      <c r="V263" s="132">
        <f t="shared" si="120"/>
        <v>0</v>
      </c>
      <c r="W263" s="133" t="str">
        <f t="shared" si="116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506">
        <f t="shared" si="117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8"/>
        <v>0</v>
      </c>
      <c r="N264" s="130">
        <f t="shared" si="119"/>
        <v>0</v>
      </c>
      <c r="O264" s="497"/>
      <c r="P264" s="497"/>
      <c r="Q264" s="497"/>
      <c r="R264" s="497"/>
      <c r="S264" s="497"/>
      <c r="T264" s="497"/>
      <c r="U264" s="497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506">
        <f t="shared" si="117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97"/>
      <c r="P265" s="497"/>
      <c r="Q265" s="497"/>
      <c r="R265" s="497"/>
      <c r="S265" s="497"/>
      <c r="T265" s="497"/>
      <c r="U265" s="497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506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97"/>
      <c r="P266" s="497"/>
      <c r="Q266" s="497"/>
      <c r="R266" s="497"/>
      <c r="S266" s="497"/>
      <c r="T266" s="497"/>
      <c r="U266" s="497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506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97"/>
      <c r="P267" s="497"/>
      <c r="Q267" s="497"/>
      <c r="R267" s="497"/>
      <c r="S267" s="497"/>
      <c r="T267" s="497"/>
      <c r="U267" s="497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506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97"/>
      <c r="P268" s="497"/>
      <c r="Q268" s="497"/>
      <c r="R268" s="497"/>
      <c r="S268" s="497"/>
      <c r="T268" s="497"/>
      <c r="U268" s="497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506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1">IF(ISERROR(I269-K269),"",I269-K269)</f>
        <v>0</v>
      </c>
      <c r="N269" s="130">
        <f t="shared" ref="N269:N284" si="122">SUM(O269:U269)</f>
        <v>0</v>
      </c>
      <c r="O269" s="497"/>
      <c r="P269" s="497"/>
      <c r="Q269" s="497"/>
      <c r="R269" s="497"/>
      <c r="S269" s="497"/>
      <c r="T269" s="497"/>
      <c r="U269" s="497"/>
      <c r="V269" s="132">
        <f t="shared" ref="V269:V272" si="123">SUM(X269:AA269)</f>
        <v>0</v>
      </c>
      <c r="W269" s="133" t="str">
        <f t="shared" ref="W269:W276" si="124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506">
        <f t="shared" si="117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1"/>
        <v/>
      </c>
      <c r="N270" s="130">
        <f t="shared" si="122"/>
        <v>0</v>
      </c>
      <c r="O270" s="497"/>
      <c r="P270" s="497"/>
      <c r="Q270" s="497"/>
      <c r="R270" s="497"/>
      <c r="S270" s="497"/>
      <c r="T270" s="497"/>
      <c r="U270" s="497"/>
      <c r="V270" s="132">
        <f t="shared" si="123"/>
        <v>0</v>
      </c>
      <c r="W270" s="133" t="str">
        <f t="shared" si="124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506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497"/>
      <c r="P271" s="497"/>
      <c r="Q271" s="497"/>
      <c r="R271" s="497"/>
      <c r="S271" s="497"/>
      <c r="T271" s="497"/>
      <c r="U271" s="497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506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497"/>
      <c r="P272" s="497"/>
      <c r="Q272" s="497"/>
      <c r="R272" s="497"/>
      <c r="S272" s="497"/>
      <c r="T272" s="497"/>
      <c r="U272" s="497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498" t="s">
        <v>222</v>
      </c>
      <c r="C273" s="126" t="s">
        <v>181</v>
      </c>
      <c r="D273" s="108">
        <v>9.36</v>
      </c>
      <c r="E273" s="108"/>
      <c r="F273" s="127"/>
      <c r="G273" s="128"/>
      <c r="H273" s="506">
        <f t="shared" si="117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1"/>
        <v>0</v>
      </c>
      <c r="N273" s="130">
        <f t="shared" si="122"/>
        <v>0</v>
      </c>
      <c r="O273" s="497"/>
      <c r="P273" s="497"/>
      <c r="Q273" s="497"/>
      <c r="R273" s="497"/>
      <c r="S273" s="497"/>
      <c r="T273" s="497"/>
      <c r="U273" s="497"/>
      <c r="V273" s="132">
        <f t="shared" ref="V273:V276" si="125">SUM(X273:AA273)</f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498" t="s">
        <v>222</v>
      </c>
      <c r="C274" s="126" t="s">
        <v>179</v>
      </c>
      <c r="D274" s="108">
        <v>9.36</v>
      </c>
      <c r="E274" s="108"/>
      <c r="F274" s="127"/>
      <c r="G274" s="128"/>
      <c r="H274" s="506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497"/>
      <c r="P274" s="497"/>
      <c r="Q274" s="497"/>
      <c r="R274" s="497"/>
      <c r="S274" s="497"/>
      <c r="T274" s="497"/>
      <c r="U274" s="497"/>
      <c r="V274" s="132">
        <f t="shared" si="125"/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498" t="s">
        <v>222</v>
      </c>
      <c r="C275" s="126" t="s">
        <v>221</v>
      </c>
      <c r="D275" s="108">
        <v>9.36</v>
      </c>
      <c r="E275" s="108"/>
      <c r="F275" s="127"/>
      <c r="G275" s="128"/>
      <c r="H275" s="506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497"/>
      <c r="P275" s="497"/>
      <c r="Q275" s="497"/>
      <c r="R275" s="497"/>
      <c r="S275" s="497"/>
      <c r="T275" s="497"/>
      <c r="U275" s="497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498" t="s">
        <v>222</v>
      </c>
      <c r="C276" s="126" t="s">
        <v>186</v>
      </c>
      <c r="D276" s="108">
        <v>9.36</v>
      </c>
      <c r="E276" s="108"/>
      <c r="F276" s="127"/>
      <c r="G276" s="128"/>
      <c r="H276" s="506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497"/>
      <c r="P276" s="497"/>
      <c r="Q276" s="497"/>
      <c r="R276" s="497"/>
      <c r="S276" s="497"/>
      <c r="T276" s="497"/>
      <c r="U276" s="497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498" t="s">
        <v>393</v>
      </c>
      <c r="C277" s="187" t="s">
        <v>395</v>
      </c>
      <c r="D277" s="108">
        <v>5</v>
      </c>
      <c r="E277" s="108"/>
      <c r="F277" s="127"/>
      <c r="G277" s="128"/>
      <c r="H277" s="506">
        <f t="shared" si="117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1"/>
        <v>0</v>
      </c>
      <c r="N277" s="130">
        <f t="shared" si="122"/>
        <v>0</v>
      </c>
      <c r="O277" s="497"/>
      <c r="P277" s="497"/>
      <c r="Q277" s="497"/>
      <c r="R277" s="497"/>
      <c r="S277" s="497"/>
      <c r="T277" s="497"/>
      <c r="U277" s="497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498" t="s">
        <v>393</v>
      </c>
      <c r="C278" s="187" t="s">
        <v>402</v>
      </c>
      <c r="D278" s="108">
        <v>5</v>
      </c>
      <c r="E278" s="108"/>
      <c r="F278" s="127"/>
      <c r="G278" s="128"/>
      <c r="H278" s="506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497"/>
      <c r="P278" s="497"/>
      <c r="Q278" s="497"/>
      <c r="R278" s="497"/>
      <c r="S278" s="497"/>
      <c r="T278" s="497"/>
      <c r="U278" s="497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498" t="s">
        <v>404</v>
      </c>
      <c r="C279" s="187" t="s">
        <v>405</v>
      </c>
      <c r="D279" s="108">
        <v>5</v>
      </c>
      <c r="E279" s="108"/>
      <c r="F279" s="127"/>
      <c r="G279" s="128"/>
      <c r="H279" s="506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497"/>
      <c r="P279" s="497"/>
      <c r="Q279" s="497"/>
      <c r="R279" s="497"/>
      <c r="S279" s="497"/>
      <c r="T279" s="497"/>
      <c r="U279" s="497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498" t="s">
        <v>342</v>
      </c>
      <c r="C280" s="187" t="s">
        <v>372</v>
      </c>
      <c r="D280" s="108">
        <v>5</v>
      </c>
      <c r="E280" s="108"/>
      <c r="F280" s="127"/>
      <c r="G280" s="128"/>
      <c r="H280" s="506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497"/>
      <c r="P280" s="497"/>
      <c r="Q280" s="497"/>
      <c r="R280" s="497"/>
      <c r="S280" s="497"/>
      <c r="T280" s="497"/>
      <c r="U280" s="497"/>
      <c r="V280" s="132"/>
      <c r="W280" s="133"/>
      <c r="X280" s="132"/>
      <c r="Y280" s="132"/>
      <c r="Z280" s="132"/>
      <c r="AA280" s="132"/>
    </row>
    <row r="281" spans="1:27" ht="20.100000000000001" customHeight="1">
      <c r="A281" s="299">
        <v>30600009</v>
      </c>
      <c r="B281" s="498" t="s">
        <v>343</v>
      </c>
      <c r="C281" s="126" t="s">
        <v>345</v>
      </c>
      <c r="D281" s="108">
        <v>5</v>
      </c>
      <c r="E281" s="108"/>
      <c r="F281" s="127">
        <v>42717</v>
      </c>
      <c r="G281" s="128">
        <v>59</v>
      </c>
      <c r="H281" s="506">
        <f t="shared" si="117"/>
        <v>295</v>
      </c>
      <c r="I281" s="129">
        <f>6*2</f>
        <v>12</v>
      </c>
      <c r="J281" s="130">
        <f t="array" ref="J281">IF(ISERROR(G281/I281),"",G281/I281)</f>
        <v>4.916666666666667</v>
      </c>
      <c r="K281" s="131">
        <f t="array" ref="K281">IF(ISERROR(G281/L281),"",G281/L281)</f>
        <v>11.8</v>
      </c>
      <c r="L281" s="129">
        <v>5</v>
      </c>
      <c r="M281" s="109">
        <f t="shared" si="121"/>
        <v>0.19999999999999929</v>
      </c>
      <c r="N281" s="130">
        <f t="shared" si="122"/>
        <v>0</v>
      </c>
      <c r="O281" s="497"/>
      <c r="P281" s="497"/>
      <c r="Q281" s="497"/>
      <c r="R281" s="497"/>
      <c r="S281" s="497"/>
      <c r="T281" s="497"/>
      <c r="U281" s="497"/>
      <c r="V281" s="132"/>
      <c r="W281" s="133"/>
      <c r="X281" s="132"/>
      <c r="Y281" s="132"/>
      <c r="Z281" s="132"/>
      <c r="AA281" s="132"/>
    </row>
    <row r="282" spans="1:27" ht="20.100000000000001" customHeight="1">
      <c r="A282" s="299">
        <v>30600010</v>
      </c>
      <c r="B282" s="498" t="s">
        <v>343</v>
      </c>
      <c r="C282" s="126" t="s">
        <v>347</v>
      </c>
      <c r="D282" s="108">
        <v>5</v>
      </c>
      <c r="E282" s="108"/>
      <c r="F282" s="127">
        <v>42717</v>
      </c>
      <c r="G282" s="128">
        <v>56</v>
      </c>
      <c r="H282" s="506">
        <f t="shared" si="117"/>
        <v>280</v>
      </c>
      <c r="I282" s="129">
        <f>5.5*2</f>
        <v>11</v>
      </c>
      <c r="J282" s="130">
        <f t="array" ref="J282">IF(ISERROR(G282/I282),"",G282/I282)</f>
        <v>5.0909090909090908</v>
      </c>
      <c r="K282" s="131">
        <f t="array" ref="K282">IF(ISERROR(G282/L282),"",G282/L282)</f>
        <v>11.2</v>
      </c>
      <c r="L282" s="129">
        <v>5</v>
      </c>
      <c r="M282" s="109">
        <f t="shared" si="121"/>
        <v>-0.19999999999999929</v>
      </c>
      <c r="N282" s="130">
        <f t="shared" si="122"/>
        <v>0</v>
      </c>
      <c r="O282" s="497"/>
      <c r="P282" s="497"/>
      <c r="Q282" s="497"/>
      <c r="R282" s="497"/>
      <c r="S282" s="497"/>
      <c r="T282" s="497"/>
      <c r="U282" s="497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506">
        <f t="shared" si="117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1"/>
        <v>0</v>
      </c>
      <c r="N283" s="130">
        <f t="shared" si="122"/>
        <v>0</v>
      </c>
      <c r="O283" s="497"/>
      <c r="P283" s="497"/>
      <c r="Q283" s="497"/>
      <c r="R283" s="497"/>
      <c r="S283" s="497"/>
      <c r="T283" s="497"/>
      <c r="U283" s="497"/>
      <c r="V283" s="132">
        <f t="shared" ref="V283:V284" si="126">SUM(X283:AA283)</f>
        <v>0</v>
      </c>
      <c r="W283" s="133" t="str">
        <f t="shared" ref="W283:W284" si="127">IF(ISERROR(V283/G283),"",V283/G283)</f>
        <v/>
      </c>
      <c r="X283" s="132"/>
      <c r="Y283" s="132"/>
      <c r="Z283" s="132"/>
      <c r="AA283" s="132"/>
    </row>
    <row r="284" spans="1:27" ht="20.10000000000000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>
        <v>42719</v>
      </c>
      <c r="G284" s="128">
        <f>100*3+83</f>
        <v>383</v>
      </c>
      <c r="H284" s="506">
        <f t="shared" si="117"/>
        <v>1937.9799999999998</v>
      </c>
      <c r="I284" s="129">
        <f>11.5*4</f>
        <v>46</v>
      </c>
      <c r="J284" s="130">
        <f t="array" ref="J284">IF(ISERROR(G284/I284),"",G284/I284)</f>
        <v>8.3260869565217384</v>
      </c>
      <c r="K284" s="131">
        <f t="array" ref="K284">IF(ISERROR(G284/L284),"",G284/L284)</f>
        <v>24.70967741935484</v>
      </c>
      <c r="L284" s="129">
        <v>15.5</v>
      </c>
      <c r="M284" s="109">
        <f t="shared" si="121"/>
        <v>21.29032258064516</v>
      </c>
      <c r="N284" s="130">
        <f t="shared" si="122"/>
        <v>0</v>
      </c>
      <c r="O284" s="497"/>
      <c r="P284" s="497"/>
      <c r="Q284" s="497"/>
      <c r="R284" s="497"/>
      <c r="S284" s="497"/>
      <c r="T284" s="497"/>
      <c r="U284" s="497"/>
      <c r="V284" s="132">
        <f t="shared" si="126"/>
        <v>0</v>
      </c>
      <c r="W284" s="133">
        <f t="shared" si="127"/>
        <v>0</v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/>
      <c r="G285" s="128"/>
      <c r="H285" s="506">
        <f t="shared" si="117"/>
        <v>0</v>
      </c>
      <c r="I285" s="129"/>
      <c r="J285" s="130"/>
      <c r="K285" s="131"/>
      <c r="L285" s="129">
        <v>24</v>
      </c>
      <c r="M285" s="109"/>
      <c r="N285" s="130"/>
      <c r="O285" s="497"/>
      <c r="P285" s="497"/>
      <c r="Q285" s="497"/>
      <c r="R285" s="497"/>
      <c r="S285" s="497"/>
      <c r="T285" s="497"/>
      <c r="U285" s="497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506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497"/>
      <c r="P286" s="497"/>
      <c r="Q286" s="497"/>
      <c r="R286" s="497"/>
      <c r="S286" s="497"/>
      <c r="T286" s="497"/>
      <c r="U286" s="497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506">
        <f t="shared" si="117"/>
        <v>0</v>
      </c>
      <c r="I287" s="129"/>
      <c r="J287" s="130"/>
      <c r="K287" s="131"/>
      <c r="L287" s="129">
        <v>24</v>
      </c>
      <c r="M287" s="109"/>
      <c r="N287" s="130"/>
      <c r="O287" s="497"/>
      <c r="P287" s="497"/>
      <c r="Q287" s="497"/>
      <c r="R287" s="497"/>
      <c r="S287" s="497"/>
      <c r="T287" s="497"/>
      <c r="U287" s="497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506">
        <f t="shared" si="117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8">IF(ISERROR(I288-K288),"",I288-K288)</f>
        <v>0</v>
      </c>
      <c r="N288" s="130">
        <f t="shared" ref="N288:N290" si="129">SUM(O288:U288)</f>
        <v>0</v>
      </c>
      <c r="O288" s="497"/>
      <c r="P288" s="497"/>
      <c r="Q288" s="497"/>
      <c r="R288" s="497"/>
      <c r="S288" s="497"/>
      <c r="T288" s="497"/>
      <c r="U288" s="497"/>
      <c r="V288" s="132">
        <f t="shared" ref="V288:V290" si="130">SUM(X288:AA288)</f>
        <v>0</v>
      </c>
      <c r="W288" s="133" t="str">
        <f t="shared" ref="W288:W312" si="131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506">
        <f t="shared" si="117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8"/>
        <v>0</v>
      </c>
      <c r="N289" s="130">
        <f t="shared" si="129"/>
        <v>0</v>
      </c>
      <c r="O289" s="497"/>
      <c r="P289" s="497"/>
      <c r="Q289" s="497"/>
      <c r="R289" s="497"/>
      <c r="S289" s="497"/>
      <c r="T289" s="497"/>
      <c r="U289" s="497"/>
      <c r="V289" s="132">
        <f t="shared" si="130"/>
        <v>0</v>
      </c>
      <c r="W289" s="133" t="str">
        <f t="shared" si="131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506">
        <f t="shared" si="117"/>
        <v>0</v>
      </c>
      <c r="I290" s="129"/>
      <c r="J290" s="130" t="str">
        <f t="array" ref="J290">IF(ISERROR(G290/I290),"",G290/I290)</f>
        <v/>
      </c>
      <c r="K290" s="506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497"/>
      <c r="P290" s="497"/>
      <c r="Q290" s="497"/>
      <c r="R290" s="497"/>
      <c r="S290" s="497"/>
      <c r="T290" s="497"/>
      <c r="U290" s="497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customHeight="1">
      <c r="A291" s="630" t="s">
        <v>224</v>
      </c>
      <c r="B291" s="631"/>
      <c r="C291" s="504" t="s">
        <v>202</v>
      </c>
      <c r="D291" s="143"/>
      <c r="E291" s="143"/>
      <c r="F291" s="144"/>
      <c r="G291" s="145">
        <f>SUM(G257:G290)</f>
        <v>498</v>
      </c>
      <c r="H291" s="146">
        <f>SUM(H257:H290)</f>
        <v>2512.9799999999996</v>
      </c>
      <c r="I291" s="146">
        <f>SUM(I257:I290)</f>
        <v>69</v>
      </c>
      <c r="J291" s="130">
        <f t="array" ref="J291">IF(ISERROR(G291/I291),"",G291/I291)</f>
        <v>7.2173913043478262</v>
      </c>
      <c r="K291" s="146">
        <f>SUM(K257:K290)</f>
        <v>47.70967741935484</v>
      </c>
      <c r="L291" s="147"/>
      <c r="M291" s="150">
        <f t="shared" ref="M291:V291" si="132">SUM(M257:M290)</f>
        <v>21.29032258064516</v>
      </c>
      <c r="N291" s="146">
        <f t="shared" si="132"/>
        <v>0</v>
      </c>
      <c r="O291" s="148">
        <f t="shared" si="132"/>
        <v>0</v>
      </c>
      <c r="P291" s="148">
        <f t="shared" si="132"/>
        <v>0</v>
      </c>
      <c r="Q291" s="148">
        <f t="shared" si="132"/>
        <v>0</v>
      </c>
      <c r="R291" s="148">
        <f t="shared" si="132"/>
        <v>0</v>
      </c>
      <c r="S291" s="148">
        <f t="shared" si="132"/>
        <v>0</v>
      </c>
      <c r="T291" s="148">
        <f t="shared" si="132"/>
        <v>0</v>
      </c>
      <c r="U291" s="148">
        <f t="shared" si="132"/>
        <v>0</v>
      </c>
      <c r="V291" s="149">
        <f t="shared" si="132"/>
        <v>0</v>
      </c>
      <c r="W291" s="133">
        <f t="shared" si="131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506">
        <f t="shared" ref="H292:H306" si="133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4">IF(ISERROR(I292-K292),"",I292-K292)</f>
        <v>0</v>
      </c>
      <c r="N292" s="130">
        <f t="shared" ref="N292:N306" si="135">SUM(O292:U292)</f>
        <v>0</v>
      </c>
      <c r="O292" s="497"/>
      <c r="P292" s="497"/>
      <c r="Q292" s="497"/>
      <c r="R292" s="497"/>
      <c r="S292" s="497"/>
      <c r="T292" s="497"/>
      <c r="U292" s="497"/>
      <c r="V292" s="132">
        <f t="shared" ref="V292:V306" si="136">SUM(X292:AA292)</f>
        <v>0</v>
      </c>
      <c r="W292" s="133" t="str">
        <f t="shared" si="131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506">
        <f t="shared" si="133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4"/>
        <v>0</v>
      </c>
      <c r="N293" s="130">
        <f t="shared" si="135"/>
        <v>0</v>
      </c>
      <c r="O293" s="497"/>
      <c r="P293" s="497"/>
      <c r="Q293" s="497"/>
      <c r="R293" s="497"/>
      <c r="S293" s="497"/>
      <c r="T293" s="497"/>
      <c r="U293" s="497"/>
      <c r="V293" s="132">
        <f t="shared" si="136"/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506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4"/>
        <v>0</v>
      </c>
      <c r="N294" s="130">
        <f t="shared" si="135"/>
        <v>0</v>
      </c>
      <c r="O294" s="497"/>
      <c r="P294" s="497"/>
      <c r="Q294" s="497"/>
      <c r="R294" s="497"/>
      <c r="S294" s="497"/>
      <c r="T294" s="497"/>
      <c r="U294" s="497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506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4"/>
        <v>0</v>
      </c>
      <c r="N295" s="130">
        <f t="shared" si="135"/>
        <v>0</v>
      </c>
      <c r="O295" s="497"/>
      <c r="P295" s="497"/>
      <c r="Q295" s="497"/>
      <c r="R295" s="497"/>
      <c r="S295" s="497"/>
      <c r="T295" s="497"/>
      <c r="U295" s="497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502" t="s">
        <v>203</v>
      </c>
      <c r="D296" s="108">
        <v>5.03</v>
      </c>
      <c r="E296" s="108"/>
      <c r="F296" s="127"/>
      <c r="G296" s="128"/>
      <c r="H296" s="506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497"/>
      <c r="P296" s="497"/>
      <c r="Q296" s="497"/>
      <c r="R296" s="497"/>
      <c r="S296" s="497"/>
      <c r="T296" s="497"/>
      <c r="U296" s="497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506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497"/>
      <c r="P297" s="497"/>
      <c r="Q297" s="497"/>
      <c r="R297" s="497"/>
      <c r="S297" s="497"/>
      <c r="T297" s="497"/>
      <c r="U297" s="497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506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497"/>
      <c r="P298" s="497"/>
      <c r="Q298" s="497"/>
      <c r="R298" s="497"/>
      <c r="S298" s="497"/>
      <c r="T298" s="497"/>
      <c r="U298" s="497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502" t="s">
        <v>228</v>
      </c>
      <c r="D299" s="108">
        <v>5.03</v>
      </c>
      <c r="E299" s="108"/>
      <c r="F299" s="127"/>
      <c r="G299" s="128"/>
      <c r="H299" s="506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497"/>
      <c r="P299" s="497"/>
      <c r="Q299" s="497"/>
      <c r="R299" s="497"/>
      <c r="S299" s="497"/>
      <c r="T299" s="497"/>
      <c r="U299" s="497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502" t="s">
        <v>212</v>
      </c>
      <c r="D300" s="108">
        <v>5.03</v>
      </c>
      <c r="E300" s="108"/>
      <c r="F300" s="127"/>
      <c r="G300" s="128"/>
      <c r="H300" s="506">
        <f t="shared" si="133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4"/>
        <v/>
      </c>
      <c r="N300" s="130">
        <f t="shared" si="135"/>
        <v>0</v>
      </c>
      <c r="O300" s="497"/>
      <c r="P300" s="497"/>
      <c r="Q300" s="497"/>
      <c r="R300" s="497"/>
      <c r="S300" s="497"/>
      <c r="T300" s="497"/>
      <c r="U300" s="497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502" t="s">
        <v>203</v>
      </c>
      <c r="D301" s="108">
        <v>5.03</v>
      </c>
      <c r="E301" s="108"/>
      <c r="F301" s="127"/>
      <c r="G301" s="128"/>
      <c r="H301" s="506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497"/>
      <c r="P301" s="497"/>
      <c r="Q301" s="497"/>
      <c r="R301" s="497"/>
      <c r="S301" s="497"/>
      <c r="T301" s="497"/>
      <c r="U301" s="497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502" t="s">
        <v>186</v>
      </c>
      <c r="D302" s="108">
        <v>5.03</v>
      </c>
      <c r="E302" s="108"/>
      <c r="F302" s="127"/>
      <c r="G302" s="128"/>
      <c r="H302" s="506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497"/>
      <c r="P302" s="497"/>
      <c r="Q302" s="497"/>
      <c r="R302" s="497"/>
      <c r="S302" s="497"/>
      <c r="T302" s="497"/>
      <c r="U302" s="497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502" t="s">
        <v>228</v>
      </c>
      <c r="D303" s="108">
        <v>5.03</v>
      </c>
      <c r="E303" s="108"/>
      <c r="F303" s="127"/>
      <c r="G303" s="128"/>
      <c r="H303" s="506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497"/>
      <c r="P303" s="497"/>
      <c r="Q303" s="497"/>
      <c r="R303" s="497"/>
      <c r="S303" s="497"/>
      <c r="T303" s="497"/>
      <c r="U303" s="497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502" t="s">
        <v>199</v>
      </c>
      <c r="D304" s="108">
        <v>5.03</v>
      </c>
      <c r="E304" s="108"/>
      <c r="F304" s="127"/>
      <c r="G304" s="128"/>
      <c r="H304" s="506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497"/>
      <c r="P304" s="497"/>
      <c r="Q304" s="497"/>
      <c r="R304" s="497"/>
      <c r="S304" s="497"/>
      <c r="T304" s="497"/>
      <c r="U304" s="497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>
        <v>42718</v>
      </c>
      <c r="G305" s="128">
        <v>23</v>
      </c>
      <c r="H305" s="506">
        <f t="shared" si="133"/>
        <v>116.38</v>
      </c>
      <c r="I305" s="129">
        <v>1</v>
      </c>
      <c r="J305" s="130">
        <f t="array" ref="J305">IF(ISERROR(G305/I305),"",G305/I305)</f>
        <v>23</v>
      </c>
      <c r="K305" s="131">
        <f t="array" ref="K305">IF(ISERROR(G305/L305),"",G305/L305)</f>
        <v>0.92</v>
      </c>
      <c r="L305" s="129">
        <v>25</v>
      </c>
      <c r="M305" s="109">
        <f t="shared" si="134"/>
        <v>7.999999999999996E-2</v>
      </c>
      <c r="N305" s="130">
        <f t="shared" si="135"/>
        <v>0</v>
      </c>
      <c r="O305" s="497"/>
      <c r="P305" s="497"/>
      <c r="Q305" s="497"/>
      <c r="R305" s="497"/>
      <c r="S305" s="497"/>
      <c r="T305" s="497"/>
      <c r="U305" s="497"/>
      <c r="V305" s="132">
        <f t="shared" si="136"/>
        <v>0</v>
      </c>
      <c r="W305" s="133">
        <f t="shared" si="131"/>
        <v>0</v>
      </c>
      <c r="X305" s="132"/>
      <c r="Y305" s="132"/>
      <c r="Z305" s="132"/>
      <c r="AA305" s="132"/>
    </row>
    <row r="306" spans="1:27" ht="20.10000000000000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>
        <v>42719</v>
      </c>
      <c r="G306" s="128">
        <f>90*10</f>
        <v>900</v>
      </c>
      <c r="H306" s="506">
        <f t="shared" si="133"/>
        <v>4554</v>
      </c>
      <c r="I306" s="129">
        <f>11.5*3</f>
        <v>34.5</v>
      </c>
      <c r="J306" s="130">
        <f t="array" ref="J306">IF(ISERROR(G306/I306),"",G306/I306)</f>
        <v>26.086956521739129</v>
      </c>
      <c r="K306" s="131">
        <f t="array" ref="K306">IF(ISERROR(G306/L306),"",G306/L306)</f>
        <v>36</v>
      </c>
      <c r="L306" s="129">
        <v>25</v>
      </c>
      <c r="M306" s="109">
        <f t="shared" si="134"/>
        <v>-1.5</v>
      </c>
      <c r="N306" s="130">
        <f t="shared" si="135"/>
        <v>0</v>
      </c>
      <c r="O306" s="497"/>
      <c r="P306" s="497"/>
      <c r="Q306" s="497"/>
      <c r="R306" s="497"/>
      <c r="S306" s="497"/>
      <c r="T306" s="497"/>
      <c r="U306" s="497"/>
      <c r="V306" s="132">
        <f t="shared" si="136"/>
        <v>0</v>
      </c>
      <c r="W306" s="133">
        <f t="shared" si="131"/>
        <v>0</v>
      </c>
      <c r="X306" s="132"/>
      <c r="Y306" s="132"/>
      <c r="Z306" s="132"/>
      <c r="AA306" s="132"/>
    </row>
    <row r="307" spans="1:27" ht="20.100000000000001" customHeight="1">
      <c r="A307" s="630" t="s">
        <v>231</v>
      </c>
      <c r="B307" s="631"/>
      <c r="C307" s="504" t="s">
        <v>202</v>
      </c>
      <c r="D307" s="143"/>
      <c r="E307" s="143"/>
      <c r="F307" s="144"/>
      <c r="G307" s="145">
        <f>SUM(G292:G306)</f>
        <v>923</v>
      </c>
      <c r="H307" s="146">
        <f>SUM(H292:H306)</f>
        <v>4670.38</v>
      </c>
      <c r="I307" s="146">
        <f>SUM(I292:I306)</f>
        <v>35.5</v>
      </c>
      <c r="J307" s="130">
        <f t="array" ref="J307">IF(ISERROR(G307/I307),"",G307/I307)</f>
        <v>26</v>
      </c>
      <c r="K307" s="146">
        <f>SUM(K292:K306)</f>
        <v>36.92</v>
      </c>
      <c r="L307" s="146"/>
      <c r="M307" s="150">
        <f>SUM(M292:M306)</f>
        <v>-1.42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>
        <f t="shared" si="131"/>
        <v>0</v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506">
        <f t="shared" ref="H308:H316" si="137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5" si="138">IF(ISERROR(I308-K308),"",I308-K308)</f>
        <v>0</v>
      </c>
      <c r="N308" s="130">
        <f t="shared" ref="N308:N312" si="139">SUM(O308:U308)</f>
        <v>0</v>
      </c>
      <c r="O308" s="497"/>
      <c r="P308" s="497"/>
      <c r="Q308" s="497"/>
      <c r="R308" s="497"/>
      <c r="S308" s="497"/>
      <c r="T308" s="497"/>
      <c r="U308" s="497"/>
      <c r="V308" s="132">
        <f t="shared" ref="V308:V312" si="140">SUM(X308:AA308)</f>
        <v>0</v>
      </c>
      <c r="W308" s="133" t="str">
        <f t="shared" si="131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506">
        <f t="shared" si="137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8"/>
        <v>0</v>
      </c>
      <c r="N309" s="130">
        <f t="shared" si="139"/>
        <v>0</v>
      </c>
      <c r="O309" s="497"/>
      <c r="P309" s="497"/>
      <c r="Q309" s="497"/>
      <c r="R309" s="497"/>
      <c r="S309" s="497"/>
      <c r="T309" s="497"/>
      <c r="U309" s="497"/>
      <c r="V309" s="132">
        <f t="shared" si="140"/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>
        <v>42705</v>
      </c>
      <c r="G310" s="128">
        <v>10</v>
      </c>
      <c r="H310" s="506">
        <f t="shared" si="137"/>
        <v>50.4</v>
      </c>
      <c r="I310" s="129">
        <v>1</v>
      </c>
      <c r="J310" s="130">
        <f t="array" ref="J310">IF(ISERROR(G310/I310),"",G310/I310)</f>
        <v>10</v>
      </c>
      <c r="K310" s="131">
        <f t="array" ref="K310">IF(ISERROR(G310/L310),"",G310/L310)</f>
        <v>0.45454545454545453</v>
      </c>
      <c r="L310" s="129">
        <v>22</v>
      </c>
      <c r="M310" s="109">
        <f t="shared" si="138"/>
        <v>0.54545454545454541</v>
      </c>
      <c r="N310" s="130">
        <f t="shared" si="139"/>
        <v>0</v>
      </c>
      <c r="O310" s="497"/>
      <c r="P310" s="497"/>
      <c r="Q310" s="497"/>
      <c r="R310" s="497"/>
      <c r="S310" s="497"/>
      <c r="T310" s="497"/>
      <c r="U310" s="497"/>
      <c r="V310" s="132">
        <f t="shared" si="140"/>
        <v>0</v>
      </c>
      <c r="W310" s="133">
        <f t="shared" si="131"/>
        <v>0</v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506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497"/>
      <c r="P311" s="497"/>
      <c r="Q311" s="497"/>
      <c r="R311" s="497"/>
      <c r="S311" s="497"/>
      <c r="T311" s="497"/>
      <c r="U311" s="497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506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497"/>
      <c r="P312" s="497"/>
      <c r="Q312" s="497"/>
      <c r="R312" s="497"/>
      <c r="S312" s="497"/>
      <c r="T312" s="497"/>
      <c r="U312" s="497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>
        <v>42705</v>
      </c>
      <c r="G313" s="128">
        <f>3+40</f>
        <v>43</v>
      </c>
      <c r="H313" s="506">
        <f t="shared" si="137"/>
        <v>216.29000000000002</v>
      </c>
      <c r="I313" s="129">
        <v>5</v>
      </c>
      <c r="J313" s="130">
        <f t="array" ref="J313">IF(ISERROR(G313/I313),"",G313/I313)</f>
        <v>8.6</v>
      </c>
      <c r="K313" s="131">
        <f t="array" ref="K313">IF(ISERROR(G313/L313),"",G313/L313)</f>
        <v>3.1851851851851851</v>
      </c>
      <c r="L313" s="129">
        <v>13.5</v>
      </c>
      <c r="M313" s="109">
        <f t="shared" si="138"/>
        <v>1.8148148148148149</v>
      </c>
      <c r="N313" s="130"/>
      <c r="O313" s="497"/>
      <c r="P313" s="497"/>
      <c r="Q313" s="497"/>
      <c r="R313" s="497"/>
      <c r="S313" s="497"/>
      <c r="T313" s="497"/>
      <c r="U313" s="497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74</v>
      </c>
      <c r="D314" s="108">
        <v>5.03</v>
      </c>
      <c r="E314" s="108"/>
      <c r="F314" s="127">
        <v>42712</v>
      </c>
      <c r="G314" s="128">
        <v>2</v>
      </c>
      <c r="H314" s="506">
        <f t="shared" si="137"/>
        <v>10.06</v>
      </c>
      <c r="I314" s="129">
        <v>0.5</v>
      </c>
      <c r="J314" s="130">
        <f t="array" ref="J314">IF(ISERROR(G314/I314),"",G314/I314)</f>
        <v>4</v>
      </c>
      <c r="K314" s="131">
        <f t="array" ref="K314">IF(ISERROR(G314/L314),"",G314/L314)</f>
        <v>0.14814814814814814</v>
      </c>
      <c r="L314" s="129">
        <v>13.5</v>
      </c>
      <c r="M314" s="109">
        <f t="shared" si="138"/>
        <v>0.35185185185185186</v>
      </c>
      <c r="N314" s="130"/>
      <c r="O314" s="497"/>
      <c r="P314" s="497"/>
      <c r="Q314" s="497"/>
      <c r="R314" s="497"/>
      <c r="S314" s="497"/>
      <c r="T314" s="497"/>
      <c r="U314" s="497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>
        <v>42719</v>
      </c>
      <c r="G315" s="128">
        <f>90*6+38</f>
        <v>578</v>
      </c>
      <c r="H315" s="506">
        <f t="shared" si="137"/>
        <v>2907.34</v>
      </c>
      <c r="I315" s="129">
        <f>11.5*4</f>
        <v>46</v>
      </c>
      <c r="J315" s="130">
        <f t="array" ref="J315">IF(ISERROR(G315/I315),"",G315/I315)</f>
        <v>12.565217391304348</v>
      </c>
      <c r="K315" s="131">
        <f t="array" ref="K315">IF(ISERROR(G315/L315),"",G315/L315)</f>
        <v>42.814814814814817</v>
      </c>
      <c r="L315" s="129">
        <v>13.5</v>
      </c>
      <c r="M315" s="109">
        <f t="shared" si="138"/>
        <v>3.1851851851851833</v>
      </c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506">
        <f t="shared" si="137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1">IF(ISERROR(I316-K316),"",I316-K316)</f>
        <v>0</v>
      </c>
      <c r="N316" s="130">
        <f t="shared" ref="N316" si="142">SUM(O316:U316)</f>
        <v>0</v>
      </c>
      <c r="O316" s="497"/>
      <c r="P316" s="497"/>
      <c r="Q316" s="497"/>
      <c r="R316" s="497"/>
      <c r="S316" s="497"/>
      <c r="T316" s="497"/>
      <c r="U316" s="497"/>
      <c r="V316" s="132">
        <f t="shared" ref="V316" si="143">SUM(X316:AA316)</f>
        <v>0</v>
      </c>
      <c r="W316" s="133" t="str">
        <f t="shared" ref="W316:W321" si="144">IF(ISERROR(V316/G316),"",V316/G316)</f>
        <v/>
      </c>
      <c r="X316" s="132"/>
      <c r="Y316" s="132"/>
      <c r="Z316" s="132"/>
      <c r="AA316" s="132"/>
    </row>
    <row r="317" spans="1:27" ht="20.100000000000001" customHeight="1">
      <c r="A317" s="630" t="s">
        <v>234</v>
      </c>
      <c r="B317" s="631"/>
      <c r="C317" s="504" t="s">
        <v>202</v>
      </c>
      <c r="D317" s="143"/>
      <c r="E317" s="143"/>
      <c r="F317" s="144"/>
      <c r="G317" s="145">
        <f>SUM(G308:G316)</f>
        <v>633</v>
      </c>
      <c r="H317" s="146">
        <f>SUM(H308:H316)</f>
        <v>3184.09</v>
      </c>
      <c r="I317" s="146">
        <f>SUM(I308:I316)</f>
        <v>52.5</v>
      </c>
      <c r="J317" s="130">
        <f t="array" ref="J317">IF(ISERROR(G317/I317),"",G317/I317)</f>
        <v>12.057142857142857</v>
      </c>
      <c r="K317" s="146">
        <f>SUM(K308:K316)</f>
        <v>46.602693602693606</v>
      </c>
      <c r="L317" s="147"/>
      <c r="M317" s="150">
        <f>SUM(M308:M316)</f>
        <v>5.8973063973063953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>
        <f t="shared" si="144"/>
        <v>0</v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496"/>
      <c r="D318" s="108">
        <v>3.65</v>
      </c>
      <c r="E318" s="108"/>
      <c r="F318" s="153"/>
      <c r="G318" s="128"/>
      <c r="H318" s="506">
        <f t="shared" ref="H318:H331" si="145">D318*G318</f>
        <v>0</v>
      </c>
      <c r="I318" s="129"/>
      <c r="J318" s="130" t="str">
        <f t="array" ref="J318">IF(ISERROR(G318/I318),"",G318/I318)</f>
        <v/>
      </c>
      <c r="K318" s="506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497"/>
      <c r="P318" s="497"/>
      <c r="Q318" s="497"/>
      <c r="R318" s="497"/>
      <c r="S318" s="497"/>
      <c r="T318" s="497"/>
      <c r="U318" s="497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496"/>
      <c r="D319" s="108">
        <v>6.58</v>
      </c>
      <c r="E319" s="108"/>
      <c r="F319" s="127"/>
      <c r="G319" s="128"/>
      <c r="H319" s="506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497"/>
      <c r="P319" s="497"/>
      <c r="Q319" s="497"/>
      <c r="R319" s="497"/>
      <c r="S319" s="497"/>
      <c r="T319" s="497"/>
      <c r="U319" s="497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496"/>
      <c r="D320" s="108">
        <v>7.8</v>
      </c>
      <c r="E320" s="108"/>
      <c r="F320" s="127"/>
      <c r="G320" s="128"/>
      <c r="H320" s="506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497"/>
      <c r="P320" s="497"/>
      <c r="Q320" s="497"/>
      <c r="R320" s="497"/>
      <c r="S320" s="497"/>
      <c r="T320" s="497"/>
      <c r="U320" s="497"/>
      <c r="V320" s="132">
        <f t="shared" si="148"/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496"/>
      <c r="D321" s="108">
        <v>4.4000000000000004</v>
      </c>
      <c r="E321" s="108"/>
      <c r="F321" s="127"/>
      <c r="G321" s="128"/>
      <c r="H321" s="506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497"/>
      <c r="P321" s="497"/>
      <c r="Q321" s="497"/>
      <c r="R321" s="497"/>
      <c r="S321" s="497"/>
      <c r="T321" s="497"/>
      <c r="U321" s="497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496"/>
      <c r="D322" s="108"/>
      <c r="E322" s="108"/>
      <c r="F322" s="127"/>
      <c r="G322" s="128"/>
      <c r="H322" s="506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497"/>
      <c r="P322" s="497"/>
      <c r="Q322" s="497"/>
      <c r="R322" s="497"/>
      <c r="S322" s="497"/>
      <c r="T322" s="497"/>
      <c r="U322" s="497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496" t="s">
        <v>239</v>
      </c>
      <c r="C323" s="496" t="s">
        <v>179</v>
      </c>
      <c r="D323" s="108">
        <v>6.04</v>
      </c>
      <c r="E323" s="108"/>
      <c r="F323" s="127"/>
      <c r="G323" s="128"/>
      <c r="H323" s="506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497"/>
      <c r="P323" s="497"/>
      <c r="Q323" s="497"/>
      <c r="R323" s="497"/>
      <c r="S323" s="497"/>
      <c r="T323" s="497"/>
      <c r="U323" s="497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496" t="s">
        <v>239</v>
      </c>
      <c r="C324" s="496" t="s">
        <v>186</v>
      </c>
      <c r="D324" s="108">
        <v>6.04</v>
      </c>
      <c r="E324" s="108"/>
      <c r="F324" s="127"/>
      <c r="G324" s="128"/>
      <c r="H324" s="506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497"/>
      <c r="P324" s="497"/>
      <c r="Q324" s="497"/>
      <c r="R324" s="497"/>
      <c r="S324" s="497"/>
      <c r="T324" s="497"/>
      <c r="U324" s="497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496" t="s">
        <v>443</v>
      </c>
      <c r="C325" s="496" t="s">
        <v>179</v>
      </c>
      <c r="D325" s="108">
        <v>6</v>
      </c>
      <c r="E325" s="108"/>
      <c r="F325" s="127"/>
      <c r="G325" s="128"/>
      <c r="H325" s="506">
        <f t="shared" si="145"/>
        <v>0</v>
      </c>
      <c r="I325" s="129"/>
      <c r="J325" s="130"/>
      <c r="K325" s="131"/>
      <c r="L325" s="129"/>
      <c r="M325" s="109"/>
      <c r="N325" s="130"/>
      <c r="O325" s="497"/>
      <c r="P325" s="497"/>
      <c r="Q325" s="497"/>
      <c r="R325" s="497"/>
      <c r="S325" s="497"/>
      <c r="T325" s="497"/>
      <c r="U325" s="497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496" t="s">
        <v>443</v>
      </c>
      <c r="C326" s="496" t="s">
        <v>60</v>
      </c>
      <c r="D326" s="108">
        <v>6</v>
      </c>
      <c r="E326" s="108"/>
      <c r="F326" s="127"/>
      <c r="G326" s="128"/>
      <c r="H326" s="506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497"/>
      <c r="P326" s="497"/>
      <c r="Q326" s="497"/>
      <c r="R326" s="497"/>
      <c r="S326" s="497"/>
      <c r="T326" s="497"/>
      <c r="U326" s="497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498" t="s">
        <v>240</v>
      </c>
      <c r="C327" s="126"/>
      <c r="D327" s="108">
        <v>7.3</v>
      </c>
      <c r="E327" s="108"/>
      <c r="F327" s="127"/>
      <c r="G327" s="128"/>
      <c r="H327" s="506">
        <f t="shared" si="145"/>
        <v>0</v>
      </c>
      <c r="I327" s="129"/>
      <c r="J327" s="130"/>
      <c r="K327" s="131"/>
      <c r="L327" s="129"/>
      <c r="M327" s="109"/>
      <c r="N327" s="130"/>
      <c r="O327" s="497"/>
      <c r="P327" s="497"/>
      <c r="Q327" s="497"/>
      <c r="R327" s="497"/>
      <c r="S327" s="497"/>
      <c r="T327" s="497"/>
      <c r="U327" s="497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498" t="s">
        <v>241</v>
      </c>
      <c r="C328" s="126"/>
      <c r="D328" s="108">
        <f>78*120/1000</f>
        <v>9.36</v>
      </c>
      <c r="E328" s="108"/>
      <c r="F328" s="127"/>
      <c r="G328" s="128"/>
      <c r="H328" s="506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497"/>
      <c r="P328" s="497"/>
      <c r="Q328" s="497"/>
      <c r="R328" s="497"/>
      <c r="S328" s="497"/>
      <c r="T328" s="497"/>
      <c r="U328" s="497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498" t="s">
        <v>242</v>
      </c>
      <c r="C329" s="126"/>
      <c r="D329" s="108">
        <v>4.5</v>
      </c>
      <c r="E329" s="108"/>
      <c r="F329" s="127"/>
      <c r="G329" s="128"/>
      <c r="H329" s="506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497"/>
      <c r="P329" s="497"/>
      <c r="Q329" s="497"/>
      <c r="R329" s="497"/>
      <c r="S329" s="497"/>
      <c r="T329" s="497"/>
      <c r="U329" s="497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498" t="s">
        <v>243</v>
      </c>
      <c r="C330" s="126"/>
      <c r="D330" s="108">
        <v>4.5</v>
      </c>
      <c r="E330" s="108"/>
      <c r="F330" s="127"/>
      <c r="G330" s="128"/>
      <c r="H330" s="506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497"/>
      <c r="P330" s="497"/>
      <c r="Q330" s="497"/>
      <c r="R330" s="497"/>
      <c r="S330" s="497"/>
      <c r="T330" s="497"/>
      <c r="U330" s="497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506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97"/>
      <c r="P331" s="497"/>
      <c r="Q331" s="497"/>
      <c r="R331" s="497"/>
      <c r="S331" s="497"/>
      <c r="T331" s="497"/>
      <c r="U331" s="497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630" t="s">
        <v>244</v>
      </c>
      <c r="B332" s="631"/>
      <c r="C332" s="504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6">SUM(M318:M328)</f>
        <v>0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632" t="s">
        <v>246</v>
      </c>
      <c r="B333" s="633"/>
      <c r="C333" s="633"/>
      <c r="D333" s="633"/>
      <c r="E333" s="633"/>
      <c r="F333" s="634"/>
      <c r="G333" s="154">
        <f>SUM(G198,G256,G291,G307,G317,G332)</f>
        <v>5099</v>
      </c>
      <c r="H333" s="154">
        <f>SUM(H198,H256,H291,H307,H317,H332)</f>
        <v>25751.93</v>
      </c>
      <c r="I333" s="154">
        <f>SUM(I198,I256,I291,I307,I317,I332)</f>
        <v>303.5</v>
      </c>
      <c r="J333" s="155">
        <f t="array" ref="J333">IF(ISERROR(G333/I333),"",G333/I333)</f>
        <v>16.800658978583197</v>
      </c>
      <c r="K333" s="154">
        <f>SUM(K198,K256,K291,K307,K317,K332)</f>
        <v>223.0812708636256</v>
      </c>
      <c r="L333" s="155">
        <f>IF(ISERROR(G333/K333),"",G333/K333)</f>
        <v>22.857140719433719</v>
      </c>
      <c r="M333" s="154">
        <f t="shared" ref="M333:AA333" si="157">SUM(M198,M256,M291,M307,M317,M332)</f>
        <v>80.418729136374367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635" t="s">
        <v>476</v>
      </c>
      <c r="B334" s="503" t="s">
        <v>247</v>
      </c>
      <c r="C334" s="638" t="s">
        <v>248</v>
      </c>
      <c r="D334" s="639"/>
      <c r="E334" s="640" t="s">
        <v>249</v>
      </c>
      <c r="F334" s="640"/>
      <c r="G334" s="643" t="s">
        <v>250</v>
      </c>
      <c r="H334" s="643"/>
      <c r="I334" s="640" t="s">
        <v>251</v>
      </c>
      <c r="J334" s="640"/>
      <c r="K334" s="640" t="s">
        <v>252</v>
      </c>
      <c r="L334" s="640"/>
      <c r="M334" s="640" t="s">
        <v>253</v>
      </c>
      <c r="N334" s="640"/>
      <c r="O334" s="640" t="s">
        <v>254</v>
      </c>
      <c r="P334" s="643" t="s">
        <v>255</v>
      </c>
      <c r="Q334" s="643"/>
      <c r="R334" s="643" t="s">
        <v>252</v>
      </c>
      <c r="S334" s="643"/>
      <c r="T334" s="643" t="s">
        <v>256</v>
      </c>
      <c r="U334" s="643"/>
      <c r="V334" s="643" t="s">
        <v>257</v>
      </c>
      <c r="W334" s="643"/>
      <c r="X334" s="643" t="s">
        <v>252</v>
      </c>
      <c r="Y334" s="643"/>
      <c r="Z334" s="643" t="s">
        <v>256</v>
      </c>
      <c r="AA334" s="643"/>
    </row>
    <row r="335" spans="1:27" ht="20.100000000000001" customHeight="1">
      <c r="A335" s="636"/>
      <c r="B335" s="503" t="s">
        <v>258</v>
      </c>
      <c r="C335" s="678">
        <v>1</v>
      </c>
      <c r="D335" s="679"/>
      <c r="E335" s="642">
        <f>C335*11</f>
        <v>11</v>
      </c>
      <c r="F335" s="642"/>
      <c r="G335" s="643">
        <v>1</v>
      </c>
      <c r="H335" s="643"/>
      <c r="I335" s="642">
        <f>G335*11</f>
        <v>11</v>
      </c>
      <c r="J335" s="642"/>
      <c r="K335" s="642">
        <f>E335-I335</f>
        <v>0</v>
      </c>
      <c r="L335" s="642"/>
      <c r="M335" s="644">
        <f>IF(ISERROR(K335/E335),"",K335/E335)</f>
        <v>0</v>
      </c>
      <c r="N335" s="644"/>
      <c r="O335" s="640"/>
      <c r="P335" s="643" t="s">
        <v>201</v>
      </c>
      <c r="Q335" s="643"/>
      <c r="R335" s="645">
        <f>SUM(O198:U198)</f>
        <v>0</v>
      </c>
      <c r="S335" s="645"/>
      <c r="T335" s="646" t="str">
        <f t="array" ref="T335">IF(ISERROR(R335/R342),"",R335/R342)</f>
        <v/>
      </c>
      <c r="U335" s="646"/>
      <c r="V335" s="643" t="s">
        <v>259</v>
      </c>
      <c r="W335" s="643"/>
      <c r="X335" s="680">
        <f>SUM(P197,P255,P290,P306,P316,P331)</f>
        <v>0</v>
      </c>
      <c r="Y335" s="681"/>
      <c r="Z335" s="646" t="str">
        <f t="array" ref="Z335">IF(ISERROR(X335/X342),"",X335/X342)</f>
        <v/>
      </c>
      <c r="AA335" s="646"/>
    </row>
    <row r="336" spans="1:27" ht="20.100000000000001" customHeight="1">
      <c r="A336" s="636"/>
      <c r="B336" s="503" t="s">
        <v>260</v>
      </c>
      <c r="C336" s="638">
        <v>0</v>
      </c>
      <c r="D336" s="639"/>
      <c r="E336" s="642">
        <f>C336*11</f>
        <v>0</v>
      </c>
      <c r="F336" s="642"/>
      <c r="G336" s="643">
        <v>0</v>
      </c>
      <c r="H336" s="643"/>
      <c r="I336" s="642">
        <f>G336*11</f>
        <v>0</v>
      </c>
      <c r="J336" s="642"/>
      <c r="K336" s="642">
        <f>E336-I336</f>
        <v>0</v>
      </c>
      <c r="L336" s="642"/>
      <c r="M336" s="644" t="str">
        <f>IF(ISERROR(K336/E336),"",K336/E336)</f>
        <v/>
      </c>
      <c r="N336" s="644"/>
      <c r="O336" s="640"/>
      <c r="P336" s="643" t="s">
        <v>216</v>
      </c>
      <c r="Q336" s="643"/>
      <c r="R336" s="645">
        <f>SUM(O256:U256)</f>
        <v>0</v>
      </c>
      <c r="S336" s="645"/>
      <c r="T336" s="646" t="str">
        <f>IF(ISERROR(R336/R342),"",R336/R342)</f>
        <v/>
      </c>
      <c r="U336" s="646"/>
      <c r="V336" s="643" t="s">
        <v>261</v>
      </c>
      <c r="W336" s="643"/>
      <c r="X336" s="680">
        <f>SUM(P198,P256,P291,P307,P317,P332)</f>
        <v>0</v>
      </c>
      <c r="Y336" s="681"/>
      <c r="Z336" s="646" t="str">
        <f>IF(ISERROR(X336/X342),"",X336/X342)</f>
        <v/>
      </c>
      <c r="AA336" s="646"/>
    </row>
    <row r="337" spans="1:27" ht="20.100000000000001" customHeight="1">
      <c r="A337" s="636"/>
      <c r="B337" s="503" t="s">
        <v>262</v>
      </c>
      <c r="C337" s="638">
        <v>0</v>
      </c>
      <c r="D337" s="639"/>
      <c r="E337" s="642">
        <f>C337*8</f>
        <v>0</v>
      </c>
      <c r="F337" s="642"/>
      <c r="G337" s="643">
        <v>1</v>
      </c>
      <c r="H337" s="643"/>
      <c r="I337" s="642">
        <f>G337*8</f>
        <v>8</v>
      </c>
      <c r="J337" s="642"/>
      <c r="K337" s="642">
        <f>E337-I337</f>
        <v>-8</v>
      </c>
      <c r="L337" s="642"/>
      <c r="M337" s="644" t="str">
        <f>IF(ISERROR(K337/E337),"",K337/E337)</f>
        <v/>
      </c>
      <c r="N337" s="644"/>
      <c r="O337" s="640"/>
      <c r="P337" s="643" t="s">
        <v>224</v>
      </c>
      <c r="Q337" s="643"/>
      <c r="R337" s="645">
        <f>SUM(O291:U291)</f>
        <v>0</v>
      </c>
      <c r="S337" s="645"/>
      <c r="T337" s="646" t="str">
        <f>IF(ISERROR(R337/R342),"",R337/R342)</f>
        <v/>
      </c>
      <c r="U337" s="646"/>
      <c r="V337" s="643" t="s">
        <v>263</v>
      </c>
      <c r="W337" s="643"/>
      <c r="X337" s="680">
        <f>SUM(P199,P257,P292,P308,P318,P333)</f>
        <v>0</v>
      </c>
      <c r="Y337" s="681"/>
      <c r="Z337" s="646" t="str">
        <f>IF(ISERROR(X337/X342),"",X337/X342)</f>
        <v/>
      </c>
      <c r="AA337" s="646"/>
    </row>
    <row r="338" spans="1:27" ht="20.100000000000001" customHeight="1">
      <c r="A338" s="636"/>
      <c r="B338" s="503" t="s">
        <v>264</v>
      </c>
      <c r="C338" s="638">
        <v>1</v>
      </c>
      <c r="D338" s="639"/>
      <c r="E338" s="642">
        <f>C338*11</f>
        <v>11</v>
      </c>
      <c r="F338" s="642"/>
      <c r="G338" s="643">
        <v>1</v>
      </c>
      <c r="H338" s="643"/>
      <c r="I338" s="642">
        <f>G338*11</f>
        <v>11</v>
      </c>
      <c r="J338" s="642"/>
      <c r="K338" s="642">
        <f>E338-I338</f>
        <v>0</v>
      </c>
      <c r="L338" s="642"/>
      <c r="M338" s="644">
        <f>IF(ISERROR(K338/E338),"",K338/E338)</f>
        <v>0</v>
      </c>
      <c r="N338" s="644"/>
      <c r="O338" s="640"/>
      <c r="P338" s="643" t="s">
        <v>231</v>
      </c>
      <c r="Q338" s="643"/>
      <c r="R338" s="645">
        <f>SUM(O307:U307)</f>
        <v>0</v>
      </c>
      <c r="S338" s="645"/>
      <c r="T338" s="646" t="str">
        <f>IF(ISERROR(R338/R342),"",R338/R342)</f>
        <v/>
      </c>
      <c r="U338" s="646"/>
      <c r="V338" s="643" t="s">
        <v>265</v>
      </c>
      <c r="W338" s="643"/>
      <c r="X338" s="680">
        <f>SUM(P201,P258,P293,P309,P319,P334)</f>
        <v>0</v>
      </c>
      <c r="Y338" s="681"/>
      <c r="Z338" s="646" t="str">
        <f>IF(ISERROR(X338/X342),"",X338/X342)</f>
        <v/>
      </c>
      <c r="AA338" s="646"/>
    </row>
    <row r="339" spans="1:27" ht="20.100000000000001" customHeight="1">
      <c r="A339" s="637"/>
      <c r="B339" s="503" t="s">
        <v>266</v>
      </c>
      <c r="C339" s="648">
        <f>SUM(C335:D338)</f>
        <v>2</v>
      </c>
      <c r="D339" s="649"/>
      <c r="E339" s="642">
        <f>SUM(E335:F338)</f>
        <v>22</v>
      </c>
      <c r="F339" s="642"/>
      <c r="G339" s="643">
        <f>SUM(G335:H338)</f>
        <v>3</v>
      </c>
      <c r="H339" s="643"/>
      <c r="I339" s="642">
        <f>SUM(I335:J338)</f>
        <v>30</v>
      </c>
      <c r="J339" s="642"/>
      <c r="K339" s="642">
        <f>SUM(K335:L338)</f>
        <v>-8</v>
      </c>
      <c r="L339" s="642"/>
      <c r="M339" s="644">
        <f>IF(ISERROR(K339/E339),"",K339/E339)</f>
        <v>-0.36363636363636365</v>
      </c>
      <c r="N339" s="644"/>
      <c r="O339" s="640"/>
      <c r="P339" s="643" t="s">
        <v>234</v>
      </c>
      <c r="Q339" s="643"/>
      <c r="R339" s="645">
        <f>SUM(O317:U317)</f>
        <v>0</v>
      </c>
      <c r="S339" s="645"/>
      <c r="T339" s="646" t="str">
        <f>IF(ISERROR(R339/R342),"",R339/R342)</f>
        <v/>
      </c>
      <c r="U339" s="646"/>
      <c r="V339" s="643" t="s">
        <v>267</v>
      </c>
      <c r="W339" s="643"/>
      <c r="X339" s="680">
        <f>SUM(P202,P259,P294,P310,P320,P335)</f>
        <v>0</v>
      </c>
      <c r="Y339" s="681"/>
      <c r="Z339" s="646" t="str">
        <f>IF(ISERROR(X339/X342),"",X339/X342)</f>
        <v/>
      </c>
      <c r="AA339" s="646"/>
    </row>
    <row r="340" spans="1:27" ht="20.100000000000001" customHeight="1">
      <c r="A340" s="309" t="s">
        <v>477</v>
      </c>
      <c r="B340" s="503">
        <f>G333</f>
        <v>5099</v>
      </c>
      <c r="C340" s="650" t="s">
        <v>269</v>
      </c>
      <c r="D340" s="651"/>
      <c r="E340" s="643">
        <f>H333</f>
        <v>25751.93</v>
      </c>
      <c r="F340" s="643"/>
      <c r="G340" s="643" t="s">
        <v>270</v>
      </c>
      <c r="H340" s="643"/>
      <c r="I340" s="652">
        <f>L333</f>
        <v>22.857140719433719</v>
      </c>
      <c r="J340" s="652"/>
      <c r="K340" s="640" t="s">
        <v>271</v>
      </c>
      <c r="L340" s="640"/>
      <c r="M340" s="652">
        <f>J333</f>
        <v>16.800658978583197</v>
      </c>
      <c r="N340" s="652"/>
      <c r="O340" s="640"/>
      <c r="P340" s="643" t="s">
        <v>244</v>
      </c>
      <c r="Q340" s="643"/>
      <c r="R340" s="645">
        <f>SUM(O332:U332)</f>
        <v>0</v>
      </c>
      <c r="S340" s="645"/>
      <c r="T340" s="646" t="str">
        <f>IF(ISERROR(R340/R342),"",R340/R342)</f>
        <v/>
      </c>
      <c r="U340" s="646"/>
      <c r="V340" s="643" t="s">
        <v>272</v>
      </c>
      <c r="W340" s="643"/>
      <c r="X340" s="680">
        <f>SUM(P203,P260,P295,P311,P321,P336)</f>
        <v>0</v>
      </c>
      <c r="Y340" s="681"/>
      <c r="Z340" s="646" t="str">
        <f>IF(ISERROR(X340/X342),"",X340/X342)</f>
        <v/>
      </c>
      <c r="AA340" s="646"/>
    </row>
    <row r="341" spans="1:27" ht="20.100000000000001" customHeight="1">
      <c r="A341" s="310" t="s">
        <v>478</v>
      </c>
      <c r="B341" s="503">
        <f>I333+C339</f>
        <v>305.5</v>
      </c>
      <c r="C341" s="653" t="s">
        <v>251</v>
      </c>
      <c r="D341" s="654"/>
      <c r="E341" s="655">
        <f>K333+I339</f>
        <v>253.0812708636256</v>
      </c>
      <c r="F341" s="655"/>
      <c r="G341" s="643" t="s">
        <v>274</v>
      </c>
      <c r="H341" s="643"/>
      <c r="I341" s="652">
        <f>B341-E341</f>
        <v>52.418729136374395</v>
      </c>
      <c r="J341" s="652"/>
      <c r="K341" s="640" t="s">
        <v>275</v>
      </c>
      <c r="L341" s="640"/>
      <c r="M341" s="644">
        <f>IF(ISERROR(I341/E341),"",I341/E341)</f>
        <v>0.20712211914180148</v>
      </c>
      <c r="N341" s="644"/>
      <c r="O341" s="640"/>
      <c r="P341" s="643" t="s">
        <v>245</v>
      </c>
      <c r="Q341" s="643"/>
      <c r="R341" s="645"/>
      <c r="S341" s="645"/>
      <c r="T341" s="646" t="str">
        <f>IF(ISERROR(R341/R342),"",R341/R342)</f>
        <v/>
      </c>
      <c r="U341" s="646"/>
      <c r="V341" s="643" t="s">
        <v>264</v>
      </c>
      <c r="W341" s="643"/>
      <c r="X341" s="680">
        <f>SUM(P204,P261,P296,P312,P322,P337)</f>
        <v>0</v>
      </c>
      <c r="Y341" s="681"/>
      <c r="Z341" s="646" t="str">
        <f>IF(ISERROR(X341/X342),"",X341/X342)</f>
        <v/>
      </c>
      <c r="AA341" s="646"/>
    </row>
    <row r="342" spans="1:27" ht="20.100000000000001" customHeight="1">
      <c r="A342" s="310" t="s">
        <v>479</v>
      </c>
      <c r="B342" s="503">
        <f>N333</f>
        <v>0</v>
      </c>
      <c r="C342" s="653" t="s">
        <v>277</v>
      </c>
      <c r="D342" s="654"/>
      <c r="E342" s="646">
        <f>IF(ISERROR(B342/B341),"",B342/B341)</f>
        <v>0</v>
      </c>
      <c r="F342" s="646"/>
      <c r="G342" s="643" t="s">
        <v>278</v>
      </c>
      <c r="H342" s="643"/>
      <c r="I342" s="640">
        <f>V333</f>
        <v>0</v>
      </c>
      <c r="J342" s="640"/>
      <c r="K342" s="640" t="s">
        <v>279</v>
      </c>
      <c r="L342" s="640"/>
      <c r="M342" s="644">
        <f t="array" ref="M342">IF(ISERROR(I342/B340),"",I342/B340)</f>
        <v>0</v>
      </c>
      <c r="N342" s="644"/>
      <c r="O342" s="640"/>
      <c r="P342" s="643" t="s">
        <v>266</v>
      </c>
      <c r="Q342" s="643"/>
      <c r="R342" s="645">
        <f>SUM(R335:S341)</f>
        <v>0</v>
      </c>
      <c r="S342" s="645"/>
      <c r="T342" s="646"/>
      <c r="U342" s="646"/>
      <c r="V342" s="643" t="s">
        <v>266</v>
      </c>
      <c r="W342" s="643"/>
      <c r="X342" s="647">
        <f>SUM(X335:Y341)</f>
        <v>0</v>
      </c>
      <c r="Y342" s="647"/>
      <c r="Z342" s="646"/>
      <c r="AA342" s="646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56" t="s">
        <v>480</v>
      </c>
      <c r="B344" s="659" t="s">
        <v>280</v>
      </c>
      <c r="C344" s="659" t="s">
        <v>281</v>
      </c>
      <c r="D344" s="659" t="s">
        <v>282</v>
      </c>
      <c r="E344" s="662" t="s">
        <v>283</v>
      </c>
      <c r="F344" s="675" t="s">
        <v>284</v>
      </c>
      <c r="G344" s="640" t="s">
        <v>285</v>
      </c>
      <c r="H344" s="640"/>
      <c r="I344" s="659" t="s">
        <v>286</v>
      </c>
      <c r="J344" s="665" t="s">
        <v>271</v>
      </c>
      <c r="K344" s="668" t="s">
        <v>287</v>
      </c>
      <c r="L344" s="659" t="s">
        <v>270</v>
      </c>
      <c r="M344" s="671" t="s">
        <v>288</v>
      </c>
      <c r="N344" s="673" t="s">
        <v>252</v>
      </c>
      <c r="O344" s="640" t="s">
        <v>289</v>
      </c>
      <c r="P344" s="640"/>
      <c r="Q344" s="640"/>
      <c r="R344" s="640"/>
      <c r="S344" s="640"/>
      <c r="T344" s="640"/>
      <c r="U344" s="640"/>
      <c r="V344" s="640" t="s">
        <v>290</v>
      </c>
      <c r="W344" s="673" t="s">
        <v>291</v>
      </c>
      <c r="X344" s="640" t="s">
        <v>292</v>
      </c>
      <c r="Y344" s="640"/>
      <c r="Z344" s="640"/>
      <c r="AA344" s="640"/>
    </row>
    <row r="345" spans="1:27" ht="21.95" customHeight="1">
      <c r="A345" s="657"/>
      <c r="B345" s="660"/>
      <c r="C345" s="660"/>
      <c r="D345" s="660"/>
      <c r="E345" s="663"/>
      <c r="F345" s="676"/>
      <c r="G345" s="640"/>
      <c r="H345" s="640"/>
      <c r="I345" s="660"/>
      <c r="J345" s="666"/>
      <c r="K345" s="669"/>
      <c r="L345" s="660"/>
      <c r="M345" s="672"/>
      <c r="N345" s="673"/>
      <c r="O345" s="640" t="s">
        <v>259</v>
      </c>
      <c r="P345" s="640" t="s">
        <v>261</v>
      </c>
      <c r="Q345" s="640" t="s">
        <v>263</v>
      </c>
      <c r="R345" s="674" t="s">
        <v>265</v>
      </c>
      <c r="S345" s="643" t="s">
        <v>267</v>
      </c>
      <c r="T345" s="640" t="s">
        <v>272</v>
      </c>
      <c r="U345" s="640" t="s">
        <v>264</v>
      </c>
      <c r="V345" s="640"/>
      <c r="W345" s="673"/>
      <c r="X345" s="640" t="s">
        <v>293</v>
      </c>
      <c r="Y345" s="640" t="s">
        <v>294</v>
      </c>
      <c r="Z345" s="640" t="s">
        <v>295</v>
      </c>
      <c r="AA345" s="640" t="s">
        <v>264</v>
      </c>
    </row>
    <row r="346" spans="1:27" ht="21.95" customHeight="1">
      <c r="A346" s="658"/>
      <c r="B346" s="661"/>
      <c r="C346" s="661"/>
      <c r="D346" s="661"/>
      <c r="E346" s="664"/>
      <c r="F346" s="677"/>
      <c r="G346" s="348" t="s">
        <v>526</v>
      </c>
      <c r="H346" s="496" t="s">
        <v>297</v>
      </c>
      <c r="I346" s="661"/>
      <c r="J346" s="667"/>
      <c r="K346" s="670"/>
      <c r="L346" s="661"/>
      <c r="M346" s="672"/>
      <c r="N346" s="673"/>
      <c r="O346" s="640"/>
      <c r="P346" s="640"/>
      <c r="Q346" s="640"/>
      <c r="R346" s="674"/>
      <c r="S346" s="643"/>
      <c r="T346" s="640"/>
      <c r="U346" s="640"/>
      <c r="V346" s="640"/>
      <c r="W346" s="673"/>
      <c r="X346" s="640"/>
      <c r="Y346" s="640"/>
      <c r="Z346" s="640"/>
      <c r="AA346" s="640"/>
    </row>
    <row r="347" spans="1:27" ht="20.100000000000001" hidden="1" customHeight="1">
      <c r="A347" s="299">
        <v>30100030</v>
      </c>
      <c r="B347" s="498" t="s">
        <v>178</v>
      </c>
      <c r="C347" s="126" t="s">
        <v>179</v>
      </c>
      <c r="D347" s="108">
        <v>5.03</v>
      </c>
      <c r="E347" s="108"/>
      <c r="F347" s="127"/>
      <c r="G347" s="128"/>
      <c r="H347" s="506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497"/>
      <c r="P347" s="497"/>
      <c r="Q347" s="497"/>
      <c r="R347" s="497"/>
      <c r="S347" s="497"/>
      <c r="T347" s="497"/>
      <c r="U347" s="497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506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497"/>
      <c r="P348" s="497"/>
      <c r="Q348" s="497"/>
      <c r="R348" s="497"/>
      <c r="S348" s="497"/>
      <c r="T348" s="497"/>
      <c r="U348" s="497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506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497"/>
      <c r="P349" s="497"/>
      <c r="Q349" s="497"/>
      <c r="R349" s="497"/>
      <c r="S349" s="497"/>
      <c r="T349" s="497"/>
      <c r="U349" s="497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506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497"/>
      <c r="P350" s="497"/>
      <c r="Q350" s="497"/>
      <c r="R350" s="497"/>
      <c r="S350" s="497"/>
      <c r="T350" s="497"/>
      <c r="U350" s="497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506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497"/>
      <c r="P351" s="497"/>
      <c r="Q351" s="497"/>
      <c r="R351" s="497"/>
      <c r="S351" s="497"/>
      <c r="T351" s="497"/>
      <c r="U351" s="497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506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497"/>
      <c r="P352" s="497"/>
      <c r="Q352" s="497"/>
      <c r="R352" s="497"/>
      <c r="S352" s="497"/>
      <c r="T352" s="497"/>
      <c r="U352" s="497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506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497"/>
      <c r="P353" s="497"/>
      <c r="Q353" s="497"/>
      <c r="R353" s="497"/>
      <c r="S353" s="497"/>
      <c r="T353" s="497"/>
      <c r="U353" s="497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506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497"/>
      <c r="P354" s="497"/>
      <c r="Q354" s="497"/>
      <c r="R354" s="497"/>
      <c r="S354" s="497"/>
      <c r="T354" s="497"/>
      <c r="U354" s="497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506">
        <f t="shared" si="158"/>
        <v>0</v>
      </c>
      <c r="I355" s="506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497"/>
      <c r="P355" s="497"/>
      <c r="Q355" s="497"/>
      <c r="R355" s="497"/>
      <c r="S355" s="497"/>
      <c r="T355" s="497"/>
      <c r="U355" s="497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506">
        <f t="shared" si="158"/>
        <v>0</v>
      </c>
      <c r="I356" s="506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497"/>
      <c r="P356" s="497"/>
      <c r="Q356" s="497"/>
      <c r="R356" s="497"/>
      <c r="S356" s="497"/>
      <c r="T356" s="497"/>
      <c r="U356" s="497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506">
        <f t="shared" si="158"/>
        <v>0</v>
      </c>
      <c r="I357" s="506"/>
      <c r="J357" s="130"/>
      <c r="K357" s="131"/>
      <c r="L357" s="129"/>
      <c r="M357" s="109"/>
      <c r="N357" s="130"/>
      <c r="O357" s="497"/>
      <c r="P357" s="497"/>
      <c r="Q357" s="497"/>
      <c r="R357" s="497"/>
      <c r="S357" s="497"/>
      <c r="T357" s="497"/>
      <c r="U357" s="497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506">
        <f t="shared" si="158"/>
        <v>0</v>
      </c>
      <c r="I358" s="506"/>
      <c r="J358" s="130"/>
      <c r="K358" s="131"/>
      <c r="L358" s="129"/>
      <c r="M358" s="109"/>
      <c r="N358" s="130"/>
      <c r="O358" s="497"/>
      <c r="P358" s="497"/>
      <c r="Q358" s="497"/>
      <c r="R358" s="497"/>
      <c r="S358" s="497"/>
      <c r="T358" s="497"/>
      <c r="U358" s="497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506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497"/>
      <c r="P359" s="497"/>
      <c r="Q359" s="497"/>
      <c r="R359" s="497"/>
      <c r="S359" s="497"/>
      <c r="T359" s="497"/>
      <c r="U359" s="497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506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497"/>
      <c r="P360" s="497"/>
      <c r="Q360" s="497"/>
      <c r="R360" s="497"/>
      <c r="S360" s="497"/>
      <c r="T360" s="497"/>
      <c r="U360" s="497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506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497"/>
      <c r="P361" s="497"/>
      <c r="Q361" s="497"/>
      <c r="R361" s="497"/>
      <c r="S361" s="497"/>
      <c r="T361" s="497"/>
      <c r="U361" s="497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496" t="s">
        <v>190</v>
      </c>
      <c r="D362" s="108">
        <v>4.8</v>
      </c>
      <c r="E362" s="108"/>
      <c r="F362" s="127"/>
      <c r="G362" s="128"/>
      <c r="H362" s="506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497"/>
      <c r="P362" s="497"/>
      <c r="Q362" s="497"/>
      <c r="R362" s="497"/>
      <c r="S362" s="497"/>
      <c r="T362" s="497"/>
      <c r="U362" s="497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496" t="s">
        <v>187</v>
      </c>
      <c r="D363" s="108">
        <v>4.8</v>
      </c>
      <c r="E363" s="108"/>
      <c r="F363" s="127"/>
      <c r="G363" s="128"/>
      <c r="H363" s="506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497"/>
      <c r="P363" s="497"/>
      <c r="Q363" s="497"/>
      <c r="R363" s="497"/>
      <c r="S363" s="497"/>
      <c r="T363" s="497"/>
      <c r="U363" s="497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496" t="s">
        <v>179</v>
      </c>
      <c r="D364" s="108">
        <v>4.8</v>
      </c>
      <c r="E364" s="108"/>
      <c r="F364" s="127"/>
      <c r="G364" s="128"/>
      <c r="H364" s="506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497"/>
      <c r="P364" s="497"/>
      <c r="Q364" s="497"/>
      <c r="R364" s="497"/>
      <c r="S364" s="497"/>
      <c r="T364" s="497"/>
      <c r="U364" s="497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496" t="s">
        <v>199</v>
      </c>
      <c r="D365" s="108">
        <v>4.8</v>
      </c>
      <c r="E365" s="108"/>
      <c r="F365" s="127"/>
      <c r="G365" s="128"/>
      <c r="H365" s="506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497"/>
      <c r="P365" s="497"/>
      <c r="Q365" s="497"/>
      <c r="R365" s="497"/>
      <c r="S365" s="497"/>
      <c r="T365" s="497"/>
      <c r="U365" s="497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506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497"/>
      <c r="P366" s="497"/>
      <c r="Q366" s="497"/>
      <c r="R366" s="497"/>
      <c r="S366" s="497"/>
      <c r="T366" s="497"/>
      <c r="U366" s="497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506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497"/>
      <c r="P367" s="497"/>
      <c r="Q367" s="497"/>
      <c r="R367" s="497"/>
      <c r="S367" s="497"/>
      <c r="T367" s="497"/>
      <c r="U367" s="497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630" t="s">
        <v>201</v>
      </c>
      <c r="B368" s="631"/>
      <c r="C368" s="504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498" t="s">
        <v>206</v>
      </c>
      <c r="C369" s="126" t="s">
        <v>199</v>
      </c>
      <c r="D369" s="108">
        <v>5.03</v>
      </c>
      <c r="E369" s="108"/>
      <c r="F369" s="127"/>
      <c r="G369" s="128"/>
      <c r="H369" s="506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501"/>
      <c r="P369" s="501"/>
      <c r="Q369" s="501"/>
      <c r="R369" s="501"/>
      <c r="S369" s="501"/>
      <c r="T369" s="501"/>
      <c r="U369" s="501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498" t="s">
        <v>425</v>
      </c>
      <c r="C370" s="187" t="s">
        <v>427</v>
      </c>
      <c r="D370" s="108">
        <v>5.03</v>
      </c>
      <c r="E370" s="108"/>
      <c r="F370" s="127"/>
      <c r="G370" s="128"/>
      <c r="H370" s="506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501"/>
      <c r="P370" s="501"/>
      <c r="Q370" s="501"/>
      <c r="R370" s="501"/>
      <c r="S370" s="501"/>
      <c r="T370" s="501"/>
      <c r="U370" s="501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498" t="s">
        <v>206</v>
      </c>
      <c r="C371" s="126" t="s">
        <v>186</v>
      </c>
      <c r="D371" s="108">
        <v>5.03</v>
      </c>
      <c r="E371" s="108"/>
      <c r="F371" s="127"/>
      <c r="G371" s="128"/>
      <c r="H371" s="506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501"/>
      <c r="P371" s="501"/>
      <c r="Q371" s="501"/>
      <c r="R371" s="501"/>
      <c r="S371" s="501"/>
      <c r="T371" s="501"/>
      <c r="U371" s="501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498" t="s">
        <v>206</v>
      </c>
      <c r="C372" s="126" t="s">
        <v>203</v>
      </c>
      <c r="D372" s="108">
        <v>5.03</v>
      </c>
      <c r="E372" s="108"/>
      <c r="F372" s="127"/>
      <c r="G372" s="128"/>
      <c r="H372" s="506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501"/>
      <c r="P372" s="501"/>
      <c r="Q372" s="501"/>
      <c r="R372" s="501"/>
      <c r="S372" s="501"/>
      <c r="T372" s="501"/>
      <c r="U372" s="501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498" t="s">
        <v>206</v>
      </c>
      <c r="C373" s="126" t="s">
        <v>207</v>
      </c>
      <c r="D373" s="108">
        <v>5.03</v>
      </c>
      <c r="E373" s="108"/>
      <c r="F373" s="127"/>
      <c r="G373" s="128"/>
      <c r="H373" s="506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501"/>
      <c r="P373" s="501"/>
      <c r="Q373" s="501"/>
      <c r="R373" s="501"/>
      <c r="S373" s="501"/>
      <c r="T373" s="501"/>
      <c r="U373" s="501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498" t="s">
        <v>414</v>
      </c>
      <c r="C374" s="187" t="s">
        <v>415</v>
      </c>
      <c r="D374" s="108"/>
      <c r="E374" s="108"/>
      <c r="F374" s="127"/>
      <c r="G374" s="128"/>
      <c r="H374" s="506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501"/>
      <c r="P374" s="501"/>
      <c r="Q374" s="501"/>
      <c r="R374" s="501"/>
      <c r="S374" s="501"/>
      <c r="T374" s="501"/>
      <c r="U374" s="501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498" t="s">
        <v>414</v>
      </c>
      <c r="C375" s="187" t="s">
        <v>416</v>
      </c>
      <c r="D375" s="108"/>
      <c r="E375" s="108"/>
      <c r="F375" s="127"/>
      <c r="G375" s="128"/>
      <c r="H375" s="506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501"/>
      <c r="P375" s="501"/>
      <c r="Q375" s="501"/>
      <c r="R375" s="501"/>
      <c r="S375" s="501"/>
      <c r="T375" s="501"/>
      <c r="U375" s="501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498" t="s">
        <v>414</v>
      </c>
      <c r="C376" s="187" t="s">
        <v>61</v>
      </c>
      <c r="D376" s="108"/>
      <c r="E376" s="108"/>
      <c r="F376" s="127"/>
      <c r="G376" s="128"/>
      <c r="H376" s="506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501"/>
      <c r="P376" s="501"/>
      <c r="Q376" s="501"/>
      <c r="R376" s="501"/>
      <c r="S376" s="501"/>
      <c r="T376" s="501"/>
      <c r="U376" s="501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498" t="s">
        <v>208</v>
      </c>
      <c r="C377" s="126" t="s">
        <v>179</v>
      </c>
      <c r="D377" s="108">
        <v>5.08</v>
      </c>
      <c r="E377" s="108"/>
      <c r="F377" s="127"/>
      <c r="G377" s="128"/>
      <c r="H377" s="506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501"/>
      <c r="P377" s="501"/>
      <c r="Q377" s="501"/>
      <c r="R377" s="501"/>
      <c r="S377" s="501"/>
      <c r="T377" s="501"/>
      <c r="U377" s="501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498" t="s">
        <v>208</v>
      </c>
      <c r="C378" s="126" t="s">
        <v>204</v>
      </c>
      <c r="D378" s="108">
        <v>5.08</v>
      </c>
      <c r="E378" s="108"/>
      <c r="F378" s="127"/>
      <c r="G378" s="128"/>
      <c r="H378" s="506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501"/>
      <c r="P378" s="501"/>
      <c r="Q378" s="501"/>
      <c r="R378" s="501"/>
      <c r="S378" s="501"/>
      <c r="T378" s="501"/>
      <c r="U378" s="501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498" t="s">
        <v>208</v>
      </c>
      <c r="C379" s="126" t="s">
        <v>205</v>
      </c>
      <c r="D379" s="108">
        <v>5.08</v>
      </c>
      <c r="E379" s="108"/>
      <c r="F379" s="127"/>
      <c r="G379" s="128"/>
      <c r="H379" s="506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501"/>
      <c r="P379" s="501"/>
      <c r="Q379" s="501"/>
      <c r="R379" s="501"/>
      <c r="S379" s="501"/>
      <c r="T379" s="501"/>
      <c r="U379" s="501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498" t="s">
        <v>208</v>
      </c>
      <c r="C380" s="126" t="s">
        <v>186</v>
      </c>
      <c r="D380" s="108">
        <v>5.08</v>
      </c>
      <c r="E380" s="108"/>
      <c r="F380" s="127"/>
      <c r="G380" s="128"/>
      <c r="H380" s="506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501"/>
      <c r="P380" s="501"/>
      <c r="Q380" s="501"/>
      <c r="R380" s="501"/>
      <c r="S380" s="501"/>
      <c r="T380" s="501"/>
      <c r="U380" s="501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498" t="s">
        <v>208</v>
      </c>
      <c r="C381" s="126" t="s">
        <v>203</v>
      </c>
      <c r="D381" s="108">
        <v>5.08</v>
      </c>
      <c r="E381" s="108"/>
      <c r="F381" s="127"/>
      <c r="G381" s="128"/>
      <c r="H381" s="506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501"/>
      <c r="P381" s="501"/>
      <c r="Q381" s="501"/>
      <c r="R381" s="501"/>
      <c r="S381" s="501"/>
      <c r="T381" s="501"/>
      <c r="U381" s="501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498" t="s">
        <v>208</v>
      </c>
      <c r="C382" s="126" t="s">
        <v>199</v>
      </c>
      <c r="D382" s="108">
        <v>5.08</v>
      </c>
      <c r="E382" s="108"/>
      <c r="F382" s="127"/>
      <c r="G382" s="128"/>
      <c r="H382" s="506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497"/>
      <c r="P382" s="497"/>
      <c r="Q382" s="497"/>
      <c r="R382" s="497"/>
      <c r="S382" s="497"/>
      <c r="T382" s="497"/>
      <c r="U382" s="497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498" t="s">
        <v>208</v>
      </c>
      <c r="C383" s="126" t="s">
        <v>187</v>
      </c>
      <c r="D383" s="108">
        <v>5.08</v>
      </c>
      <c r="E383" s="108"/>
      <c r="F383" s="127"/>
      <c r="G383" s="128"/>
      <c r="H383" s="506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501"/>
      <c r="P383" s="501"/>
      <c r="Q383" s="501"/>
      <c r="R383" s="501"/>
      <c r="S383" s="501"/>
      <c r="T383" s="501"/>
      <c r="U383" s="501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498" t="s">
        <v>208</v>
      </c>
      <c r="C384" s="126" t="s">
        <v>207</v>
      </c>
      <c r="D384" s="108">
        <v>5.08</v>
      </c>
      <c r="E384" s="108"/>
      <c r="F384" s="127"/>
      <c r="G384" s="128"/>
      <c r="H384" s="506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497"/>
      <c r="P384" s="497"/>
      <c r="Q384" s="497"/>
      <c r="R384" s="497"/>
      <c r="S384" s="497"/>
      <c r="T384" s="497"/>
      <c r="U384" s="497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498" t="s">
        <v>209</v>
      </c>
      <c r="C385" s="126" t="s">
        <v>194</v>
      </c>
      <c r="D385" s="108">
        <v>5.03</v>
      </c>
      <c r="E385" s="108"/>
      <c r="F385" s="127"/>
      <c r="G385" s="128"/>
      <c r="H385" s="506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501"/>
      <c r="P385" s="501"/>
      <c r="Q385" s="501"/>
      <c r="R385" s="501"/>
      <c r="S385" s="501"/>
      <c r="T385" s="501"/>
      <c r="U385" s="501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498" t="s">
        <v>209</v>
      </c>
      <c r="C386" s="126" t="s">
        <v>179</v>
      </c>
      <c r="D386" s="108">
        <v>5.03</v>
      </c>
      <c r="E386" s="108"/>
      <c r="F386" s="127"/>
      <c r="G386" s="128"/>
      <c r="H386" s="506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501"/>
      <c r="P386" s="501"/>
      <c r="Q386" s="501"/>
      <c r="R386" s="501"/>
      <c r="S386" s="501"/>
      <c r="T386" s="501"/>
      <c r="U386" s="501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498" t="s">
        <v>209</v>
      </c>
      <c r="C387" s="126" t="s">
        <v>195</v>
      </c>
      <c r="D387" s="108">
        <v>5.03</v>
      </c>
      <c r="E387" s="108"/>
      <c r="F387" s="127"/>
      <c r="G387" s="128"/>
      <c r="H387" s="506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501"/>
      <c r="P387" s="501"/>
      <c r="Q387" s="501"/>
      <c r="R387" s="501"/>
      <c r="S387" s="501"/>
      <c r="T387" s="501"/>
      <c r="U387" s="501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498" t="s">
        <v>209</v>
      </c>
      <c r="C388" s="126" t="s">
        <v>204</v>
      </c>
      <c r="D388" s="108">
        <v>5.03</v>
      </c>
      <c r="E388" s="108"/>
      <c r="F388" s="127"/>
      <c r="G388" s="128"/>
      <c r="H388" s="506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501"/>
      <c r="P388" s="501"/>
      <c r="Q388" s="501"/>
      <c r="R388" s="501"/>
      <c r="S388" s="501"/>
      <c r="T388" s="501"/>
      <c r="U388" s="501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498" t="s">
        <v>382</v>
      </c>
      <c r="C389" s="187" t="s">
        <v>383</v>
      </c>
      <c r="D389" s="108">
        <v>5.03</v>
      </c>
      <c r="E389" s="108"/>
      <c r="F389" s="127"/>
      <c r="G389" s="128"/>
      <c r="H389" s="506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501"/>
      <c r="P389" s="501"/>
      <c r="Q389" s="501"/>
      <c r="R389" s="501"/>
      <c r="S389" s="501"/>
      <c r="T389" s="501"/>
      <c r="U389" s="501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498" t="s">
        <v>382</v>
      </c>
      <c r="C390" s="187" t="s">
        <v>384</v>
      </c>
      <c r="D390" s="108">
        <v>5.03</v>
      </c>
      <c r="E390" s="108"/>
      <c r="F390" s="127"/>
      <c r="G390" s="128"/>
      <c r="H390" s="506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501"/>
      <c r="P390" s="501"/>
      <c r="Q390" s="501"/>
      <c r="R390" s="501"/>
      <c r="S390" s="501"/>
      <c r="T390" s="501"/>
      <c r="U390" s="501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498" t="s">
        <v>382</v>
      </c>
      <c r="C391" s="187" t="s">
        <v>389</v>
      </c>
      <c r="D391" s="108">
        <v>5.03</v>
      </c>
      <c r="E391" s="108"/>
      <c r="F391" s="127"/>
      <c r="G391" s="128"/>
      <c r="H391" s="506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501"/>
      <c r="P391" s="501"/>
      <c r="Q391" s="501"/>
      <c r="R391" s="501"/>
      <c r="S391" s="501"/>
      <c r="T391" s="501"/>
      <c r="U391" s="501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498" t="s">
        <v>382</v>
      </c>
      <c r="C392" s="187" t="s">
        <v>391</v>
      </c>
      <c r="D392" s="108">
        <v>5.03</v>
      </c>
      <c r="E392" s="108"/>
      <c r="F392" s="127"/>
      <c r="G392" s="128"/>
      <c r="H392" s="506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501"/>
      <c r="P392" s="501"/>
      <c r="Q392" s="501"/>
      <c r="R392" s="501"/>
      <c r="S392" s="501"/>
      <c r="T392" s="501"/>
      <c r="U392" s="501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498" t="s">
        <v>418</v>
      </c>
      <c r="C393" s="187" t="s">
        <v>364</v>
      </c>
      <c r="D393" s="108">
        <v>5.03</v>
      </c>
      <c r="E393" s="108"/>
      <c r="F393" s="127"/>
      <c r="G393" s="128"/>
      <c r="H393" s="506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501"/>
      <c r="P393" s="501"/>
      <c r="Q393" s="501"/>
      <c r="R393" s="501"/>
      <c r="S393" s="501"/>
      <c r="T393" s="501"/>
      <c r="U393" s="501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498" t="s">
        <v>418</v>
      </c>
      <c r="C394" s="187" t="s">
        <v>365</v>
      </c>
      <c r="D394" s="108">
        <v>5.03</v>
      </c>
      <c r="E394" s="108"/>
      <c r="F394" s="127"/>
      <c r="G394" s="128"/>
      <c r="H394" s="506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501"/>
      <c r="P394" s="501"/>
      <c r="Q394" s="501"/>
      <c r="R394" s="501"/>
      <c r="S394" s="501"/>
      <c r="T394" s="501"/>
      <c r="U394" s="501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498" t="s">
        <v>418</v>
      </c>
      <c r="C395" s="187" t="s">
        <v>366</v>
      </c>
      <c r="D395" s="108">
        <v>5.03</v>
      </c>
      <c r="E395" s="108"/>
      <c r="F395" s="127"/>
      <c r="G395" s="128"/>
      <c r="H395" s="506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501"/>
      <c r="P395" s="501"/>
      <c r="Q395" s="501"/>
      <c r="R395" s="501"/>
      <c r="S395" s="501"/>
      <c r="T395" s="501"/>
      <c r="U395" s="501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498" t="s">
        <v>418</v>
      </c>
      <c r="C396" s="187" t="s">
        <v>367</v>
      </c>
      <c r="D396" s="108">
        <v>5.03</v>
      </c>
      <c r="E396" s="108"/>
      <c r="F396" s="127"/>
      <c r="G396" s="128"/>
      <c r="H396" s="506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501"/>
      <c r="P396" s="501"/>
      <c r="Q396" s="501"/>
      <c r="R396" s="501"/>
      <c r="S396" s="501"/>
      <c r="T396" s="501"/>
      <c r="U396" s="501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506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497"/>
      <c r="P397" s="497"/>
      <c r="Q397" s="497"/>
      <c r="R397" s="497"/>
      <c r="S397" s="497"/>
      <c r="T397" s="497"/>
      <c r="U397" s="497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506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497"/>
      <c r="P398" s="497"/>
      <c r="Q398" s="497"/>
      <c r="R398" s="497"/>
      <c r="S398" s="497"/>
      <c r="T398" s="497"/>
      <c r="U398" s="497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506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497"/>
      <c r="P399" s="497"/>
      <c r="Q399" s="497"/>
      <c r="R399" s="497"/>
      <c r="S399" s="497"/>
      <c r="T399" s="497"/>
      <c r="U399" s="497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506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497"/>
      <c r="P400" s="497"/>
      <c r="Q400" s="497"/>
      <c r="R400" s="497"/>
      <c r="S400" s="497"/>
      <c r="T400" s="497"/>
      <c r="U400" s="497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506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497"/>
      <c r="P401" s="497"/>
      <c r="Q401" s="497"/>
      <c r="R401" s="497"/>
      <c r="S401" s="497"/>
      <c r="T401" s="497"/>
      <c r="U401" s="497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506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497"/>
      <c r="P402" s="497"/>
      <c r="Q402" s="497"/>
      <c r="R402" s="497"/>
      <c r="S402" s="497"/>
      <c r="T402" s="497"/>
      <c r="U402" s="497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506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497"/>
      <c r="P403" s="497"/>
      <c r="Q403" s="497"/>
      <c r="R403" s="497"/>
      <c r="S403" s="497"/>
      <c r="T403" s="497"/>
      <c r="U403" s="497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506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497"/>
      <c r="P404" s="497"/>
      <c r="Q404" s="497"/>
      <c r="R404" s="497"/>
      <c r="S404" s="497"/>
      <c r="T404" s="497"/>
      <c r="U404" s="497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506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497"/>
      <c r="P405" s="497"/>
      <c r="Q405" s="497"/>
      <c r="R405" s="497"/>
      <c r="S405" s="497"/>
      <c r="T405" s="497"/>
      <c r="U405" s="497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506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497"/>
      <c r="P406" s="497"/>
      <c r="Q406" s="497"/>
      <c r="R406" s="497"/>
      <c r="S406" s="497"/>
      <c r="T406" s="497"/>
      <c r="U406" s="497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506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497"/>
      <c r="P407" s="497"/>
      <c r="Q407" s="497"/>
      <c r="R407" s="497"/>
      <c r="S407" s="497"/>
      <c r="T407" s="497"/>
      <c r="U407" s="497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506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497"/>
      <c r="P408" s="497"/>
      <c r="Q408" s="497"/>
      <c r="R408" s="497"/>
      <c r="S408" s="497"/>
      <c r="T408" s="497"/>
      <c r="U408" s="497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506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497"/>
      <c r="P409" s="497"/>
      <c r="Q409" s="497"/>
      <c r="R409" s="497"/>
      <c r="S409" s="497"/>
      <c r="T409" s="497"/>
      <c r="U409" s="497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506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497"/>
      <c r="P410" s="497"/>
      <c r="Q410" s="497"/>
      <c r="R410" s="497"/>
      <c r="S410" s="497"/>
      <c r="T410" s="497"/>
      <c r="U410" s="497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506">
        <f t="shared" si="171"/>
        <v>0</v>
      </c>
      <c r="I411" s="129"/>
      <c r="J411" s="130"/>
      <c r="K411" s="131"/>
      <c r="L411" s="129"/>
      <c r="M411" s="109"/>
      <c r="N411" s="130"/>
      <c r="O411" s="497"/>
      <c r="P411" s="497"/>
      <c r="Q411" s="497"/>
      <c r="R411" s="497"/>
      <c r="S411" s="497"/>
      <c r="T411" s="497"/>
      <c r="U411" s="497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506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497"/>
      <c r="P412" s="497"/>
      <c r="Q412" s="497"/>
      <c r="R412" s="497"/>
      <c r="S412" s="497"/>
      <c r="T412" s="497"/>
      <c r="U412" s="497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506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497"/>
      <c r="P413" s="497"/>
      <c r="Q413" s="497"/>
      <c r="R413" s="497"/>
      <c r="S413" s="497"/>
      <c r="T413" s="497"/>
      <c r="U413" s="497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506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497"/>
      <c r="P414" s="497"/>
      <c r="Q414" s="497"/>
      <c r="R414" s="497"/>
      <c r="S414" s="497"/>
      <c r="T414" s="497"/>
      <c r="U414" s="497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506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497"/>
      <c r="P415" s="497"/>
      <c r="Q415" s="497"/>
      <c r="R415" s="497"/>
      <c r="S415" s="497"/>
      <c r="T415" s="497"/>
      <c r="U415" s="497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506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497"/>
      <c r="P416" s="497"/>
      <c r="Q416" s="497"/>
      <c r="R416" s="497"/>
      <c r="S416" s="497"/>
      <c r="T416" s="497"/>
      <c r="U416" s="497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506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497"/>
      <c r="P417" s="497"/>
      <c r="Q417" s="497"/>
      <c r="R417" s="497"/>
      <c r="S417" s="497"/>
      <c r="T417" s="497"/>
      <c r="U417" s="497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506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497"/>
      <c r="P418" s="497"/>
      <c r="Q418" s="497"/>
      <c r="R418" s="497"/>
      <c r="S418" s="497"/>
      <c r="T418" s="497"/>
      <c r="U418" s="497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506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497"/>
      <c r="P419" s="497"/>
      <c r="Q419" s="497"/>
      <c r="R419" s="497"/>
      <c r="S419" s="497"/>
      <c r="T419" s="497"/>
      <c r="U419" s="497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506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497"/>
      <c r="P420" s="497"/>
      <c r="Q420" s="497"/>
      <c r="R420" s="497"/>
      <c r="S420" s="497"/>
      <c r="T420" s="497"/>
      <c r="U420" s="497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506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497"/>
      <c r="P421" s="497"/>
      <c r="Q421" s="497"/>
      <c r="R421" s="497"/>
      <c r="S421" s="497"/>
      <c r="T421" s="497"/>
      <c r="U421" s="497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506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497"/>
      <c r="P422" s="497"/>
      <c r="Q422" s="497"/>
      <c r="R422" s="497"/>
      <c r="S422" s="497"/>
      <c r="T422" s="497"/>
      <c r="U422" s="497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506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497"/>
      <c r="P423" s="497"/>
      <c r="Q423" s="497"/>
      <c r="R423" s="497"/>
      <c r="S423" s="497"/>
      <c r="T423" s="497"/>
      <c r="U423" s="497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506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497"/>
      <c r="P424" s="497"/>
      <c r="Q424" s="497"/>
      <c r="R424" s="497"/>
      <c r="S424" s="497"/>
      <c r="T424" s="497"/>
      <c r="U424" s="497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506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497"/>
      <c r="P425" s="497"/>
      <c r="Q425" s="497"/>
      <c r="R425" s="497"/>
      <c r="S425" s="497"/>
      <c r="T425" s="497"/>
      <c r="U425" s="497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41" t="s">
        <v>216</v>
      </c>
      <c r="B426" s="641"/>
      <c r="C426" s="504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25" hidden="1" customHeight="1">
      <c r="A427" s="299">
        <v>30400012</v>
      </c>
      <c r="B427" s="498" t="s">
        <v>217</v>
      </c>
      <c r="C427" s="126" t="s">
        <v>179</v>
      </c>
      <c r="D427" s="108">
        <v>5.03</v>
      </c>
      <c r="E427" s="108"/>
      <c r="F427" s="127"/>
      <c r="G427" s="128"/>
      <c r="H427" s="506">
        <f t="shared" ref="H427:H460" si="196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7">IF(ISERROR(I427-K427),"",I427-K427)</f>
        <v>0</v>
      </c>
      <c r="N427" s="130">
        <f t="shared" ref="N427:N434" si="198">SUM(O427:U427)</f>
        <v>0</v>
      </c>
      <c r="O427" s="497"/>
      <c r="P427" s="497"/>
      <c r="Q427" s="497"/>
      <c r="R427" s="497"/>
      <c r="S427" s="497"/>
      <c r="T427" s="497"/>
      <c r="U427" s="497"/>
      <c r="V427" s="132">
        <f t="shared" ref="V427:V433" si="199">SUM(X427:AA427)</f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498" t="s">
        <v>217</v>
      </c>
      <c r="C428" s="126" t="s">
        <v>186</v>
      </c>
      <c r="D428" s="108">
        <v>5.03</v>
      </c>
      <c r="E428" s="108"/>
      <c r="F428" s="127"/>
      <c r="G428" s="128"/>
      <c r="H428" s="506">
        <f t="shared" si="196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7"/>
        <v>0</v>
      </c>
      <c r="N428" s="130">
        <f t="shared" si="198"/>
        <v>0</v>
      </c>
      <c r="O428" s="497"/>
      <c r="P428" s="497"/>
      <c r="Q428" s="497"/>
      <c r="R428" s="497"/>
      <c r="S428" s="497"/>
      <c r="T428" s="497"/>
      <c r="U428" s="497"/>
      <c r="V428" s="132">
        <f t="shared" si="199"/>
        <v>0</v>
      </c>
      <c r="W428" s="133" t="str">
        <f t="shared" si="195"/>
        <v/>
      </c>
      <c r="X428" s="132"/>
      <c r="Y428" s="132"/>
      <c r="Z428" s="132"/>
      <c r="AA428" s="132"/>
    </row>
    <row r="429" spans="1:27" ht="20.100000000000001" customHeight="1">
      <c r="A429" s="299">
        <v>30400011</v>
      </c>
      <c r="B429" s="498" t="s">
        <v>217</v>
      </c>
      <c r="C429" s="126" t="s">
        <v>204</v>
      </c>
      <c r="D429" s="108">
        <v>5.03</v>
      </c>
      <c r="E429" s="108"/>
      <c r="F429" s="127">
        <v>42718</v>
      </c>
      <c r="G429" s="128">
        <f>72+52+28+74+26+38+33+72*6</f>
        <v>755</v>
      </c>
      <c r="H429" s="506">
        <f t="shared" si="196"/>
        <v>3797.65</v>
      </c>
      <c r="I429" s="129">
        <f>9+8+9+9.5+9.5+8+8.5</f>
        <v>61.5</v>
      </c>
      <c r="J429" s="130">
        <f t="array" ref="J429">IF(ISERROR(G429/I429),"",G429/I429)</f>
        <v>12.276422764227643</v>
      </c>
      <c r="K429" s="131">
        <f t="array" ref="K429">IF(ISERROR(G429/L429),"",G429/L429)</f>
        <v>85.795454545454533</v>
      </c>
      <c r="L429" s="129">
        <v>8.8000000000000007</v>
      </c>
      <c r="M429" s="109">
        <f t="shared" si="197"/>
        <v>-24.295454545454533</v>
      </c>
      <c r="N429" s="130">
        <f t="shared" si="198"/>
        <v>0</v>
      </c>
      <c r="O429" s="497"/>
      <c r="P429" s="497"/>
      <c r="Q429" s="497"/>
      <c r="R429" s="497"/>
      <c r="S429" s="497"/>
      <c r="T429" s="497"/>
      <c r="U429" s="497"/>
      <c r="V429" s="132">
        <f t="shared" si="199"/>
        <v>0</v>
      </c>
      <c r="W429" s="133">
        <f t="shared" si="195"/>
        <v>0</v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506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497"/>
      <c r="P430" s="497"/>
      <c r="Q430" s="497"/>
      <c r="R430" s="497"/>
      <c r="S430" s="497"/>
      <c r="T430" s="497"/>
      <c r="U430" s="497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506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7"/>
        <v>0</v>
      </c>
      <c r="N431" s="130">
        <f t="shared" si="198"/>
        <v>0</v>
      </c>
      <c r="O431" s="497"/>
      <c r="P431" s="497"/>
      <c r="Q431" s="497"/>
      <c r="R431" s="497"/>
      <c r="S431" s="497"/>
      <c r="T431" s="497"/>
      <c r="U431" s="497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506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7"/>
        <v>0</v>
      </c>
      <c r="N432" s="130">
        <f t="shared" si="198"/>
        <v>0</v>
      </c>
      <c r="O432" s="497"/>
      <c r="P432" s="497"/>
      <c r="Q432" s="497"/>
      <c r="R432" s="497"/>
      <c r="S432" s="497"/>
      <c r="T432" s="497"/>
      <c r="U432" s="497"/>
      <c r="V432" s="132">
        <f t="shared" si="199"/>
        <v>0</v>
      </c>
      <c r="W432" s="133" t="str">
        <f t="shared" si="195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506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497"/>
      <c r="P433" s="497"/>
      <c r="Q433" s="497"/>
      <c r="R433" s="497"/>
      <c r="S433" s="497"/>
      <c r="T433" s="497"/>
      <c r="U433" s="497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506">
        <f t="shared" si="196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497"/>
      <c r="P434" s="497"/>
      <c r="Q434" s="497"/>
      <c r="R434" s="497"/>
      <c r="S434" s="497"/>
      <c r="T434" s="497"/>
      <c r="U434" s="497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506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497"/>
      <c r="P435" s="497"/>
      <c r="Q435" s="497"/>
      <c r="R435" s="497"/>
      <c r="S435" s="497"/>
      <c r="T435" s="497"/>
      <c r="U435" s="497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506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497"/>
      <c r="P436" s="497"/>
      <c r="Q436" s="497"/>
      <c r="R436" s="497"/>
      <c r="S436" s="497"/>
      <c r="T436" s="497"/>
      <c r="U436" s="497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506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97"/>
      <c r="P437" s="497"/>
      <c r="Q437" s="497"/>
      <c r="R437" s="497"/>
      <c r="S437" s="497"/>
      <c r="T437" s="497"/>
      <c r="U437" s="497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506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97"/>
      <c r="P438" s="497"/>
      <c r="Q438" s="497"/>
      <c r="R438" s="497"/>
      <c r="S438" s="497"/>
      <c r="T438" s="497"/>
      <c r="U438" s="497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506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497"/>
      <c r="P439" s="497"/>
      <c r="Q439" s="497"/>
      <c r="R439" s="497"/>
      <c r="S439" s="497"/>
      <c r="T439" s="497"/>
      <c r="U439" s="497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506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497"/>
      <c r="P440" s="497"/>
      <c r="Q440" s="497"/>
      <c r="R440" s="497"/>
      <c r="S440" s="497"/>
      <c r="T440" s="497"/>
      <c r="U440" s="497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506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497"/>
      <c r="P441" s="497"/>
      <c r="Q441" s="497"/>
      <c r="R441" s="497"/>
      <c r="S441" s="497"/>
      <c r="T441" s="497"/>
      <c r="U441" s="497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506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497"/>
      <c r="P442" s="497"/>
      <c r="Q442" s="497"/>
      <c r="R442" s="497"/>
      <c r="S442" s="497"/>
      <c r="T442" s="497"/>
      <c r="U442" s="497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498" t="s">
        <v>222</v>
      </c>
      <c r="C443" s="126" t="s">
        <v>181</v>
      </c>
      <c r="D443" s="108">
        <v>9.36</v>
      </c>
      <c r="E443" s="108"/>
      <c r="F443" s="127"/>
      <c r="G443" s="128"/>
      <c r="H443" s="506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497"/>
      <c r="P443" s="497"/>
      <c r="Q443" s="497"/>
      <c r="R443" s="497"/>
      <c r="S443" s="497"/>
      <c r="T443" s="497"/>
      <c r="U443" s="497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498" t="s">
        <v>222</v>
      </c>
      <c r="C444" s="126" t="s">
        <v>179</v>
      </c>
      <c r="D444" s="108">
        <v>9.36</v>
      </c>
      <c r="E444" s="108"/>
      <c r="F444" s="127"/>
      <c r="G444" s="128"/>
      <c r="H444" s="506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497"/>
      <c r="P444" s="497"/>
      <c r="Q444" s="497"/>
      <c r="R444" s="497"/>
      <c r="S444" s="497"/>
      <c r="T444" s="497"/>
      <c r="U444" s="497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498" t="s">
        <v>222</v>
      </c>
      <c r="C445" s="126" t="s">
        <v>221</v>
      </c>
      <c r="D445" s="108">
        <v>9.36</v>
      </c>
      <c r="E445" s="108"/>
      <c r="F445" s="127"/>
      <c r="G445" s="128"/>
      <c r="H445" s="506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497"/>
      <c r="P445" s="497"/>
      <c r="Q445" s="497"/>
      <c r="R445" s="497"/>
      <c r="S445" s="497"/>
      <c r="T445" s="497"/>
      <c r="U445" s="497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498" t="s">
        <v>222</v>
      </c>
      <c r="C446" s="126" t="s">
        <v>186</v>
      </c>
      <c r="D446" s="108">
        <v>9.36</v>
      </c>
      <c r="E446" s="108"/>
      <c r="F446" s="127"/>
      <c r="G446" s="128"/>
      <c r="H446" s="506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497"/>
      <c r="P446" s="497"/>
      <c r="Q446" s="497"/>
      <c r="R446" s="497"/>
      <c r="S446" s="497"/>
      <c r="T446" s="497"/>
      <c r="U446" s="497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498" t="s">
        <v>393</v>
      </c>
      <c r="C447" s="187" t="s">
        <v>395</v>
      </c>
      <c r="D447" s="108">
        <v>5</v>
      </c>
      <c r="E447" s="108"/>
      <c r="F447" s="127"/>
      <c r="G447" s="128"/>
      <c r="H447" s="506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497"/>
      <c r="P447" s="497"/>
      <c r="Q447" s="497"/>
      <c r="R447" s="497"/>
      <c r="S447" s="497"/>
      <c r="T447" s="497"/>
      <c r="U447" s="497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498" t="s">
        <v>393</v>
      </c>
      <c r="C448" s="187" t="s">
        <v>402</v>
      </c>
      <c r="D448" s="108">
        <v>5</v>
      </c>
      <c r="E448" s="108"/>
      <c r="F448" s="127"/>
      <c r="G448" s="128"/>
      <c r="H448" s="506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497"/>
      <c r="P448" s="497"/>
      <c r="Q448" s="497"/>
      <c r="R448" s="497"/>
      <c r="S448" s="497"/>
      <c r="T448" s="497"/>
      <c r="U448" s="497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498" t="s">
        <v>404</v>
      </c>
      <c r="C449" s="187" t="s">
        <v>405</v>
      </c>
      <c r="D449" s="108">
        <v>5</v>
      </c>
      <c r="E449" s="108"/>
      <c r="F449" s="127"/>
      <c r="G449" s="128"/>
      <c r="H449" s="506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497"/>
      <c r="P449" s="497"/>
      <c r="Q449" s="497"/>
      <c r="R449" s="497"/>
      <c r="S449" s="497"/>
      <c r="T449" s="497"/>
      <c r="U449" s="497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498" t="s">
        <v>342</v>
      </c>
      <c r="C450" s="187" t="s">
        <v>372</v>
      </c>
      <c r="D450" s="108">
        <v>5</v>
      </c>
      <c r="E450" s="108"/>
      <c r="F450" s="127"/>
      <c r="G450" s="128"/>
      <c r="H450" s="506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497"/>
      <c r="P450" s="497"/>
      <c r="Q450" s="497"/>
      <c r="R450" s="497"/>
      <c r="S450" s="497"/>
      <c r="T450" s="497"/>
      <c r="U450" s="497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498" t="s">
        <v>343</v>
      </c>
      <c r="C451" s="126" t="s">
        <v>345</v>
      </c>
      <c r="D451" s="108">
        <v>5</v>
      </c>
      <c r="E451" s="108"/>
      <c r="F451" s="127"/>
      <c r="G451" s="128"/>
      <c r="H451" s="506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497"/>
      <c r="P451" s="497"/>
      <c r="Q451" s="497"/>
      <c r="R451" s="497"/>
      <c r="S451" s="497"/>
      <c r="T451" s="497"/>
      <c r="U451" s="497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498" t="s">
        <v>343</v>
      </c>
      <c r="C452" s="126" t="s">
        <v>347</v>
      </c>
      <c r="D452" s="108">
        <v>5</v>
      </c>
      <c r="E452" s="108"/>
      <c r="F452" s="127"/>
      <c r="G452" s="128"/>
      <c r="H452" s="506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497"/>
      <c r="P452" s="497"/>
      <c r="Q452" s="497"/>
      <c r="R452" s="497"/>
      <c r="S452" s="497"/>
      <c r="T452" s="497"/>
      <c r="U452" s="497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506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497"/>
      <c r="P453" s="497"/>
      <c r="Q453" s="497"/>
      <c r="R453" s="497"/>
      <c r="S453" s="497"/>
      <c r="T453" s="497"/>
      <c r="U453" s="497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506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497"/>
      <c r="P454" s="497"/>
      <c r="Q454" s="497"/>
      <c r="R454" s="497"/>
      <c r="S454" s="497"/>
      <c r="T454" s="497"/>
      <c r="U454" s="497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506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497"/>
      <c r="P455" s="497"/>
      <c r="Q455" s="497"/>
      <c r="R455" s="497"/>
      <c r="S455" s="497"/>
      <c r="T455" s="497"/>
      <c r="U455" s="497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506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497"/>
      <c r="P456" s="497"/>
      <c r="Q456" s="497"/>
      <c r="R456" s="497"/>
      <c r="S456" s="497"/>
      <c r="T456" s="497"/>
      <c r="U456" s="497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506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497"/>
      <c r="P457" s="497"/>
      <c r="Q457" s="497"/>
      <c r="R457" s="497"/>
      <c r="S457" s="497"/>
      <c r="T457" s="497"/>
      <c r="U457" s="497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506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497"/>
      <c r="P458" s="497"/>
      <c r="Q458" s="497"/>
      <c r="R458" s="497"/>
      <c r="S458" s="497"/>
      <c r="T458" s="497"/>
      <c r="U458" s="497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506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497"/>
      <c r="P459" s="497"/>
      <c r="Q459" s="497"/>
      <c r="R459" s="497"/>
      <c r="S459" s="497"/>
      <c r="T459" s="497"/>
      <c r="U459" s="497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506">
        <f t="shared" si="196"/>
        <v>0</v>
      </c>
      <c r="I460" s="129"/>
      <c r="J460" s="130" t="str">
        <f t="array" ref="J460">IF(ISERROR(G460/I460),"",G460/I460)</f>
        <v/>
      </c>
      <c r="K460" s="506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497"/>
      <c r="P460" s="497"/>
      <c r="Q460" s="497"/>
      <c r="R460" s="497"/>
      <c r="S460" s="497"/>
      <c r="T460" s="497"/>
      <c r="U460" s="497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customHeight="1">
      <c r="A461" s="630" t="s">
        <v>224</v>
      </c>
      <c r="B461" s="631"/>
      <c r="C461" s="504" t="s">
        <v>202</v>
      </c>
      <c r="D461" s="143"/>
      <c r="E461" s="143"/>
      <c r="F461" s="144"/>
      <c r="G461" s="145">
        <f>SUM(G427:G460)</f>
        <v>755</v>
      </c>
      <c r="H461" s="146">
        <f>SUM(H427:H460)</f>
        <v>3797.65</v>
      </c>
      <c r="I461" s="146">
        <f>SUM(I427:I460)</f>
        <v>61.5</v>
      </c>
      <c r="J461" s="130">
        <f t="array" ref="J461">IF(ISERROR(G461/I461),"",G461/I461)</f>
        <v>12.276422764227643</v>
      </c>
      <c r="K461" s="146">
        <f>SUM(K427:K460)</f>
        <v>85.795454545454533</v>
      </c>
      <c r="L461" s="147"/>
      <c r="M461" s="150">
        <f t="shared" ref="M461:V461" si="210">SUM(M427:M460)</f>
        <v>-24.295454545454533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>
        <f t="shared" si="209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506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497"/>
      <c r="P462" s="497"/>
      <c r="Q462" s="497"/>
      <c r="R462" s="497"/>
      <c r="S462" s="497"/>
      <c r="T462" s="497"/>
      <c r="U462" s="497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506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497"/>
      <c r="P463" s="497"/>
      <c r="Q463" s="497"/>
      <c r="R463" s="497"/>
      <c r="S463" s="497"/>
      <c r="T463" s="497"/>
      <c r="U463" s="497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506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497"/>
      <c r="P464" s="497"/>
      <c r="Q464" s="497"/>
      <c r="R464" s="497"/>
      <c r="S464" s="497"/>
      <c r="T464" s="497"/>
      <c r="U464" s="497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506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497"/>
      <c r="P465" s="497"/>
      <c r="Q465" s="497"/>
      <c r="R465" s="497"/>
      <c r="S465" s="497"/>
      <c r="T465" s="497"/>
      <c r="U465" s="497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502" t="s">
        <v>203</v>
      </c>
      <c r="D466" s="108">
        <v>5.03</v>
      </c>
      <c r="E466" s="108"/>
      <c r="F466" s="127"/>
      <c r="G466" s="128"/>
      <c r="H466" s="506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497"/>
      <c r="P466" s="497"/>
      <c r="Q466" s="497"/>
      <c r="R466" s="497"/>
      <c r="S466" s="497"/>
      <c r="T466" s="497"/>
      <c r="U466" s="497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506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497"/>
      <c r="P467" s="497"/>
      <c r="Q467" s="497"/>
      <c r="R467" s="497"/>
      <c r="S467" s="497"/>
      <c r="T467" s="497"/>
      <c r="U467" s="497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506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497"/>
      <c r="P468" s="497"/>
      <c r="Q468" s="497"/>
      <c r="R468" s="497"/>
      <c r="S468" s="497"/>
      <c r="T468" s="497"/>
      <c r="U468" s="497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502" t="s">
        <v>228</v>
      </c>
      <c r="D469" s="108">
        <v>5.03</v>
      </c>
      <c r="E469" s="108"/>
      <c r="F469" s="127"/>
      <c r="G469" s="128"/>
      <c r="H469" s="506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497"/>
      <c r="P469" s="497"/>
      <c r="Q469" s="497"/>
      <c r="R469" s="497"/>
      <c r="S469" s="497"/>
      <c r="T469" s="497"/>
      <c r="U469" s="497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502" t="s">
        <v>212</v>
      </c>
      <c r="D470" s="108">
        <v>5.03</v>
      </c>
      <c r="E470" s="108"/>
      <c r="F470" s="127"/>
      <c r="G470" s="128"/>
      <c r="H470" s="506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497"/>
      <c r="P470" s="497"/>
      <c r="Q470" s="497"/>
      <c r="R470" s="497"/>
      <c r="S470" s="497"/>
      <c r="T470" s="497"/>
      <c r="U470" s="497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502" t="s">
        <v>203</v>
      </c>
      <c r="D471" s="108">
        <v>5.03</v>
      </c>
      <c r="E471" s="108"/>
      <c r="F471" s="127"/>
      <c r="G471" s="128"/>
      <c r="H471" s="506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497"/>
      <c r="P471" s="497"/>
      <c r="Q471" s="497"/>
      <c r="R471" s="497"/>
      <c r="S471" s="497"/>
      <c r="T471" s="497"/>
      <c r="U471" s="497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502" t="s">
        <v>186</v>
      </c>
      <c r="D472" s="108">
        <v>5.03</v>
      </c>
      <c r="E472" s="108"/>
      <c r="F472" s="127"/>
      <c r="G472" s="128"/>
      <c r="H472" s="506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497"/>
      <c r="P472" s="497"/>
      <c r="Q472" s="497"/>
      <c r="R472" s="497"/>
      <c r="S472" s="497"/>
      <c r="T472" s="497"/>
      <c r="U472" s="497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502" t="s">
        <v>228</v>
      </c>
      <c r="D473" s="108">
        <v>5.03</v>
      </c>
      <c r="E473" s="108"/>
      <c r="F473" s="127"/>
      <c r="G473" s="128"/>
      <c r="H473" s="506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497"/>
      <c r="P473" s="497"/>
      <c r="Q473" s="497"/>
      <c r="R473" s="497"/>
      <c r="S473" s="497"/>
      <c r="T473" s="497"/>
      <c r="U473" s="497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502" t="s">
        <v>199</v>
      </c>
      <c r="D474" s="108">
        <v>5.03</v>
      </c>
      <c r="E474" s="108"/>
      <c r="F474" s="127"/>
      <c r="G474" s="128"/>
      <c r="H474" s="506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497"/>
      <c r="P474" s="497"/>
      <c r="Q474" s="497"/>
      <c r="R474" s="497"/>
      <c r="S474" s="497"/>
      <c r="T474" s="497"/>
      <c r="U474" s="497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506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497"/>
      <c r="P475" s="497"/>
      <c r="Q475" s="497"/>
      <c r="R475" s="497"/>
      <c r="S475" s="497"/>
      <c r="T475" s="497"/>
      <c r="U475" s="497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506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497"/>
      <c r="P476" s="497"/>
      <c r="Q476" s="497"/>
      <c r="R476" s="497"/>
      <c r="S476" s="497"/>
      <c r="T476" s="497"/>
      <c r="U476" s="497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630" t="s">
        <v>231</v>
      </c>
      <c r="B477" s="631"/>
      <c r="C477" s="504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506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497"/>
      <c r="P478" s="497"/>
      <c r="Q478" s="497"/>
      <c r="R478" s="497"/>
      <c r="S478" s="497"/>
      <c r="T478" s="497"/>
      <c r="U478" s="497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506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497"/>
      <c r="P479" s="497"/>
      <c r="Q479" s="497"/>
      <c r="R479" s="497"/>
      <c r="S479" s="497"/>
      <c r="T479" s="497"/>
      <c r="U479" s="497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506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497"/>
      <c r="P480" s="497"/>
      <c r="Q480" s="497"/>
      <c r="R480" s="497"/>
      <c r="S480" s="497"/>
      <c r="T480" s="497"/>
      <c r="U480" s="497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506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497"/>
      <c r="P481" s="497"/>
      <c r="Q481" s="497"/>
      <c r="R481" s="497"/>
      <c r="S481" s="497"/>
      <c r="T481" s="497"/>
      <c r="U481" s="497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506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497"/>
      <c r="P482" s="497"/>
      <c r="Q482" s="497"/>
      <c r="R482" s="497"/>
      <c r="S482" s="497"/>
      <c r="T482" s="497"/>
      <c r="U482" s="497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506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497"/>
      <c r="P483" s="497"/>
      <c r="Q483" s="497"/>
      <c r="R483" s="497"/>
      <c r="S483" s="497"/>
      <c r="T483" s="497"/>
      <c r="U483" s="497"/>
      <c r="V483" s="132"/>
      <c r="W483" s="133"/>
      <c r="X483" s="132"/>
      <c r="Y483" s="132"/>
      <c r="Z483" s="132"/>
      <c r="AA483" s="132"/>
    </row>
    <row r="484" spans="1:27" ht="20.100000000000001" hidden="1" customHeight="1">
      <c r="A484" s="300">
        <v>30400020</v>
      </c>
      <c r="B484" s="134" t="s">
        <v>439</v>
      </c>
      <c r="C484" s="187" t="s">
        <v>74</v>
      </c>
      <c r="D484" s="108">
        <v>5.04</v>
      </c>
      <c r="E484" s="108"/>
      <c r="F484" s="127"/>
      <c r="G484" s="128"/>
      <c r="H484" s="506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497"/>
      <c r="P484" s="497"/>
      <c r="Q484" s="497"/>
      <c r="R484" s="497"/>
      <c r="S484" s="497"/>
      <c r="T484" s="497"/>
      <c r="U484" s="497"/>
      <c r="V484" s="132"/>
      <c r="W484" s="133"/>
      <c r="X484" s="132"/>
      <c r="Y484" s="132"/>
      <c r="Z484" s="132"/>
      <c r="AA484" s="132"/>
    </row>
    <row r="485" spans="1:27" ht="20.100000000000001" hidden="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506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497"/>
      <c r="P486" s="497"/>
      <c r="Q486" s="497"/>
      <c r="R486" s="497"/>
      <c r="S486" s="497"/>
      <c r="T486" s="497"/>
      <c r="U486" s="497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30" t="s">
        <v>234</v>
      </c>
      <c r="B487" s="631"/>
      <c r="C487" s="504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496"/>
      <c r="D488" s="108">
        <v>3.65</v>
      </c>
      <c r="E488" s="108"/>
      <c r="F488" s="153"/>
      <c r="G488" s="128"/>
      <c r="H488" s="506">
        <f t="shared" ref="H488:H502" si="223">D488*G488</f>
        <v>0</v>
      </c>
      <c r="I488" s="129"/>
      <c r="J488" s="130" t="str">
        <f t="array" ref="J488">IF(ISERROR(G488/I488),"",G488/I488)</f>
        <v/>
      </c>
      <c r="K488" s="506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497"/>
      <c r="P488" s="497"/>
      <c r="Q488" s="497"/>
      <c r="R488" s="497"/>
      <c r="S488" s="497"/>
      <c r="T488" s="497"/>
      <c r="U488" s="497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496"/>
      <c r="D489" s="108">
        <v>6.58</v>
      </c>
      <c r="E489" s="108"/>
      <c r="F489" s="127"/>
      <c r="G489" s="128"/>
      <c r="H489" s="506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497"/>
      <c r="P489" s="497"/>
      <c r="Q489" s="497"/>
      <c r="R489" s="497"/>
      <c r="S489" s="497"/>
      <c r="T489" s="497"/>
      <c r="U489" s="497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496"/>
      <c r="D490" s="108">
        <v>7.8</v>
      </c>
      <c r="E490" s="108"/>
      <c r="F490" s="127"/>
      <c r="G490" s="128"/>
      <c r="H490" s="506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497"/>
      <c r="P490" s="497"/>
      <c r="Q490" s="497"/>
      <c r="R490" s="497"/>
      <c r="S490" s="497"/>
      <c r="T490" s="497"/>
      <c r="U490" s="497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496"/>
      <c r="D491" s="108">
        <v>4.4000000000000004</v>
      </c>
      <c r="E491" s="108"/>
      <c r="F491" s="127"/>
      <c r="G491" s="128"/>
      <c r="H491" s="506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497"/>
      <c r="P491" s="497"/>
      <c r="Q491" s="497"/>
      <c r="R491" s="497"/>
      <c r="S491" s="497"/>
      <c r="T491" s="497"/>
      <c r="U491" s="497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506">
        <f t="shared" si="223"/>
        <v>0</v>
      </c>
      <c r="I492" s="129"/>
      <c r="J492" s="130"/>
      <c r="K492" s="131"/>
      <c r="L492" s="129"/>
      <c r="M492" s="109"/>
      <c r="N492" s="130"/>
      <c r="O492" s="497"/>
      <c r="P492" s="497"/>
      <c r="Q492" s="497"/>
      <c r="R492" s="497"/>
      <c r="S492" s="497"/>
      <c r="T492" s="497"/>
      <c r="U492" s="497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496"/>
      <c r="D493" s="108"/>
      <c r="E493" s="108"/>
      <c r="F493" s="127"/>
      <c r="G493" s="128"/>
      <c r="H493" s="506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497"/>
      <c r="P493" s="497"/>
      <c r="Q493" s="497"/>
      <c r="R493" s="497"/>
      <c r="S493" s="497"/>
      <c r="T493" s="497"/>
      <c r="U493" s="497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496" t="s">
        <v>239</v>
      </c>
      <c r="C494" s="496" t="s">
        <v>179</v>
      </c>
      <c r="D494" s="108">
        <v>6.04</v>
      </c>
      <c r="E494" s="108"/>
      <c r="F494" s="127"/>
      <c r="G494" s="128"/>
      <c r="H494" s="506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497"/>
      <c r="P494" s="497"/>
      <c r="Q494" s="497"/>
      <c r="R494" s="497"/>
      <c r="S494" s="497"/>
      <c r="T494" s="497"/>
      <c r="U494" s="497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496" t="s">
        <v>239</v>
      </c>
      <c r="C495" s="496" t="s">
        <v>186</v>
      </c>
      <c r="D495" s="108">
        <v>6.04</v>
      </c>
      <c r="E495" s="108"/>
      <c r="F495" s="127"/>
      <c r="G495" s="128"/>
      <c r="H495" s="506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497"/>
      <c r="P495" s="497"/>
      <c r="Q495" s="497"/>
      <c r="R495" s="497"/>
      <c r="S495" s="497"/>
      <c r="T495" s="497"/>
      <c r="U495" s="497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496" t="s">
        <v>443</v>
      </c>
      <c r="C496" s="496" t="s">
        <v>179</v>
      </c>
      <c r="D496" s="108"/>
      <c r="E496" s="108"/>
      <c r="F496" s="127"/>
      <c r="G496" s="128"/>
      <c r="H496" s="506">
        <f t="shared" si="223"/>
        <v>0</v>
      </c>
      <c r="I496" s="129"/>
      <c r="J496" s="130"/>
      <c r="K496" s="131"/>
      <c r="L496" s="129"/>
      <c r="M496" s="109"/>
      <c r="N496" s="130"/>
      <c r="O496" s="497"/>
      <c r="P496" s="497"/>
      <c r="Q496" s="497"/>
      <c r="R496" s="497"/>
      <c r="S496" s="497"/>
      <c r="T496" s="497"/>
      <c r="U496" s="497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496" t="s">
        <v>443</v>
      </c>
      <c r="C497" s="496" t="s">
        <v>186</v>
      </c>
      <c r="D497" s="108"/>
      <c r="E497" s="108"/>
      <c r="F497" s="127"/>
      <c r="G497" s="128"/>
      <c r="H497" s="506">
        <f t="shared" si="223"/>
        <v>0</v>
      </c>
      <c r="I497" s="129"/>
      <c r="J497" s="130"/>
      <c r="K497" s="131"/>
      <c r="L497" s="129"/>
      <c r="M497" s="109"/>
      <c r="N497" s="130"/>
      <c r="O497" s="497"/>
      <c r="P497" s="497"/>
      <c r="Q497" s="497"/>
      <c r="R497" s="497"/>
      <c r="S497" s="497"/>
      <c r="T497" s="497"/>
      <c r="U497" s="497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498" t="s">
        <v>240</v>
      </c>
      <c r="C498" s="126"/>
      <c r="D498" s="108">
        <v>7.3</v>
      </c>
      <c r="E498" s="108"/>
      <c r="F498" s="127"/>
      <c r="G498" s="128"/>
      <c r="H498" s="506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497"/>
      <c r="P498" s="497"/>
      <c r="Q498" s="497"/>
      <c r="R498" s="497"/>
      <c r="S498" s="497"/>
      <c r="T498" s="497"/>
      <c r="U498" s="497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498" t="s">
        <v>241</v>
      </c>
      <c r="C499" s="126"/>
      <c r="D499" s="108">
        <f>78*120/1000</f>
        <v>9.36</v>
      </c>
      <c r="E499" s="108"/>
      <c r="F499" s="127"/>
      <c r="G499" s="128"/>
      <c r="H499" s="506">
        <f t="shared" si="223"/>
        <v>0</v>
      </c>
      <c r="I499" s="129"/>
      <c r="J499" s="130"/>
      <c r="K499" s="131"/>
      <c r="L499" s="129"/>
      <c r="M499" s="109"/>
      <c r="N499" s="130"/>
      <c r="O499" s="497"/>
      <c r="P499" s="497"/>
      <c r="Q499" s="497"/>
      <c r="R499" s="497"/>
      <c r="S499" s="497"/>
      <c r="T499" s="497"/>
      <c r="U499" s="497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498" t="s">
        <v>242</v>
      </c>
      <c r="C500" s="126"/>
      <c r="D500" s="108">
        <v>4.5</v>
      </c>
      <c r="E500" s="108"/>
      <c r="F500" s="127"/>
      <c r="G500" s="128"/>
      <c r="H500" s="506">
        <f t="shared" si="223"/>
        <v>0</v>
      </c>
      <c r="I500" s="129"/>
      <c r="J500" s="130"/>
      <c r="K500" s="131"/>
      <c r="L500" s="129"/>
      <c r="M500" s="109"/>
      <c r="N500" s="130"/>
      <c r="O500" s="497"/>
      <c r="P500" s="497"/>
      <c r="Q500" s="497"/>
      <c r="R500" s="497"/>
      <c r="S500" s="497"/>
      <c r="T500" s="497"/>
      <c r="U500" s="497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498" t="s">
        <v>243</v>
      </c>
      <c r="C501" s="126"/>
      <c r="D501" s="108">
        <v>4.5</v>
      </c>
      <c r="E501" s="108"/>
      <c r="F501" s="127"/>
      <c r="G501" s="128"/>
      <c r="H501" s="506">
        <f t="shared" si="223"/>
        <v>0</v>
      </c>
      <c r="I501" s="129"/>
      <c r="J501" s="130"/>
      <c r="K501" s="131"/>
      <c r="L501" s="129"/>
      <c r="M501" s="109"/>
      <c r="N501" s="130"/>
      <c r="O501" s="497"/>
      <c r="P501" s="497"/>
      <c r="Q501" s="497"/>
      <c r="R501" s="497"/>
      <c r="S501" s="497"/>
      <c r="T501" s="497"/>
      <c r="U501" s="497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498"/>
      <c r="C502" s="126"/>
      <c r="D502" s="108"/>
      <c r="E502" s="108"/>
      <c r="F502" s="127"/>
      <c r="G502" s="128"/>
      <c r="H502" s="506">
        <f t="shared" si="223"/>
        <v>0</v>
      </c>
      <c r="I502" s="129"/>
      <c r="J502" s="130"/>
      <c r="K502" s="131"/>
      <c r="L502" s="129"/>
      <c r="M502" s="109"/>
      <c r="N502" s="130"/>
      <c r="O502" s="497"/>
      <c r="P502" s="497"/>
      <c r="Q502" s="497"/>
      <c r="R502" s="497"/>
      <c r="S502" s="497"/>
      <c r="T502" s="497"/>
      <c r="U502" s="497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30" t="s">
        <v>244</v>
      </c>
      <c r="B503" s="631"/>
      <c r="C503" s="504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632" t="s">
        <v>246</v>
      </c>
      <c r="B504" s="633"/>
      <c r="C504" s="633"/>
      <c r="D504" s="633"/>
      <c r="E504" s="633"/>
      <c r="F504" s="634"/>
      <c r="G504" s="154">
        <f>SUM(G368,G426,G461,G477,G487,G503)</f>
        <v>755</v>
      </c>
      <c r="H504" s="154">
        <f>SUM(H368,H426,H461,H477,H487,H503)</f>
        <v>3797.65</v>
      </c>
      <c r="I504" s="154">
        <f>SUM(I368,I426,I461,I477,I487,I503)</f>
        <v>61.5</v>
      </c>
      <c r="J504" s="155">
        <f t="array" ref="J504">IF(ISERROR(G504/I504),"",G504/I504)</f>
        <v>12.276422764227643</v>
      </c>
      <c r="K504" s="154">
        <f>SUM(K368,K426,K461,K477,K487,K503)</f>
        <v>85.795454545454533</v>
      </c>
      <c r="L504" s="155">
        <f>IF(ISERROR(G504/K504),"",G504/K504)</f>
        <v>8.8000000000000007</v>
      </c>
      <c r="M504" s="154">
        <f t="shared" ref="M504:V504" si="236">SUM(M368,M426,M461,M477,M487,M503)</f>
        <v>-24.295454545454533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>
        <f t="shared" ref="W504" si="237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35" t="s">
        <v>476</v>
      </c>
      <c r="B505" s="503" t="s">
        <v>247</v>
      </c>
      <c r="C505" s="638" t="s">
        <v>248</v>
      </c>
      <c r="D505" s="639"/>
      <c r="E505" s="640" t="s">
        <v>249</v>
      </c>
      <c r="F505" s="640"/>
      <c r="G505" s="643" t="s">
        <v>250</v>
      </c>
      <c r="H505" s="643"/>
      <c r="I505" s="640" t="s">
        <v>251</v>
      </c>
      <c r="J505" s="640"/>
      <c r="K505" s="640" t="s">
        <v>252</v>
      </c>
      <c r="L505" s="640"/>
      <c r="M505" s="640" t="s">
        <v>253</v>
      </c>
      <c r="N505" s="640"/>
      <c r="O505" s="640" t="s">
        <v>254</v>
      </c>
      <c r="P505" s="643" t="s">
        <v>255</v>
      </c>
      <c r="Q505" s="643"/>
      <c r="R505" s="643" t="s">
        <v>252</v>
      </c>
      <c r="S505" s="643"/>
      <c r="T505" s="643" t="s">
        <v>256</v>
      </c>
      <c r="U505" s="643"/>
      <c r="V505" s="643" t="s">
        <v>257</v>
      </c>
      <c r="W505" s="643"/>
      <c r="X505" s="643" t="s">
        <v>252</v>
      </c>
      <c r="Y505" s="643"/>
      <c r="Z505" s="643" t="s">
        <v>256</v>
      </c>
      <c r="AA505" s="643"/>
    </row>
    <row r="506" spans="1:27" ht="20.100000000000001" customHeight="1">
      <c r="A506" s="636"/>
      <c r="B506" s="503" t="s">
        <v>258</v>
      </c>
      <c r="C506" s="638">
        <v>0</v>
      </c>
      <c r="D506" s="639"/>
      <c r="E506" s="642">
        <f>C506*11</f>
        <v>0</v>
      </c>
      <c r="F506" s="642"/>
      <c r="G506" s="643">
        <v>0</v>
      </c>
      <c r="H506" s="643"/>
      <c r="I506" s="642">
        <f>G506*11</f>
        <v>0</v>
      </c>
      <c r="J506" s="642"/>
      <c r="K506" s="642">
        <f>E506-I506</f>
        <v>0</v>
      </c>
      <c r="L506" s="642"/>
      <c r="M506" s="644" t="str">
        <f>IF(ISERROR(K506/E506),"",K506/E506)</f>
        <v/>
      </c>
      <c r="N506" s="644"/>
      <c r="O506" s="640"/>
      <c r="P506" s="643" t="s">
        <v>201</v>
      </c>
      <c r="Q506" s="643"/>
      <c r="R506" s="645">
        <f>SUM(O368:U368)</f>
        <v>0</v>
      </c>
      <c r="S506" s="645"/>
      <c r="T506" s="646" t="str">
        <f t="array" ref="T506">IF(ISERROR(R506/R513),"",R506/R513)</f>
        <v/>
      </c>
      <c r="U506" s="646"/>
      <c r="V506" s="643" t="s">
        <v>259</v>
      </c>
      <c r="W506" s="643"/>
      <c r="X506" s="647">
        <f>SUM(O368,O426,O461,O477,O487,O503)</f>
        <v>0</v>
      </c>
      <c r="Y506" s="647"/>
      <c r="Z506" s="646" t="str">
        <f t="array" ref="Z506">IF(ISERROR(X506/X513),"",X506/X513)</f>
        <v/>
      </c>
      <c r="AA506" s="646"/>
    </row>
    <row r="507" spans="1:27" ht="20.100000000000001" customHeight="1">
      <c r="A507" s="636"/>
      <c r="B507" s="503" t="s">
        <v>260</v>
      </c>
      <c r="C507" s="638">
        <v>0</v>
      </c>
      <c r="D507" s="639"/>
      <c r="E507" s="642">
        <f>C507*11</f>
        <v>0</v>
      </c>
      <c r="F507" s="642"/>
      <c r="G507" s="643">
        <v>0</v>
      </c>
      <c r="H507" s="643"/>
      <c r="I507" s="642">
        <f>G507*11</f>
        <v>0</v>
      </c>
      <c r="J507" s="642"/>
      <c r="K507" s="642">
        <f>E507-I507</f>
        <v>0</v>
      </c>
      <c r="L507" s="642"/>
      <c r="M507" s="644" t="str">
        <f>IF(ISERROR(K507/E507),"",K507/E507)</f>
        <v/>
      </c>
      <c r="N507" s="644"/>
      <c r="O507" s="640"/>
      <c r="P507" s="643" t="s">
        <v>216</v>
      </c>
      <c r="Q507" s="643"/>
      <c r="R507" s="645">
        <f>SUM(O426:U426)</f>
        <v>0</v>
      </c>
      <c r="S507" s="645"/>
      <c r="T507" s="646" t="str">
        <f>IF(ISERROR(R507/R513),"",R507/R513)</f>
        <v/>
      </c>
      <c r="U507" s="646"/>
      <c r="V507" s="643" t="s">
        <v>261</v>
      </c>
      <c r="W507" s="643"/>
      <c r="X507" s="647">
        <f>SUM(O369,O427,O462,O478,O488,O504)</f>
        <v>0</v>
      </c>
      <c r="Y507" s="647"/>
      <c r="Z507" s="646" t="str">
        <f>IF(ISERROR(X507/X513),"",X507/X513)</f>
        <v/>
      </c>
      <c r="AA507" s="646"/>
    </row>
    <row r="508" spans="1:27" ht="20.100000000000001" customHeight="1">
      <c r="A508" s="636"/>
      <c r="B508" s="503" t="s">
        <v>262</v>
      </c>
      <c r="C508" s="638">
        <v>0</v>
      </c>
      <c r="D508" s="639"/>
      <c r="E508" s="642">
        <f>C508*11</f>
        <v>0</v>
      </c>
      <c r="F508" s="642"/>
      <c r="G508" s="643">
        <v>0</v>
      </c>
      <c r="H508" s="643"/>
      <c r="I508" s="642">
        <f>G508*11</f>
        <v>0</v>
      </c>
      <c r="J508" s="642"/>
      <c r="K508" s="642">
        <f>E508-I508</f>
        <v>0</v>
      </c>
      <c r="L508" s="642"/>
      <c r="M508" s="644" t="str">
        <f>IF(ISERROR(K508/E508),"",K508/E508)</f>
        <v/>
      </c>
      <c r="N508" s="644"/>
      <c r="O508" s="640"/>
      <c r="P508" s="643" t="s">
        <v>224</v>
      </c>
      <c r="Q508" s="643"/>
      <c r="R508" s="645">
        <f>SUM(O461:U461)</f>
        <v>0</v>
      </c>
      <c r="S508" s="645"/>
      <c r="T508" s="646" t="str">
        <f>IF(ISERROR(R508/R513),"",R508/R513)</f>
        <v/>
      </c>
      <c r="U508" s="646"/>
      <c r="V508" s="643" t="s">
        <v>263</v>
      </c>
      <c r="W508" s="643"/>
      <c r="X508" s="647">
        <f>SUM(O371,O428,O463,O479,O489,O505)</f>
        <v>0</v>
      </c>
      <c r="Y508" s="647"/>
      <c r="Z508" s="646" t="str">
        <f>IF(ISERROR(X508/X513),"",X508/X513)</f>
        <v/>
      </c>
      <c r="AA508" s="646"/>
    </row>
    <row r="509" spans="1:27" ht="20.100000000000001" customHeight="1">
      <c r="A509" s="636"/>
      <c r="B509" s="503" t="s">
        <v>264</v>
      </c>
      <c r="C509" s="638">
        <v>1</v>
      </c>
      <c r="D509" s="639"/>
      <c r="E509" s="642">
        <f>C509*11</f>
        <v>11</v>
      </c>
      <c r="F509" s="642"/>
      <c r="G509" s="643">
        <v>1</v>
      </c>
      <c r="H509" s="643"/>
      <c r="I509" s="642">
        <f>G509*11</f>
        <v>11</v>
      </c>
      <c r="J509" s="642"/>
      <c r="K509" s="642">
        <f>E509-I509</f>
        <v>0</v>
      </c>
      <c r="L509" s="642"/>
      <c r="M509" s="644">
        <f>IF(ISERROR(K509/E509),"",K509/E509)</f>
        <v>0</v>
      </c>
      <c r="N509" s="644"/>
      <c r="O509" s="640"/>
      <c r="P509" s="643" t="s">
        <v>231</v>
      </c>
      <c r="Q509" s="643"/>
      <c r="R509" s="645">
        <f>SUM(O477:U477)</f>
        <v>0</v>
      </c>
      <c r="S509" s="645"/>
      <c r="T509" s="646" t="str">
        <f>IF(ISERROR(R509/R513),"",R509/R513)</f>
        <v/>
      </c>
      <c r="U509" s="646"/>
      <c r="V509" s="643" t="s">
        <v>265</v>
      </c>
      <c r="W509" s="643"/>
      <c r="X509" s="647">
        <f>SUM(O372,O429,O464,O480,O490,O506)</f>
        <v>0</v>
      </c>
      <c r="Y509" s="647"/>
      <c r="Z509" s="646" t="str">
        <f>IF(ISERROR(X509/X513),"",X509/X513)</f>
        <v/>
      </c>
      <c r="AA509" s="646"/>
    </row>
    <row r="510" spans="1:27" ht="20.100000000000001" customHeight="1">
      <c r="A510" s="637"/>
      <c r="B510" s="503" t="s">
        <v>266</v>
      </c>
      <c r="C510" s="648">
        <f>SUM(C506:D509)</f>
        <v>1</v>
      </c>
      <c r="D510" s="649"/>
      <c r="E510" s="642">
        <f>SUM(E506:F509)</f>
        <v>11</v>
      </c>
      <c r="F510" s="642"/>
      <c r="G510" s="643">
        <f>SUM(G506:H509)</f>
        <v>1</v>
      </c>
      <c r="H510" s="643"/>
      <c r="I510" s="642">
        <f>SUM(I506:J509)</f>
        <v>11</v>
      </c>
      <c r="J510" s="642"/>
      <c r="K510" s="642">
        <f>SUM(K506:L509)</f>
        <v>0</v>
      </c>
      <c r="L510" s="642"/>
      <c r="M510" s="644">
        <f>IF(ISERROR(K510/E510),"",K510/E510)</f>
        <v>0</v>
      </c>
      <c r="N510" s="644"/>
      <c r="O510" s="640"/>
      <c r="P510" s="643" t="s">
        <v>234</v>
      </c>
      <c r="Q510" s="643"/>
      <c r="R510" s="645">
        <f>SUM(O487:U487)</f>
        <v>0</v>
      </c>
      <c r="S510" s="645"/>
      <c r="T510" s="646" t="str">
        <f>IF(ISERROR(R510/R513),"",R510/R513)</f>
        <v/>
      </c>
      <c r="U510" s="646"/>
      <c r="V510" s="643" t="s">
        <v>267</v>
      </c>
      <c r="W510" s="643"/>
      <c r="X510" s="647">
        <f>SUM(O373,O430,O465,O481,O491,O507)</f>
        <v>0</v>
      </c>
      <c r="Y510" s="647"/>
      <c r="Z510" s="646" t="str">
        <f>IF(ISERROR(X510/X513),"",X510/X513)</f>
        <v/>
      </c>
      <c r="AA510" s="646"/>
    </row>
    <row r="511" spans="1:27" ht="20.100000000000001" customHeight="1">
      <c r="A511" s="307" t="s">
        <v>477</v>
      </c>
      <c r="B511" s="503">
        <f>G504</f>
        <v>755</v>
      </c>
      <c r="C511" s="650" t="s">
        <v>269</v>
      </c>
      <c r="D511" s="651"/>
      <c r="E511" s="643">
        <f>H504</f>
        <v>3797.65</v>
      </c>
      <c r="F511" s="643"/>
      <c r="G511" s="643" t="s">
        <v>270</v>
      </c>
      <c r="H511" s="643"/>
      <c r="I511" s="652">
        <f>L504</f>
        <v>8.8000000000000007</v>
      </c>
      <c r="J511" s="652"/>
      <c r="K511" s="640" t="s">
        <v>271</v>
      </c>
      <c r="L511" s="640"/>
      <c r="M511" s="652">
        <f>J504</f>
        <v>12.276422764227643</v>
      </c>
      <c r="N511" s="652"/>
      <c r="O511" s="640"/>
      <c r="P511" s="643" t="s">
        <v>244</v>
      </c>
      <c r="Q511" s="643"/>
      <c r="R511" s="645">
        <f>SUM(O503:U503)</f>
        <v>0</v>
      </c>
      <c r="S511" s="645"/>
      <c r="T511" s="646" t="str">
        <f>IF(ISERROR(R511/R513),"",R511/R513)</f>
        <v/>
      </c>
      <c r="U511" s="646"/>
      <c r="V511" s="643" t="s">
        <v>272</v>
      </c>
      <c r="W511" s="643"/>
      <c r="X511" s="647">
        <f>SUM(O374,O431,O466,O482,O492,O508)</f>
        <v>0</v>
      </c>
      <c r="Y511" s="647"/>
      <c r="Z511" s="646" t="str">
        <f>IF(ISERROR(X511/X513),"",X511/X513)</f>
        <v/>
      </c>
      <c r="AA511" s="646"/>
    </row>
    <row r="512" spans="1:27" ht="20.100000000000001" customHeight="1">
      <c r="A512" s="308" t="s">
        <v>478</v>
      </c>
      <c r="B512" s="503">
        <f>I504+C510</f>
        <v>62.5</v>
      </c>
      <c r="C512" s="653" t="s">
        <v>251</v>
      </c>
      <c r="D512" s="654"/>
      <c r="E512" s="655">
        <f>K504+I510</f>
        <v>96.795454545454533</v>
      </c>
      <c r="F512" s="655"/>
      <c r="G512" s="643" t="s">
        <v>274</v>
      </c>
      <c r="H512" s="643"/>
      <c r="I512" s="652">
        <f>B512-E512</f>
        <v>-34.295454545454533</v>
      </c>
      <c r="J512" s="652"/>
      <c r="K512" s="640" t="s">
        <v>275</v>
      </c>
      <c r="L512" s="640"/>
      <c r="M512" s="644">
        <f>IF(ISERROR(I512/E512),"",I512/E512)</f>
        <v>-0.35430852312749461</v>
      </c>
      <c r="N512" s="644"/>
      <c r="O512" s="640"/>
      <c r="P512" s="643" t="s">
        <v>245</v>
      </c>
      <c r="Q512" s="643"/>
      <c r="R512" s="645"/>
      <c r="S512" s="645"/>
      <c r="T512" s="646" t="str">
        <f>IF(ISERROR(R512/R513),"",R512/R513)</f>
        <v/>
      </c>
      <c r="U512" s="646"/>
      <c r="V512" s="643" t="s">
        <v>264</v>
      </c>
      <c r="W512" s="643"/>
      <c r="X512" s="647">
        <f>SUM(O375,O432,O467,O486,O493,O509)</f>
        <v>0</v>
      </c>
      <c r="Y512" s="647"/>
      <c r="Z512" s="646" t="str">
        <f>IF(ISERROR(X512/X513),"",X512/X513)</f>
        <v/>
      </c>
      <c r="AA512" s="646"/>
    </row>
    <row r="513" spans="1:27" ht="20.100000000000001" customHeight="1">
      <c r="A513" s="308" t="s">
        <v>479</v>
      </c>
      <c r="B513" s="503">
        <f>N504</f>
        <v>0</v>
      </c>
      <c r="C513" s="653" t="s">
        <v>277</v>
      </c>
      <c r="D513" s="654"/>
      <c r="E513" s="646">
        <f>IF(ISERROR(B513/B512),"",B513/B512)</f>
        <v>0</v>
      </c>
      <c r="F513" s="646"/>
      <c r="G513" s="643" t="s">
        <v>278</v>
      </c>
      <c r="H513" s="643"/>
      <c r="I513" s="640">
        <f>V504</f>
        <v>0</v>
      </c>
      <c r="J513" s="640"/>
      <c r="K513" s="640" t="s">
        <v>279</v>
      </c>
      <c r="L513" s="640"/>
      <c r="M513" s="644">
        <f t="array" ref="M513">IF(ISERROR(I513/B511),"",I513/B511)</f>
        <v>0</v>
      </c>
      <c r="N513" s="644"/>
      <c r="O513" s="640"/>
      <c r="P513" s="643" t="s">
        <v>266</v>
      </c>
      <c r="Q513" s="643"/>
      <c r="R513" s="645">
        <f>SUM(R506:S512)</f>
        <v>0</v>
      </c>
      <c r="S513" s="645"/>
      <c r="T513" s="646"/>
      <c r="U513" s="646"/>
      <c r="V513" s="643" t="s">
        <v>266</v>
      </c>
      <c r="W513" s="643"/>
      <c r="X513" s="647">
        <f>SUM(X506:Y512)</f>
        <v>0</v>
      </c>
      <c r="Y513" s="647"/>
      <c r="Z513" s="646"/>
      <c r="AA513" s="646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682" t="str">
        <f>IF(ISERROR(#REF!/#REF!),"",#REF!/#REF!)</f>
        <v/>
      </c>
      <c r="H514" s="682"/>
      <c r="I514" s="682"/>
      <c r="J514" s="125"/>
      <c r="K514" s="160"/>
      <c r="L514" s="122"/>
      <c r="M514" s="122"/>
      <c r="N514" s="682" t="str">
        <f>IF(ISERROR(G514/#REF!),"",G514/#REF!)</f>
        <v/>
      </c>
      <c r="O514" s="682"/>
      <c r="P514" s="682"/>
      <c r="Q514" s="682"/>
      <c r="R514" s="682"/>
      <c r="S514" s="505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685" t="s">
        <v>268</v>
      </c>
      <c r="B516" s="685"/>
      <c r="C516" s="638">
        <f>SUM(B170,B340,B511)</f>
        <v>11005</v>
      </c>
      <c r="D516" s="639"/>
      <c r="E516" s="685" t="s">
        <v>269</v>
      </c>
      <c r="F516" s="685"/>
      <c r="G516" s="655">
        <f>SUM(E170,E340,E511)</f>
        <v>55580.1</v>
      </c>
      <c r="H516" s="655"/>
      <c r="I516" s="643" t="s">
        <v>270</v>
      </c>
      <c r="J516" s="685"/>
      <c r="K516" s="638">
        <f>IF(ISERROR(C516/G517),"",C516/G517)</f>
        <v>18.410702194890067</v>
      </c>
      <c r="L516" s="639"/>
      <c r="M516" s="643" t="s">
        <v>271</v>
      </c>
      <c r="N516" s="643"/>
      <c r="O516" s="680">
        <f t="array" ref="O516">IF(ISERROR(C516/C517),"",C516/C517)</f>
        <v>18.941480206540447</v>
      </c>
      <c r="P516" s="681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643" t="s">
        <v>273</v>
      </c>
      <c r="B517" s="643"/>
      <c r="C517" s="638">
        <f>SUM(B171,B341,B512)</f>
        <v>581</v>
      </c>
      <c r="D517" s="639"/>
      <c r="E517" s="643" t="s">
        <v>251</v>
      </c>
      <c r="F517" s="643"/>
      <c r="G517" s="655">
        <f>SUM(E171,E341,E512)</f>
        <v>597.75015007599563</v>
      </c>
      <c r="H517" s="655"/>
      <c r="I517" s="653" t="s">
        <v>274</v>
      </c>
      <c r="J517" s="654"/>
      <c r="K517" s="650">
        <f>C517-G517</f>
        <v>-16.750150075995634</v>
      </c>
      <c r="L517" s="651"/>
      <c r="M517" s="650" t="s">
        <v>275</v>
      </c>
      <c r="N517" s="651"/>
      <c r="O517" s="683">
        <f>IF(ISERROR(K517/C517),"",K517/C517)</f>
        <v>-2.8829862437169767E-2</v>
      </c>
      <c r="P517" s="684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653" t="s">
        <v>276</v>
      </c>
      <c r="B518" s="654"/>
      <c r="C518" s="638">
        <f>SUM(B172,B342,B513)</f>
        <v>0</v>
      </c>
      <c r="D518" s="639"/>
      <c r="E518" s="653" t="s">
        <v>277</v>
      </c>
      <c r="F518" s="654"/>
      <c r="G518" s="646">
        <f>IF(ISERROR(C518/C517),"",C518/C517)</f>
        <v>0</v>
      </c>
      <c r="H518" s="646"/>
      <c r="I518" s="643" t="s">
        <v>278</v>
      </c>
      <c r="J518" s="685"/>
      <c r="K518" s="655">
        <f>SUM(I172,I342,I513)</f>
        <v>0</v>
      </c>
      <c r="L518" s="655"/>
      <c r="M518" s="685" t="s">
        <v>279</v>
      </c>
      <c r="N518" s="685"/>
      <c r="O518" s="683">
        <f t="array" ref="O518">IF(ISERROR(K518/C516),"",K518/C516)</f>
        <v>0</v>
      </c>
      <c r="P518" s="684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505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653" t="s">
        <v>298</v>
      </c>
      <c r="B520" s="654"/>
      <c r="C520" s="653" t="s">
        <v>299</v>
      </c>
      <c r="D520" s="654"/>
      <c r="E520" s="653" t="s">
        <v>256</v>
      </c>
      <c r="F520" s="654"/>
      <c r="G520" s="686" t="s">
        <v>254</v>
      </c>
      <c r="H520" s="687"/>
      <c r="I520" s="653" t="s">
        <v>255</v>
      </c>
      <c r="J520" s="651"/>
      <c r="K520" s="653" t="s">
        <v>300</v>
      </c>
      <c r="L520" s="654"/>
      <c r="M520" s="653" t="s">
        <v>256</v>
      </c>
      <c r="N520" s="654"/>
      <c r="O520" s="643" t="s">
        <v>257</v>
      </c>
      <c r="P520" s="643"/>
      <c r="Q520" s="653" t="s">
        <v>300</v>
      </c>
      <c r="R520" s="654"/>
      <c r="S520" s="653" t="s">
        <v>256</v>
      </c>
      <c r="T520" s="654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692" t="s">
        <v>201</v>
      </c>
      <c r="B521" s="654"/>
      <c r="C521" s="653">
        <f>SUM(G28,G198,G368)</f>
        <v>2659</v>
      </c>
      <c r="D521" s="654"/>
      <c r="E521" s="693">
        <f>IF(ISERROR(C521/C527),"",C521/C527)</f>
        <v>0.24161744661517492</v>
      </c>
      <c r="F521" s="694"/>
      <c r="G521" s="688"/>
      <c r="H521" s="689"/>
      <c r="I521" s="695" t="s">
        <v>301</v>
      </c>
      <c r="J521" s="696"/>
      <c r="K521" s="650">
        <f t="shared" ref="K521:K526" si="238">SUM(R165,U335,U506)</f>
        <v>0</v>
      </c>
      <c r="L521" s="651"/>
      <c r="M521" s="693" t="str">
        <f t="array" ref="M521">IF(ISERROR(K521/K527),"",K521/K527)</f>
        <v/>
      </c>
      <c r="N521" s="694"/>
      <c r="O521" s="643" t="s">
        <v>259</v>
      </c>
      <c r="P521" s="643"/>
      <c r="Q521" s="680">
        <f t="shared" ref="Q521:Q526" si="239">SUM(X165,AA335,AA506)</f>
        <v>0</v>
      </c>
      <c r="R521" s="681"/>
      <c r="S521" s="693" t="str">
        <f t="array" ref="S521">IF(ISERROR(Q521/Q527),"",Q521/Q527)</f>
        <v/>
      </c>
      <c r="T521" s="694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692" t="s">
        <v>216</v>
      </c>
      <c r="B522" s="654"/>
      <c r="C522" s="653">
        <f>SUM(G86,G256,G426)</f>
        <v>3545</v>
      </c>
      <c r="D522" s="654"/>
      <c r="E522" s="693">
        <f>IF(ISERROR(C522/C527),"",C522/C527)</f>
        <v>0.32212630622444344</v>
      </c>
      <c r="F522" s="694"/>
      <c r="G522" s="688"/>
      <c r="H522" s="689"/>
      <c r="I522" s="695" t="s">
        <v>302</v>
      </c>
      <c r="J522" s="696"/>
      <c r="K522" s="650">
        <f t="shared" si="238"/>
        <v>0</v>
      </c>
      <c r="L522" s="651"/>
      <c r="M522" s="693" t="str">
        <f>IF(ISERROR(K522/K527),"",K522/K527)</f>
        <v/>
      </c>
      <c r="N522" s="694"/>
      <c r="O522" s="643" t="s">
        <v>261</v>
      </c>
      <c r="P522" s="643"/>
      <c r="Q522" s="680">
        <f t="shared" si="239"/>
        <v>0</v>
      </c>
      <c r="R522" s="681"/>
      <c r="S522" s="693" t="str">
        <f>IF(ISERROR(Q522/Q527),"",Q522/Q527)</f>
        <v/>
      </c>
      <c r="T522" s="694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692" t="s">
        <v>224</v>
      </c>
      <c r="B523" s="654"/>
      <c r="C523" s="653">
        <f>SUM(G121,G291,G461)</f>
        <v>1759</v>
      </c>
      <c r="D523" s="654"/>
      <c r="E523" s="693">
        <f>IF(ISERROR(C523/C527),"",C523/C527)</f>
        <v>0.15983643798273511</v>
      </c>
      <c r="F523" s="694"/>
      <c r="G523" s="688"/>
      <c r="H523" s="689"/>
      <c r="I523" s="695" t="s">
        <v>303</v>
      </c>
      <c r="J523" s="696"/>
      <c r="K523" s="650">
        <f t="shared" si="238"/>
        <v>0</v>
      </c>
      <c r="L523" s="651"/>
      <c r="M523" s="693" t="str">
        <f>IF(ISERROR(K523/K527),"",K523/K527)</f>
        <v/>
      </c>
      <c r="N523" s="694"/>
      <c r="O523" s="643" t="s">
        <v>263</v>
      </c>
      <c r="P523" s="643"/>
      <c r="Q523" s="680">
        <f t="shared" si="239"/>
        <v>0</v>
      </c>
      <c r="R523" s="681"/>
      <c r="S523" s="693" t="str">
        <f>IF(ISERROR(Q523/Q527),"",Q523/Q527)</f>
        <v/>
      </c>
      <c r="T523" s="694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692" t="s">
        <v>231</v>
      </c>
      <c r="B524" s="654"/>
      <c r="C524" s="653">
        <f>SUM(G137,G307,G477)</f>
        <v>1880</v>
      </c>
      <c r="D524" s="654"/>
      <c r="E524" s="693">
        <f>IF(ISERROR(C524/C527),"",C524/C527)</f>
        <v>0.17083144025442981</v>
      </c>
      <c r="F524" s="694"/>
      <c r="G524" s="688"/>
      <c r="H524" s="689"/>
      <c r="I524" s="695" t="s">
        <v>304</v>
      </c>
      <c r="J524" s="696"/>
      <c r="K524" s="650">
        <f t="shared" si="238"/>
        <v>0</v>
      </c>
      <c r="L524" s="651"/>
      <c r="M524" s="693" t="str">
        <f>IF(ISERROR(K524/K527),"",K524/K527)</f>
        <v/>
      </c>
      <c r="N524" s="694"/>
      <c r="O524" s="643" t="s">
        <v>305</v>
      </c>
      <c r="P524" s="643"/>
      <c r="Q524" s="680">
        <f t="shared" si="239"/>
        <v>0</v>
      </c>
      <c r="R524" s="681"/>
      <c r="S524" s="693" t="str">
        <f>IF(ISERROR(Q524/Q527),"",Q524/Q527)</f>
        <v/>
      </c>
      <c r="T524" s="694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92" t="s">
        <v>234</v>
      </c>
      <c r="B525" s="654"/>
      <c r="C525" s="653">
        <f>SUM(G147,G317,G487)</f>
        <v>1162</v>
      </c>
      <c r="D525" s="654"/>
      <c r="E525" s="693">
        <f>IF(ISERROR(C525/C527),"",C525/C527)</f>
        <v>0.10558836892321671</v>
      </c>
      <c r="F525" s="694"/>
      <c r="G525" s="688"/>
      <c r="H525" s="689"/>
      <c r="I525" s="695" t="s">
        <v>306</v>
      </c>
      <c r="J525" s="696"/>
      <c r="K525" s="650">
        <f t="shared" si="238"/>
        <v>0</v>
      </c>
      <c r="L525" s="651"/>
      <c r="M525" s="693" t="str">
        <f>IF(ISERROR(K525/K527),"",K525/K527)</f>
        <v/>
      </c>
      <c r="N525" s="694"/>
      <c r="O525" s="643" t="s">
        <v>267</v>
      </c>
      <c r="P525" s="643"/>
      <c r="Q525" s="680">
        <f t="shared" si="239"/>
        <v>0</v>
      </c>
      <c r="R525" s="681"/>
      <c r="S525" s="693" t="str">
        <f>IF(ISERROR(Q525/Q527),"",Q525/Q527)</f>
        <v/>
      </c>
      <c r="T525" s="694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92" t="s">
        <v>244</v>
      </c>
      <c r="B526" s="654"/>
      <c r="C526" s="653">
        <f>SUM(G162,G332,G503)</f>
        <v>0</v>
      </c>
      <c r="D526" s="654"/>
      <c r="E526" s="693">
        <f>IF(ISERROR(C526/C527),"",C526/C527)</f>
        <v>0</v>
      </c>
      <c r="F526" s="694"/>
      <c r="G526" s="688"/>
      <c r="H526" s="689"/>
      <c r="I526" s="695" t="s">
        <v>307</v>
      </c>
      <c r="J526" s="696"/>
      <c r="K526" s="650">
        <f t="shared" si="238"/>
        <v>0</v>
      </c>
      <c r="L526" s="651"/>
      <c r="M526" s="693" t="str">
        <f>IF(ISERROR(K526/K527),"",K526/K527)</f>
        <v/>
      </c>
      <c r="N526" s="694"/>
      <c r="O526" s="643" t="s">
        <v>272</v>
      </c>
      <c r="P526" s="643"/>
      <c r="Q526" s="680">
        <f t="shared" si="239"/>
        <v>0</v>
      </c>
      <c r="R526" s="681"/>
      <c r="S526" s="693" t="str">
        <f>IF(ISERROR(Q526/Q527),"",Q526/Q527)</f>
        <v/>
      </c>
      <c r="T526" s="694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53" t="s">
        <v>266</v>
      </c>
      <c r="B527" s="654"/>
      <c r="C527" s="653">
        <f>SUM(C521:C526)</f>
        <v>11005</v>
      </c>
      <c r="D527" s="654"/>
      <c r="E527" s="693">
        <f>SUM(E521:F526)</f>
        <v>0.99999999999999978</v>
      </c>
      <c r="F527" s="694"/>
      <c r="G527" s="690"/>
      <c r="H527" s="691"/>
      <c r="I527" s="653" t="s">
        <v>266</v>
      </c>
      <c r="J527" s="651"/>
      <c r="K527" s="650">
        <f>SUM(R172,U342,U513)</f>
        <v>0</v>
      </c>
      <c r="L527" s="651"/>
      <c r="M527" s="693"/>
      <c r="N527" s="694"/>
      <c r="O527" s="643" t="s">
        <v>266</v>
      </c>
      <c r="P527" s="643"/>
      <c r="Q527" s="680">
        <f>SUM(Q521:R526)</f>
        <v>0</v>
      </c>
      <c r="R527" s="681"/>
      <c r="S527" s="693">
        <f>SUM(S521:T526)</f>
        <v>0</v>
      </c>
      <c r="T527" s="694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695" t="s">
        <v>308</v>
      </c>
      <c r="B529" s="649"/>
      <c r="C529" s="496" t="s">
        <v>309</v>
      </c>
      <c r="D529" s="496" t="s">
        <v>310</v>
      </c>
      <c r="E529" s="496" t="s">
        <v>311</v>
      </c>
      <c r="F529" s="496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497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506" t="s">
        <v>322</v>
      </c>
      <c r="Q529" s="129" t="s">
        <v>323</v>
      </c>
      <c r="R529" s="109" t="s">
        <v>324</v>
      </c>
      <c r="S529" s="496" t="s">
        <v>325</v>
      </c>
      <c r="T529" s="496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697" t="s">
        <v>327</v>
      </c>
      <c r="B530" s="698"/>
      <c r="C530" s="106">
        <f>D530+E530+F530-G530-O530-P530</f>
        <v>33</v>
      </c>
      <c r="D530" s="106">
        <f>+'14'!C530</f>
        <v>33</v>
      </c>
      <c r="E530" s="106"/>
      <c r="F530" s="106"/>
      <c r="G530" s="107"/>
      <c r="H530" s="106"/>
      <c r="I530" s="106"/>
      <c r="J530" s="106">
        <f>C530-H530-I530</f>
        <v>33</v>
      </c>
      <c r="K530" s="106">
        <v>4</v>
      </c>
      <c r="L530" s="106"/>
      <c r="M530" s="106"/>
      <c r="N530" s="106"/>
      <c r="O530" s="106"/>
      <c r="P530" s="108"/>
      <c r="Q530" s="106">
        <f>J530-K530-L530</f>
        <v>29</v>
      </c>
      <c r="R530" s="109">
        <f>Q530*11-M530-N530</f>
        <v>319</v>
      </c>
      <c r="S530" s="499">
        <f t="array" ref="S530">IF(ISERROR(Q530/J530),"",Q530/J530)</f>
        <v>0.87878787878787878</v>
      </c>
      <c r="T530" s="499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697" t="s">
        <v>328</v>
      </c>
      <c r="B531" s="698"/>
      <c r="C531" s="106">
        <f>D531+E531+F531-G531-O531-P531</f>
        <v>31</v>
      </c>
      <c r="D531" s="106">
        <f>+'14'!C531</f>
        <v>31</v>
      </c>
      <c r="E531" s="110"/>
      <c r="F531" s="110"/>
      <c r="G531" s="107"/>
      <c r="H531" s="106"/>
      <c r="I531" s="106"/>
      <c r="J531" s="106">
        <f>C531-H531-I531</f>
        <v>31</v>
      </c>
      <c r="K531" s="106"/>
      <c r="L531" s="106"/>
      <c r="M531" s="106"/>
      <c r="N531" s="106"/>
      <c r="O531" s="110"/>
      <c r="P531" s="111"/>
      <c r="Q531" s="106">
        <f>J531-K531-L531</f>
        <v>31</v>
      </c>
      <c r="R531" s="109">
        <f>Q531*11-M531-N531</f>
        <v>341</v>
      </c>
      <c r="S531" s="499">
        <f t="array" ref="S531">IF(ISERROR(Q531/J531),"",Q531/J531)</f>
        <v>1</v>
      </c>
      <c r="T531" s="499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697" t="s">
        <v>329</v>
      </c>
      <c r="B532" s="698"/>
      <c r="C532" s="106">
        <f>D532+E532+F532-G532-O532-P532</f>
        <v>10</v>
      </c>
      <c r="D532" s="106">
        <f>+'14'!C532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>
        <v>1</v>
      </c>
      <c r="L532" s="106"/>
      <c r="M532" s="106"/>
      <c r="N532" s="106"/>
      <c r="O532" s="110"/>
      <c r="P532" s="111"/>
      <c r="Q532" s="106">
        <f>J532-K532-L532</f>
        <v>9</v>
      </c>
      <c r="R532" s="109">
        <f>Q532*11-M532-N532</f>
        <v>99</v>
      </c>
      <c r="S532" s="499">
        <f t="array" ref="S532">IF(ISERROR(Q532/J532),"",Q532/J532)</f>
        <v>0.9</v>
      </c>
      <c r="T532" s="499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699" t="s">
        <v>330</v>
      </c>
      <c r="B533" s="700"/>
      <c r="C533" s="112">
        <f>SUM(C530:C532)</f>
        <v>74</v>
      </c>
      <c r="D533" s="112">
        <f t="shared" ref="D533:N533" si="240">SUM(D530:D532)</f>
        <v>74</v>
      </c>
      <c r="E533" s="112">
        <f t="shared" si="240"/>
        <v>0</v>
      </c>
      <c r="F533" s="112">
        <f t="shared" si="240"/>
        <v>0</v>
      </c>
      <c r="G533" s="113">
        <f t="shared" si="240"/>
        <v>0</v>
      </c>
      <c r="H533" s="112">
        <f t="shared" si="240"/>
        <v>0</v>
      </c>
      <c r="I533" s="112">
        <f t="shared" si="240"/>
        <v>0</v>
      </c>
      <c r="J533" s="112">
        <f t="shared" si="240"/>
        <v>74</v>
      </c>
      <c r="K533" s="112">
        <f t="shared" si="240"/>
        <v>5</v>
      </c>
      <c r="L533" s="112">
        <f t="shared" si="240"/>
        <v>0</v>
      </c>
      <c r="M533" s="112">
        <f t="shared" si="240"/>
        <v>0</v>
      </c>
      <c r="N533" s="112">
        <f t="shared" si="240"/>
        <v>0</v>
      </c>
      <c r="O533" s="112">
        <f>SUM(O530:O532)</f>
        <v>0</v>
      </c>
      <c r="P533" s="112">
        <f>SUM(P530:P532)</f>
        <v>0</v>
      </c>
      <c r="Q533" s="112">
        <f>SUM(Q530:Q532)</f>
        <v>69</v>
      </c>
      <c r="R533" s="114">
        <f>SUM(R530:R532)</f>
        <v>759</v>
      </c>
      <c r="S533" s="115">
        <f t="array" ref="S533">IF(ISERROR(Q533/J533),"",Q533/J533)</f>
        <v>0.93243243243243246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525" activePane="bottomRight" state="frozen"/>
      <selection activeCell="F484" sqref="F484"/>
      <selection pane="topRight" activeCell="F484" sqref="F484"/>
      <selection pane="bottomLeft" activeCell="F484" sqref="F484"/>
      <selection pane="bottomRight" activeCell="G454" sqref="G453:G45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07" t="s">
        <v>413</v>
      </c>
      <c r="B1" s="607"/>
      <c r="C1" s="607"/>
      <c r="D1" s="607"/>
      <c r="E1" s="607"/>
      <c r="F1" s="607"/>
      <c r="G1" s="607"/>
      <c r="H1" s="607"/>
      <c r="I1" s="607"/>
      <c r="J1" s="607"/>
      <c r="K1" s="607"/>
      <c r="L1" s="607"/>
      <c r="M1" s="607"/>
      <c r="N1" s="607"/>
      <c r="O1" s="607"/>
      <c r="P1" s="607"/>
      <c r="Q1" s="607"/>
      <c r="R1" s="607"/>
      <c r="S1" s="607"/>
      <c r="T1" s="607"/>
      <c r="U1" s="607"/>
      <c r="V1" s="607"/>
      <c r="W1" s="607"/>
      <c r="X1" s="607"/>
      <c r="Y1" s="607"/>
      <c r="Z1" s="607"/>
      <c r="AA1" s="607"/>
    </row>
    <row r="2" spans="1:27" ht="18.75">
      <c r="A2" s="608"/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09" t="s">
        <v>12</v>
      </c>
      <c r="B4" s="609" t="s">
        <v>25</v>
      </c>
      <c r="C4" s="609" t="s">
        <v>26</v>
      </c>
      <c r="D4" s="609" t="s">
        <v>27</v>
      </c>
      <c r="E4" s="612" t="s">
        <v>28</v>
      </c>
      <c r="F4" s="615" t="s">
        <v>29</v>
      </c>
      <c r="G4" s="618" t="s">
        <v>30</v>
      </c>
      <c r="H4" s="618"/>
      <c r="I4" s="609" t="s">
        <v>31</v>
      </c>
      <c r="J4" s="621" t="s">
        <v>32</v>
      </c>
      <c r="K4" s="624" t="s">
        <v>33</v>
      </c>
      <c r="L4" s="609" t="s">
        <v>34</v>
      </c>
      <c r="M4" s="627" t="s">
        <v>35</v>
      </c>
      <c r="N4" s="629" t="s">
        <v>36</v>
      </c>
      <c r="O4" s="618" t="s">
        <v>37</v>
      </c>
      <c r="P4" s="618"/>
      <c r="Q4" s="618"/>
      <c r="R4" s="618"/>
      <c r="S4" s="618"/>
      <c r="T4" s="618"/>
      <c r="U4" s="618"/>
      <c r="V4" s="618" t="s">
        <v>38</v>
      </c>
      <c r="W4" s="629" t="s">
        <v>39</v>
      </c>
      <c r="X4" s="618" t="s">
        <v>40</v>
      </c>
      <c r="Y4" s="618"/>
      <c r="Z4" s="618"/>
      <c r="AA4" s="618"/>
    </row>
    <row r="5" spans="1:27" s="104" customFormat="1" ht="15" customHeight="1">
      <c r="A5" s="610"/>
      <c r="B5" s="610"/>
      <c r="C5" s="610"/>
      <c r="D5" s="610"/>
      <c r="E5" s="613"/>
      <c r="F5" s="616"/>
      <c r="G5" s="618"/>
      <c r="H5" s="618"/>
      <c r="I5" s="610"/>
      <c r="J5" s="622"/>
      <c r="K5" s="625"/>
      <c r="L5" s="610"/>
      <c r="M5" s="628"/>
      <c r="N5" s="629"/>
      <c r="O5" s="618" t="s">
        <v>41</v>
      </c>
      <c r="P5" s="618" t="s">
        <v>42</v>
      </c>
      <c r="Q5" s="618" t="s">
        <v>43</v>
      </c>
      <c r="R5" s="619" t="s">
        <v>44</v>
      </c>
      <c r="S5" s="620" t="s">
        <v>45</v>
      </c>
      <c r="T5" s="618" t="s">
        <v>46</v>
      </c>
      <c r="U5" s="618" t="s">
        <v>47</v>
      </c>
      <c r="V5" s="618"/>
      <c r="W5" s="629"/>
      <c r="X5" s="618" t="s">
        <v>13</v>
      </c>
      <c r="Y5" s="618" t="s">
        <v>48</v>
      </c>
      <c r="Z5" s="618" t="s">
        <v>49</v>
      </c>
      <c r="AA5" s="618" t="s">
        <v>47</v>
      </c>
    </row>
    <row r="6" spans="1:27" s="104" customFormat="1" ht="27.75" customHeight="1">
      <c r="A6" s="611"/>
      <c r="B6" s="611"/>
      <c r="C6" s="611"/>
      <c r="D6" s="611"/>
      <c r="E6" s="614"/>
      <c r="F6" s="617"/>
      <c r="G6" s="350" t="s">
        <v>50</v>
      </c>
      <c r="H6" s="510" t="s">
        <v>51</v>
      </c>
      <c r="I6" s="611"/>
      <c r="J6" s="623"/>
      <c r="K6" s="626"/>
      <c r="L6" s="611"/>
      <c r="M6" s="628"/>
      <c r="N6" s="629"/>
      <c r="O6" s="618"/>
      <c r="P6" s="618"/>
      <c r="Q6" s="618"/>
      <c r="R6" s="619"/>
      <c r="S6" s="620"/>
      <c r="T6" s="618"/>
      <c r="U6" s="618"/>
      <c r="V6" s="618"/>
      <c r="W6" s="629"/>
      <c r="X6" s="618"/>
      <c r="Y6" s="618"/>
      <c r="Z6" s="618"/>
      <c r="AA6" s="618"/>
    </row>
    <row r="7" spans="1:27" ht="20.100000000000001" hidden="1" customHeight="1">
      <c r="A7" s="299">
        <v>30100030</v>
      </c>
      <c r="B7" s="513" t="s">
        <v>178</v>
      </c>
      <c r="C7" s="126" t="s">
        <v>179</v>
      </c>
      <c r="D7" s="108">
        <v>5.03</v>
      </c>
      <c r="E7" s="108"/>
      <c r="F7" s="127"/>
      <c r="G7" s="128"/>
      <c r="H7" s="521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512"/>
      <c r="P7" s="512"/>
      <c r="Q7" s="512"/>
      <c r="R7" s="512"/>
      <c r="S7" s="512"/>
      <c r="T7" s="512"/>
      <c r="U7" s="512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521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512"/>
      <c r="Q8" s="512"/>
      <c r="R8" s="512"/>
      <c r="S8" s="512"/>
      <c r="T8" s="512"/>
      <c r="U8" s="512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521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512"/>
      <c r="P9" s="512"/>
      <c r="Q9" s="512"/>
      <c r="R9" s="512"/>
      <c r="S9" s="512"/>
      <c r="T9" s="512"/>
      <c r="U9" s="512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521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512"/>
      <c r="P10" s="512"/>
      <c r="Q10" s="512"/>
      <c r="R10" s="512"/>
      <c r="S10" s="512"/>
      <c r="T10" s="512"/>
      <c r="U10" s="512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521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512"/>
      <c r="P11" s="512"/>
      <c r="Q11" s="512"/>
      <c r="R11" s="512"/>
      <c r="S11" s="512"/>
      <c r="T11" s="512"/>
      <c r="U11" s="512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27">
        <v>42715</v>
      </c>
      <c r="G12" s="128">
        <v>103</v>
      </c>
      <c r="H12" s="521">
        <f t="shared" si="0"/>
        <v>519.12</v>
      </c>
      <c r="I12" s="138">
        <v>3</v>
      </c>
      <c r="J12" s="130">
        <f t="array" ref="J12">IF(ISERROR(G12/I12),"",G12/I12)</f>
        <v>34.333333333333336</v>
      </c>
      <c r="K12" s="131">
        <f t="array" ref="K12">IF(ISERROR(G12/L12),"",G12/L12)</f>
        <v>5.4210526315789478</v>
      </c>
      <c r="L12" s="129">
        <v>19</v>
      </c>
      <c r="M12" s="109">
        <f t="shared" si="1"/>
        <v>-2.4210526315789478</v>
      </c>
      <c r="N12" s="130">
        <f t="shared" si="4"/>
        <v>0</v>
      </c>
      <c r="O12" s="512"/>
      <c r="P12" s="512"/>
      <c r="Q12" s="512"/>
      <c r="R12" s="512"/>
      <c r="S12" s="512"/>
      <c r="T12" s="512"/>
      <c r="U12" s="512"/>
      <c r="V12" s="132">
        <f t="shared" si="2"/>
        <v>0</v>
      </c>
      <c r="W12" s="133">
        <f t="shared" si="3"/>
        <v>0</v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521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512"/>
      <c r="P13" s="512"/>
      <c r="Q13" s="512"/>
      <c r="R13" s="512"/>
      <c r="S13" s="512"/>
      <c r="T13" s="512"/>
      <c r="U13" s="512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521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512"/>
      <c r="P14" s="512"/>
      <c r="Q14" s="512"/>
      <c r="R14" s="512"/>
      <c r="S14" s="512"/>
      <c r="T14" s="512"/>
      <c r="U14" s="512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521">
        <f t="shared" si="0"/>
        <v>0</v>
      </c>
      <c r="I15" s="521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512"/>
      <c r="P15" s="512"/>
      <c r="Q15" s="512"/>
      <c r="R15" s="512"/>
      <c r="S15" s="512"/>
      <c r="T15" s="512"/>
      <c r="U15" s="512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521">
        <f t="shared" si="0"/>
        <v>0</v>
      </c>
      <c r="I16" s="521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512"/>
      <c r="P16" s="512"/>
      <c r="Q16" s="512"/>
      <c r="R16" s="512"/>
      <c r="S16" s="512"/>
      <c r="T16" s="512"/>
      <c r="U16" s="512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521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512"/>
      <c r="P17" s="512"/>
      <c r="Q17" s="512"/>
      <c r="R17" s="512"/>
      <c r="S17" s="512"/>
      <c r="T17" s="512"/>
      <c r="U17" s="512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521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512"/>
      <c r="P18" s="512"/>
      <c r="Q18" s="512"/>
      <c r="R18" s="512"/>
      <c r="S18" s="512"/>
      <c r="T18" s="512"/>
      <c r="U18" s="512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521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512"/>
      <c r="P19" s="512"/>
      <c r="Q19" s="512"/>
      <c r="R19" s="512"/>
      <c r="S19" s="512"/>
      <c r="T19" s="512"/>
      <c r="U19" s="512"/>
      <c r="V19" s="132">
        <f t="shared" ref="V19:V21" si="5">SUM(X19:AA19)</f>
        <v>0</v>
      </c>
      <c r="W19" s="515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>
        <v>42718</v>
      </c>
      <c r="G20" s="128">
        <f>100*11</f>
        <v>1100</v>
      </c>
      <c r="H20" s="521">
        <f t="shared" si="0"/>
        <v>5599</v>
      </c>
      <c r="I20" s="129">
        <f>11*5</f>
        <v>55</v>
      </c>
      <c r="J20" s="130">
        <f t="array" ref="J20">IF(ISERROR(G20/I20),"",G20/I20)</f>
        <v>20</v>
      </c>
      <c r="K20" s="131">
        <f t="array" ref="K20">IF(ISERROR(G20/L20),"",G20/L20)</f>
        <v>47.826086956521742</v>
      </c>
      <c r="L20" s="129">
        <v>23</v>
      </c>
      <c r="M20" s="109">
        <f t="shared" si="1"/>
        <v>7.1739130434782581</v>
      </c>
      <c r="N20" s="130">
        <f t="shared" si="4"/>
        <v>0</v>
      </c>
      <c r="O20" s="512"/>
      <c r="P20" s="512"/>
      <c r="Q20" s="512"/>
      <c r="R20" s="512"/>
      <c r="S20" s="512"/>
      <c r="T20" s="512"/>
      <c r="U20" s="512"/>
      <c r="V20" s="132">
        <f t="shared" si="5"/>
        <v>0</v>
      </c>
      <c r="W20" s="133">
        <f t="shared" si="6"/>
        <v>0</v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521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512"/>
      <c r="P21" s="512"/>
      <c r="Q21" s="512"/>
      <c r="R21" s="512"/>
      <c r="S21" s="512"/>
      <c r="T21" s="512"/>
      <c r="U21" s="512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511" t="s">
        <v>190</v>
      </c>
      <c r="D22" s="108">
        <v>4.8</v>
      </c>
      <c r="E22" s="108"/>
      <c r="F22" s="127"/>
      <c r="G22" s="128"/>
      <c r="H22" s="521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512"/>
      <c r="P22" s="512"/>
      <c r="Q22" s="512"/>
      <c r="R22" s="512"/>
      <c r="S22" s="512"/>
      <c r="T22" s="512"/>
      <c r="U22" s="512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511" t="s">
        <v>187</v>
      </c>
      <c r="D23" s="108">
        <v>4.8</v>
      </c>
      <c r="E23" s="108"/>
      <c r="F23" s="127"/>
      <c r="G23" s="128"/>
      <c r="H23" s="521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512"/>
      <c r="P23" s="512"/>
      <c r="Q23" s="512"/>
      <c r="R23" s="512"/>
      <c r="S23" s="512"/>
      <c r="T23" s="512"/>
      <c r="U23" s="512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511" t="s">
        <v>179</v>
      </c>
      <c r="D24" s="108">
        <v>4.8</v>
      </c>
      <c r="E24" s="108"/>
      <c r="F24" s="127"/>
      <c r="G24" s="128"/>
      <c r="H24" s="521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512"/>
      <c r="P24" s="512"/>
      <c r="Q24" s="512"/>
      <c r="R24" s="512"/>
      <c r="S24" s="512"/>
      <c r="T24" s="512"/>
      <c r="U24" s="512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511" t="s">
        <v>199</v>
      </c>
      <c r="D25" s="108">
        <v>4.8</v>
      </c>
      <c r="E25" s="108"/>
      <c r="F25" s="127"/>
      <c r="G25" s="128"/>
      <c r="H25" s="521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512"/>
      <c r="P25" s="512"/>
      <c r="Q25" s="512"/>
      <c r="R25" s="512"/>
      <c r="S25" s="512"/>
      <c r="T25" s="512"/>
      <c r="U25" s="512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521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512"/>
      <c r="P26" s="512"/>
      <c r="Q26" s="512"/>
      <c r="R26" s="512"/>
      <c r="S26" s="512"/>
      <c r="T26" s="512"/>
      <c r="U26" s="512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521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512"/>
      <c r="P27" s="512"/>
      <c r="Q27" s="512"/>
      <c r="R27" s="512"/>
      <c r="S27" s="512"/>
      <c r="T27" s="512"/>
      <c r="U27" s="512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30" t="s">
        <v>201</v>
      </c>
      <c r="B28" s="631"/>
      <c r="C28" s="519" t="s">
        <v>202</v>
      </c>
      <c r="D28" s="143"/>
      <c r="E28" s="143"/>
      <c r="F28" s="144"/>
      <c r="G28" s="145">
        <f>SUM(G7:G27)</f>
        <v>1203</v>
      </c>
      <c r="H28" s="146">
        <f>SUM(H7:H27)</f>
        <v>6118.12</v>
      </c>
      <c r="I28" s="146">
        <f>SUM(I7:I27)</f>
        <v>58</v>
      </c>
      <c r="J28" s="130">
        <f t="array" ref="J28">IF(ISERROR(G28/I28),"",G28/I28)</f>
        <v>20.741379310344829</v>
      </c>
      <c r="K28" s="146">
        <f>SUM(K7:K27)</f>
        <v>53.247139588100687</v>
      </c>
      <c r="L28" s="147"/>
      <c r="M28" s="146">
        <f t="shared" ref="M28:V28" si="10">SUM(M7:M27)</f>
        <v>4.7528604118993103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513" t="s">
        <v>206</v>
      </c>
      <c r="C29" s="126" t="s">
        <v>199</v>
      </c>
      <c r="D29" s="108">
        <v>5.03</v>
      </c>
      <c r="E29" s="108"/>
      <c r="F29" s="127"/>
      <c r="G29" s="128"/>
      <c r="H29" s="521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516"/>
      <c r="P29" s="516"/>
      <c r="Q29" s="516"/>
      <c r="R29" s="516"/>
      <c r="S29" s="516"/>
      <c r="T29" s="516"/>
      <c r="U29" s="516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513" t="s">
        <v>425</v>
      </c>
      <c r="C30" s="187" t="s">
        <v>427</v>
      </c>
      <c r="D30" s="108">
        <v>5.03</v>
      </c>
      <c r="E30" s="108"/>
      <c r="F30" s="127"/>
      <c r="G30" s="128"/>
      <c r="H30" s="521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516"/>
      <c r="P30" s="516"/>
      <c r="Q30" s="516"/>
      <c r="R30" s="516"/>
      <c r="S30" s="516"/>
      <c r="T30" s="516"/>
      <c r="U30" s="516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513" t="s">
        <v>206</v>
      </c>
      <c r="C31" s="126" t="s">
        <v>186</v>
      </c>
      <c r="D31" s="108">
        <v>5.03</v>
      </c>
      <c r="E31" s="108"/>
      <c r="F31" s="127"/>
      <c r="G31" s="128"/>
      <c r="H31" s="521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516"/>
      <c r="P31" s="516"/>
      <c r="Q31" s="516"/>
      <c r="R31" s="516"/>
      <c r="S31" s="516"/>
      <c r="T31" s="516"/>
      <c r="U31" s="516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513" t="s">
        <v>206</v>
      </c>
      <c r="C32" s="126" t="s">
        <v>203</v>
      </c>
      <c r="D32" s="108">
        <v>5.03</v>
      </c>
      <c r="E32" s="108"/>
      <c r="F32" s="127"/>
      <c r="G32" s="128"/>
      <c r="H32" s="521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516"/>
      <c r="P32" s="516"/>
      <c r="Q32" s="516"/>
      <c r="R32" s="516"/>
      <c r="S32" s="516"/>
      <c r="T32" s="516"/>
      <c r="U32" s="516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customHeight="1">
      <c r="A33" s="300">
        <v>30100013</v>
      </c>
      <c r="B33" s="513" t="s">
        <v>206</v>
      </c>
      <c r="C33" s="126" t="s">
        <v>207</v>
      </c>
      <c r="D33" s="108">
        <v>5.03</v>
      </c>
      <c r="E33" s="108"/>
      <c r="F33" s="127">
        <v>42718</v>
      </c>
      <c r="G33" s="128">
        <f>108*10</f>
        <v>1080</v>
      </c>
      <c r="H33" s="521">
        <f t="shared" si="11"/>
        <v>5432.4000000000005</v>
      </c>
      <c r="I33" s="129">
        <v>11.5</v>
      </c>
      <c r="J33" s="130">
        <f t="array" ref="J33">IF(ISERROR(G33/I33),"",G33/I33)</f>
        <v>93.913043478260875</v>
      </c>
      <c r="K33" s="131">
        <f t="array" ref="K33">IF(ISERROR(G33/L33),"",G33/L33)</f>
        <v>20.76923076923077</v>
      </c>
      <c r="L33" s="129">
        <v>52</v>
      </c>
      <c r="M33" s="109">
        <f t="shared" si="15"/>
        <v>-9.2692307692307701</v>
      </c>
      <c r="N33" s="130">
        <f t="shared" si="16"/>
        <v>0</v>
      </c>
      <c r="O33" s="516"/>
      <c r="P33" s="516"/>
      <c r="Q33" s="516"/>
      <c r="R33" s="516"/>
      <c r="S33" s="516"/>
      <c r="T33" s="516"/>
      <c r="U33" s="516"/>
      <c r="V33" s="132">
        <f t="shared" si="17"/>
        <v>0</v>
      </c>
      <c r="W33" s="133">
        <f t="shared" si="18"/>
        <v>0</v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513" t="s">
        <v>414</v>
      </c>
      <c r="C34" s="187" t="s">
        <v>415</v>
      </c>
      <c r="D34" s="108">
        <v>5.03</v>
      </c>
      <c r="E34" s="108"/>
      <c r="F34" s="127"/>
      <c r="G34" s="128"/>
      <c r="H34" s="521">
        <f t="shared" si="11"/>
        <v>0</v>
      </c>
      <c r="I34" s="129"/>
      <c r="J34" s="130"/>
      <c r="K34" s="131"/>
      <c r="L34" s="129">
        <v>52</v>
      </c>
      <c r="M34" s="109"/>
      <c r="N34" s="130"/>
      <c r="O34" s="516"/>
      <c r="P34" s="516"/>
      <c r="Q34" s="516"/>
      <c r="R34" s="516"/>
      <c r="S34" s="516"/>
      <c r="T34" s="516"/>
      <c r="U34" s="516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513" t="s">
        <v>414</v>
      </c>
      <c r="C35" s="187" t="s">
        <v>416</v>
      </c>
      <c r="D35" s="108">
        <v>5.03</v>
      </c>
      <c r="E35" s="108"/>
      <c r="F35" s="127"/>
      <c r="G35" s="128"/>
      <c r="H35" s="521">
        <f t="shared" si="11"/>
        <v>0</v>
      </c>
      <c r="I35" s="129"/>
      <c r="J35" s="130"/>
      <c r="K35" s="131"/>
      <c r="L35" s="129">
        <v>52</v>
      </c>
      <c r="M35" s="109"/>
      <c r="N35" s="130"/>
      <c r="O35" s="516"/>
      <c r="P35" s="516"/>
      <c r="Q35" s="516"/>
      <c r="R35" s="516"/>
      <c r="S35" s="516"/>
      <c r="T35" s="516"/>
      <c r="U35" s="516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513" t="s">
        <v>414</v>
      </c>
      <c r="C36" s="187" t="s">
        <v>61</v>
      </c>
      <c r="D36" s="108">
        <v>5.03</v>
      </c>
      <c r="E36" s="108"/>
      <c r="F36" s="127"/>
      <c r="G36" s="128"/>
      <c r="H36" s="521">
        <f t="shared" si="11"/>
        <v>0</v>
      </c>
      <c r="I36" s="129"/>
      <c r="J36" s="130"/>
      <c r="K36" s="131"/>
      <c r="L36" s="129">
        <v>52</v>
      </c>
      <c r="M36" s="109"/>
      <c r="N36" s="130"/>
      <c r="O36" s="516"/>
      <c r="P36" s="516"/>
      <c r="Q36" s="516"/>
      <c r="R36" s="516"/>
      <c r="S36" s="516"/>
      <c r="T36" s="516"/>
      <c r="U36" s="516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513" t="s">
        <v>208</v>
      </c>
      <c r="C37" s="126" t="s">
        <v>179</v>
      </c>
      <c r="D37" s="108">
        <v>5.08</v>
      </c>
      <c r="E37" s="108"/>
      <c r="F37" s="127"/>
      <c r="G37" s="128"/>
      <c r="H37" s="521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7" si="19">IF(ISERROR(I37-K37),"",I37-K37)</f>
        <v>0</v>
      </c>
      <c r="N37" s="130">
        <f t="shared" ref="N37:N52" si="20">SUM(O37:U37)</f>
        <v>0</v>
      </c>
      <c r="O37" s="516"/>
      <c r="P37" s="516"/>
      <c r="Q37" s="516"/>
      <c r="R37" s="516"/>
      <c r="S37" s="516"/>
      <c r="T37" s="516"/>
      <c r="U37" s="516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513" t="s">
        <v>208</v>
      </c>
      <c r="C38" s="126" t="s">
        <v>204</v>
      </c>
      <c r="D38" s="108">
        <v>5.08</v>
      </c>
      <c r="E38" s="108"/>
      <c r="F38" s="127"/>
      <c r="G38" s="128"/>
      <c r="H38" s="521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516"/>
      <c r="P38" s="516"/>
      <c r="Q38" s="516"/>
      <c r="R38" s="516"/>
      <c r="S38" s="516"/>
      <c r="T38" s="516"/>
      <c r="U38" s="516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513" t="s">
        <v>208</v>
      </c>
      <c r="C39" s="126" t="s">
        <v>205</v>
      </c>
      <c r="D39" s="108">
        <v>5.08</v>
      </c>
      <c r="E39" s="108"/>
      <c r="F39" s="127"/>
      <c r="G39" s="128"/>
      <c r="H39" s="521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516"/>
      <c r="P39" s="516"/>
      <c r="Q39" s="516"/>
      <c r="R39" s="516"/>
      <c r="S39" s="516"/>
      <c r="T39" s="516"/>
      <c r="U39" s="516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513" t="s">
        <v>208</v>
      </c>
      <c r="C40" s="126" t="s">
        <v>186</v>
      </c>
      <c r="D40" s="108">
        <v>5.08</v>
      </c>
      <c r="E40" s="108"/>
      <c r="F40" s="127"/>
      <c r="G40" s="128"/>
      <c r="H40" s="521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516"/>
      <c r="P40" s="516"/>
      <c r="Q40" s="516"/>
      <c r="R40" s="516"/>
      <c r="S40" s="516"/>
      <c r="T40" s="516"/>
      <c r="U40" s="516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513" t="s">
        <v>208</v>
      </c>
      <c r="C41" s="126" t="s">
        <v>203</v>
      </c>
      <c r="D41" s="108">
        <v>5.08</v>
      </c>
      <c r="E41" s="108"/>
      <c r="F41" s="127"/>
      <c r="G41" s="128"/>
      <c r="H41" s="521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516"/>
      <c r="P41" s="516"/>
      <c r="Q41" s="516"/>
      <c r="R41" s="516"/>
      <c r="S41" s="516"/>
      <c r="T41" s="516"/>
      <c r="U41" s="516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513" t="s">
        <v>208</v>
      </c>
      <c r="C42" s="126" t="s">
        <v>199</v>
      </c>
      <c r="D42" s="108">
        <v>5.08</v>
      </c>
      <c r="E42" s="108"/>
      <c r="F42" s="127"/>
      <c r="G42" s="128"/>
      <c r="H42" s="521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512"/>
      <c r="P42" s="512"/>
      <c r="Q42" s="512"/>
      <c r="R42" s="512"/>
      <c r="S42" s="512"/>
      <c r="T42" s="512"/>
      <c r="U42" s="512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513" t="s">
        <v>208</v>
      </c>
      <c r="C43" s="126" t="s">
        <v>187</v>
      </c>
      <c r="D43" s="108">
        <v>5.08</v>
      </c>
      <c r="E43" s="108"/>
      <c r="F43" s="127"/>
      <c r="G43" s="128"/>
      <c r="H43" s="521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516"/>
      <c r="P43" s="516"/>
      <c r="Q43" s="516"/>
      <c r="R43" s="516"/>
      <c r="S43" s="516"/>
      <c r="T43" s="516"/>
      <c r="U43" s="516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513" t="s">
        <v>208</v>
      </c>
      <c r="C44" s="126" t="s">
        <v>207</v>
      </c>
      <c r="D44" s="108">
        <v>5.08</v>
      </c>
      <c r="E44" s="108"/>
      <c r="F44" s="127"/>
      <c r="G44" s="128"/>
      <c r="H44" s="521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512"/>
      <c r="P44" s="512"/>
      <c r="Q44" s="512"/>
      <c r="R44" s="512"/>
      <c r="S44" s="512"/>
      <c r="T44" s="512"/>
      <c r="U44" s="512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513" t="s">
        <v>209</v>
      </c>
      <c r="C45" s="126" t="s">
        <v>194</v>
      </c>
      <c r="D45" s="108">
        <v>5.03</v>
      </c>
      <c r="E45" s="108"/>
      <c r="F45" s="127"/>
      <c r="G45" s="128"/>
      <c r="H45" s="521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516"/>
      <c r="P45" s="516"/>
      <c r="Q45" s="516"/>
      <c r="R45" s="516"/>
      <c r="S45" s="516"/>
      <c r="T45" s="516"/>
      <c r="U45" s="516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513" t="s">
        <v>209</v>
      </c>
      <c r="C46" s="126" t="s">
        <v>179</v>
      </c>
      <c r="D46" s="108">
        <v>5.03</v>
      </c>
      <c r="E46" s="108"/>
      <c r="F46" s="127"/>
      <c r="G46" s="128"/>
      <c r="H46" s="521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516"/>
      <c r="P46" s="516"/>
      <c r="Q46" s="516"/>
      <c r="R46" s="516"/>
      <c r="S46" s="516"/>
      <c r="T46" s="516"/>
      <c r="U46" s="516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513" t="s">
        <v>209</v>
      </c>
      <c r="C47" s="126" t="s">
        <v>195</v>
      </c>
      <c r="D47" s="108">
        <v>5.03</v>
      </c>
      <c r="E47" s="108"/>
      <c r="F47" s="127"/>
      <c r="G47" s="128"/>
      <c r="H47" s="521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516"/>
      <c r="P47" s="516"/>
      <c r="Q47" s="516"/>
      <c r="R47" s="516"/>
      <c r="S47" s="516"/>
      <c r="T47" s="516"/>
      <c r="U47" s="516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513" t="s">
        <v>209</v>
      </c>
      <c r="C48" s="126" t="s">
        <v>204</v>
      </c>
      <c r="D48" s="108">
        <v>5.03</v>
      </c>
      <c r="E48" s="108"/>
      <c r="F48" s="127"/>
      <c r="G48" s="128"/>
      <c r="H48" s="521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516"/>
      <c r="P48" s="516"/>
      <c r="Q48" s="516"/>
      <c r="R48" s="516"/>
      <c r="S48" s="516"/>
      <c r="T48" s="516"/>
      <c r="U48" s="516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513" t="s">
        <v>382</v>
      </c>
      <c r="C49" s="187" t="s">
        <v>383</v>
      </c>
      <c r="D49" s="108">
        <v>5.03</v>
      </c>
      <c r="E49" s="108"/>
      <c r="F49" s="127"/>
      <c r="G49" s="128"/>
      <c r="H49" s="521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516"/>
      <c r="P49" s="516"/>
      <c r="Q49" s="516"/>
      <c r="R49" s="516"/>
      <c r="S49" s="516"/>
      <c r="T49" s="516"/>
      <c r="U49" s="516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513" t="s">
        <v>382</v>
      </c>
      <c r="C50" s="187" t="s">
        <v>384</v>
      </c>
      <c r="D50" s="108">
        <v>5.03</v>
      </c>
      <c r="E50" s="108"/>
      <c r="F50" s="127"/>
      <c r="G50" s="128"/>
      <c r="H50" s="521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516"/>
      <c r="P50" s="516"/>
      <c r="Q50" s="516"/>
      <c r="R50" s="516"/>
      <c r="S50" s="516"/>
      <c r="T50" s="516"/>
      <c r="U50" s="516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513" t="s">
        <v>382</v>
      </c>
      <c r="C51" s="187" t="s">
        <v>389</v>
      </c>
      <c r="D51" s="108">
        <v>5.03</v>
      </c>
      <c r="E51" s="108"/>
      <c r="F51" s="127"/>
      <c r="G51" s="128"/>
      <c r="H51" s="521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516"/>
      <c r="P51" s="516"/>
      <c r="Q51" s="516"/>
      <c r="R51" s="516"/>
      <c r="S51" s="516"/>
      <c r="T51" s="516"/>
      <c r="U51" s="516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513" t="s">
        <v>382</v>
      </c>
      <c r="C52" s="187" t="s">
        <v>391</v>
      </c>
      <c r="D52" s="108">
        <v>5.03</v>
      </c>
      <c r="E52" s="108"/>
      <c r="F52" s="127"/>
      <c r="G52" s="128"/>
      <c r="H52" s="521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516"/>
      <c r="P52" s="516"/>
      <c r="Q52" s="516"/>
      <c r="R52" s="516"/>
      <c r="S52" s="516"/>
      <c r="T52" s="516"/>
      <c r="U52" s="516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513" t="s">
        <v>418</v>
      </c>
      <c r="C53" s="187" t="s">
        <v>364</v>
      </c>
      <c r="D53" s="108">
        <v>5.03</v>
      </c>
      <c r="E53" s="108"/>
      <c r="F53" s="127"/>
      <c r="G53" s="128"/>
      <c r="H53" s="521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516"/>
      <c r="P53" s="516"/>
      <c r="Q53" s="516"/>
      <c r="R53" s="516"/>
      <c r="S53" s="516"/>
      <c r="T53" s="516"/>
      <c r="U53" s="516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513" t="s">
        <v>418</v>
      </c>
      <c r="C54" s="187" t="s">
        <v>365</v>
      </c>
      <c r="D54" s="108">
        <v>5.03</v>
      </c>
      <c r="E54" s="108"/>
      <c r="F54" s="127"/>
      <c r="G54" s="128"/>
      <c r="H54" s="521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516"/>
      <c r="P54" s="516"/>
      <c r="Q54" s="516"/>
      <c r="R54" s="516"/>
      <c r="S54" s="516"/>
      <c r="T54" s="516"/>
      <c r="U54" s="516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513" t="s">
        <v>418</v>
      </c>
      <c r="C55" s="187" t="s">
        <v>366</v>
      </c>
      <c r="D55" s="108">
        <v>5.03</v>
      </c>
      <c r="E55" s="108"/>
      <c r="F55" s="127"/>
      <c r="G55" s="128"/>
      <c r="H55" s="521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516"/>
      <c r="P55" s="516"/>
      <c r="Q55" s="516"/>
      <c r="R55" s="516"/>
      <c r="S55" s="516"/>
      <c r="T55" s="516"/>
      <c r="U55" s="516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513" t="s">
        <v>418</v>
      </c>
      <c r="C56" s="187" t="s">
        <v>367</v>
      </c>
      <c r="D56" s="108">
        <v>5.03</v>
      </c>
      <c r="E56" s="108"/>
      <c r="F56" s="127"/>
      <c r="G56" s="128"/>
      <c r="H56" s="521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516"/>
      <c r="P56" s="516"/>
      <c r="Q56" s="516"/>
      <c r="R56" s="516"/>
      <c r="S56" s="516"/>
      <c r="T56" s="516"/>
      <c r="U56" s="516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521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512"/>
      <c r="P57" s="512"/>
      <c r="Q57" s="512"/>
      <c r="R57" s="512"/>
      <c r="S57" s="512"/>
      <c r="T57" s="512"/>
      <c r="U57" s="512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521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512"/>
      <c r="P58" s="512"/>
      <c r="Q58" s="512"/>
      <c r="R58" s="512"/>
      <c r="S58" s="512"/>
      <c r="T58" s="512"/>
      <c r="U58" s="512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521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512"/>
      <c r="P59" s="512"/>
      <c r="Q59" s="512"/>
      <c r="R59" s="512"/>
      <c r="S59" s="512"/>
      <c r="T59" s="512"/>
      <c r="U59" s="512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521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512"/>
      <c r="P60" s="512"/>
      <c r="Q60" s="512"/>
      <c r="R60" s="512"/>
      <c r="S60" s="512"/>
      <c r="T60" s="512"/>
      <c r="U60" s="512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521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512"/>
      <c r="P61" s="512"/>
      <c r="Q61" s="512"/>
      <c r="R61" s="512"/>
      <c r="S61" s="512"/>
      <c r="T61" s="512"/>
      <c r="U61" s="512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521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512"/>
      <c r="P62" s="512"/>
      <c r="Q62" s="512"/>
      <c r="R62" s="512"/>
      <c r="S62" s="512"/>
      <c r="T62" s="512"/>
      <c r="U62" s="512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521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512"/>
      <c r="P63" s="512"/>
      <c r="Q63" s="512"/>
      <c r="R63" s="512"/>
      <c r="S63" s="512"/>
      <c r="T63" s="512"/>
      <c r="U63" s="512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521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512"/>
      <c r="P64" s="512"/>
      <c r="Q64" s="512"/>
      <c r="R64" s="512"/>
      <c r="S64" s="512"/>
      <c r="T64" s="512"/>
      <c r="U64" s="512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>
        <v>42719</v>
      </c>
      <c r="G65" s="128">
        <f>90*2+64+1</f>
        <v>245</v>
      </c>
      <c r="H65" s="521">
        <f t="shared" si="11"/>
        <v>1232.3500000000001</v>
      </c>
      <c r="I65" s="129">
        <v>3</v>
      </c>
      <c r="J65" s="130">
        <f t="array" ref="J65">IF(ISERROR(G65/I65),"",G65/I65)</f>
        <v>81.666666666666671</v>
      </c>
      <c r="K65" s="131">
        <f t="array" ref="K65">IF(ISERROR(G65/L65),"",G65/L65)</f>
        <v>4.9000000000000004</v>
      </c>
      <c r="L65" s="129">
        <v>50</v>
      </c>
      <c r="M65" s="109">
        <f t="shared" si="19"/>
        <v>-1.9000000000000004</v>
      </c>
      <c r="N65" s="130">
        <f t="shared" si="23"/>
        <v>0</v>
      </c>
      <c r="O65" s="512"/>
      <c r="P65" s="512"/>
      <c r="Q65" s="512"/>
      <c r="R65" s="512"/>
      <c r="S65" s="512"/>
      <c r="T65" s="512"/>
      <c r="U65" s="512"/>
      <c r="V65" s="132">
        <f t="shared" si="24"/>
        <v>0</v>
      </c>
      <c r="W65" s="133">
        <f t="shared" si="25"/>
        <v>0</v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521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512"/>
      <c r="P66" s="512"/>
      <c r="Q66" s="512"/>
      <c r="R66" s="512"/>
      <c r="S66" s="512"/>
      <c r="T66" s="512"/>
      <c r="U66" s="512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>
        <v>42719</v>
      </c>
      <c r="G67" s="128">
        <f>90*6+48</f>
        <v>588</v>
      </c>
      <c r="H67" s="521">
        <f t="shared" si="11"/>
        <v>2957.6400000000003</v>
      </c>
      <c r="I67" s="129">
        <v>8</v>
      </c>
      <c r="J67" s="130">
        <f t="array" ref="J67">IF(ISERROR(G67/I67),"",G67/I67)</f>
        <v>73.5</v>
      </c>
      <c r="K67" s="131">
        <f t="array" ref="K67">IF(ISERROR(G67/L67),"",G67/L67)</f>
        <v>11.76</v>
      </c>
      <c r="L67" s="129">
        <v>50</v>
      </c>
      <c r="M67" s="109">
        <f t="shared" si="19"/>
        <v>-3.76</v>
      </c>
      <c r="N67" s="130"/>
      <c r="O67" s="512"/>
      <c r="P67" s="512"/>
      <c r="Q67" s="512"/>
      <c r="R67" s="512"/>
      <c r="S67" s="512"/>
      <c r="T67" s="512"/>
      <c r="U67" s="512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521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512"/>
      <c r="P68" s="512"/>
      <c r="Q68" s="512"/>
      <c r="R68" s="512"/>
      <c r="S68" s="512"/>
      <c r="T68" s="512"/>
      <c r="U68" s="512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521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512"/>
      <c r="P69" s="512"/>
      <c r="Q69" s="512"/>
      <c r="R69" s="512"/>
      <c r="S69" s="512"/>
      <c r="T69" s="512"/>
      <c r="U69" s="512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521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512"/>
      <c r="P70" s="512"/>
      <c r="Q70" s="512"/>
      <c r="R70" s="512"/>
      <c r="S70" s="512"/>
      <c r="T70" s="512"/>
      <c r="U70" s="512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521">
        <f t="shared" si="11"/>
        <v>0</v>
      </c>
      <c r="I71" s="129"/>
      <c r="J71" s="130"/>
      <c r="K71" s="131"/>
      <c r="L71" s="129"/>
      <c r="M71" s="109"/>
      <c r="N71" s="130"/>
      <c r="O71" s="512"/>
      <c r="P71" s="512"/>
      <c r="Q71" s="512"/>
      <c r="R71" s="512"/>
      <c r="S71" s="512"/>
      <c r="T71" s="512"/>
      <c r="U71" s="512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521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512"/>
      <c r="P72" s="512"/>
      <c r="Q72" s="512"/>
      <c r="R72" s="512"/>
      <c r="S72" s="512"/>
      <c r="T72" s="512"/>
      <c r="U72" s="512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521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512"/>
      <c r="P73" s="512"/>
      <c r="Q73" s="512"/>
      <c r="R73" s="512"/>
      <c r="S73" s="512"/>
      <c r="T73" s="512"/>
      <c r="U73" s="512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521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512"/>
      <c r="P74" s="512"/>
      <c r="Q74" s="512"/>
      <c r="R74" s="512"/>
      <c r="S74" s="512"/>
      <c r="T74" s="512"/>
      <c r="U74" s="512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521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512"/>
      <c r="P75" s="512"/>
      <c r="Q75" s="512"/>
      <c r="R75" s="512"/>
      <c r="S75" s="512"/>
      <c r="T75" s="512"/>
      <c r="U75" s="512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521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512"/>
      <c r="P76" s="512"/>
      <c r="Q76" s="512"/>
      <c r="R76" s="512"/>
      <c r="S76" s="512"/>
      <c r="T76" s="512"/>
      <c r="U76" s="512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521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512"/>
      <c r="P77" s="512"/>
      <c r="Q77" s="512"/>
      <c r="R77" s="512"/>
      <c r="S77" s="512"/>
      <c r="T77" s="512"/>
      <c r="U77" s="512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521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512"/>
      <c r="P78" s="512"/>
      <c r="Q78" s="512"/>
      <c r="R78" s="512"/>
      <c r="S78" s="512"/>
      <c r="T78" s="512"/>
      <c r="U78" s="512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521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512"/>
      <c r="P79" s="512"/>
      <c r="Q79" s="512"/>
      <c r="R79" s="512"/>
      <c r="S79" s="512"/>
      <c r="T79" s="512"/>
      <c r="U79" s="512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521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512"/>
      <c r="P80" s="512"/>
      <c r="Q80" s="512"/>
      <c r="R80" s="512"/>
      <c r="S80" s="512"/>
      <c r="T80" s="512"/>
      <c r="U80" s="512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521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512"/>
      <c r="P81" s="512"/>
      <c r="Q81" s="512"/>
      <c r="R81" s="512"/>
      <c r="S81" s="512"/>
      <c r="T81" s="512"/>
      <c r="U81" s="512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521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512"/>
      <c r="P82" s="512"/>
      <c r="Q82" s="512"/>
      <c r="R82" s="512"/>
      <c r="S82" s="512"/>
      <c r="T82" s="512"/>
      <c r="U82" s="512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521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512"/>
      <c r="P83" s="512"/>
      <c r="Q83" s="512"/>
      <c r="R83" s="512"/>
      <c r="S83" s="512"/>
      <c r="T83" s="512"/>
      <c r="U83" s="512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521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512"/>
      <c r="P84" s="512"/>
      <c r="Q84" s="512"/>
      <c r="R84" s="512"/>
      <c r="S84" s="512"/>
      <c r="T84" s="512"/>
      <c r="U84" s="512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521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512"/>
      <c r="P85" s="512"/>
      <c r="Q85" s="512"/>
      <c r="R85" s="512"/>
      <c r="S85" s="512"/>
      <c r="T85" s="512"/>
      <c r="U85" s="512"/>
      <c r="V85" s="132"/>
      <c r="W85" s="133"/>
      <c r="X85" s="132"/>
      <c r="Y85" s="132"/>
      <c r="Z85" s="132"/>
      <c r="AA85" s="132"/>
    </row>
    <row r="86" spans="1:27" ht="20.100000000000001" customHeight="1">
      <c r="A86" s="641" t="s">
        <v>216</v>
      </c>
      <c r="B86" s="641"/>
      <c r="C86" s="519" t="s">
        <v>202</v>
      </c>
      <c r="D86" s="143"/>
      <c r="E86" s="143"/>
      <c r="F86" s="144"/>
      <c r="G86" s="145">
        <f>SUM(G29:G85)</f>
        <v>1913</v>
      </c>
      <c r="H86" s="146">
        <f>SUM(H29:H85)</f>
        <v>9622.3900000000012</v>
      </c>
      <c r="I86" s="146">
        <f>SUM(I29:I85)</f>
        <v>22.5</v>
      </c>
      <c r="J86" s="130">
        <f t="array" ref="J86">IF(ISERROR(G86/I86),"",G86/I86)</f>
        <v>85.022222222222226</v>
      </c>
      <c r="K86" s="146">
        <f>SUM(K29:K85)</f>
        <v>37.42923076923077</v>
      </c>
      <c r="L86" s="147"/>
      <c r="M86" s="150">
        <f t="shared" ref="M86:V86" si="34">SUM(M29:M85)</f>
        <v>-14.92923076923077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513" t="s">
        <v>217</v>
      </c>
      <c r="C87" s="126" t="s">
        <v>179</v>
      </c>
      <c r="D87" s="108">
        <v>5.03</v>
      </c>
      <c r="E87" s="108"/>
      <c r="F87" s="127"/>
      <c r="G87" s="128"/>
      <c r="H87" s="521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512"/>
      <c r="P87" s="512"/>
      <c r="Q87" s="512"/>
      <c r="R87" s="512"/>
      <c r="S87" s="512"/>
      <c r="T87" s="512"/>
      <c r="U87" s="512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513" t="s">
        <v>217</v>
      </c>
      <c r="C88" s="126" t="s">
        <v>186</v>
      </c>
      <c r="D88" s="108">
        <v>5.03</v>
      </c>
      <c r="E88" s="108"/>
      <c r="F88" s="127"/>
      <c r="G88" s="128"/>
      <c r="H88" s="521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512"/>
      <c r="P88" s="512"/>
      <c r="Q88" s="512"/>
      <c r="R88" s="512"/>
      <c r="S88" s="512"/>
      <c r="T88" s="512"/>
      <c r="U88" s="512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513" t="s">
        <v>217</v>
      </c>
      <c r="C89" s="126" t="s">
        <v>204</v>
      </c>
      <c r="D89" s="108">
        <v>5.03</v>
      </c>
      <c r="E89" s="108"/>
      <c r="F89" s="127"/>
      <c r="G89" s="128"/>
      <c r="H89" s="521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512"/>
      <c r="P89" s="512"/>
      <c r="Q89" s="512"/>
      <c r="R89" s="512"/>
      <c r="S89" s="512"/>
      <c r="T89" s="512"/>
      <c r="U89" s="512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521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512"/>
      <c r="P90" s="512"/>
      <c r="Q90" s="512"/>
      <c r="R90" s="512"/>
      <c r="S90" s="512"/>
      <c r="T90" s="512"/>
      <c r="U90" s="512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521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512"/>
      <c r="P91" s="512"/>
      <c r="Q91" s="512"/>
      <c r="R91" s="512"/>
      <c r="S91" s="512"/>
      <c r="T91" s="512"/>
      <c r="U91" s="512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521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512"/>
      <c r="P92" s="512"/>
      <c r="Q92" s="512"/>
      <c r="R92" s="512"/>
      <c r="S92" s="512"/>
      <c r="T92" s="512"/>
      <c r="U92" s="512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>
        <v>42720</v>
      </c>
      <c r="G93" s="128">
        <v>32</v>
      </c>
      <c r="H93" s="521">
        <f t="shared" si="36"/>
        <v>160.96</v>
      </c>
      <c r="I93" s="129">
        <f>1+1.5</f>
        <v>2.5</v>
      </c>
      <c r="J93" s="130">
        <f t="array" ref="J93">IF(ISERROR(G93/I93),"",G93/I93)</f>
        <v>12.8</v>
      </c>
      <c r="K93" s="131">
        <f t="array" ref="K93">IF(ISERROR(G93/L93),"",G93/L93)</f>
        <v>3.440860215053763</v>
      </c>
      <c r="L93" s="129">
        <v>9.3000000000000007</v>
      </c>
      <c r="M93" s="109">
        <f t="shared" si="37"/>
        <v>-0.94086021505376305</v>
      </c>
      <c r="N93" s="130">
        <f t="shared" si="38"/>
        <v>0</v>
      </c>
      <c r="O93" s="512"/>
      <c r="P93" s="512"/>
      <c r="Q93" s="512"/>
      <c r="R93" s="512"/>
      <c r="S93" s="512"/>
      <c r="T93" s="512"/>
      <c r="U93" s="512"/>
      <c r="V93" s="132">
        <f t="shared" si="39"/>
        <v>0</v>
      </c>
      <c r="W93" s="133">
        <f t="shared" si="35"/>
        <v>0</v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521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512"/>
      <c r="P94" s="512"/>
      <c r="Q94" s="512"/>
      <c r="R94" s="512"/>
      <c r="S94" s="512"/>
      <c r="T94" s="512"/>
      <c r="U94" s="512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521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512"/>
      <c r="P95" s="512"/>
      <c r="Q95" s="512"/>
      <c r="R95" s="512"/>
      <c r="S95" s="512"/>
      <c r="T95" s="512"/>
      <c r="U95" s="512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521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512"/>
      <c r="P96" s="512"/>
      <c r="Q96" s="512"/>
      <c r="R96" s="512"/>
      <c r="S96" s="512"/>
      <c r="T96" s="512"/>
      <c r="U96" s="512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521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512"/>
      <c r="P97" s="512"/>
      <c r="Q97" s="512"/>
      <c r="R97" s="512"/>
      <c r="S97" s="512"/>
      <c r="T97" s="512"/>
      <c r="U97" s="512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521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512"/>
      <c r="P98" s="512"/>
      <c r="Q98" s="512"/>
      <c r="R98" s="512"/>
      <c r="S98" s="512"/>
      <c r="T98" s="512"/>
      <c r="U98" s="512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521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512"/>
      <c r="P99" s="512"/>
      <c r="Q99" s="512"/>
      <c r="R99" s="512"/>
      <c r="S99" s="512"/>
      <c r="T99" s="512"/>
      <c r="U99" s="512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521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512"/>
      <c r="P100" s="512"/>
      <c r="Q100" s="512"/>
      <c r="R100" s="512"/>
      <c r="S100" s="512"/>
      <c r="T100" s="512"/>
      <c r="U100" s="512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521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512"/>
      <c r="P101" s="512"/>
      <c r="Q101" s="512"/>
      <c r="R101" s="512"/>
      <c r="S101" s="512"/>
      <c r="T101" s="512"/>
      <c r="U101" s="512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521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512"/>
      <c r="P102" s="512"/>
      <c r="Q102" s="512"/>
      <c r="R102" s="512"/>
      <c r="S102" s="512"/>
      <c r="T102" s="512"/>
      <c r="U102" s="512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513" t="s">
        <v>222</v>
      </c>
      <c r="C103" s="126" t="s">
        <v>181</v>
      </c>
      <c r="D103" s="108">
        <v>10.199999999999999</v>
      </c>
      <c r="E103" s="108"/>
      <c r="F103" s="127"/>
      <c r="G103" s="128"/>
      <c r="H103" s="521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512"/>
      <c r="P103" s="512"/>
      <c r="Q103" s="512"/>
      <c r="R103" s="512"/>
      <c r="S103" s="512"/>
      <c r="T103" s="512"/>
      <c r="U103" s="512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513" t="s">
        <v>222</v>
      </c>
      <c r="C104" s="126" t="s">
        <v>179</v>
      </c>
      <c r="D104" s="108">
        <v>10.199999999999999</v>
      </c>
      <c r="E104" s="108"/>
      <c r="F104" s="127"/>
      <c r="G104" s="128"/>
      <c r="H104" s="521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512"/>
      <c r="P104" s="512"/>
      <c r="Q104" s="512"/>
      <c r="R104" s="512"/>
      <c r="S104" s="512"/>
      <c r="T104" s="512"/>
      <c r="U104" s="512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513" t="s">
        <v>222</v>
      </c>
      <c r="C105" s="126" t="s">
        <v>221</v>
      </c>
      <c r="D105" s="108">
        <v>10.199999999999999</v>
      </c>
      <c r="E105" s="108"/>
      <c r="F105" s="127"/>
      <c r="G105" s="128"/>
      <c r="H105" s="521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512"/>
      <c r="P105" s="512"/>
      <c r="Q105" s="512"/>
      <c r="R105" s="512"/>
      <c r="S105" s="512"/>
      <c r="T105" s="512"/>
      <c r="U105" s="512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513" t="s">
        <v>222</v>
      </c>
      <c r="C106" s="126" t="s">
        <v>186</v>
      </c>
      <c r="D106" s="108">
        <v>10.199999999999999</v>
      </c>
      <c r="E106" s="108"/>
      <c r="F106" s="127"/>
      <c r="G106" s="128"/>
      <c r="H106" s="521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512"/>
      <c r="P106" s="512"/>
      <c r="Q106" s="512"/>
      <c r="R106" s="512"/>
      <c r="S106" s="512"/>
      <c r="T106" s="512"/>
      <c r="U106" s="512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513" t="s">
        <v>393</v>
      </c>
      <c r="C107" s="187" t="s">
        <v>395</v>
      </c>
      <c r="D107" s="108">
        <v>5</v>
      </c>
      <c r="E107" s="108"/>
      <c r="F107" s="127"/>
      <c r="G107" s="128"/>
      <c r="H107" s="521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512"/>
      <c r="P107" s="512"/>
      <c r="Q107" s="512"/>
      <c r="R107" s="512"/>
      <c r="S107" s="512"/>
      <c r="T107" s="512"/>
      <c r="U107" s="512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513" t="s">
        <v>393</v>
      </c>
      <c r="C108" s="187" t="s">
        <v>402</v>
      </c>
      <c r="D108" s="108">
        <v>5</v>
      </c>
      <c r="E108" s="108"/>
      <c r="F108" s="127"/>
      <c r="G108" s="128"/>
      <c r="H108" s="521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512"/>
      <c r="P108" s="512"/>
      <c r="Q108" s="512"/>
      <c r="R108" s="512"/>
      <c r="S108" s="512"/>
      <c r="T108" s="512"/>
      <c r="U108" s="512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513" t="s">
        <v>404</v>
      </c>
      <c r="C109" s="187" t="s">
        <v>405</v>
      </c>
      <c r="D109" s="108">
        <v>5</v>
      </c>
      <c r="E109" s="108"/>
      <c r="F109" s="127"/>
      <c r="G109" s="128"/>
      <c r="H109" s="521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512"/>
      <c r="P109" s="512"/>
      <c r="Q109" s="512"/>
      <c r="R109" s="512"/>
      <c r="S109" s="512"/>
      <c r="T109" s="512"/>
      <c r="U109" s="512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513" t="s">
        <v>492</v>
      </c>
      <c r="C110" s="187" t="s">
        <v>372</v>
      </c>
      <c r="D110" s="108">
        <v>5</v>
      </c>
      <c r="E110" s="108"/>
      <c r="F110" s="127"/>
      <c r="G110" s="128"/>
      <c r="H110" s="521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512"/>
      <c r="P110" s="512"/>
      <c r="Q110" s="512"/>
      <c r="R110" s="512"/>
      <c r="S110" s="512"/>
      <c r="T110" s="512"/>
      <c r="U110" s="512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513" t="s">
        <v>343</v>
      </c>
      <c r="C111" s="126" t="s">
        <v>345</v>
      </c>
      <c r="D111" s="108">
        <v>5</v>
      </c>
      <c r="E111" s="108"/>
      <c r="F111" s="127"/>
      <c r="G111" s="128"/>
      <c r="H111" s="521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512"/>
      <c r="P111" s="512"/>
      <c r="Q111" s="512"/>
      <c r="R111" s="512"/>
      <c r="S111" s="512"/>
      <c r="T111" s="512"/>
      <c r="U111" s="512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513" t="s">
        <v>343</v>
      </c>
      <c r="C112" s="126" t="s">
        <v>347</v>
      </c>
      <c r="D112" s="108">
        <v>5</v>
      </c>
      <c r="E112" s="108"/>
      <c r="F112" s="127">
        <v>42717</v>
      </c>
      <c r="G112" s="128">
        <f>90*2+63+22</f>
        <v>265</v>
      </c>
      <c r="H112" s="521">
        <f t="shared" si="36"/>
        <v>1325</v>
      </c>
      <c r="I112" s="129">
        <f>8*3</f>
        <v>24</v>
      </c>
      <c r="J112" s="130">
        <f t="array" ref="J112">IF(ISERROR(G112/I112),"",G112/I112)</f>
        <v>11.041666666666666</v>
      </c>
      <c r="K112" s="131">
        <f t="array" ref="K112">IF(ISERROR(G112/L112),"",G112/L112)</f>
        <v>53</v>
      </c>
      <c r="L112" s="129">
        <v>5</v>
      </c>
      <c r="M112" s="109">
        <f t="shared" si="37"/>
        <v>-29</v>
      </c>
      <c r="N112" s="130">
        <f t="shared" si="40"/>
        <v>0</v>
      </c>
      <c r="O112" s="512"/>
      <c r="P112" s="512"/>
      <c r="Q112" s="512"/>
      <c r="R112" s="512"/>
      <c r="S112" s="512"/>
      <c r="T112" s="512"/>
      <c r="U112" s="512"/>
      <c r="V112" s="132"/>
      <c r="W112" s="133"/>
      <c r="X112" s="132"/>
      <c r="Y112" s="132"/>
      <c r="Z112" s="132"/>
      <c r="AA112" s="132"/>
    </row>
    <row r="113" spans="1:27" ht="20.10000000000000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>
        <v>42720</v>
      </c>
      <c r="G113" s="128">
        <f>100*2+66+48</f>
        <v>314</v>
      </c>
      <c r="H113" s="521">
        <f t="shared" si="36"/>
        <v>1588.84</v>
      </c>
      <c r="I113" s="129">
        <f>11+11</f>
        <v>22</v>
      </c>
      <c r="J113" s="130">
        <f t="array" ref="J113">IF(ISERROR(G113/I113),"",G113/I113)</f>
        <v>14.272727272727273</v>
      </c>
      <c r="K113" s="131">
        <f t="array" ref="K113">IF(ISERROR(G113/L113),"",G113/L113)</f>
        <v>20.258064516129032</v>
      </c>
      <c r="L113" s="129">
        <v>15.5</v>
      </c>
      <c r="M113" s="109">
        <f t="shared" si="37"/>
        <v>1.741935483870968</v>
      </c>
      <c r="N113" s="130">
        <f t="shared" si="40"/>
        <v>0</v>
      </c>
      <c r="O113" s="512"/>
      <c r="P113" s="512"/>
      <c r="Q113" s="512"/>
      <c r="R113" s="512"/>
      <c r="S113" s="512"/>
      <c r="T113" s="512"/>
      <c r="U113" s="512"/>
      <c r="V113" s="132">
        <f t="shared" ref="V113:V114" si="44">SUM(X113:AA113)</f>
        <v>0</v>
      </c>
      <c r="W113" s="133">
        <f t="shared" ref="W113:W114" si="45">IF(ISERROR(V113/G113),"",V113/G113)</f>
        <v>0</v>
      </c>
      <c r="X113" s="132"/>
      <c r="Y113" s="132"/>
      <c r="Z113" s="132"/>
      <c r="AA113" s="132"/>
    </row>
    <row r="114" spans="1:27" ht="20.10000000000000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>
        <v>42719</v>
      </c>
      <c r="G114" s="128">
        <f>66+41+100+104+100+100-104-100</f>
        <v>307</v>
      </c>
      <c r="H114" s="521">
        <f t="shared" si="36"/>
        <v>1553.4199999999998</v>
      </c>
      <c r="I114" s="129">
        <f>10+9.5</f>
        <v>19.5</v>
      </c>
      <c r="J114" s="130">
        <f t="array" ref="J114">IF(ISERROR(G114/I114),"",G114/I114)</f>
        <v>15.743589743589743</v>
      </c>
      <c r="K114" s="131">
        <f t="array" ref="K114">IF(ISERROR(G114/L114),"",G114/L114)</f>
        <v>19.806451612903224</v>
      </c>
      <c r="L114" s="129">
        <v>15.5</v>
      </c>
      <c r="M114" s="109">
        <f t="shared" si="37"/>
        <v>-0.3064516129032242</v>
      </c>
      <c r="N114" s="130">
        <f t="shared" si="40"/>
        <v>0</v>
      </c>
      <c r="O114" s="512"/>
      <c r="P114" s="512"/>
      <c r="Q114" s="512"/>
      <c r="R114" s="512"/>
      <c r="S114" s="512"/>
      <c r="T114" s="512"/>
      <c r="U114" s="512"/>
      <c r="V114" s="132">
        <f t="shared" si="44"/>
        <v>0</v>
      </c>
      <c r="W114" s="133">
        <f t="shared" si="45"/>
        <v>0</v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521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512"/>
      <c r="P115" s="512"/>
      <c r="Q115" s="512"/>
      <c r="R115" s="512"/>
      <c r="S115" s="512"/>
      <c r="T115" s="512"/>
      <c r="U115" s="512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521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512"/>
      <c r="P116" s="512"/>
      <c r="Q116" s="512"/>
      <c r="R116" s="512"/>
      <c r="S116" s="512"/>
      <c r="T116" s="512"/>
      <c r="U116" s="512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521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512"/>
      <c r="P117" s="512"/>
      <c r="Q117" s="512"/>
      <c r="R117" s="512"/>
      <c r="S117" s="512"/>
      <c r="T117" s="512"/>
      <c r="U117" s="512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521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512"/>
      <c r="P118" s="512"/>
      <c r="Q118" s="512"/>
      <c r="R118" s="512"/>
      <c r="S118" s="512"/>
      <c r="T118" s="512"/>
      <c r="U118" s="512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521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512"/>
      <c r="P119" s="512"/>
      <c r="Q119" s="512"/>
      <c r="R119" s="512"/>
      <c r="S119" s="512"/>
      <c r="T119" s="512"/>
      <c r="U119" s="512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521">
        <f t="shared" si="36"/>
        <v>0</v>
      </c>
      <c r="I120" s="129"/>
      <c r="J120" s="130" t="str">
        <f t="array" ref="J120">IF(ISERROR(G120/I120),"",G120/I120)</f>
        <v/>
      </c>
      <c r="K120" s="521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512"/>
      <c r="P120" s="512"/>
      <c r="Q120" s="512"/>
      <c r="R120" s="512"/>
      <c r="S120" s="512"/>
      <c r="T120" s="512"/>
      <c r="U120" s="512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30" t="s">
        <v>224</v>
      </c>
      <c r="B121" s="631"/>
      <c r="C121" s="519" t="s">
        <v>202</v>
      </c>
      <c r="D121" s="143"/>
      <c r="E121" s="143"/>
      <c r="F121" s="144"/>
      <c r="G121" s="145">
        <f>SUM(G87:G120)</f>
        <v>918</v>
      </c>
      <c r="H121" s="146">
        <f>SUM(H87:H120)</f>
        <v>4628.22</v>
      </c>
      <c r="I121" s="146">
        <f>SUM(I87:I120)</f>
        <v>68</v>
      </c>
      <c r="J121" s="130">
        <f t="array" ref="J121">IF(ISERROR(G121/I121),"",G121/I121)</f>
        <v>13.5</v>
      </c>
      <c r="K121" s="146">
        <f>SUM(K87:K120)</f>
        <v>96.505376344086017</v>
      </c>
      <c r="L121" s="147"/>
      <c r="M121" s="150">
        <f t="shared" ref="M121:V121" si="50">SUM(M87:M120)</f>
        <v>-28.50537634408602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521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512"/>
      <c r="P122" s="512"/>
      <c r="Q122" s="512"/>
      <c r="R122" s="512"/>
      <c r="S122" s="512"/>
      <c r="T122" s="512"/>
      <c r="U122" s="512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521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512"/>
      <c r="P123" s="512"/>
      <c r="Q123" s="512"/>
      <c r="R123" s="512"/>
      <c r="S123" s="512"/>
      <c r="T123" s="512"/>
      <c r="U123" s="512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521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512"/>
      <c r="P124" s="512"/>
      <c r="Q124" s="512"/>
      <c r="R124" s="512"/>
      <c r="S124" s="512"/>
      <c r="T124" s="512"/>
      <c r="U124" s="512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521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512"/>
      <c r="P125" s="512"/>
      <c r="Q125" s="512"/>
      <c r="R125" s="512"/>
      <c r="S125" s="512"/>
      <c r="T125" s="512"/>
      <c r="U125" s="512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517" t="s">
        <v>203</v>
      </c>
      <c r="D126" s="108">
        <v>5.03</v>
      </c>
      <c r="E126" s="108"/>
      <c r="F126" s="127"/>
      <c r="G126" s="128"/>
      <c r="H126" s="521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512"/>
      <c r="P126" s="512"/>
      <c r="Q126" s="512"/>
      <c r="R126" s="512"/>
      <c r="S126" s="512"/>
      <c r="T126" s="512"/>
      <c r="U126" s="512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521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512"/>
      <c r="P127" s="512"/>
      <c r="Q127" s="512"/>
      <c r="R127" s="512"/>
      <c r="S127" s="512"/>
      <c r="T127" s="512"/>
      <c r="U127" s="512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521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512"/>
      <c r="P128" s="512"/>
      <c r="Q128" s="512"/>
      <c r="R128" s="512"/>
      <c r="S128" s="512"/>
      <c r="T128" s="512"/>
      <c r="U128" s="512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517" t="s">
        <v>228</v>
      </c>
      <c r="D129" s="108">
        <v>5.03</v>
      </c>
      <c r="E129" s="108"/>
      <c r="F129" s="127"/>
      <c r="G129" s="128"/>
      <c r="H129" s="521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512"/>
      <c r="P129" s="512"/>
      <c r="Q129" s="512"/>
      <c r="R129" s="512"/>
      <c r="S129" s="512"/>
      <c r="T129" s="512"/>
      <c r="U129" s="512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517" t="s">
        <v>212</v>
      </c>
      <c r="D130" s="108">
        <v>5.03</v>
      </c>
      <c r="E130" s="108"/>
      <c r="F130" s="127"/>
      <c r="G130" s="128"/>
      <c r="H130" s="521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512"/>
      <c r="P130" s="512"/>
      <c r="Q130" s="512"/>
      <c r="R130" s="512"/>
      <c r="S130" s="512"/>
      <c r="T130" s="512"/>
      <c r="U130" s="512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517" t="s">
        <v>203</v>
      </c>
      <c r="D131" s="108">
        <v>5.03</v>
      </c>
      <c r="E131" s="108"/>
      <c r="F131" s="127"/>
      <c r="G131" s="128"/>
      <c r="H131" s="521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512"/>
      <c r="P131" s="512"/>
      <c r="Q131" s="512"/>
      <c r="R131" s="512"/>
      <c r="S131" s="512"/>
      <c r="T131" s="512"/>
      <c r="U131" s="512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517" t="s">
        <v>186</v>
      </c>
      <c r="D132" s="108">
        <v>5.03</v>
      </c>
      <c r="E132" s="108"/>
      <c r="F132" s="127"/>
      <c r="G132" s="128"/>
      <c r="H132" s="521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512"/>
      <c r="P132" s="512"/>
      <c r="Q132" s="512"/>
      <c r="R132" s="512"/>
      <c r="S132" s="512"/>
      <c r="T132" s="512"/>
      <c r="U132" s="512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517" t="s">
        <v>228</v>
      </c>
      <c r="D133" s="108">
        <v>5.03</v>
      </c>
      <c r="E133" s="108"/>
      <c r="F133" s="127"/>
      <c r="G133" s="128"/>
      <c r="H133" s="521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512"/>
      <c r="P133" s="512"/>
      <c r="Q133" s="512"/>
      <c r="R133" s="512"/>
      <c r="S133" s="512"/>
      <c r="T133" s="512"/>
      <c r="U133" s="512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517" t="s">
        <v>199</v>
      </c>
      <c r="D134" s="108">
        <v>5.03</v>
      </c>
      <c r="E134" s="108"/>
      <c r="F134" s="127"/>
      <c r="G134" s="128"/>
      <c r="H134" s="521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512"/>
      <c r="P134" s="512"/>
      <c r="Q134" s="512"/>
      <c r="R134" s="512"/>
      <c r="S134" s="512"/>
      <c r="T134" s="512"/>
      <c r="U134" s="512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521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512"/>
      <c r="P135" s="512"/>
      <c r="Q135" s="512"/>
      <c r="R135" s="512"/>
      <c r="S135" s="512"/>
      <c r="T135" s="512"/>
      <c r="U135" s="512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>
        <v>42719</v>
      </c>
      <c r="G136" s="128">
        <f>72+90*6</f>
        <v>612</v>
      </c>
      <c r="H136" s="521">
        <f t="shared" si="51"/>
        <v>3096.72</v>
      </c>
      <c r="I136" s="129">
        <f>3*8</f>
        <v>24</v>
      </c>
      <c r="J136" s="130">
        <f t="array" ref="J136">IF(ISERROR(G136/I136),"",G136/I136)</f>
        <v>25.5</v>
      </c>
      <c r="K136" s="131">
        <f t="array" ref="K136">IF(ISERROR(G136/L136),"",G136/L136)</f>
        <v>26.608695652173914</v>
      </c>
      <c r="L136" s="129">
        <v>23</v>
      </c>
      <c r="M136" s="109">
        <f t="shared" si="52"/>
        <v>-2.608695652173914</v>
      </c>
      <c r="N136" s="130">
        <f t="shared" si="53"/>
        <v>0</v>
      </c>
      <c r="O136" s="512"/>
      <c r="P136" s="512"/>
      <c r="Q136" s="512"/>
      <c r="R136" s="512"/>
      <c r="S136" s="512"/>
      <c r="T136" s="512"/>
      <c r="U136" s="512"/>
      <c r="V136" s="132">
        <f t="shared" si="54"/>
        <v>0</v>
      </c>
      <c r="W136" s="133">
        <f t="shared" si="49"/>
        <v>0</v>
      </c>
      <c r="X136" s="132"/>
      <c r="Y136" s="132"/>
      <c r="Z136" s="132"/>
      <c r="AA136" s="132"/>
    </row>
    <row r="137" spans="1:27" ht="20.100000000000001" customHeight="1">
      <c r="A137" s="630" t="s">
        <v>231</v>
      </c>
      <c r="B137" s="631"/>
      <c r="C137" s="519" t="s">
        <v>202</v>
      </c>
      <c r="D137" s="143"/>
      <c r="E137" s="143"/>
      <c r="F137" s="144"/>
      <c r="G137" s="145">
        <f>SUM(G122:G136)</f>
        <v>612</v>
      </c>
      <c r="H137" s="146">
        <f>SUM(H122:H136)</f>
        <v>3096.72</v>
      </c>
      <c r="I137" s="146">
        <f>SUM(I122:I136)</f>
        <v>24</v>
      </c>
      <c r="J137" s="130">
        <f t="array" ref="J137">IF(ISERROR(G137/I137),"",G137/I137)</f>
        <v>25.5</v>
      </c>
      <c r="K137" s="146">
        <f>SUM(K122:K136)</f>
        <v>26.608695652173914</v>
      </c>
      <c r="L137" s="147"/>
      <c r="M137" s="150">
        <f>SUM(M122:M136)</f>
        <v>-2.608695652173914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>
        <v>42705</v>
      </c>
      <c r="G138" s="128">
        <v>12</v>
      </c>
      <c r="H138" s="521">
        <f t="shared" ref="H138:H146" si="55">D138*G138</f>
        <v>60.480000000000004</v>
      </c>
      <c r="I138" s="129">
        <f>4*4</f>
        <v>16</v>
      </c>
      <c r="J138" s="130">
        <f t="array" ref="J138">IF(ISERROR(G138/I138),"",G138/I138)</f>
        <v>0.75</v>
      </c>
      <c r="K138" s="131">
        <f t="array" ref="K138">IF(ISERROR(G138/L138),"",G138/L138)</f>
        <v>0.54545454545454541</v>
      </c>
      <c r="L138" s="129">
        <v>22</v>
      </c>
      <c r="M138" s="109">
        <f t="shared" ref="M138:M145" si="56">IF(ISERROR(I138-K138),"",I138-K138)</f>
        <v>15.454545454545455</v>
      </c>
      <c r="N138" s="130">
        <f t="shared" ref="N138:N146" si="57">SUM(O138:U138)</f>
        <v>0</v>
      </c>
      <c r="O138" s="512"/>
      <c r="P138" s="512"/>
      <c r="Q138" s="512"/>
      <c r="R138" s="512"/>
      <c r="S138" s="512"/>
      <c r="T138" s="512"/>
      <c r="U138" s="512"/>
      <c r="V138" s="132">
        <f t="shared" ref="V138:V142" si="58">SUM(X138:AA138)</f>
        <v>0</v>
      </c>
      <c r="W138" s="133">
        <f t="shared" si="49"/>
        <v>0</v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521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512"/>
      <c r="P139" s="512"/>
      <c r="Q139" s="512"/>
      <c r="R139" s="512"/>
      <c r="S139" s="512"/>
      <c r="T139" s="512"/>
      <c r="U139" s="512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521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512"/>
      <c r="P140" s="512"/>
      <c r="Q140" s="512"/>
      <c r="R140" s="512"/>
      <c r="S140" s="512"/>
      <c r="T140" s="512"/>
      <c r="U140" s="512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521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512"/>
      <c r="P141" s="512"/>
      <c r="Q141" s="512"/>
      <c r="R141" s="512"/>
      <c r="S141" s="512"/>
      <c r="T141" s="512"/>
      <c r="U141" s="512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521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512"/>
      <c r="P142" s="512"/>
      <c r="Q142" s="512"/>
      <c r="R142" s="512"/>
      <c r="S142" s="512"/>
      <c r="T142" s="512"/>
      <c r="U142" s="512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521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512"/>
      <c r="P143" s="512"/>
      <c r="Q143" s="512"/>
      <c r="R143" s="512"/>
      <c r="S143" s="512"/>
      <c r="T143" s="512"/>
      <c r="U143" s="512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>
        <v>42712</v>
      </c>
      <c r="G144" s="128">
        <f>27+90*2</f>
        <v>207</v>
      </c>
      <c r="H144" s="521">
        <f t="shared" si="55"/>
        <v>1043.28</v>
      </c>
      <c r="I144" s="129">
        <f>4*2</f>
        <v>8</v>
      </c>
      <c r="J144" s="130">
        <f t="array" ref="J144">IF(ISERROR(G144/I144),"",G144/I144)</f>
        <v>25.875</v>
      </c>
      <c r="K144" s="131">
        <f t="array" ref="K144">IF(ISERROR(G144/L144),"",G144/L144)</f>
        <v>15.333333333333334</v>
      </c>
      <c r="L144" s="129">
        <v>13.5</v>
      </c>
      <c r="M144" s="109">
        <f t="shared" si="56"/>
        <v>-7.3333333333333339</v>
      </c>
      <c r="N144" s="130">
        <f t="shared" si="57"/>
        <v>0</v>
      </c>
      <c r="O144" s="512"/>
      <c r="P144" s="512"/>
      <c r="Q144" s="512"/>
      <c r="R144" s="512"/>
      <c r="S144" s="512"/>
      <c r="T144" s="512"/>
      <c r="U144" s="512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53</v>
      </c>
      <c r="D145" s="108">
        <v>5.04</v>
      </c>
      <c r="E145" s="108"/>
      <c r="F145" s="127">
        <v>42719</v>
      </c>
      <c r="G145" s="128">
        <f>90*3</f>
        <v>270</v>
      </c>
      <c r="H145" s="521">
        <f t="shared" si="55"/>
        <v>1360.8</v>
      </c>
      <c r="I145" s="129">
        <f>4*5.5</f>
        <v>22</v>
      </c>
      <c r="J145" s="130">
        <f t="array" ref="J145">IF(ISERROR(G145/I145),"",G145/I145)</f>
        <v>12.272727272727273</v>
      </c>
      <c r="K145" s="131">
        <f t="array" ref="K145">IF(ISERROR(G145/L145),"",G145/L145)</f>
        <v>20</v>
      </c>
      <c r="L145" s="129">
        <v>13.5</v>
      </c>
      <c r="M145" s="109">
        <f t="shared" si="56"/>
        <v>2</v>
      </c>
      <c r="N145" s="130">
        <f t="shared" si="57"/>
        <v>0</v>
      </c>
      <c r="O145" s="512"/>
      <c r="P145" s="512"/>
      <c r="Q145" s="512"/>
      <c r="R145" s="512"/>
      <c r="S145" s="512"/>
      <c r="T145" s="512"/>
      <c r="U145" s="512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>
        <v>42705</v>
      </c>
      <c r="G146" s="128">
        <v>40</v>
      </c>
      <c r="H146" s="521">
        <f t="shared" si="55"/>
        <v>201.6</v>
      </c>
      <c r="I146" s="129">
        <v>2</v>
      </c>
      <c r="J146" s="130">
        <f t="array" ref="J146">IF(ISERROR(G146/I146),"",G146/I146)</f>
        <v>20</v>
      </c>
      <c r="K146" s="131">
        <f t="array" ref="K146">IF(ISERROR(G146/L146),"",G146/L146)</f>
        <v>1.8181818181818181</v>
      </c>
      <c r="L146" s="129">
        <v>22</v>
      </c>
      <c r="M146" s="109">
        <f t="shared" ref="M146" si="59">IF(ISERROR(I146-K146),"",I146-K146)</f>
        <v>0.18181818181818188</v>
      </c>
      <c r="N146" s="130">
        <f t="shared" si="57"/>
        <v>0</v>
      </c>
      <c r="O146" s="512"/>
      <c r="P146" s="512"/>
      <c r="Q146" s="512"/>
      <c r="R146" s="512"/>
      <c r="S146" s="512"/>
      <c r="T146" s="512"/>
      <c r="U146" s="512"/>
      <c r="V146" s="132">
        <f t="shared" ref="V146" si="60">SUM(X146:AA146)</f>
        <v>0</v>
      </c>
      <c r="W146" s="133">
        <f t="shared" ref="W146:W151" si="61">IF(ISERROR(V146/G146),"",V146/G146)</f>
        <v>0</v>
      </c>
      <c r="X146" s="132"/>
      <c r="Y146" s="132"/>
      <c r="Z146" s="132"/>
      <c r="AA146" s="132"/>
    </row>
    <row r="147" spans="1:27" ht="20.100000000000001" customHeight="1">
      <c r="A147" s="630" t="s">
        <v>234</v>
      </c>
      <c r="B147" s="631"/>
      <c r="C147" s="519" t="s">
        <v>202</v>
      </c>
      <c r="D147" s="143"/>
      <c r="E147" s="143"/>
      <c r="F147" s="144"/>
      <c r="G147" s="145">
        <f>SUM(G138:G146)</f>
        <v>529</v>
      </c>
      <c r="H147" s="146">
        <f>SUM(H138:H146)</f>
        <v>2666.16</v>
      </c>
      <c r="I147" s="146">
        <f>SUM(I138:I146)</f>
        <v>48</v>
      </c>
      <c r="J147" s="130">
        <f t="array" ref="J147">IF(ISERROR(G147/I147),"",G147/I147)</f>
        <v>11.020833333333334</v>
      </c>
      <c r="K147" s="146">
        <f>SUM(K138:K146)</f>
        <v>37.696969696969695</v>
      </c>
      <c r="L147" s="147"/>
      <c r="M147" s="150">
        <f>SUM(M138:M146)</f>
        <v>10.303030303030303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>
        <f t="shared" si="61"/>
        <v>0</v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511"/>
      <c r="D148" s="108">
        <v>3.65</v>
      </c>
      <c r="E148" s="108"/>
      <c r="F148" s="153"/>
      <c r="G148" s="128"/>
      <c r="H148" s="521">
        <f t="shared" ref="H148:H161" si="62">D148*G148</f>
        <v>0</v>
      </c>
      <c r="I148" s="129"/>
      <c r="J148" s="130" t="str">
        <f t="array" ref="J148">IF(ISERROR(G148/I148),"",G148/I148)</f>
        <v/>
      </c>
      <c r="K148" s="521">
        <f t="array" ref="K148">IF(ISERROR(G148/L148),"",G148/L148)</f>
        <v>0</v>
      </c>
      <c r="L148" s="129">
        <v>5</v>
      </c>
      <c r="M148" s="109">
        <f t="shared" ref="M148:M151" si="63">IF(ISERROR(I148-K148),"",I148-K148)</f>
        <v>0</v>
      </c>
      <c r="N148" s="130">
        <f t="shared" ref="N148:N151" si="64">SUM(O148:U148)</f>
        <v>0</v>
      </c>
      <c r="O148" s="512"/>
      <c r="P148" s="512"/>
      <c r="Q148" s="512"/>
      <c r="R148" s="512"/>
      <c r="S148" s="512"/>
      <c r="T148" s="512"/>
      <c r="U148" s="512"/>
      <c r="V148" s="132">
        <f t="shared" ref="V148:V151" si="65">SUM(X148:AA148)</f>
        <v>0</v>
      </c>
      <c r="W148" s="133" t="str">
        <f t="shared" si="61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511"/>
      <c r="D149" s="108">
        <v>6.58</v>
      </c>
      <c r="E149" s="108"/>
      <c r="F149" s="127"/>
      <c r="G149" s="128"/>
      <c r="H149" s="521">
        <f t="shared" si="62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3"/>
        <v>0</v>
      </c>
      <c r="N149" s="130">
        <f t="shared" si="64"/>
        <v>0</v>
      </c>
      <c r="O149" s="512"/>
      <c r="P149" s="512"/>
      <c r="Q149" s="512"/>
      <c r="R149" s="512"/>
      <c r="S149" s="512"/>
      <c r="T149" s="512"/>
      <c r="U149" s="512"/>
      <c r="V149" s="132">
        <f t="shared" si="65"/>
        <v>0</v>
      </c>
      <c r="W149" s="133" t="str">
        <f t="shared" si="61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511"/>
      <c r="D150" s="108">
        <v>7.8</v>
      </c>
      <c r="E150" s="108"/>
      <c r="F150" s="127"/>
      <c r="G150" s="128"/>
      <c r="H150" s="521">
        <f t="shared" si="62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3"/>
        <v>0</v>
      </c>
      <c r="N150" s="130">
        <f t="shared" si="64"/>
        <v>0</v>
      </c>
      <c r="O150" s="512"/>
      <c r="P150" s="512"/>
      <c r="Q150" s="512"/>
      <c r="R150" s="512"/>
      <c r="S150" s="512"/>
      <c r="T150" s="512"/>
      <c r="U150" s="512"/>
      <c r="V150" s="132">
        <f t="shared" si="65"/>
        <v>0</v>
      </c>
      <c r="W150" s="133" t="str">
        <f t="shared" si="61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511"/>
      <c r="D151" s="108">
        <v>4.4000000000000004</v>
      </c>
      <c r="E151" s="108"/>
      <c r="F151" s="127"/>
      <c r="G151" s="128"/>
      <c r="H151" s="521">
        <f t="shared" si="62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3"/>
        <v>0</v>
      </c>
      <c r="N151" s="130">
        <f t="shared" si="64"/>
        <v>0</v>
      </c>
      <c r="O151" s="512"/>
      <c r="P151" s="512"/>
      <c r="Q151" s="512"/>
      <c r="R151" s="512"/>
      <c r="S151" s="512"/>
      <c r="T151" s="512"/>
      <c r="U151" s="512"/>
      <c r="V151" s="132">
        <f t="shared" si="65"/>
        <v>0</v>
      </c>
      <c r="W151" s="133" t="str">
        <f t="shared" si="61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521">
        <f t="shared" si="62"/>
        <v>0</v>
      </c>
      <c r="I152" s="129"/>
      <c r="J152" s="130"/>
      <c r="K152" s="131"/>
      <c r="L152" s="129">
        <v>6</v>
      </c>
      <c r="M152" s="109"/>
      <c r="N152" s="130"/>
      <c r="O152" s="512"/>
      <c r="P152" s="512"/>
      <c r="Q152" s="512"/>
      <c r="R152" s="512"/>
      <c r="S152" s="512"/>
      <c r="T152" s="512"/>
      <c r="U152" s="512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511" t="s">
        <v>239</v>
      </c>
      <c r="C153" s="511" t="s">
        <v>179</v>
      </c>
      <c r="D153" s="108">
        <v>6.04</v>
      </c>
      <c r="E153" s="108"/>
      <c r="F153" s="127"/>
      <c r="G153" s="128"/>
      <c r="H153" s="521">
        <f t="shared" si="62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6">IF(ISERROR(I153-K153),"",I153-K153)</f>
        <v>0</v>
      </c>
      <c r="N153" s="130">
        <f t="shared" ref="N153:N154" si="67">SUM(O153:U153)</f>
        <v>0</v>
      </c>
      <c r="O153" s="512"/>
      <c r="P153" s="512"/>
      <c r="Q153" s="512"/>
      <c r="R153" s="512"/>
      <c r="S153" s="512"/>
      <c r="T153" s="512"/>
      <c r="U153" s="512"/>
      <c r="V153" s="132">
        <f t="shared" ref="V153:V154" si="68">SUM(X153:AA153)</f>
        <v>0</v>
      </c>
      <c r="W153" s="133" t="str">
        <f t="shared" ref="W153:W154" si="69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511" t="s">
        <v>239</v>
      </c>
      <c r="C154" s="511" t="s">
        <v>186</v>
      </c>
      <c r="D154" s="108">
        <v>6.04</v>
      </c>
      <c r="E154" s="108"/>
      <c r="F154" s="127"/>
      <c r="G154" s="128"/>
      <c r="H154" s="521">
        <f t="shared" si="62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6"/>
        <v>0</v>
      </c>
      <c r="N154" s="130">
        <f t="shared" si="67"/>
        <v>0</v>
      </c>
      <c r="O154" s="512"/>
      <c r="P154" s="512"/>
      <c r="Q154" s="512"/>
      <c r="R154" s="512"/>
      <c r="S154" s="512"/>
      <c r="T154" s="512"/>
      <c r="U154" s="512"/>
      <c r="V154" s="132">
        <f t="shared" si="68"/>
        <v>0</v>
      </c>
      <c r="W154" s="133" t="str">
        <f t="shared" si="69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511" t="s">
        <v>443</v>
      </c>
      <c r="C155" s="511" t="s">
        <v>179</v>
      </c>
      <c r="D155" s="108">
        <v>6</v>
      </c>
      <c r="E155" s="108"/>
      <c r="F155" s="127"/>
      <c r="G155" s="128"/>
      <c r="H155" s="521">
        <f t="shared" si="62"/>
        <v>0</v>
      </c>
      <c r="I155" s="129"/>
      <c r="J155" s="130"/>
      <c r="K155" s="131"/>
      <c r="L155" s="129"/>
      <c r="M155" s="109"/>
      <c r="N155" s="130"/>
      <c r="O155" s="512"/>
      <c r="P155" s="512"/>
      <c r="Q155" s="512"/>
      <c r="R155" s="512"/>
      <c r="S155" s="512"/>
      <c r="T155" s="512"/>
      <c r="U155" s="512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511" t="s">
        <v>443</v>
      </c>
      <c r="C156" s="511" t="s">
        <v>60</v>
      </c>
      <c r="D156" s="108">
        <v>6</v>
      </c>
      <c r="E156" s="108"/>
      <c r="F156" s="127"/>
      <c r="G156" s="128"/>
      <c r="H156" s="521">
        <f t="shared" si="62"/>
        <v>0</v>
      </c>
      <c r="I156" s="129"/>
      <c r="J156" s="130"/>
      <c r="K156" s="131"/>
      <c r="L156" s="129">
        <v>6</v>
      </c>
      <c r="M156" s="109"/>
      <c r="N156" s="130"/>
      <c r="O156" s="512"/>
      <c r="P156" s="512"/>
      <c r="Q156" s="512"/>
      <c r="R156" s="512"/>
      <c r="S156" s="512"/>
      <c r="T156" s="512"/>
      <c r="U156" s="512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513" t="s">
        <v>240</v>
      </c>
      <c r="C157" s="126"/>
      <c r="D157" s="108">
        <v>7.3</v>
      </c>
      <c r="E157" s="108"/>
      <c r="F157" s="127"/>
      <c r="G157" s="128"/>
      <c r="H157" s="521">
        <f t="shared" si="62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0">IF(ISERROR(I157-K157),"",I157-K157)</f>
        <v/>
      </c>
      <c r="N157" s="130">
        <f t="shared" ref="N157:N158" si="71">SUM(O157:U157)</f>
        <v>0</v>
      </c>
      <c r="O157" s="512"/>
      <c r="P157" s="512"/>
      <c r="Q157" s="512"/>
      <c r="R157" s="512"/>
      <c r="S157" s="512"/>
      <c r="T157" s="512"/>
      <c r="U157" s="512"/>
      <c r="V157" s="132">
        <f t="shared" ref="V157:V158" si="72">SUM(X157:AA157)</f>
        <v>0</v>
      </c>
      <c r="W157" s="133" t="str">
        <f t="shared" ref="W157:W158" si="73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513" t="s">
        <v>241</v>
      </c>
      <c r="C158" s="126"/>
      <c r="D158" s="108">
        <f>78*120/1000</f>
        <v>9.36</v>
      </c>
      <c r="E158" s="108"/>
      <c r="F158" s="127"/>
      <c r="G158" s="128"/>
      <c r="H158" s="521">
        <f t="shared" si="62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1"/>
        <v>0</v>
      </c>
      <c r="O158" s="512"/>
      <c r="P158" s="512"/>
      <c r="Q158" s="512"/>
      <c r="R158" s="512"/>
      <c r="S158" s="512"/>
      <c r="T158" s="512"/>
      <c r="U158" s="512"/>
      <c r="V158" s="132">
        <f t="shared" si="72"/>
        <v>0</v>
      </c>
      <c r="W158" s="133" t="str">
        <f t="shared" si="73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513" t="s">
        <v>242</v>
      </c>
      <c r="C159" s="126"/>
      <c r="D159" s="108">
        <v>4.5</v>
      </c>
      <c r="E159" s="108"/>
      <c r="F159" s="127"/>
      <c r="G159" s="128"/>
      <c r="H159" s="521">
        <f t="shared" si="62"/>
        <v>0</v>
      </c>
      <c r="I159" s="129"/>
      <c r="J159" s="130"/>
      <c r="K159" s="131"/>
      <c r="L159" s="129"/>
      <c r="M159" s="109"/>
      <c r="N159" s="130"/>
      <c r="O159" s="512"/>
      <c r="P159" s="512"/>
      <c r="Q159" s="512"/>
      <c r="R159" s="512"/>
      <c r="S159" s="512"/>
      <c r="T159" s="512"/>
      <c r="U159" s="512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513" t="s">
        <v>243</v>
      </c>
      <c r="C160" s="126"/>
      <c r="D160" s="108">
        <v>4.5</v>
      </c>
      <c r="E160" s="108"/>
      <c r="F160" s="127"/>
      <c r="G160" s="128"/>
      <c r="H160" s="521">
        <f t="shared" si="62"/>
        <v>0</v>
      </c>
      <c r="I160" s="129"/>
      <c r="J160" s="130"/>
      <c r="K160" s="131"/>
      <c r="L160" s="129"/>
      <c r="M160" s="109"/>
      <c r="N160" s="130"/>
      <c r="O160" s="512"/>
      <c r="P160" s="512"/>
      <c r="Q160" s="512"/>
      <c r="R160" s="512"/>
      <c r="S160" s="512"/>
      <c r="T160" s="512"/>
      <c r="U160" s="512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521">
        <f t="shared" si="62"/>
        <v>0</v>
      </c>
      <c r="I161" s="129"/>
      <c r="J161" s="130"/>
      <c r="K161" s="131"/>
      <c r="L161" s="129"/>
      <c r="M161" s="109"/>
      <c r="N161" s="130"/>
      <c r="O161" s="512"/>
      <c r="P161" s="512"/>
      <c r="Q161" s="512"/>
      <c r="R161" s="512"/>
      <c r="S161" s="512"/>
      <c r="T161" s="512"/>
      <c r="U161" s="512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630" t="s">
        <v>244</v>
      </c>
      <c r="B162" s="631"/>
      <c r="C162" s="519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4">SUM(M148:M158)</f>
        <v>0</v>
      </c>
      <c r="N162" s="146">
        <f t="shared" si="74"/>
        <v>0</v>
      </c>
      <c r="O162" s="148">
        <f t="shared" si="74"/>
        <v>0</v>
      </c>
      <c r="P162" s="148">
        <f t="shared" si="74"/>
        <v>0</v>
      </c>
      <c r="Q162" s="148">
        <f t="shared" si="74"/>
        <v>0</v>
      </c>
      <c r="R162" s="148">
        <f t="shared" si="74"/>
        <v>0</v>
      </c>
      <c r="S162" s="148">
        <f t="shared" si="74"/>
        <v>0</v>
      </c>
      <c r="T162" s="148">
        <f t="shared" si="74"/>
        <v>0</v>
      </c>
      <c r="U162" s="148">
        <f t="shared" si="74"/>
        <v>0</v>
      </c>
      <c r="V162" s="149">
        <f t="shared" si="74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32" t="s">
        <v>246</v>
      </c>
      <c r="B163" s="633"/>
      <c r="C163" s="633"/>
      <c r="D163" s="633"/>
      <c r="E163" s="633"/>
      <c r="F163" s="634"/>
      <c r="G163" s="154">
        <f>SUM(G28,G86,G121,G137,G147,G162)</f>
        <v>5175</v>
      </c>
      <c r="H163" s="154">
        <f>SUM(H28,H86,H121,H137,H147,H162)</f>
        <v>26131.610000000004</v>
      </c>
      <c r="I163" s="154">
        <f>SUM(I28,I86,I121,I137,I147,I162)</f>
        <v>220.5</v>
      </c>
      <c r="J163" s="155">
        <f t="array" ref="J163">IF(ISERROR(G163/I163),"",G163/I163)</f>
        <v>23.469387755102041</v>
      </c>
      <c r="K163" s="154">
        <f>SUM(K28,K86,K121,K137,K147,K162)</f>
        <v>251.48741205056106</v>
      </c>
      <c r="L163" s="155">
        <f>IF(ISERROR(G163/K163),"",G163/K163)</f>
        <v>20.577570693516765</v>
      </c>
      <c r="M163" s="154">
        <f t="shared" ref="M163:AA163" si="75">SUM(M28,M86,M121,M137,M147,M162)</f>
        <v>-30.98741205056109</v>
      </c>
      <c r="N163" s="154">
        <f t="shared" si="75"/>
        <v>0</v>
      </c>
      <c r="O163" s="154">
        <f t="shared" si="75"/>
        <v>0</v>
      </c>
      <c r="P163" s="154">
        <f t="shared" si="75"/>
        <v>0</v>
      </c>
      <c r="Q163" s="154">
        <f t="shared" si="75"/>
        <v>0</v>
      </c>
      <c r="R163" s="154">
        <f t="shared" si="75"/>
        <v>0</v>
      </c>
      <c r="S163" s="154">
        <f t="shared" si="75"/>
        <v>0</v>
      </c>
      <c r="T163" s="154">
        <f t="shared" si="75"/>
        <v>0</v>
      </c>
      <c r="U163" s="154">
        <f t="shared" si="75"/>
        <v>0</v>
      </c>
      <c r="V163" s="154">
        <f t="shared" si="75"/>
        <v>0</v>
      </c>
      <c r="W163" s="154">
        <f t="shared" si="75"/>
        <v>0</v>
      </c>
      <c r="X163" s="154">
        <f t="shared" si="75"/>
        <v>0</v>
      </c>
      <c r="Y163" s="154">
        <f t="shared" si="75"/>
        <v>0</v>
      </c>
      <c r="Z163" s="154">
        <f t="shared" si="75"/>
        <v>0</v>
      </c>
      <c r="AA163" s="154">
        <f t="shared" si="75"/>
        <v>0</v>
      </c>
    </row>
    <row r="164" spans="1:27" ht="20.100000000000001" customHeight="1">
      <c r="A164" s="635" t="s">
        <v>476</v>
      </c>
      <c r="B164" s="518" t="s">
        <v>247</v>
      </c>
      <c r="C164" s="638" t="s">
        <v>248</v>
      </c>
      <c r="D164" s="639"/>
      <c r="E164" s="640" t="s">
        <v>249</v>
      </c>
      <c r="F164" s="640"/>
      <c r="G164" s="643" t="s">
        <v>250</v>
      </c>
      <c r="H164" s="643"/>
      <c r="I164" s="640" t="s">
        <v>251</v>
      </c>
      <c r="J164" s="640"/>
      <c r="K164" s="640" t="s">
        <v>252</v>
      </c>
      <c r="L164" s="640"/>
      <c r="M164" s="640" t="s">
        <v>253</v>
      </c>
      <c r="N164" s="640"/>
      <c r="O164" s="640" t="s">
        <v>254</v>
      </c>
      <c r="P164" s="643" t="s">
        <v>255</v>
      </c>
      <c r="Q164" s="643"/>
      <c r="R164" s="643" t="s">
        <v>252</v>
      </c>
      <c r="S164" s="643"/>
      <c r="T164" s="643" t="s">
        <v>256</v>
      </c>
      <c r="U164" s="643"/>
      <c r="V164" s="643" t="s">
        <v>257</v>
      </c>
      <c r="W164" s="643"/>
      <c r="X164" s="643" t="s">
        <v>252</v>
      </c>
      <c r="Y164" s="643"/>
      <c r="Z164" s="643" t="s">
        <v>256</v>
      </c>
      <c r="AA164" s="643"/>
    </row>
    <row r="165" spans="1:27" ht="20.100000000000001" customHeight="1">
      <c r="A165" s="636"/>
      <c r="B165" s="518" t="s">
        <v>258</v>
      </c>
      <c r="C165" s="638">
        <v>1</v>
      </c>
      <c r="D165" s="639"/>
      <c r="E165" s="642">
        <f>C165*11</f>
        <v>11</v>
      </c>
      <c r="F165" s="642"/>
      <c r="G165" s="643">
        <v>1</v>
      </c>
      <c r="H165" s="643"/>
      <c r="I165" s="642">
        <f>G165*11</f>
        <v>11</v>
      </c>
      <c r="J165" s="642"/>
      <c r="K165" s="642">
        <f>E165-I165</f>
        <v>0</v>
      </c>
      <c r="L165" s="642"/>
      <c r="M165" s="644">
        <f>IF(ISERROR(K165/E165),"",K165/E165)</f>
        <v>0</v>
      </c>
      <c r="N165" s="644"/>
      <c r="O165" s="640"/>
      <c r="P165" s="643" t="s">
        <v>201</v>
      </c>
      <c r="Q165" s="643"/>
      <c r="R165" s="645">
        <f>SUM(O28:U28)</f>
        <v>0</v>
      </c>
      <c r="S165" s="645"/>
      <c r="T165" s="646" t="str">
        <f t="array" ref="T165">IF(ISERROR(R165/R172),"",R165/R172)</f>
        <v/>
      </c>
      <c r="U165" s="646"/>
      <c r="V165" s="643" t="s">
        <v>259</v>
      </c>
      <c r="W165" s="643"/>
      <c r="X165" s="647">
        <f>SUM(P27,P85,P120,P136,P146,P160)</f>
        <v>0</v>
      </c>
      <c r="Y165" s="647"/>
      <c r="Z165" s="646" t="str">
        <f t="array" ref="Z165">IF(ISERROR(X165/X172),"",X165/X172)</f>
        <v/>
      </c>
      <c r="AA165" s="646"/>
    </row>
    <row r="166" spans="1:27" ht="20.100000000000001" customHeight="1">
      <c r="A166" s="636"/>
      <c r="B166" s="518" t="s">
        <v>260</v>
      </c>
      <c r="C166" s="638">
        <v>1</v>
      </c>
      <c r="D166" s="639"/>
      <c r="E166" s="642">
        <f>C166*11</f>
        <v>11</v>
      </c>
      <c r="F166" s="642"/>
      <c r="G166" s="643">
        <v>1</v>
      </c>
      <c r="H166" s="643"/>
      <c r="I166" s="642">
        <f>G166*11</f>
        <v>11</v>
      </c>
      <c r="J166" s="642"/>
      <c r="K166" s="642">
        <f>E166-I166</f>
        <v>0</v>
      </c>
      <c r="L166" s="642"/>
      <c r="M166" s="644">
        <f>IF(ISERROR(K166/E166),"",K166/E166)</f>
        <v>0</v>
      </c>
      <c r="N166" s="644"/>
      <c r="O166" s="640"/>
      <c r="P166" s="643" t="s">
        <v>216</v>
      </c>
      <c r="Q166" s="643"/>
      <c r="R166" s="645">
        <f>SUM(O86:U86)</f>
        <v>0</v>
      </c>
      <c r="S166" s="645"/>
      <c r="T166" s="646" t="str">
        <f>IF(ISERROR(R166/R172),"",R166/R172)</f>
        <v/>
      </c>
      <c r="U166" s="646"/>
      <c r="V166" s="643" t="s">
        <v>261</v>
      </c>
      <c r="W166" s="643"/>
      <c r="X166" s="647">
        <f>SUM(P28,P86,P121,P137,P147,P162)</f>
        <v>0</v>
      </c>
      <c r="Y166" s="647"/>
      <c r="Z166" s="646" t="str">
        <f>IF(ISERROR(X166/X172),"",X166/X172)</f>
        <v/>
      </c>
      <c r="AA166" s="646"/>
    </row>
    <row r="167" spans="1:27" ht="20.100000000000001" customHeight="1">
      <c r="A167" s="636"/>
      <c r="B167" s="518" t="s">
        <v>262</v>
      </c>
      <c r="C167" s="638">
        <v>1</v>
      </c>
      <c r="D167" s="639"/>
      <c r="E167" s="642">
        <f>C167*8</f>
        <v>8</v>
      </c>
      <c r="F167" s="642"/>
      <c r="G167" s="643">
        <v>1</v>
      </c>
      <c r="H167" s="643"/>
      <c r="I167" s="642">
        <f>G167*8</f>
        <v>8</v>
      </c>
      <c r="J167" s="642"/>
      <c r="K167" s="642">
        <f>E167-I167</f>
        <v>0</v>
      </c>
      <c r="L167" s="642"/>
      <c r="M167" s="644">
        <f>IF(ISERROR(K167/E167),"",K167/E167)</f>
        <v>0</v>
      </c>
      <c r="N167" s="644"/>
      <c r="O167" s="640"/>
      <c r="P167" s="643" t="s">
        <v>224</v>
      </c>
      <c r="Q167" s="643"/>
      <c r="R167" s="645">
        <f>SUM(O121:U121)</f>
        <v>0</v>
      </c>
      <c r="S167" s="645"/>
      <c r="T167" s="646" t="str">
        <f>IF(ISERROR(R167/R172),"",R167/R172)</f>
        <v/>
      </c>
      <c r="U167" s="646"/>
      <c r="V167" s="643" t="s">
        <v>263</v>
      </c>
      <c r="W167" s="643"/>
      <c r="X167" s="647">
        <f>SUM(P29,P87,P122,P138,P148,P163)</f>
        <v>0</v>
      </c>
      <c r="Y167" s="647"/>
      <c r="Z167" s="646" t="str">
        <f>IF(ISERROR(X167/X172),"",X167/X172)</f>
        <v/>
      </c>
      <c r="AA167" s="646"/>
    </row>
    <row r="168" spans="1:27" ht="20.100000000000001" customHeight="1">
      <c r="A168" s="636"/>
      <c r="B168" s="518" t="s">
        <v>264</v>
      </c>
      <c r="C168" s="638">
        <v>1</v>
      </c>
      <c r="D168" s="639"/>
      <c r="E168" s="642">
        <f>C168*11</f>
        <v>11</v>
      </c>
      <c r="F168" s="642"/>
      <c r="G168" s="643">
        <v>1</v>
      </c>
      <c r="H168" s="643"/>
      <c r="I168" s="642">
        <f>G168*11</f>
        <v>11</v>
      </c>
      <c r="J168" s="642"/>
      <c r="K168" s="642">
        <f>E168-I168</f>
        <v>0</v>
      </c>
      <c r="L168" s="642"/>
      <c r="M168" s="644">
        <f>IF(ISERROR(K168/E168),"",K168/E168)</f>
        <v>0</v>
      </c>
      <c r="N168" s="644"/>
      <c r="O168" s="640"/>
      <c r="P168" s="643" t="s">
        <v>231</v>
      </c>
      <c r="Q168" s="643"/>
      <c r="R168" s="645">
        <f>SUM(O137:U137)</f>
        <v>0</v>
      </c>
      <c r="S168" s="645"/>
      <c r="T168" s="646" t="str">
        <f>IF(ISERROR(R168/R172),"",R168/R172)</f>
        <v/>
      </c>
      <c r="U168" s="646"/>
      <c r="V168" s="643" t="s">
        <v>265</v>
      </c>
      <c r="W168" s="643"/>
      <c r="X168" s="647">
        <f>SUM(P31,P88,P123,P139,P149,P164)</f>
        <v>0</v>
      </c>
      <c r="Y168" s="647"/>
      <c r="Z168" s="646" t="str">
        <f>IF(ISERROR(X168/X172),"",X168/X172)</f>
        <v/>
      </c>
      <c r="AA168" s="646"/>
    </row>
    <row r="169" spans="1:27" ht="20.100000000000001" customHeight="1">
      <c r="A169" s="637"/>
      <c r="B169" s="518" t="s">
        <v>266</v>
      </c>
      <c r="C169" s="648">
        <f>SUM(C165:D168)</f>
        <v>4</v>
      </c>
      <c r="D169" s="649"/>
      <c r="E169" s="642">
        <f>SUM(E165:F168)</f>
        <v>41</v>
      </c>
      <c r="F169" s="642"/>
      <c r="G169" s="643">
        <f>SUM(G165:H168)</f>
        <v>4</v>
      </c>
      <c r="H169" s="643"/>
      <c r="I169" s="642">
        <f>SUM(I165:J168)</f>
        <v>41</v>
      </c>
      <c r="J169" s="642"/>
      <c r="K169" s="642">
        <f>SUM(K165:L168)</f>
        <v>0</v>
      </c>
      <c r="L169" s="642"/>
      <c r="M169" s="644">
        <f>IF(ISERROR(K169/E169),"",K169/E169)</f>
        <v>0</v>
      </c>
      <c r="N169" s="644"/>
      <c r="O169" s="640"/>
      <c r="P169" s="643" t="s">
        <v>234</v>
      </c>
      <c r="Q169" s="643"/>
      <c r="R169" s="645">
        <f>SUM(O147:U147)</f>
        <v>0</v>
      </c>
      <c r="S169" s="645"/>
      <c r="T169" s="646" t="str">
        <f>IF(ISERROR(R169/R172),"",R169/R172)</f>
        <v/>
      </c>
      <c r="U169" s="646"/>
      <c r="V169" s="643" t="s">
        <v>267</v>
      </c>
      <c r="W169" s="643"/>
      <c r="X169" s="647">
        <f>SUM(P32,P89,P124,P140,P150,P165)</f>
        <v>0</v>
      </c>
      <c r="Y169" s="647"/>
      <c r="Z169" s="646" t="str">
        <f>IF(ISERROR(X169/X172),"",X169/X172)</f>
        <v/>
      </c>
      <c r="AA169" s="646"/>
    </row>
    <row r="170" spans="1:27" ht="20.100000000000001" customHeight="1">
      <c r="A170" s="307" t="s">
        <v>477</v>
      </c>
      <c r="B170" s="518">
        <f>G163</f>
        <v>5175</v>
      </c>
      <c r="C170" s="650" t="s">
        <v>269</v>
      </c>
      <c r="D170" s="651"/>
      <c r="E170" s="643">
        <f>H163</f>
        <v>26131.610000000004</v>
      </c>
      <c r="F170" s="643"/>
      <c r="G170" s="643" t="s">
        <v>270</v>
      </c>
      <c r="H170" s="643"/>
      <c r="I170" s="652">
        <f>L163</f>
        <v>20.577570693516765</v>
      </c>
      <c r="J170" s="652"/>
      <c r="K170" s="640" t="s">
        <v>271</v>
      </c>
      <c r="L170" s="640"/>
      <c r="M170" s="652">
        <f>J163</f>
        <v>23.469387755102041</v>
      </c>
      <c r="N170" s="652"/>
      <c r="O170" s="640"/>
      <c r="P170" s="643" t="s">
        <v>244</v>
      </c>
      <c r="Q170" s="643"/>
      <c r="R170" s="645">
        <f>SUM(O162:U162)</f>
        <v>0</v>
      </c>
      <c r="S170" s="645"/>
      <c r="T170" s="646" t="str">
        <f>IF(ISERROR(R170/R172),"",R170/R172)</f>
        <v/>
      </c>
      <c r="U170" s="646"/>
      <c r="V170" s="643" t="s">
        <v>272</v>
      </c>
      <c r="W170" s="643"/>
      <c r="X170" s="647">
        <f>SUM(P33,P90,P125,P141,P151,P166)</f>
        <v>0</v>
      </c>
      <c r="Y170" s="647"/>
      <c r="Z170" s="646" t="str">
        <f>IF(ISERROR(X170/X172),"",X170/X172)</f>
        <v/>
      </c>
      <c r="AA170" s="646"/>
    </row>
    <row r="171" spans="1:27" ht="20.100000000000001" customHeight="1">
      <c r="A171" s="308" t="s">
        <v>478</v>
      </c>
      <c r="B171" s="518">
        <f>I163+C169</f>
        <v>224.5</v>
      </c>
      <c r="C171" s="653" t="s">
        <v>251</v>
      </c>
      <c r="D171" s="654"/>
      <c r="E171" s="655">
        <f>K163+I169</f>
        <v>292.48741205056103</v>
      </c>
      <c r="F171" s="655"/>
      <c r="G171" s="643" t="s">
        <v>274</v>
      </c>
      <c r="H171" s="643"/>
      <c r="I171" s="652">
        <f>B171-E171</f>
        <v>-67.987412050561034</v>
      </c>
      <c r="J171" s="652"/>
      <c r="K171" s="640" t="s">
        <v>275</v>
      </c>
      <c r="L171" s="640"/>
      <c r="M171" s="644">
        <f>IF(ISERROR(I171/E171),"",I171/E171)</f>
        <v>-0.23244560021888513</v>
      </c>
      <c r="N171" s="644"/>
      <c r="O171" s="640"/>
      <c r="P171" s="643" t="s">
        <v>245</v>
      </c>
      <c r="Q171" s="643"/>
      <c r="R171" s="645"/>
      <c r="S171" s="645"/>
      <c r="T171" s="646" t="str">
        <f>IF(ISERROR(R171/R172),"",R171/R172)</f>
        <v/>
      </c>
      <c r="U171" s="646"/>
      <c r="V171" s="643" t="s">
        <v>264</v>
      </c>
      <c r="W171" s="643"/>
      <c r="X171" s="647"/>
      <c r="Y171" s="647"/>
      <c r="Z171" s="646" t="str">
        <f>IF(ISERROR(X171/X172),"",X171/X172)</f>
        <v/>
      </c>
      <c r="AA171" s="646"/>
    </row>
    <row r="172" spans="1:27" ht="20.100000000000001" customHeight="1">
      <c r="A172" s="308" t="s">
        <v>479</v>
      </c>
      <c r="B172" s="518">
        <f>N163</f>
        <v>0</v>
      </c>
      <c r="C172" s="653" t="s">
        <v>277</v>
      </c>
      <c r="D172" s="654"/>
      <c r="E172" s="646">
        <f>IF(ISERROR(B172/B171),"",B172/B171)</f>
        <v>0</v>
      </c>
      <c r="F172" s="646"/>
      <c r="G172" s="643" t="s">
        <v>278</v>
      </c>
      <c r="H172" s="643"/>
      <c r="I172" s="640">
        <f>V163</f>
        <v>0</v>
      </c>
      <c r="J172" s="640"/>
      <c r="K172" s="640" t="s">
        <v>279</v>
      </c>
      <c r="L172" s="640"/>
      <c r="M172" s="644">
        <f t="array" ref="M172">IF(ISERROR(I172/B170),"",I172/B170)</f>
        <v>0</v>
      </c>
      <c r="N172" s="644"/>
      <c r="O172" s="640"/>
      <c r="P172" s="643" t="s">
        <v>266</v>
      </c>
      <c r="Q172" s="643"/>
      <c r="R172" s="645">
        <f>SUM(R165:S171)</f>
        <v>0</v>
      </c>
      <c r="S172" s="645"/>
      <c r="T172" s="646"/>
      <c r="U172" s="646"/>
      <c r="V172" s="643" t="s">
        <v>266</v>
      </c>
      <c r="W172" s="643"/>
      <c r="X172" s="647">
        <f>SUM(X165:Y171)</f>
        <v>0</v>
      </c>
      <c r="Y172" s="647"/>
      <c r="Z172" s="646"/>
      <c r="AA172" s="646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56" t="s">
        <v>480</v>
      </c>
      <c r="B174" s="659" t="s">
        <v>280</v>
      </c>
      <c r="C174" s="659" t="s">
        <v>281</v>
      </c>
      <c r="D174" s="659" t="s">
        <v>282</v>
      </c>
      <c r="E174" s="662" t="s">
        <v>283</v>
      </c>
      <c r="F174" s="675" t="s">
        <v>284</v>
      </c>
      <c r="G174" s="640" t="s">
        <v>285</v>
      </c>
      <c r="H174" s="640"/>
      <c r="I174" s="659" t="s">
        <v>286</v>
      </c>
      <c r="J174" s="665" t="s">
        <v>271</v>
      </c>
      <c r="K174" s="668" t="s">
        <v>287</v>
      </c>
      <c r="L174" s="659" t="s">
        <v>270</v>
      </c>
      <c r="M174" s="671" t="s">
        <v>288</v>
      </c>
      <c r="N174" s="673" t="s">
        <v>252</v>
      </c>
      <c r="O174" s="640" t="s">
        <v>289</v>
      </c>
      <c r="P174" s="640"/>
      <c r="Q174" s="640"/>
      <c r="R174" s="640"/>
      <c r="S174" s="640"/>
      <c r="T174" s="640"/>
      <c r="U174" s="640"/>
      <c r="V174" s="640" t="s">
        <v>290</v>
      </c>
      <c r="W174" s="673" t="s">
        <v>291</v>
      </c>
      <c r="X174" s="640" t="s">
        <v>292</v>
      </c>
      <c r="Y174" s="640"/>
      <c r="Z174" s="640"/>
      <c r="AA174" s="640"/>
    </row>
    <row r="175" spans="1:27" ht="21.95" customHeight="1">
      <c r="A175" s="657"/>
      <c r="B175" s="660"/>
      <c r="C175" s="660"/>
      <c r="D175" s="660"/>
      <c r="E175" s="663"/>
      <c r="F175" s="676"/>
      <c r="G175" s="640"/>
      <c r="H175" s="640"/>
      <c r="I175" s="660"/>
      <c r="J175" s="666"/>
      <c r="K175" s="669"/>
      <c r="L175" s="660"/>
      <c r="M175" s="672"/>
      <c r="N175" s="673"/>
      <c r="O175" s="640" t="s">
        <v>259</v>
      </c>
      <c r="P175" s="640" t="s">
        <v>261</v>
      </c>
      <c r="Q175" s="640" t="s">
        <v>263</v>
      </c>
      <c r="R175" s="674" t="s">
        <v>265</v>
      </c>
      <c r="S175" s="643" t="s">
        <v>267</v>
      </c>
      <c r="T175" s="640" t="s">
        <v>272</v>
      </c>
      <c r="U175" s="640" t="s">
        <v>264</v>
      </c>
      <c r="V175" s="640"/>
      <c r="W175" s="673"/>
      <c r="X175" s="640" t="s">
        <v>293</v>
      </c>
      <c r="Y175" s="640" t="s">
        <v>294</v>
      </c>
      <c r="Z175" s="640" t="s">
        <v>295</v>
      </c>
      <c r="AA175" s="640" t="s">
        <v>264</v>
      </c>
    </row>
    <row r="176" spans="1:27" ht="21.95" customHeight="1">
      <c r="A176" s="658"/>
      <c r="B176" s="661"/>
      <c r="C176" s="661"/>
      <c r="D176" s="661"/>
      <c r="E176" s="664"/>
      <c r="F176" s="677"/>
      <c r="G176" s="348" t="s">
        <v>527</v>
      </c>
      <c r="H176" s="511" t="s">
        <v>297</v>
      </c>
      <c r="I176" s="661"/>
      <c r="J176" s="667"/>
      <c r="K176" s="670"/>
      <c r="L176" s="661"/>
      <c r="M176" s="672"/>
      <c r="N176" s="673"/>
      <c r="O176" s="640"/>
      <c r="P176" s="640"/>
      <c r="Q176" s="640"/>
      <c r="R176" s="674"/>
      <c r="S176" s="643"/>
      <c r="T176" s="640"/>
      <c r="U176" s="640"/>
      <c r="V176" s="640"/>
      <c r="W176" s="673"/>
      <c r="X176" s="640"/>
      <c r="Y176" s="640"/>
      <c r="Z176" s="640"/>
      <c r="AA176" s="640"/>
    </row>
    <row r="177" spans="1:27" ht="20.100000000000001" hidden="1" customHeight="1">
      <c r="A177" s="299">
        <v>30100030</v>
      </c>
      <c r="B177" s="513" t="s">
        <v>178</v>
      </c>
      <c r="C177" s="126" t="s">
        <v>179</v>
      </c>
      <c r="D177" s="108">
        <v>5.03</v>
      </c>
      <c r="E177" s="108"/>
      <c r="F177" s="127"/>
      <c r="G177" s="128"/>
      <c r="H177" s="521">
        <f t="shared" ref="H177:H186" si="76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7">IF(ISERROR(I177-K177),"",I177-K177)</f>
        <v>0</v>
      </c>
      <c r="N177" s="130">
        <f>SUM(O177:U177)</f>
        <v>0</v>
      </c>
      <c r="O177" s="512"/>
      <c r="P177" s="512"/>
      <c r="Q177" s="512"/>
      <c r="R177" s="512"/>
      <c r="S177" s="512"/>
      <c r="T177" s="512"/>
      <c r="U177" s="512"/>
      <c r="V177" s="132">
        <f t="shared" ref="V177:V182" si="78">SUM(X177:AA177)</f>
        <v>0</v>
      </c>
      <c r="W177" s="133" t="str">
        <f t="shared" ref="W177:W182" si="79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521">
        <f t="shared" si="76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7"/>
        <v>0</v>
      </c>
      <c r="N178" s="130">
        <f t="shared" ref="N178:N186" si="80">SUM(O178:U178)</f>
        <v>0</v>
      </c>
      <c r="O178" s="512"/>
      <c r="P178" s="512"/>
      <c r="Q178" s="512"/>
      <c r="R178" s="512"/>
      <c r="S178" s="512"/>
      <c r="T178" s="512"/>
      <c r="U178" s="512"/>
      <c r="V178" s="132">
        <f t="shared" si="78"/>
        <v>0</v>
      </c>
      <c r="W178" s="133" t="str">
        <f t="shared" si="79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521">
        <f t="shared" si="76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7"/>
        <v>0</v>
      </c>
      <c r="N179" s="130">
        <f t="shared" si="80"/>
        <v>0</v>
      </c>
      <c r="O179" s="512"/>
      <c r="P179" s="512"/>
      <c r="Q179" s="512"/>
      <c r="R179" s="512"/>
      <c r="S179" s="512"/>
      <c r="T179" s="512"/>
      <c r="U179" s="512"/>
      <c r="V179" s="132">
        <f t="shared" si="78"/>
        <v>0</v>
      </c>
      <c r="W179" s="133" t="str">
        <f t="shared" si="79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521">
        <f t="shared" si="76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7"/>
        <v>0</v>
      </c>
      <c r="N180" s="130">
        <f t="shared" si="80"/>
        <v>0</v>
      </c>
      <c r="O180" s="512"/>
      <c r="P180" s="512"/>
      <c r="Q180" s="512"/>
      <c r="R180" s="512"/>
      <c r="S180" s="512"/>
      <c r="T180" s="512"/>
      <c r="U180" s="512"/>
      <c r="V180" s="132">
        <f t="shared" si="78"/>
        <v>0</v>
      </c>
      <c r="W180" s="133" t="str">
        <f t="shared" si="79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521">
        <f t="shared" si="76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7"/>
        <v>0</v>
      </c>
      <c r="N181" s="130">
        <f t="shared" si="80"/>
        <v>0</v>
      </c>
      <c r="O181" s="512"/>
      <c r="P181" s="512"/>
      <c r="Q181" s="512"/>
      <c r="R181" s="512"/>
      <c r="S181" s="512"/>
      <c r="T181" s="512"/>
      <c r="U181" s="512"/>
      <c r="V181" s="132">
        <f t="shared" si="78"/>
        <v>0</v>
      </c>
      <c r="W181" s="133" t="str">
        <f t="shared" si="79"/>
        <v/>
      </c>
      <c r="X181" s="132"/>
      <c r="Y181" s="132"/>
      <c r="Z181" s="132"/>
      <c r="AA181" s="132"/>
    </row>
    <row r="182" spans="1:27" ht="20.10000000000000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27">
        <v>42715</v>
      </c>
      <c r="G182" s="128">
        <f>100+94</f>
        <v>194</v>
      </c>
      <c r="H182" s="521">
        <f t="shared" si="76"/>
        <v>977.76</v>
      </c>
      <c r="I182" s="129">
        <f>4*5</f>
        <v>20</v>
      </c>
      <c r="J182" s="130">
        <f t="array" ref="J182">IF(ISERROR(G182/I182),"",G182/I182)</f>
        <v>9.6999999999999993</v>
      </c>
      <c r="K182" s="131">
        <f t="array" ref="K182">IF(ISERROR(G182/L182),"",G182/L182)</f>
        <v>10.210526315789474</v>
      </c>
      <c r="L182" s="129">
        <v>19</v>
      </c>
      <c r="M182" s="109">
        <f t="shared" si="77"/>
        <v>9.7894736842105257</v>
      </c>
      <c r="N182" s="130">
        <f t="shared" si="80"/>
        <v>0</v>
      </c>
      <c r="O182" s="512"/>
      <c r="P182" s="512"/>
      <c r="Q182" s="512"/>
      <c r="R182" s="512"/>
      <c r="S182" s="512"/>
      <c r="T182" s="512"/>
      <c r="U182" s="512"/>
      <c r="V182" s="132">
        <f t="shared" si="78"/>
        <v>0</v>
      </c>
      <c r="W182" s="133">
        <f t="shared" si="79"/>
        <v>0</v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521">
        <f t="shared" si="76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7"/>
        <v>0</v>
      </c>
      <c r="N183" s="130">
        <f t="shared" si="80"/>
        <v>0</v>
      </c>
      <c r="O183" s="512"/>
      <c r="P183" s="512"/>
      <c r="Q183" s="512"/>
      <c r="R183" s="512"/>
      <c r="S183" s="512"/>
      <c r="T183" s="512"/>
      <c r="U183" s="512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521">
        <f t="shared" si="76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7"/>
        <v>0</v>
      </c>
      <c r="N184" s="130">
        <f t="shared" si="80"/>
        <v>0</v>
      </c>
      <c r="O184" s="512"/>
      <c r="P184" s="512"/>
      <c r="Q184" s="512"/>
      <c r="R184" s="512"/>
      <c r="S184" s="512"/>
      <c r="T184" s="512"/>
      <c r="U184" s="512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521">
        <f t="shared" si="76"/>
        <v>0</v>
      </c>
      <c r="I185" s="521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7"/>
        <v>0</v>
      </c>
      <c r="N185" s="130">
        <f t="shared" si="80"/>
        <v>0</v>
      </c>
      <c r="O185" s="512"/>
      <c r="P185" s="512"/>
      <c r="Q185" s="512"/>
      <c r="R185" s="512"/>
      <c r="S185" s="512"/>
      <c r="T185" s="512"/>
      <c r="U185" s="512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521">
        <f t="shared" si="76"/>
        <v>0</v>
      </c>
      <c r="I186" s="521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7"/>
        <v>0</v>
      </c>
      <c r="N186" s="130">
        <f t="shared" si="80"/>
        <v>0</v>
      </c>
      <c r="O186" s="512"/>
      <c r="P186" s="512"/>
      <c r="Q186" s="512"/>
      <c r="R186" s="512"/>
      <c r="S186" s="512"/>
      <c r="T186" s="512"/>
      <c r="U186" s="512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521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512"/>
      <c r="P187" s="512"/>
      <c r="Q187" s="512"/>
      <c r="R187" s="512"/>
      <c r="S187" s="512"/>
      <c r="T187" s="512"/>
      <c r="U187" s="512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521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512"/>
      <c r="P188" s="512"/>
      <c r="Q188" s="512"/>
      <c r="R188" s="512"/>
      <c r="S188" s="512"/>
      <c r="T188" s="512"/>
      <c r="U188" s="512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521">
        <f t="shared" ref="H189:H197" si="81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2">IF(ISERROR(I189-K189),"",I189-K189)</f>
        <v>0</v>
      </c>
      <c r="N189" s="130">
        <f t="shared" ref="N189:N191" si="83">SUM(O189:U189)</f>
        <v>0</v>
      </c>
      <c r="O189" s="512"/>
      <c r="P189" s="512"/>
      <c r="Q189" s="512"/>
      <c r="R189" s="512"/>
      <c r="S189" s="512"/>
      <c r="T189" s="512"/>
      <c r="U189" s="512"/>
      <c r="V189" s="132">
        <f t="shared" ref="V189:V191" si="84">SUM(X189:AA189)</f>
        <v>0</v>
      </c>
      <c r="W189" s="133" t="str">
        <f t="shared" ref="W189:W191" si="85">IF(ISERROR(V189/G189),"",V189/G189)</f>
        <v/>
      </c>
      <c r="X189" s="132"/>
      <c r="Y189" s="132"/>
      <c r="Z189" s="132"/>
      <c r="AA189" s="132"/>
    </row>
    <row r="190" spans="1:27" ht="20.10000000000000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>
        <v>42718</v>
      </c>
      <c r="G190" s="128">
        <f>100*2+24+100*6</f>
        <v>824</v>
      </c>
      <c r="H190" s="521">
        <f t="shared" si="81"/>
        <v>4194.16</v>
      </c>
      <c r="I190" s="129">
        <f>6.5*5+2*4</f>
        <v>40.5</v>
      </c>
      <c r="J190" s="130">
        <f t="array" ref="J190">IF(ISERROR(G190/I190),"",G190/I190)</f>
        <v>20.345679012345681</v>
      </c>
      <c r="K190" s="131">
        <f t="array" ref="K190">IF(ISERROR(G190/L190),"",G190/L190)</f>
        <v>35.826086956521742</v>
      </c>
      <c r="L190" s="129">
        <v>23</v>
      </c>
      <c r="M190" s="109">
        <f t="shared" si="82"/>
        <v>4.6739130434782581</v>
      </c>
      <c r="N190" s="130">
        <f t="shared" si="83"/>
        <v>0</v>
      </c>
      <c r="O190" s="512"/>
      <c r="P190" s="512"/>
      <c r="Q190" s="512"/>
      <c r="R190" s="512"/>
      <c r="S190" s="512"/>
      <c r="T190" s="512"/>
      <c r="U190" s="512"/>
      <c r="V190" s="132">
        <f t="shared" si="84"/>
        <v>0</v>
      </c>
      <c r="W190" s="133">
        <f t="shared" si="85"/>
        <v>0</v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521">
        <f t="shared" si="81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2"/>
        <v>0</v>
      </c>
      <c r="N191" s="130">
        <f t="shared" si="83"/>
        <v>0</v>
      </c>
      <c r="O191" s="512"/>
      <c r="P191" s="512"/>
      <c r="Q191" s="512"/>
      <c r="R191" s="512"/>
      <c r="S191" s="512"/>
      <c r="T191" s="512"/>
      <c r="U191" s="512"/>
      <c r="V191" s="132">
        <f t="shared" si="84"/>
        <v>0</v>
      </c>
      <c r="W191" s="133" t="str">
        <f t="shared" si="85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511" t="s">
        <v>190</v>
      </c>
      <c r="D192" s="108">
        <v>4.8</v>
      </c>
      <c r="E192" s="108"/>
      <c r="F192" s="127"/>
      <c r="G192" s="128"/>
      <c r="H192" s="521">
        <f t="shared" si="81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2"/>
        <v>0</v>
      </c>
      <c r="N192" s="130"/>
      <c r="O192" s="512"/>
      <c r="P192" s="512"/>
      <c r="Q192" s="512"/>
      <c r="R192" s="512"/>
      <c r="S192" s="512"/>
      <c r="T192" s="512"/>
      <c r="U192" s="512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511" t="s">
        <v>187</v>
      </c>
      <c r="D193" s="108">
        <v>4.8</v>
      </c>
      <c r="E193" s="108"/>
      <c r="F193" s="127"/>
      <c r="G193" s="128"/>
      <c r="H193" s="521">
        <f t="shared" si="81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2"/>
        <v>0</v>
      </c>
      <c r="N193" s="130"/>
      <c r="O193" s="512"/>
      <c r="P193" s="512"/>
      <c r="Q193" s="512"/>
      <c r="R193" s="512"/>
      <c r="S193" s="512"/>
      <c r="T193" s="512"/>
      <c r="U193" s="512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511" t="s">
        <v>179</v>
      </c>
      <c r="D194" s="108">
        <v>4.8</v>
      </c>
      <c r="E194" s="108"/>
      <c r="F194" s="127"/>
      <c r="G194" s="128"/>
      <c r="H194" s="521">
        <f t="shared" si="81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2"/>
        <v>0</v>
      </c>
      <c r="N194" s="130"/>
      <c r="O194" s="512"/>
      <c r="P194" s="512"/>
      <c r="Q194" s="512"/>
      <c r="R194" s="512"/>
      <c r="S194" s="512"/>
      <c r="T194" s="512"/>
      <c r="U194" s="512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511" t="s">
        <v>199</v>
      </c>
      <c r="D195" s="108">
        <v>4.8</v>
      </c>
      <c r="E195" s="108"/>
      <c r="F195" s="127"/>
      <c r="G195" s="128"/>
      <c r="H195" s="521">
        <f t="shared" si="81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2"/>
        <v>0</v>
      </c>
      <c r="N195" s="130"/>
      <c r="O195" s="512"/>
      <c r="P195" s="512"/>
      <c r="Q195" s="512"/>
      <c r="R195" s="512"/>
      <c r="S195" s="512"/>
      <c r="T195" s="512"/>
      <c r="U195" s="512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521">
        <f t="shared" si="81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2"/>
        <v>0</v>
      </c>
      <c r="N196" s="130">
        <f t="shared" ref="N196:N197" si="86">SUM(O196:U196)</f>
        <v>0</v>
      </c>
      <c r="O196" s="512"/>
      <c r="P196" s="512"/>
      <c r="Q196" s="512"/>
      <c r="R196" s="512"/>
      <c r="S196" s="512"/>
      <c r="T196" s="512"/>
      <c r="U196" s="512"/>
      <c r="V196" s="132">
        <f t="shared" ref="V196:V197" si="87">SUM(X196:AA196)</f>
        <v>0</v>
      </c>
      <c r="W196" s="133" t="str">
        <f t="shared" ref="W196:W197" si="88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521">
        <f t="shared" si="81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2"/>
        <v>0</v>
      </c>
      <c r="N197" s="130">
        <f t="shared" si="86"/>
        <v>0</v>
      </c>
      <c r="O197" s="512"/>
      <c r="P197" s="512"/>
      <c r="Q197" s="512"/>
      <c r="R197" s="512"/>
      <c r="S197" s="512"/>
      <c r="T197" s="512"/>
      <c r="U197" s="512"/>
      <c r="V197" s="132">
        <f t="shared" si="87"/>
        <v>0</v>
      </c>
      <c r="W197" s="133" t="str">
        <f t="shared" si="88"/>
        <v/>
      </c>
      <c r="X197" s="132"/>
      <c r="Y197" s="132"/>
      <c r="Z197" s="132"/>
      <c r="AA197" s="132"/>
    </row>
    <row r="198" spans="1:27" ht="20.100000000000001" customHeight="1">
      <c r="A198" s="630" t="s">
        <v>201</v>
      </c>
      <c r="B198" s="631"/>
      <c r="C198" s="519" t="s">
        <v>202</v>
      </c>
      <c r="D198" s="143"/>
      <c r="E198" s="143"/>
      <c r="F198" s="144"/>
      <c r="G198" s="145">
        <f>SUM(G177:G197)</f>
        <v>1018</v>
      </c>
      <c r="H198" s="146">
        <f>SUM(H177:H197)</f>
        <v>5171.92</v>
      </c>
      <c r="I198" s="146">
        <f>SUM(I177:I197)</f>
        <v>60.5</v>
      </c>
      <c r="J198" s="130">
        <f t="array" ref="J198">IF(ISERROR(G198/I198),"",G198/I198)</f>
        <v>16.826446280991735</v>
      </c>
      <c r="K198" s="146">
        <f>SUM(K177:K197)</f>
        <v>46.036613272311214</v>
      </c>
      <c r="L198" s="147"/>
      <c r="M198" s="150">
        <f t="shared" ref="M198:AA198" si="89">SUM(M177:M197)</f>
        <v>14.463386727688784</v>
      </c>
      <c r="N198" s="146">
        <f t="shared" si="89"/>
        <v>0</v>
      </c>
      <c r="O198" s="148">
        <f t="shared" si="89"/>
        <v>0</v>
      </c>
      <c r="P198" s="148">
        <f t="shared" si="89"/>
        <v>0</v>
      </c>
      <c r="Q198" s="148">
        <f t="shared" si="89"/>
        <v>0</v>
      </c>
      <c r="R198" s="148">
        <f t="shared" si="89"/>
        <v>0</v>
      </c>
      <c r="S198" s="148">
        <f t="shared" si="89"/>
        <v>0</v>
      </c>
      <c r="T198" s="148">
        <f t="shared" si="89"/>
        <v>0</v>
      </c>
      <c r="U198" s="148">
        <f t="shared" si="89"/>
        <v>0</v>
      </c>
      <c r="V198" s="149">
        <f t="shared" si="89"/>
        <v>0</v>
      </c>
      <c r="W198" s="133">
        <f t="shared" si="89"/>
        <v>0</v>
      </c>
      <c r="X198" s="149">
        <f t="shared" si="89"/>
        <v>0</v>
      </c>
      <c r="Y198" s="149">
        <f t="shared" si="89"/>
        <v>0</v>
      </c>
      <c r="Z198" s="149">
        <f t="shared" si="89"/>
        <v>0</v>
      </c>
      <c r="AA198" s="149">
        <f t="shared" si="89"/>
        <v>0</v>
      </c>
    </row>
    <row r="199" spans="1:27" ht="20.100000000000001" hidden="1" customHeight="1">
      <c r="A199" s="300">
        <v>30100012</v>
      </c>
      <c r="B199" s="513" t="s">
        <v>206</v>
      </c>
      <c r="C199" s="126" t="s">
        <v>199</v>
      </c>
      <c r="D199" s="108">
        <v>5.03</v>
      </c>
      <c r="E199" s="108"/>
      <c r="F199" s="127"/>
      <c r="G199" s="128"/>
      <c r="H199" s="521">
        <f t="shared" ref="H199:H255" si="90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:M237" si="91">IF(ISERROR(I199-K199),"",I199-K199)</f>
        <v>0</v>
      </c>
      <c r="N199" s="130">
        <f t="shared" ref="N199" si="92">SUM(O199:U199)</f>
        <v>0</v>
      </c>
      <c r="O199" s="516"/>
      <c r="P199" s="516"/>
      <c r="Q199" s="516"/>
      <c r="R199" s="516"/>
      <c r="S199" s="516"/>
      <c r="T199" s="516"/>
      <c r="U199" s="516"/>
      <c r="V199" s="132">
        <f t="shared" ref="V199" si="93">SUM(X199:AA199)</f>
        <v>0</v>
      </c>
      <c r="W199" s="133" t="str">
        <f t="shared" ref="W199" si="94">IF(ISERROR(V199/G199),"",V199/G199)</f>
        <v/>
      </c>
      <c r="X199" s="132"/>
      <c r="Y199" s="132"/>
      <c r="Z199" s="132"/>
      <c r="AA199" s="132"/>
    </row>
    <row r="200" spans="1:27" ht="20.100000000000001" customHeight="1">
      <c r="A200" s="300">
        <v>30100011</v>
      </c>
      <c r="B200" s="513" t="s">
        <v>425</v>
      </c>
      <c r="C200" s="187" t="s">
        <v>427</v>
      </c>
      <c r="D200" s="108">
        <v>5.03</v>
      </c>
      <c r="E200" s="108"/>
      <c r="F200" s="127">
        <v>42718</v>
      </c>
      <c r="G200" s="128">
        <f>93+108*7</f>
        <v>849</v>
      </c>
      <c r="H200" s="521">
        <f t="shared" si="90"/>
        <v>4270.47</v>
      </c>
      <c r="I200" s="129">
        <v>9.5</v>
      </c>
      <c r="J200" s="130">
        <f t="array" ref="J200">IF(ISERROR(G200/I200),"",G200/I200)</f>
        <v>89.368421052631575</v>
      </c>
      <c r="K200" s="131">
        <f t="array" ref="K200">IF(ISERROR(G200/L200),"",G200/L200)</f>
        <v>16.326923076923077</v>
      </c>
      <c r="L200" s="129">
        <v>52</v>
      </c>
      <c r="M200" s="109">
        <f t="shared" si="91"/>
        <v>-6.8269230769230766</v>
      </c>
      <c r="N200" s="130"/>
      <c r="O200" s="516"/>
      <c r="P200" s="516"/>
      <c r="Q200" s="516"/>
      <c r="R200" s="516"/>
      <c r="S200" s="516"/>
      <c r="T200" s="516"/>
      <c r="U200" s="516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513" t="s">
        <v>206</v>
      </c>
      <c r="C201" s="126" t="s">
        <v>186</v>
      </c>
      <c r="D201" s="108">
        <v>5.03</v>
      </c>
      <c r="E201" s="108"/>
      <c r="F201" s="127"/>
      <c r="G201" s="128"/>
      <c r="H201" s="521">
        <f t="shared" si="90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si="91"/>
        <v>0</v>
      </c>
      <c r="N201" s="130">
        <f t="shared" ref="N201:N203" si="95">SUM(O201:U201)</f>
        <v>0</v>
      </c>
      <c r="O201" s="516"/>
      <c r="P201" s="516"/>
      <c r="Q201" s="516"/>
      <c r="R201" s="516"/>
      <c r="S201" s="516"/>
      <c r="T201" s="516"/>
      <c r="U201" s="516"/>
      <c r="V201" s="132">
        <f t="shared" ref="V201:V203" si="96">SUM(X201:AA201)</f>
        <v>0</v>
      </c>
      <c r="W201" s="133" t="str">
        <f t="shared" ref="W201:W203" si="97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513" t="s">
        <v>206</v>
      </c>
      <c r="C202" s="126" t="s">
        <v>203</v>
      </c>
      <c r="D202" s="108">
        <v>5.03</v>
      </c>
      <c r="E202" s="108"/>
      <c r="F202" s="127"/>
      <c r="G202" s="128"/>
      <c r="H202" s="521">
        <f t="shared" si="90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si="91"/>
        <v>0</v>
      </c>
      <c r="N202" s="130">
        <f t="shared" si="95"/>
        <v>0</v>
      </c>
      <c r="O202" s="516"/>
      <c r="P202" s="516"/>
      <c r="Q202" s="516"/>
      <c r="R202" s="516"/>
      <c r="S202" s="516"/>
      <c r="T202" s="516"/>
      <c r="U202" s="516"/>
      <c r="V202" s="132">
        <f t="shared" si="96"/>
        <v>0</v>
      </c>
      <c r="W202" s="133" t="str">
        <f t="shared" si="97"/>
        <v/>
      </c>
      <c r="X202" s="132"/>
      <c r="Y202" s="132"/>
      <c r="Z202" s="132"/>
      <c r="AA202" s="132"/>
    </row>
    <row r="203" spans="1:27" ht="20.100000000000001" customHeight="1">
      <c r="A203" s="300">
        <v>30100013</v>
      </c>
      <c r="B203" s="513" t="s">
        <v>206</v>
      </c>
      <c r="C203" s="126" t="s">
        <v>207</v>
      </c>
      <c r="D203" s="108">
        <v>5.03</v>
      </c>
      <c r="E203" s="108"/>
      <c r="F203" s="127">
        <v>42718</v>
      </c>
      <c r="G203" s="128">
        <f>1+104</f>
        <v>105</v>
      </c>
      <c r="H203" s="521">
        <f t="shared" si="90"/>
        <v>528.15</v>
      </c>
      <c r="I203" s="129">
        <v>2</v>
      </c>
      <c r="J203" s="130">
        <f t="array" ref="J203">IF(ISERROR(G203/I203),"",G203/I203)</f>
        <v>52.5</v>
      </c>
      <c r="K203" s="131">
        <f t="array" ref="K203">IF(ISERROR(G203/L203),"",G203/L203)</f>
        <v>2.0192307692307692</v>
      </c>
      <c r="L203" s="129">
        <v>52</v>
      </c>
      <c r="M203" s="109">
        <f t="shared" ref="M203" si="98">IF(ISERROR(I203-K203),"",I203-K203)</f>
        <v>-1.9230769230769162E-2</v>
      </c>
      <c r="N203" s="130">
        <f t="shared" si="95"/>
        <v>0</v>
      </c>
      <c r="O203" s="516"/>
      <c r="P203" s="516"/>
      <c r="Q203" s="516"/>
      <c r="R203" s="516"/>
      <c r="S203" s="516"/>
      <c r="T203" s="516"/>
      <c r="U203" s="516"/>
      <c r="V203" s="132">
        <f t="shared" si="96"/>
        <v>0</v>
      </c>
      <c r="W203" s="133">
        <f t="shared" si="97"/>
        <v>0</v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513" t="s">
        <v>414</v>
      </c>
      <c r="C204" s="187" t="s">
        <v>415</v>
      </c>
      <c r="D204" s="108">
        <v>5.03</v>
      </c>
      <c r="E204" s="108"/>
      <c r="F204" s="127"/>
      <c r="G204" s="128"/>
      <c r="H204" s="521">
        <f t="shared" si="90"/>
        <v>0</v>
      </c>
      <c r="I204" s="129"/>
      <c r="J204" s="130"/>
      <c r="K204" s="131">
        <f t="array" ref="K204">IF(ISERROR(G204/L204),"",G204/L204)</f>
        <v>0</v>
      </c>
      <c r="L204" s="129">
        <v>52</v>
      </c>
      <c r="M204" s="109">
        <f t="shared" si="91"/>
        <v>0</v>
      </c>
      <c r="N204" s="130"/>
      <c r="O204" s="516"/>
      <c r="P204" s="516"/>
      <c r="Q204" s="516"/>
      <c r="R204" s="516"/>
      <c r="S204" s="516"/>
      <c r="T204" s="516"/>
      <c r="U204" s="516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513" t="s">
        <v>414</v>
      </c>
      <c r="C205" s="187" t="s">
        <v>416</v>
      </c>
      <c r="D205" s="108">
        <v>5.03</v>
      </c>
      <c r="E205" s="108"/>
      <c r="F205" s="127"/>
      <c r="G205" s="128"/>
      <c r="H205" s="521">
        <f t="shared" si="90"/>
        <v>0</v>
      </c>
      <c r="I205" s="129"/>
      <c r="J205" s="130"/>
      <c r="K205" s="131">
        <f t="array" ref="K205">IF(ISERROR(G205/L205),"",G205/L205)</f>
        <v>0</v>
      </c>
      <c r="L205" s="129">
        <v>52</v>
      </c>
      <c r="M205" s="109">
        <f t="shared" si="91"/>
        <v>0</v>
      </c>
      <c r="N205" s="130"/>
      <c r="O205" s="516"/>
      <c r="P205" s="516"/>
      <c r="Q205" s="516"/>
      <c r="R205" s="516"/>
      <c r="S205" s="516"/>
      <c r="T205" s="516"/>
      <c r="U205" s="516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513" t="s">
        <v>414</v>
      </c>
      <c r="C206" s="187" t="s">
        <v>61</v>
      </c>
      <c r="D206" s="108">
        <v>5.03</v>
      </c>
      <c r="E206" s="108"/>
      <c r="F206" s="127"/>
      <c r="G206" s="128"/>
      <c r="H206" s="521">
        <f t="shared" si="90"/>
        <v>0</v>
      </c>
      <c r="I206" s="129"/>
      <c r="J206" s="130"/>
      <c r="K206" s="131">
        <f t="array" ref="K206">IF(ISERROR(G206/L206),"",G206/L206)</f>
        <v>0</v>
      </c>
      <c r="L206" s="129">
        <v>52</v>
      </c>
      <c r="M206" s="109">
        <f t="shared" si="91"/>
        <v>0</v>
      </c>
      <c r="N206" s="130"/>
      <c r="O206" s="516"/>
      <c r="P206" s="516"/>
      <c r="Q206" s="516"/>
      <c r="R206" s="516"/>
      <c r="S206" s="516"/>
      <c r="T206" s="516"/>
      <c r="U206" s="516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513" t="s">
        <v>208</v>
      </c>
      <c r="C207" s="126" t="s">
        <v>179</v>
      </c>
      <c r="D207" s="108">
        <v>5.08</v>
      </c>
      <c r="E207" s="108"/>
      <c r="F207" s="127"/>
      <c r="G207" s="128"/>
      <c r="H207" s="521">
        <f t="shared" si="90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si="91"/>
        <v>0</v>
      </c>
      <c r="N207" s="130">
        <f t="shared" ref="N207:N236" si="99">SUM(O207:U207)</f>
        <v>0</v>
      </c>
      <c r="O207" s="516"/>
      <c r="P207" s="516"/>
      <c r="Q207" s="516"/>
      <c r="R207" s="516"/>
      <c r="S207" s="516"/>
      <c r="T207" s="516"/>
      <c r="U207" s="516"/>
      <c r="V207" s="132">
        <f t="shared" ref="V207:V218" si="100">SUM(X207:AA207)</f>
        <v>0</v>
      </c>
      <c r="W207" s="133" t="str">
        <f t="shared" ref="W207:W218" si="101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513" t="s">
        <v>208</v>
      </c>
      <c r="C208" s="126" t="s">
        <v>204</v>
      </c>
      <c r="D208" s="108">
        <v>5.08</v>
      </c>
      <c r="E208" s="108"/>
      <c r="F208" s="127"/>
      <c r="G208" s="128"/>
      <c r="H208" s="521">
        <f t="shared" si="90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91"/>
        <v>0</v>
      </c>
      <c r="N208" s="130">
        <f t="shared" si="99"/>
        <v>0</v>
      </c>
      <c r="O208" s="516"/>
      <c r="P208" s="516"/>
      <c r="Q208" s="516"/>
      <c r="R208" s="516"/>
      <c r="S208" s="516"/>
      <c r="T208" s="516"/>
      <c r="U208" s="516"/>
      <c r="V208" s="132">
        <f t="shared" si="100"/>
        <v>0</v>
      </c>
      <c r="W208" s="133" t="str">
        <f t="shared" si="101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513" t="s">
        <v>208</v>
      </c>
      <c r="C209" s="126" t="s">
        <v>205</v>
      </c>
      <c r="D209" s="108">
        <v>5.08</v>
      </c>
      <c r="E209" s="108"/>
      <c r="F209" s="127"/>
      <c r="G209" s="128"/>
      <c r="H209" s="521">
        <f t="shared" si="90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91"/>
        <v>0</v>
      </c>
      <c r="N209" s="130">
        <f t="shared" si="99"/>
        <v>0</v>
      </c>
      <c r="O209" s="516"/>
      <c r="P209" s="516"/>
      <c r="Q209" s="516"/>
      <c r="R209" s="516"/>
      <c r="S209" s="516"/>
      <c r="T209" s="516"/>
      <c r="U209" s="516"/>
      <c r="V209" s="132">
        <f t="shared" si="100"/>
        <v>0</v>
      </c>
      <c r="W209" s="133" t="str">
        <f t="shared" si="101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513" t="s">
        <v>208</v>
      </c>
      <c r="C210" s="126" t="s">
        <v>186</v>
      </c>
      <c r="D210" s="108">
        <v>5.08</v>
      </c>
      <c r="E210" s="108"/>
      <c r="F210" s="127"/>
      <c r="G210" s="128"/>
      <c r="H210" s="521">
        <f t="shared" si="90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91"/>
        <v>0</v>
      </c>
      <c r="N210" s="130">
        <f t="shared" si="99"/>
        <v>0</v>
      </c>
      <c r="O210" s="516"/>
      <c r="P210" s="516"/>
      <c r="Q210" s="516"/>
      <c r="R210" s="516"/>
      <c r="S210" s="516"/>
      <c r="T210" s="516"/>
      <c r="U210" s="516"/>
      <c r="V210" s="132">
        <f t="shared" si="100"/>
        <v>0</v>
      </c>
      <c r="W210" s="133" t="str">
        <f t="shared" si="101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513" t="s">
        <v>208</v>
      </c>
      <c r="C211" s="126" t="s">
        <v>203</v>
      </c>
      <c r="D211" s="108">
        <v>5.08</v>
      </c>
      <c r="E211" s="108"/>
      <c r="F211" s="127"/>
      <c r="G211" s="128"/>
      <c r="H211" s="521">
        <f t="shared" si="90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91"/>
        <v>0</v>
      </c>
      <c r="N211" s="130">
        <f t="shared" si="99"/>
        <v>0</v>
      </c>
      <c r="O211" s="516"/>
      <c r="P211" s="516"/>
      <c r="Q211" s="516"/>
      <c r="R211" s="516"/>
      <c r="S211" s="516"/>
      <c r="T211" s="516"/>
      <c r="U211" s="516"/>
      <c r="V211" s="132">
        <f t="shared" si="100"/>
        <v>0</v>
      </c>
      <c r="W211" s="133" t="str">
        <f t="shared" si="101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513" t="s">
        <v>208</v>
      </c>
      <c r="C212" s="126" t="s">
        <v>199</v>
      </c>
      <c r="D212" s="108">
        <v>5.08</v>
      </c>
      <c r="E212" s="108"/>
      <c r="F212" s="127"/>
      <c r="G212" s="128"/>
      <c r="H212" s="521">
        <f t="shared" si="90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91"/>
        <v>0</v>
      </c>
      <c r="N212" s="130">
        <f t="shared" si="99"/>
        <v>0</v>
      </c>
      <c r="O212" s="512"/>
      <c r="P212" s="512"/>
      <c r="Q212" s="512"/>
      <c r="R212" s="512"/>
      <c r="S212" s="512"/>
      <c r="T212" s="512"/>
      <c r="U212" s="512"/>
      <c r="V212" s="132">
        <f t="shared" si="100"/>
        <v>0</v>
      </c>
      <c r="W212" s="133" t="str">
        <f t="shared" si="101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513" t="s">
        <v>208</v>
      </c>
      <c r="C213" s="126" t="s">
        <v>187</v>
      </c>
      <c r="D213" s="108">
        <v>5.08</v>
      </c>
      <c r="E213" s="108"/>
      <c r="F213" s="127"/>
      <c r="G213" s="128"/>
      <c r="H213" s="521">
        <f t="shared" si="90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91"/>
        <v>0</v>
      </c>
      <c r="N213" s="130">
        <f t="shared" si="99"/>
        <v>0</v>
      </c>
      <c r="O213" s="516"/>
      <c r="P213" s="516"/>
      <c r="Q213" s="516"/>
      <c r="R213" s="516"/>
      <c r="S213" s="516"/>
      <c r="T213" s="516"/>
      <c r="U213" s="516"/>
      <c r="V213" s="132">
        <f t="shared" si="100"/>
        <v>0</v>
      </c>
      <c r="W213" s="133" t="str">
        <f t="shared" si="101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513" t="s">
        <v>208</v>
      </c>
      <c r="C214" s="126" t="s">
        <v>207</v>
      </c>
      <c r="D214" s="108">
        <v>5.08</v>
      </c>
      <c r="E214" s="108"/>
      <c r="F214" s="127"/>
      <c r="G214" s="128"/>
      <c r="H214" s="521">
        <f t="shared" si="90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91"/>
        <v>0</v>
      </c>
      <c r="N214" s="130">
        <f t="shared" si="99"/>
        <v>0</v>
      </c>
      <c r="O214" s="512"/>
      <c r="P214" s="512"/>
      <c r="Q214" s="512"/>
      <c r="R214" s="512"/>
      <c r="S214" s="512"/>
      <c r="T214" s="512"/>
      <c r="U214" s="512"/>
      <c r="V214" s="132">
        <f t="shared" si="100"/>
        <v>0</v>
      </c>
      <c r="W214" s="133" t="str">
        <f t="shared" si="101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513" t="s">
        <v>209</v>
      </c>
      <c r="C215" s="126" t="s">
        <v>194</v>
      </c>
      <c r="D215" s="108">
        <v>5.03</v>
      </c>
      <c r="E215" s="108"/>
      <c r="F215" s="127"/>
      <c r="G215" s="128"/>
      <c r="H215" s="521">
        <f t="shared" si="90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91"/>
        <v>0</v>
      </c>
      <c r="N215" s="130">
        <f t="shared" si="99"/>
        <v>0</v>
      </c>
      <c r="O215" s="516"/>
      <c r="P215" s="516"/>
      <c r="Q215" s="516"/>
      <c r="R215" s="516"/>
      <c r="S215" s="516"/>
      <c r="T215" s="516"/>
      <c r="U215" s="516"/>
      <c r="V215" s="132">
        <f t="shared" si="100"/>
        <v>0</v>
      </c>
      <c r="W215" s="133" t="str">
        <f t="shared" si="101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513" t="s">
        <v>209</v>
      </c>
      <c r="C216" s="126" t="s">
        <v>179</v>
      </c>
      <c r="D216" s="108">
        <v>5.03</v>
      </c>
      <c r="E216" s="108"/>
      <c r="F216" s="127"/>
      <c r="G216" s="128"/>
      <c r="H216" s="521">
        <f t="shared" si="90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91"/>
        <v>0</v>
      </c>
      <c r="N216" s="130">
        <f t="shared" si="99"/>
        <v>0</v>
      </c>
      <c r="O216" s="516"/>
      <c r="P216" s="516"/>
      <c r="Q216" s="516"/>
      <c r="R216" s="516"/>
      <c r="S216" s="516"/>
      <c r="T216" s="516"/>
      <c r="U216" s="516"/>
      <c r="V216" s="132">
        <f t="shared" si="100"/>
        <v>0</v>
      </c>
      <c r="W216" s="133" t="str">
        <f t="shared" si="101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513" t="s">
        <v>209</v>
      </c>
      <c r="C217" s="126" t="s">
        <v>195</v>
      </c>
      <c r="D217" s="108">
        <v>5.03</v>
      </c>
      <c r="E217" s="108"/>
      <c r="F217" s="127"/>
      <c r="G217" s="128"/>
      <c r="H217" s="521">
        <f t="shared" si="90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91"/>
        <v>0</v>
      </c>
      <c r="N217" s="130">
        <f t="shared" si="99"/>
        <v>0</v>
      </c>
      <c r="O217" s="516"/>
      <c r="P217" s="516"/>
      <c r="Q217" s="516"/>
      <c r="R217" s="516"/>
      <c r="S217" s="516"/>
      <c r="T217" s="516"/>
      <c r="U217" s="516"/>
      <c r="V217" s="132">
        <f t="shared" si="100"/>
        <v>0</v>
      </c>
      <c r="W217" s="133" t="str">
        <f t="shared" si="101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513" t="s">
        <v>209</v>
      </c>
      <c r="C218" s="126" t="s">
        <v>204</v>
      </c>
      <c r="D218" s="108">
        <v>5.03</v>
      </c>
      <c r="E218" s="108"/>
      <c r="F218" s="127"/>
      <c r="G218" s="128"/>
      <c r="H218" s="521">
        <f t="shared" si="90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91"/>
        <v>0</v>
      </c>
      <c r="N218" s="130">
        <f t="shared" si="99"/>
        <v>0</v>
      </c>
      <c r="O218" s="516"/>
      <c r="P218" s="516"/>
      <c r="Q218" s="516"/>
      <c r="R218" s="516"/>
      <c r="S218" s="516"/>
      <c r="T218" s="516"/>
      <c r="U218" s="516"/>
      <c r="V218" s="132">
        <f t="shared" si="100"/>
        <v>0</v>
      </c>
      <c r="W218" s="133" t="str">
        <f t="shared" si="101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513" t="s">
        <v>382</v>
      </c>
      <c r="C219" s="187" t="s">
        <v>383</v>
      </c>
      <c r="D219" s="108">
        <v>5.03</v>
      </c>
      <c r="E219" s="108"/>
      <c r="F219" s="127"/>
      <c r="G219" s="128"/>
      <c r="H219" s="521">
        <f t="shared" si="90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91"/>
        <v>0</v>
      </c>
      <c r="N219" s="130">
        <f t="shared" si="99"/>
        <v>0</v>
      </c>
      <c r="O219" s="516"/>
      <c r="P219" s="516"/>
      <c r="Q219" s="516"/>
      <c r="R219" s="516"/>
      <c r="S219" s="516"/>
      <c r="T219" s="516"/>
      <c r="U219" s="516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513" t="s">
        <v>382</v>
      </c>
      <c r="C220" s="187" t="s">
        <v>384</v>
      </c>
      <c r="D220" s="108">
        <v>5.03</v>
      </c>
      <c r="E220" s="108"/>
      <c r="F220" s="127"/>
      <c r="G220" s="128"/>
      <c r="H220" s="521">
        <f t="shared" si="90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91"/>
        <v>0</v>
      </c>
      <c r="N220" s="130">
        <f t="shared" si="99"/>
        <v>0</v>
      </c>
      <c r="O220" s="516"/>
      <c r="P220" s="516"/>
      <c r="Q220" s="516"/>
      <c r="R220" s="516"/>
      <c r="S220" s="516"/>
      <c r="T220" s="516"/>
      <c r="U220" s="516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513" t="s">
        <v>382</v>
      </c>
      <c r="C221" s="187" t="s">
        <v>389</v>
      </c>
      <c r="D221" s="108">
        <v>5.03</v>
      </c>
      <c r="E221" s="108"/>
      <c r="F221" s="127"/>
      <c r="G221" s="128"/>
      <c r="H221" s="521">
        <f t="shared" si="90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91"/>
        <v>0</v>
      </c>
      <c r="N221" s="130">
        <f t="shared" si="99"/>
        <v>0</v>
      </c>
      <c r="O221" s="516"/>
      <c r="P221" s="516"/>
      <c r="Q221" s="516"/>
      <c r="R221" s="516"/>
      <c r="S221" s="516"/>
      <c r="T221" s="516"/>
      <c r="U221" s="516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513" t="s">
        <v>382</v>
      </c>
      <c r="C222" s="187" t="s">
        <v>391</v>
      </c>
      <c r="D222" s="108">
        <v>5.03</v>
      </c>
      <c r="E222" s="108"/>
      <c r="F222" s="127"/>
      <c r="G222" s="128"/>
      <c r="H222" s="521">
        <f t="shared" si="90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91"/>
        <v>0</v>
      </c>
      <c r="N222" s="130">
        <f t="shared" si="99"/>
        <v>0</v>
      </c>
      <c r="O222" s="516"/>
      <c r="P222" s="516"/>
      <c r="Q222" s="516"/>
      <c r="R222" s="516"/>
      <c r="S222" s="516"/>
      <c r="T222" s="516"/>
      <c r="U222" s="516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513" t="s">
        <v>418</v>
      </c>
      <c r="C223" s="187" t="s">
        <v>364</v>
      </c>
      <c r="D223" s="108">
        <v>5.03</v>
      </c>
      <c r="E223" s="108"/>
      <c r="F223" s="127"/>
      <c r="G223" s="128"/>
      <c r="H223" s="521">
        <f t="shared" si="90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91"/>
        <v>0</v>
      </c>
      <c r="N223" s="130">
        <f t="shared" si="99"/>
        <v>0</v>
      </c>
      <c r="O223" s="516"/>
      <c r="P223" s="516"/>
      <c r="Q223" s="516"/>
      <c r="R223" s="516"/>
      <c r="S223" s="516"/>
      <c r="T223" s="516"/>
      <c r="U223" s="516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513" t="s">
        <v>418</v>
      </c>
      <c r="C224" s="187" t="s">
        <v>365</v>
      </c>
      <c r="D224" s="108">
        <v>5.03</v>
      </c>
      <c r="E224" s="108"/>
      <c r="F224" s="127"/>
      <c r="G224" s="128"/>
      <c r="H224" s="521">
        <f t="shared" si="90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91"/>
        <v>0</v>
      </c>
      <c r="N224" s="130">
        <f t="shared" si="99"/>
        <v>0</v>
      </c>
      <c r="O224" s="516"/>
      <c r="P224" s="516"/>
      <c r="Q224" s="516"/>
      <c r="R224" s="516"/>
      <c r="S224" s="516"/>
      <c r="T224" s="516"/>
      <c r="U224" s="516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513" t="s">
        <v>418</v>
      </c>
      <c r="C225" s="187" t="s">
        <v>366</v>
      </c>
      <c r="D225" s="108">
        <v>5.03</v>
      </c>
      <c r="E225" s="108"/>
      <c r="F225" s="127"/>
      <c r="G225" s="128"/>
      <c r="H225" s="521">
        <f t="shared" si="90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91"/>
        <v>0</v>
      </c>
      <c r="N225" s="130">
        <f t="shared" si="99"/>
        <v>0</v>
      </c>
      <c r="O225" s="516"/>
      <c r="P225" s="516"/>
      <c r="Q225" s="516"/>
      <c r="R225" s="516"/>
      <c r="S225" s="516"/>
      <c r="T225" s="516"/>
      <c r="U225" s="516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513" t="s">
        <v>418</v>
      </c>
      <c r="C226" s="187" t="s">
        <v>367</v>
      </c>
      <c r="D226" s="108">
        <v>5.03</v>
      </c>
      <c r="E226" s="108"/>
      <c r="F226" s="127"/>
      <c r="G226" s="128"/>
      <c r="H226" s="521">
        <f t="shared" si="90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91"/>
        <v>0</v>
      </c>
      <c r="N226" s="130">
        <f t="shared" si="99"/>
        <v>0</v>
      </c>
      <c r="O226" s="516"/>
      <c r="P226" s="516"/>
      <c r="Q226" s="516"/>
      <c r="R226" s="516"/>
      <c r="S226" s="516"/>
      <c r="T226" s="516"/>
      <c r="U226" s="516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521">
        <f t="shared" si="90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91"/>
        <v>0</v>
      </c>
      <c r="N227" s="130">
        <f t="shared" si="99"/>
        <v>0</v>
      </c>
      <c r="O227" s="512"/>
      <c r="P227" s="512"/>
      <c r="Q227" s="512"/>
      <c r="R227" s="512"/>
      <c r="S227" s="512"/>
      <c r="T227" s="512"/>
      <c r="U227" s="512"/>
      <c r="V227" s="132">
        <f t="shared" ref="V227:V236" si="102">SUM(X227:AA227)</f>
        <v>0</v>
      </c>
      <c r="W227" s="133" t="str">
        <f t="shared" ref="W227:W236" si="103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521">
        <f t="shared" si="90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91"/>
        <v>0</v>
      </c>
      <c r="N228" s="130">
        <f t="shared" si="99"/>
        <v>0</v>
      </c>
      <c r="O228" s="512"/>
      <c r="P228" s="512"/>
      <c r="Q228" s="512"/>
      <c r="R228" s="512"/>
      <c r="S228" s="512"/>
      <c r="T228" s="512"/>
      <c r="U228" s="512"/>
      <c r="V228" s="132">
        <f t="shared" si="102"/>
        <v>0</v>
      </c>
      <c r="W228" s="133" t="str">
        <f t="shared" si="103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521">
        <f t="shared" si="90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91"/>
        <v>0</v>
      </c>
      <c r="N229" s="130">
        <f t="shared" si="99"/>
        <v>0</v>
      </c>
      <c r="O229" s="512"/>
      <c r="P229" s="512"/>
      <c r="Q229" s="512"/>
      <c r="R229" s="512"/>
      <c r="S229" s="512"/>
      <c r="T229" s="512"/>
      <c r="U229" s="512"/>
      <c r="V229" s="132">
        <f t="shared" si="102"/>
        <v>0</v>
      </c>
      <c r="W229" s="133" t="str">
        <f t="shared" si="103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521">
        <f t="shared" si="90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91"/>
        <v>0</v>
      </c>
      <c r="N230" s="130">
        <f t="shared" si="99"/>
        <v>0</v>
      </c>
      <c r="O230" s="512"/>
      <c r="P230" s="512"/>
      <c r="Q230" s="512"/>
      <c r="R230" s="512"/>
      <c r="S230" s="512"/>
      <c r="T230" s="512"/>
      <c r="U230" s="512"/>
      <c r="V230" s="132">
        <f t="shared" si="102"/>
        <v>0</v>
      </c>
      <c r="W230" s="133" t="str">
        <f t="shared" si="103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521">
        <f t="shared" si="90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91"/>
        <v>0</v>
      </c>
      <c r="N231" s="130">
        <f t="shared" si="99"/>
        <v>0</v>
      </c>
      <c r="O231" s="512"/>
      <c r="P231" s="512"/>
      <c r="Q231" s="512"/>
      <c r="R231" s="512"/>
      <c r="S231" s="512"/>
      <c r="T231" s="512"/>
      <c r="U231" s="512"/>
      <c r="V231" s="132">
        <f t="shared" si="102"/>
        <v>0</v>
      </c>
      <c r="W231" s="133" t="str">
        <f t="shared" si="103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521">
        <f t="shared" si="90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91"/>
        <v>0</v>
      </c>
      <c r="N232" s="130">
        <f t="shared" si="99"/>
        <v>0</v>
      </c>
      <c r="O232" s="512"/>
      <c r="P232" s="512"/>
      <c r="Q232" s="512"/>
      <c r="R232" s="512"/>
      <c r="S232" s="512"/>
      <c r="T232" s="512"/>
      <c r="U232" s="512"/>
      <c r="V232" s="132">
        <f t="shared" si="102"/>
        <v>0</v>
      </c>
      <c r="W232" s="133" t="str">
        <f t="shared" si="103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521">
        <f t="shared" si="90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91"/>
        <v>0</v>
      </c>
      <c r="N233" s="130">
        <f t="shared" si="99"/>
        <v>0</v>
      </c>
      <c r="O233" s="512"/>
      <c r="P233" s="512"/>
      <c r="Q233" s="512"/>
      <c r="R233" s="512"/>
      <c r="S233" s="512"/>
      <c r="T233" s="512"/>
      <c r="U233" s="512"/>
      <c r="V233" s="132">
        <f t="shared" si="102"/>
        <v>0</v>
      </c>
      <c r="W233" s="133" t="str">
        <f t="shared" si="103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521">
        <f t="shared" si="90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91"/>
        <v>0</v>
      </c>
      <c r="N234" s="130">
        <f t="shared" si="99"/>
        <v>0</v>
      </c>
      <c r="O234" s="512"/>
      <c r="P234" s="512"/>
      <c r="Q234" s="512"/>
      <c r="R234" s="512"/>
      <c r="S234" s="512"/>
      <c r="T234" s="512"/>
      <c r="U234" s="512"/>
      <c r="V234" s="132">
        <f t="shared" si="102"/>
        <v>0</v>
      </c>
      <c r="W234" s="133" t="str">
        <f t="shared" si="103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521">
        <f t="shared" si="90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91"/>
        <v>0</v>
      </c>
      <c r="N235" s="130">
        <f t="shared" si="99"/>
        <v>0</v>
      </c>
      <c r="O235" s="512"/>
      <c r="P235" s="512"/>
      <c r="Q235" s="512"/>
      <c r="R235" s="512"/>
      <c r="S235" s="512"/>
      <c r="T235" s="512"/>
      <c r="U235" s="512"/>
      <c r="V235" s="132">
        <f t="shared" si="102"/>
        <v>0</v>
      </c>
      <c r="W235" s="133" t="str">
        <f t="shared" si="103"/>
        <v/>
      </c>
      <c r="X235" s="132"/>
      <c r="Y235" s="132"/>
      <c r="Z235" s="132"/>
      <c r="AA235" s="132"/>
    </row>
    <row r="236" spans="1:27" ht="20.10000000000000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>
        <v>42719</v>
      </c>
      <c r="G236" s="128">
        <f>90+35</f>
        <v>125</v>
      </c>
      <c r="H236" s="521">
        <f t="shared" si="90"/>
        <v>628.75</v>
      </c>
      <c r="I236" s="129">
        <v>2.5</v>
      </c>
      <c r="J236" s="130">
        <f t="array" ref="J236">IF(ISERROR(G236/I236),"",G236/I236)</f>
        <v>50</v>
      </c>
      <c r="K236" s="131">
        <f t="array" ref="K236">IF(ISERROR(G236/L236),"",G236/L236)</f>
        <v>2.5</v>
      </c>
      <c r="L236" s="129">
        <v>50</v>
      </c>
      <c r="M236" s="109">
        <f t="shared" si="91"/>
        <v>0</v>
      </c>
      <c r="N236" s="130">
        <f t="shared" si="99"/>
        <v>0</v>
      </c>
      <c r="O236" s="512"/>
      <c r="P236" s="512"/>
      <c r="Q236" s="512"/>
      <c r="R236" s="512"/>
      <c r="S236" s="512"/>
      <c r="T236" s="512"/>
      <c r="U236" s="512"/>
      <c r="V236" s="132">
        <f t="shared" si="102"/>
        <v>0</v>
      </c>
      <c r="W236" s="133">
        <f t="shared" si="103"/>
        <v>0</v>
      </c>
      <c r="X236" s="132"/>
      <c r="Y236" s="132"/>
      <c r="Z236" s="132"/>
      <c r="AA236" s="132"/>
    </row>
    <row r="237" spans="1:27" ht="20.10000000000000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>
        <v>42719</v>
      </c>
      <c r="G237" s="128">
        <f>90*4+68+90+90</f>
        <v>608</v>
      </c>
      <c r="H237" s="521">
        <f t="shared" si="90"/>
        <v>3058.2400000000002</v>
      </c>
      <c r="I237" s="129">
        <v>9</v>
      </c>
      <c r="J237" s="130">
        <f t="array" ref="J237">IF(ISERROR(G237/I237),"",G237/I237)</f>
        <v>67.555555555555557</v>
      </c>
      <c r="K237" s="131">
        <f t="array" ref="K237">IF(ISERROR(G237/L237),"",G237/L237)</f>
        <v>12.16</v>
      </c>
      <c r="L237" s="129">
        <v>50</v>
      </c>
      <c r="M237" s="109">
        <f t="shared" si="91"/>
        <v>-3.16</v>
      </c>
      <c r="N237" s="130"/>
      <c r="O237" s="512"/>
      <c r="P237" s="512"/>
      <c r="Q237" s="512"/>
      <c r="R237" s="512"/>
      <c r="S237" s="512"/>
      <c r="T237" s="512"/>
      <c r="U237" s="512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521">
        <f t="shared" si="90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4">IF(ISERROR(I238-K238),"",I238-K238)</f>
        <v>0</v>
      </c>
      <c r="N238" s="130"/>
      <c r="O238" s="512"/>
      <c r="P238" s="512"/>
      <c r="Q238" s="512"/>
      <c r="R238" s="512"/>
      <c r="S238" s="512"/>
      <c r="T238" s="512"/>
      <c r="U238" s="512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521">
        <f t="shared" si="90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4"/>
        <v>0</v>
      </c>
      <c r="N239" s="130">
        <f t="shared" ref="N239:N240" si="105">SUM(O239:U239)</f>
        <v>0</v>
      </c>
      <c r="O239" s="512"/>
      <c r="P239" s="512"/>
      <c r="Q239" s="512"/>
      <c r="R239" s="512"/>
      <c r="S239" s="512"/>
      <c r="T239" s="512"/>
      <c r="U239" s="512"/>
      <c r="V239" s="132">
        <f t="shared" ref="V239:V240" si="106">SUM(X239:AA239)</f>
        <v>0</v>
      </c>
      <c r="W239" s="133" t="str">
        <f t="shared" ref="W239:W240" si="107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521">
        <f t="shared" si="90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4"/>
        <v>0</v>
      </c>
      <c r="N240" s="130">
        <f t="shared" si="105"/>
        <v>0</v>
      </c>
      <c r="O240" s="512"/>
      <c r="P240" s="512"/>
      <c r="Q240" s="512"/>
      <c r="R240" s="512"/>
      <c r="S240" s="512"/>
      <c r="T240" s="512"/>
      <c r="U240" s="512"/>
      <c r="V240" s="132">
        <f t="shared" si="106"/>
        <v>0</v>
      </c>
      <c r="W240" s="133" t="str">
        <f t="shared" si="107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521">
        <f t="shared" si="90"/>
        <v>0</v>
      </c>
      <c r="I241" s="129"/>
      <c r="J241" s="130"/>
      <c r="K241" s="131"/>
      <c r="L241" s="129"/>
      <c r="M241" s="109">
        <f t="shared" si="104"/>
        <v>0</v>
      </c>
      <c r="N241" s="130"/>
      <c r="O241" s="512"/>
      <c r="P241" s="512"/>
      <c r="Q241" s="512"/>
      <c r="R241" s="512"/>
      <c r="S241" s="512"/>
      <c r="T241" s="512"/>
      <c r="U241" s="512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521">
        <f t="shared" si="90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4"/>
        <v/>
      </c>
      <c r="N242" s="130">
        <f t="shared" ref="N242:N245" si="108">SUM(O242:U242)</f>
        <v>0</v>
      </c>
      <c r="O242" s="512"/>
      <c r="P242" s="512"/>
      <c r="Q242" s="512"/>
      <c r="R242" s="512"/>
      <c r="S242" s="512"/>
      <c r="T242" s="512"/>
      <c r="U242" s="512"/>
      <c r="V242" s="132">
        <f t="shared" ref="V242:V245" si="109">SUM(X242:AA242)</f>
        <v>0</v>
      </c>
      <c r="W242" s="133" t="str">
        <f t="shared" ref="W242:W245" si="110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521">
        <f t="shared" si="90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4"/>
        <v/>
      </c>
      <c r="N243" s="130">
        <f t="shared" si="108"/>
        <v>0</v>
      </c>
      <c r="O243" s="512"/>
      <c r="P243" s="512"/>
      <c r="Q243" s="512"/>
      <c r="R243" s="512"/>
      <c r="S243" s="512"/>
      <c r="T243" s="512"/>
      <c r="U243" s="512"/>
      <c r="V243" s="132">
        <f t="shared" si="109"/>
        <v>0</v>
      </c>
      <c r="W243" s="133" t="str">
        <f t="shared" si="110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521">
        <f t="shared" si="90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4"/>
        <v/>
      </c>
      <c r="N244" s="130">
        <f t="shared" si="108"/>
        <v>0</v>
      </c>
      <c r="O244" s="512"/>
      <c r="P244" s="512"/>
      <c r="Q244" s="512"/>
      <c r="R244" s="512"/>
      <c r="S244" s="512"/>
      <c r="T244" s="512"/>
      <c r="U244" s="512"/>
      <c r="V244" s="132">
        <f t="shared" si="109"/>
        <v>0</v>
      </c>
      <c r="W244" s="133" t="str">
        <f t="shared" si="110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521">
        <f t="shared" si="90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4"/>
        <v/>
      </c>
      <c r="N245" s="130">
        <f t="shared" si="108"/>
        <v>0</v>
      </c>
      <c r="O245" s="512"/>
      <c r="P245" s="512"/>
      <c r="Q245" s="512"/>
      <c r="R245" s="512"/>
      <c r="S245" s="512"/>
      <c r="T245" s="512"/>
      <c r="U245" s="512"/>
      <c r="V245" s="132">
        <f t="shared" si="109"/>
        <v>0</v>
      </c>
      <c r="W245" s="133" t="str">
        <f t="shared" si="110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521">
        <f t="shared" si="90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4"/>
        <v>0</v>
      </c>
      <c r="N246" s="130"/>
      <c r="O246" s="512"/>
      <c r="P246" s="512"/>
      <c r="Q246" s="512"/>
      <c r="R246" s="512"/>
      <c r="S246" s="512"/>
      <c r="T246" s="512"/>
      <c r="U246" s="512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521">
        <f t="shared" si="90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4"/>
        <v>0</v>
      </c>
      <c r="N247" s="130"/>
      <c r="O247" s="512"/>
      <c r="P247" s="512"/>
      <c r="Q247" s="512"/>
      <c r="R247" s="512"/>
      <c r="S247" s="512"/>
      <c r="T247" s="512"/>
      <c r="U247" s="512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521">
        <f t="shared" si="90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4"/>
        <v>0</v>
      </c>
      <c r="N248" s="130"/>
      <c r="O248" s="512"/>
      <c r="P248" s="512"/>
      <c r="Q248" s="512"/>
      <c r="R248" s="512"/>
      <c r="S248" s="512"/>
      <c r="T248" s="512"/>
      <c r="U248" s="512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521">
        <f t="shared" si="90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4"/>
        <v>0</v>
      </c>
      <c r="N249" s="130"/>
      <c r="O249" s="512"/>
      <c r="P249" s="512"/>
      <c r="Q249" s="512"/>
      <c r="R249" s="512"/>
      <c r="S249" s="512"/>
      <c r="T249" s="512"/>
      <c r="U249" s="512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521">
        <f t="shared" si="90"/>
        <v>0</v>
      </c>
      <c r="I250" s="129"/>
      <c r="J250" s="130"/>
      <c r="K250" s="131"/>
      <c r="L250" s="129">
        <v>4</v>
      </c>
      <c r="M250" s="109"/>
      <c r="N250" s="130"/>
      <c r="O250" s="512"/>
      <c r="P250" s="512"/>
      <c r="Q250" s="512"/>
      <c r="R250" s="512"/>
      <c r="S250" s="512"/>
      <c r="T250" s="512"/>
      <c r="U250" s="512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521">
        <f t="shared" si="90"/>
        <v>0</v>
      </c>
      <c r="I251" s="129"/>
      <c r="J251" s="130"/>
      <c r="K251" s="131"/>
      <c r="L251" s="129">
        <v>4</v>
      </c>
      <c r="M251" s="109"/>
      <c r="N251" s="130"/>
      <c r="O251" s="512"/>
      <c r="P251" s="512"/>
      <c r="Q251" s="512"/>
      <c r="R251" s="512"/>
      <c r="S251" s="512"/>
      <c r="T251" s="512"/>
      <c r="U251" s="512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521">
        <f t="shared" si="90"/>
        <v>0</v>
      </c>
      <c r="I252" s="129"/>
      <c r="J252" s="130"/>
      <c r="K252" s="131"/>
      <c r="L252" s="129">
        <v>4</v>
      </c>
      <c r="M252" s="109"/>
      <c r="N252" s="130"/>
      <c r="O252" s="512"/>
      <c r="P252" s="512"/>
      <c r="Q252" s="512"/>
      <c r="R252" s="512"/>
      <c r="S252" s="512"/>
      <c r="T252" s="512"/>
      <c r="U252" s="512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521">
        <f t="shared" si="90"/>
        <v>0</v>
      </c>
      <c r="I253" s="129"/>
      <c r="J253" s="130"/>
      <c r="K253" s="131"/>
      <c r="L253" s="129">
        <v>4</v>
      </c>
      <c r="M253" s="109"/>
      <c r="N253" s="130"/>
      <c r="O253" s="512"/>
      <c r="P253" s="512"/>
      <c r="Q253" s="512"/>
      <c r="R253" s="512"/>
      <c r="S253" s="512"/>
      <c r="T253" s="512"/>
      <c r="U253" s="512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521">
        <f t="shared" si="90"/>
        <v>0</v>
      </c>
      <c r="I254" s="129"/>
      <c r="J254" s="130"/>
      <c r="K254" s="131"/>
      <c r="L254" s="129">
        <v>4</v>
      </c>
      <c r="M254" s="109"/>
      <c r="N254" s="130"/>
      <c r="O254" s="512"/>
      <c r="P254" s="512"/>
      <c r="Q254" s="512"/>
      <c r="R254" s="512"/>
      <c r="S254" s="512"/>
      <c r="T254" s="512"/>
      <c r="U254" s="512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521">
        <f t="shared" si="90"/>
        <v>0</v>
      </c>
      <c r="I255" s="129"/>
      <c r="J255" s="130"/>
      <c r="K255" s="131"/>
      <c r="L255" s="129">
        <v>4</v>
      </c>
      <c r="M255" s="109"/>
      <c r="N255" s="130"/>
      <c r="O255" s="512"/>
      <c r="P255" s="512"/>
      <c r="Q255" s="512"/>
      <c r="R255" s="512"/>
      <c r="S255" s="512"/>
      <c r="T255" s="512"/>
      <c r="U255" s="512"/>
      <c r="V255" s="132"/>
      <c r="W255" s="133"/>
      <c r="X255" s="132"/>
      <c r="Y255" s="132"/>
      <c r="Z255" s="132"/>
      <c r="AA255" s="132"/>
    </row>
    <row r="256" spans="1:27" ht="20.100000000000001" customHeight="1">
      <c r="A256" s="641" t="s">
        <v>216</v>
      </c>
      <c r="B256" s="641"/>
      <c r="C256" s="519" t="s">
        <v>202</v>
      </c>
      <c r="D256" s="143"/>
      <c r="E256" s="143"/>
      <c r="F256" s="144"/>
      <c r="G256" s="145">
        <f>SUM(G199:G255)</f>
        <v>1687</v>
      </c>
      <c r="H256" s="146">
        <f>SUM(H199:H255)</f>
        <v>8485.61</v>
      </c>
      <c r="I256" s="146">
        <f>SUM(I199:I255)</f>
        <v>23</v>
      </c>
      <c r="J256" s="130">
        <f t="array" ref="J256">IF(ISERROR(G256/I256),"",G256/I256)</f>
        <v>73.347826086956516</v>
      </c>
      <c r="K256" s="146">
        <f>SUM(K199:K255)</f>
        <v>33.00615384615385</v>
      </c>
      <c r="L256" s="147"/>
      <c r="M256" s="150">
        <f t="shared" ref="M256:V256" si="111">SUM(M199:M255)</f>
        <v>-10.006153846153847</v>
      </c>
      <c r="N256" s="146">
        <f t="shared" si="111"/>
        <v>0</v>
      </c>
      <c r="O256" s="148">
        <f t="shared" si="111"/>
        <v>0</v>
      </c>
      <c r="P256" s="148">
        <f t="shared" si="111"/>
        <v>0</v>
      </c>
      <c r="Q256" s="148">
        <f t="shared" si="111"/>
        <v>0</v>
      </c>
      <c r="R256" s="148">
        <f t="shared" si="111"/>
        <v>0</v>
      </c>
      <c r="S256" s="148">
        <f t="shared" si="111"/>
        <v>0</v>
      </c>
      <c r="T256" s="148">
        <f t="shared" si="111"/>
        <v>0</v>
      </c>
      <c r="U256" s="148">
        <f t="shared" si="111"/>
        <v>0</v>
      </c>
      <c r="V256" s="149">
        <f t="shared" si="111"/>
        <v>0</v>
      </c>
      <c r="W256" s="133">
        <f t="shared" ref="W256:W263" si="112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513" t="s">
        <v>217</v>
      </c>
      <c r="C257" s="126" t="s">
        <v>179</v>
      </c>
      <c r="D257" s="108">
        <v>5.03</v>
      </c>
      <c r="E257" s="108"/>
      <c r="F257" s="127"/>
      <c r="G257" s="128"/>
      <c r="H257" s="521">
        <f t="shared" ref="H257:H290" si="113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4">IF(ISERROR(I257-K257),"",I257-K257)</f>
        <v>0</v>
      </c>
      <c r="N257" s="130">
        <f t="shared" ref="N257:N264" si="115">SUM(O257:U257)</f>
        <v>0</v>
      </c>
      <c r="O257" s="512"/>
      <c r="P257" s="512"/>
      <c r="Q257" s="512"/>
      <c r="R257" s="512"/>
      <c r="S257" s="512"/>
      <c r="T257" s="512"/>
      <c r="U257" s="512"/>
      <c r="V257" s="132">
        <f t="shared" ref="V257:V263" si="116">SUM(X257:AA257)</f>
        <v>0</v>
      </c>
      <c r="W257" s="133" t="str">
        <f t="shared" si="112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513" t="s">
        <v>217</v>
      </c>
      <c r="C258" s="126" t="s">
        <v>186</v>
      </c>
      <c r="D258" s="108">
        <v>5.03</v>
      </c>
      <c r="E258" s="108"/>
      <c r="F258" s="127"/>
      <c r="G258" s="128"/>
      <c r="H258" s="521">
        <f t="shared" si="113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4"/>
        <v>0</v>
      </c>
      <c r="N258" s="130">
        <f t="shared" si="115"/>
        <v>0</v>
      </c>
      <c r="O258" s="512"/>
      <c r="P258" s="512"/>
      <c r="Q258" s="512"/>
      <c r="R258" s="512"/>
      <c r="S258" s="512"/>
      <c r="T258" s="512"/>
      <c r="U258" s="512"/>
      <c r="V258" s="132">
        <f t="shared" si="116"/>
        <v>0</v>
      </c>
      <c r="W258" s="133" t="str">
        <f t="shared" si="112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513" t="s">
        <v>217</v>
      </c>
      <c r="C259" s="126" t="s">
        <v>204</v>
      </c>
      <c r="D259" s="108">
        <v>5.03</v>
      </c>
      <c r="E259" s="108"/>
      <c r="F259" s="127"/>
      <c r="G259" s="128"/>
      <c r="H259" s="521">
        <f t="shared" si="113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4"/>
        <v>0</v>
      </c>
      <c r="N259" s="130">
        <f t="shared" si="115"/>
        <v>0</v>
      </c>
      <c r="O259" s="512"/>
      <c r="P259" s="512"/>
      <c r="Q259" s="512"/>
      <c r="R259" s="512"/>
      <c r="S259" s="512"/>
      <c r="T259" s="512"/>
      <c r="U259" s="512"/>
      <c r="V259" s="132">
        <f t="shared" si="116"/>
        <v>0</v>
      </c>
      <c r="W259" s="133" t="str">
        <f t="shared" si="112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521">
        <f t="shared" si="113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4"/>
        <v>0</v>
      </c>
      <c r="N260" s="130">
        <f t="shared" si="115"/>
        <v>0</v>
      </c>
      <c r="O260" s="512"/>
      <c r="P260" s="512"/>
      <c r="Q260" s="512"/>
      <c r="R260" s="512"/>
      <c r="S260" s="512"/>
      <c r="T260" s="512"/>
      <c r="U260" s="512"/>
      <c r="V260" s="132">
        <f t="shared" si="116"/>
        <v>0</v>
      </c>
      <c r="W260" s="133" t="str">
        <f t="shared" si="112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521">
        <f t="shared" si="113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4"/>
        <v>0</v>
      </c>
      <c r="N261" s="130">
        <f t="shared" si="115"/>
        <v>0</v>
      </c>
      <c r="O261" s="512"/>
      <c r="P261" s="512"/>
      <c r="Q261" s="512"/>
      <c r="R261" s="512"/>
      <c r="S261" s="512"/>
      <c r="T261" s="512"/>
      <c r="U261" s="512"/>
      <c r="V261" s="132">
        <f t="shared" si="116"/>
        <v>0</v>
      </c>
      <c r="W261" s="133" t="str">
        <f t="shared" si="112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521">
        <f t="shared" si="113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4"/>
        <v>0</v>
      </c>
      <c r="N262" s="130">
        <f t="shared" si="115"/>
        <v>0</v>
      </c>
      <c r="O262" s="512"/>
      <c r="P262" s="512"/>
      <c r="Q262" s="512"/>
      <c r="R262" s="512"/>
      <c r="S262" s="512"/>
      <c r="T262" s="512"/>
      <c r="U262" s="512"/>
      <c r="V262" s="132">
        <f t="shared" si="116"/>
        <v>0</v>
      </c>
      <c r="W262" s="133" t="str">
        <f t="shared" si="112"/>
        <v/>
      </c>
      <c r="X262" s="132"/>
      <c r="Y262" s="132"/>
      <c r="Z262" s="132"/>
      <c r="AA262" s="132"/>
    </row>
    <row r="263" spans="1:27" ht="20.10000000000000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>
        <v>42720</v>
      </c>
      <c r="G263" s="128">
        <f>108+28</f>
        <v>136</v>
      </c>
      <c r="H263" s="521">
        <f t="shared" si="113"/>
        <v>684.08</v>
      </c>
      <c r="I263" s="129">
        <f>11.5*2</f>
        <v>23</v>
      </c>
      <c r="J263" s="130">
        <f t="array" ref="J263">IF(ISERROR(G263/I263),"",G263/I263)</f>
        <v>5.9130434782608692</v>
      </c>
      <c r="K263" s="131">
        <f t="array" ref="K263">IF(ISERROR(G263/L263),"",G263/L263)</f>
        <v>14.623655913978494</v>
      </c>
      <c r="L263" s="129">
        <v>9.3000000000000007</v>
      </c>
      <c r="M263" s="109">
        <f t="shared" si="114"/>
        <v>8.3763440860215059</v>
      </c>
      <c r="N263" s="130">
        <f t="shared" si="115"/>
        <v>0</v>
      </c>
      <c r="O263" s="512"/>
      <c r="P263" s="512"/>
      <c r="Q263" s="512"/>
      <c r="R263" s="512"/>
      <c r="S263" s="512"/>
      <c r="T263" s="512"/>
      <c r="U263" s="512"/>
      <c r="V263" s="132">
        <f t="shared" si="116"/>
        <v>0</v>
      </c>
      <c r="W263" s="133">
        <f t="shared" si="112"/>
        <v>0</v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521">
        <f t="shared" si="113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4"/>
        <v>0</v>
      </c>
      <c r="N264" s="130">
        <f t="shared" si="115"/>
        <v>0</v>
      </c>
      <c r="O264" s="512"/>
      <c r="P264" s="512"/>
      <c r="Q264" s="512"/>
      <c r="R264" s="512"/>
      <c r="S264" s="512"/>
      <c r="T264" s="512"/>
      <c r="U264" s="512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521">
        <f t="shared" si="113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512"/>
      <c r="P265" s="512"/>
      <c r="Q265" s="512"/>
      <c r="R265" s="512"/>
      <c r="S265" s="512"/>
      <c r="T265" s="512"/>
      <c r="U265" s="512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521">
        <f t="shared" si="113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512"/>
      <c r="P266" s="512"/>
      <c r="Q266" s="512"/>
      <c r="R266" s="512"/>
      <c r="S266" s="512"/>
      <c r="T266" s="512"/>
      <c r="U266" s="512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521">
        <f t="shared" si="113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512"/>
      <c r="P267" s="512"/>
      <c r="Q267" s="512"/>
      <c r="R267" s="512"/>
      <c r="S267" s="512"/>
      <c r="T267" s="512"/>
      <c r="U267" s="512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521">
        <f t="shared" si="113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512"/>
      <c r="P268" s="512"/>
      <c r="Q268" s="512"/>
      <c r="R268" s="512"/>
      <c r="S268" s="512"/>
      <c r="T268" s="512"/>
      <c r="U268" s="512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521">
        <f t="shared" si="113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17">IF(ISERROR(I269-K269),"",I269-K269)</f>
        <v>0</v>
      </c>
      <c r="N269" s="130">
        <f t="shared" ref="N269:N284" si="118">SUM(O269:U269)</f>
        <v>0</v>
      </c>
      <c r="O269" s="512"/>
      <c r="P269" s="512"/>
      <c r="Q269" s="512"/>
      <c r="R269" s="512"/>
      <c r="S269" s="512"/>
      <c r="T269" s="512"/>
      <c r="U269" s="512"/>
      <c r="V269" s="132">
        <f t="shared" ref="V269:V272" si="119">SUM(X269:AA269)</f>
        <v>0</v>
      </c>
      <c r="W269" s="133" t="str">
        <f t="shared" ref="W269:W276" si="120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521">
        <f t="shared" si="113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17"/>
        <v/>
      </c>
      <c r="N270" s="130">
        <f t="shared" si="118"/>
        <v>0</v>
      </c>
      <c r="O270" s="512"/>
      <c r="P270" s="512"/>
      <c r="Q270" s="512"/>
      <c r="R270" s="512"/>
      <c r="S270" s="512"/>
      <c r="T270" s="512"/>
      <c r="U270" s="512"/>
      <c r="V270" s="132">
        <f t="shared" si="119"/>
        <v>0</v>
      </c>
      <c r="W270" s="133" t="str">
        <f t="shared" si="120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521">
        <f t="shared" si="113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17"/>
        <v/>
      </c>
      <c r="N271" s="130">
        <f t="shared" si="118"/>
        <v>0</v>
      </c>
      <c r="O271" s="512"/>
      <c r="P271" s="512"/>
      <c r="Q271" s="512"/>
      <c r="R271" s="512"/>
      <c r="S271" s="512"/>
      <c r="T271" s="512"/>
      <c r="U271" s="512"/>
      <c r="V271" s="132">
        <f t="shared" si="119"/>
        <v>0</v>
      </c>
      <c r="W271" s="133" t="str">
        <f t="shared" si="120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521">
        <f t="shared" si="113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17"/>
        <v/>
      </c>
      <c r="N272" s="130">
        <f t="shared" si="118"/>
        <v>0</v>
      </c>
      <c r="O272" s="512"/>
      <c r="P272" s="512"/>
      <c r="Q272" s="512"/>
      <c r="R272" s="512"/>
      <c r="S272" s="512"/>
      <c r="T272" s="512"/>
      <c r="U272" s="512"/>
      <c r="V272" s="132">
        <f t="shared" si="119"/>
        <v>0</v>
      </c>
      <c r="W272" s="133" t="str">
        <f t="shared" si="120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513" t="s">
        <v>222</v>
      </c>
      <c r="C273" s="126" t="s">
        <v>181</v>
      </c>
      <c r="D273" s="108">
        <v>9.36</v>
      </c>
      <c r="E273" s="108"/>
      <c r="F273" s="127"/>
      <c r="G273" s="128"/>
      <c r="H273" s="521">
        <f t="shared" si="113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17"/>
        <v>0</v>
      </c>
      <c r="N273" s="130">
        <f t="shared" si="118"/>
        <v>0</v>
      </c>
      <c r="O273" s="512"/>
      <c r="P273" s="512"/>
      <c r="Q273" s="512"/>
      <c r="R273" s="512"/>
      <c r="S273" s="512"/>
      <c r="T273" s="512"/>
      <c r="U273" s="512"/>
      <c r="V273" s="132">
        <f t="shared" ref="V273:V276" si="121">SUM(X273:AA273)</f>
        <v>0</v>
      </c>
      <c r="W273" s="133" t="str">
        <f t="shared" si="120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513" t="s">
        <v>222</v>
      </c>
      <c r="C274" s="126" t="s">
        <v>179</v>
      </c>
      <c r="D274" s="108">
        <v>9.36</v>
      </c>
      <c r="E274" s="108"/>
      <c r="F274" s="127"/>
      <c r="G274" s="128"/>
      <c r="H274" s="521">
        <f t="shared" si="113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17"/>
        <v>0</v>
      </c>
      <c r="N274" s="130">
        <f t="shared" si="118"/>
        <v>0</v>
      </c>
      <c r="O274" s="512"/>
      <c r="P274" s="512"/>
      <c r="Q274" s="512"/>
      <c r="R274" s="512"/>
      <c r="S274" s="512"/>
      <c r="T274" s="512"/>
      <c r="U274" s="512"/>
      <c r="V274" s="132">
        <f t="shared" si="121"/>
        <v>0</v>
      </c>
      <c r="W274" s="133" t="str">
        <f t="shared" si="120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513" t="s">
        <v>222</v>
      </c>
      <c r="C275" s="126" t="s">
        <v>221</v>
      </c>
      <c r="D275" s="108">
        <v>9.36</v>
      </c>
      <c r="E275" s="108"/>
      <c r="F275" s="127"/>
      <c r="G275" s="128"/>
      <c r="H275" s="521">
        <f t="shared" si="113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17"/>
        <v>0</v>
      </c>
      <c r="N275" s="130">
        <f t="shared" si="118"/>
        <v>0</v>
      </c>
      <c r="O275" s="512"/>
      <c r="P275" s="512"/>
      <c r="Q275" s="512"/>
      <c r="R275" s="512"/>
      <c r="S275" s="512"/>
      <c r="T275" s="512"/>
      <c r="U275" s="512"/>
      <c r="V275" s="132">
        <f t="shared" si="121"/>
        <v>0</v>
      </c>
      <c r="W275" s="133" t="str">
        <f t="shared" si="120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513" t="s">
        <v>222</v>
      </c>
      <c r="C276" s="126" t="s">
        <v>186</v>
      </c>
      <c r="D276" s="108">
        <v>9.36</v>
      </c>
      <c r="E276" s="108"/>
      <c r="F276" s="127"/>
      <c r="G276" s="128"/>
      <c r="H276" s="521">
        <f t="shared" si="113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17"/>
        <v>0</v>
      </c>
      <c r="N276" s="130">
        <f t="shared" si="118"/>
        <v>0</v>
      </c>
      <c r="O276" s="512"/>
      <c r="P276" s="512"/>
      <c r="Q276" s="512"/>
      <c r="R276" s="512"/>
      <c r="S276" s="512"/>
      <c r="T276" s="512"/>
      <c r="U276" s="512"/>
      <c r="V276" s="132">
        <f t="shared" si="121"/>
        <v>0</v>
      </c>
      <c r="W276" s="133" t="str">
        <f t="shared" si="120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513" t="s">
        <v>393</v>
      </c>
      <c r="C277" s="187" t="s">
        <v>395</v>
      </c>
      <c r="D277" s="108">
        <v>5</v>
      </c>
      <c r="E277" s="108"/>
      <c r="F277" s="127"/>
      <c r="G277" s="128"/>
      <c r="H277" s="521">
        <f t="shared" si="113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17"/>
        <v>0</v>
      </c>
      <c r="N277" s="130">
        <f t="shared" si="118"/>
        <v>0</v>
      </c>
      <c r="O277" s="512"/>
      <c r="P277" s="512"/>
      <c r="Q277" s="512"/>
      <c r="R277" s="512"/>
      <c r="S277" s="512"/>
      <c r="T277" s="512"/>
      <c r="U277" s="512"/>
      <c r="V277" s="132"/>
      <c r="W277" s="133"/>
      <c r="X277" s="132"/>
      <c r="Y277" s="132"/>
      <c r="Z277" s="132"/>
      <c r="AA277" s="132"/>
    </row>
    <row r="278" spans="1:27" ht="20.100000000000001" customHeight="1">
      <c r="A278" s="299">
        <v>30400028</v>
      </c>
      <c r="B278" s="513" t="s">
        <v>393</v>
      </c>
      <c r="C278" s="187" t="s">
        <v>402</v>
      </c>
      <c r="D278" s="108">
        <v>5</v>
      </c>
      <c r="E278" s="108"/>
      <c r="F278" s="127">
        <v>42716</v>
      </c>
      <c r="G278" s="128">
        <v>71</v>
      </c>
      <c r="H278" s="521">
        <f t="shared" si="113"/>
        <v>355</v>
      </c>
      <c r="I278" s="129">
        <f>1.5*3+6</f>
        <v>10.5</v>
      </c>
      <c r="J278" s="130">
        <f t="array" ref="J278">IF(ISERROR(G278/I278),"",G278/I278)</f>
        <v>6.7619047619047619</v>
      </c>
      <c r="K278" s="131">
        <f t="array" ref="K278">IF(ISERROR(G278/L278),"",G278/L278)</f>
        <v>14.2</v>
      </c>
      <c r="L278" s="129">
        <v>5</v>
      </c>
      <c r="M278" s="109">
        <f t="shared" si="117"/>
        <v>-3.6999999999999993</v>
      </c>
      <c r="N278" s="130">
        <f t="shared" si="118"/>
        <v>0</v>
      </c>
      <c r="O278" s="512"/>
      <c r="P278" s="512"/>
      <c r="Q278" s="512"/>
      <c r="R278" s="512"/>
      <c r="S278" s="512"/>
      <c r="T278" s="512"/>
      <c r="U278" s="512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513" t="s">
        <v>404</v>
      </c>
      <c r="C279" s="187" t="s">
        <v>405</v>
      </c>
      <c r="D279" s="108">
        <v>5</v>
      </c>
      <c r="E279" s="108"/>
      <c r="F279" s="127"/>
      <c r="G279" s="128"/>
      <c r="H279" s="521">
        <f t="shared" si="113"/>
        <v>0</v>
      </c>
      <c r="I279" s="129"/>
      <c r="J279" s="130" t="str">
        <f t="array" ref="J279">IF(ISERROR(G279/I279),"",G279/I279)</f>
        <v/>
      </c>
      <c r="K279" s="131">
        <f t="array" ref="K279">IF(ISERROR(G279/L279),"",G279/L279)</f>
        <v>0</v>
      </c>
      <c r="L279" s="129">
        <v>5</v>
      </c>
      <c r="M279" s="109">
        <f t="shared" si="117"/>
        <v>0</v>
      </c>
      <c r="N279" s="130">
        <f t="shared" si="118"/>
        <v>0</v>
      </c>
      <c r="O279" s="512"/>
      <c r="P279" s="512"/>
      <c r="Q279" s="512"/>
      <c r="R279" s="512"/>
      <c r="S279" s="512"/>
      <c r="T279" s="512"/>
      <c r="U279" s="512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513" t="s">
        <v>342</v>
      </c>
      <c r="C280" s="187" t="s">
        <v>372</v>
      </c>
      <c r="D280" s="108">
        <v>5</v>
      </c>
      <c r="E280" s="108"/>
      <c r="F280" s="127"/>
      <c r="G280" s="128"/>
      <c r="H280" s="521">
        <f t="shared" si="113"/>
        <v>0</v>
      </c>
      <c r="I280" s="129"/>
      <c r="J280" s="130" t="str">
        <f t="array" ref="J280">IF(ISERROR(G280/I280),"",G280/I280)</f>
        <v/>
      </c>
      <c r="K280" s="131">
        <f t="array" ref="K280">IF(ISERROR(G280/L280),"",G280/L280)</f>
        <v>0</v>
      </c>
      <c r="L280" s="129">
        <v>5</v>
      </c>
      <c r="M280" s="109">
        <f t="shared" si="117"/>
        <v>0</v>
      </c>
      <c r="N280" s="130">
        <f t="shared" si="118"/>
        <v>0</v>
      </c>
      <c r="O280" s="512"/>
      <c r="P280" s="512"/>
      <c r="Q280" s="512"/>
      <c r="R280" s="512"/>
      <c r="S280" s="512"/>
      <c r="T280" s="512"/>
      <c r="U280" s="512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513" t="s">
        <v>343</v>
      </c>
      <c r="C281" s="126" t="s">
        <v>345</v>
      </c>
      <c r="D281" s="108">
        <v>5</v>
      </c>
      <c r="E281" s="108"/>
      <c r="F281" s="127"/>
      <c r="G281" s="128"/>
      <c r="H281" s="521">
        <f t="shared" si="113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5</v>
      </c>
      <c r="M281" s="109">
        <f t="shared" si="117"/>
        <v>0</v>
      </c>
      <c r="N281" s="130">
        <f t="shared" si="118"/>
        <v>0</v>
      </c>
      <c r="O281" s="512"/>
      <c r="P281" s="512"/>
      <c r="Q281" s="512"/>
      <c r="R281" s="512"/>
      <c r="S281" s="512"/>
      <c r="T281" s="512"/>
      <c r="U281" s="512"/>
      <c r="V281" s="132"/>
      <c r="W281" s="133"/>
      <c r="X281" s="132"/>
      <c r="Y281" s="132"/>
      <c r="Z281" s="132"/>
      <c r="AA281" s="132"/>
    </row>
    <row r="282" spans="1:27" ht="20.100000000000001" customHeight="1">
      <c r="A282" s="299">
        <v>30600010</v>
      </c>
      <c r="B282" s="513" t="s">
        <v>343</v>
      </c>
      <c r="C282" s="126" t="s">
        <v>347</v>
      </c>
      <c r="D282" s="108">
        <v>5</v>
      </c>
      <c r="E282" s="108"/>
      <c r="F282" s="127">
        <v>42717</v>
      </c>
      <c r="G282" s="128">
        <v>32</v>
      </c>
      <c r="H282" s="521">
        <f t="shared" si="113"/>
        <v>160</v>
      </c>
      <c r="I282" s="129">
        <f>7.5*4</f>
        <v>30</v>
      </c>
      <c r="J282" s="130">
        <f t="array" ref="J282">IF(ISERROR(G282/I282),"",G282/I282)</f>
        <v>1.0666666666666667</v>
      </c>
      <c r="K282" s="131">
        <f t="array" ref="K282">IF(ISERROR(G282/L282),"",G282/L282)</f>
        <v>6.4</v>
      </c>
      <c r="L282" s="129">
        <v>5</v>
      </c>
      <c r="M282" s="109">
        <f t="shared" si="117"/>
        <v>23.6</v>
      </c>
      <c r="N282" s="130">
        <f t="shared" si="118"/>
        <v>0</v>
      </c>
      <c r="O282" s="512"/>
      <c r="P282" s="512"/>
      <c r="Q282" s="512"/>
      <c r="R282" s="512"/>
      <c r="S282" s="512"/>
      <c r="T282" s="512"/>
      <c r="U282" s="512"/>
      <c r="V282" s="132"/>
      <c r="W282" s="133"/>
      <c r="X282" s="132"/>
      <c r="Y282" s="132"/>
      <c r="Z282" s="132"/>
      <c r="AA282" s="132"/>
    </row>
    <row r="283" spans="1:27" ht="20.10000000000000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>
        <v>42720</v>
      </c>
      <c r="G283" s="128">
        <f>42+100*2</f>
        <v>242</v>
      </c>
      <c r="H283" s="521">
        <f t="shared" si="113"/>
        <v>1224.52</v>
      </c>
      <c r="I283" s="129">
        <f>11.5*2</f>
        <v>23</v>
      </c>
      <c r="J283" s="130">
        <f t="array" ref="J283">IF(ISERROR(G283/I283),"",G283/I283)</f>
        <v>10.521739130434783</v>
      </c>
      <c r="K283" s="131">
        <f t="array" ref="K283">IF(ISERROR(G283/L283),"",G283/L283)</f>
        <v>15.612903225806452</v>
      </c>
      <c r="L283" s="129">
        <v>15.5</v>
      </c>
      <c r="M283" s="109">
        <f t="shared" si="117"/>
        <v>7.387096774193548</v>
      </c>
      <c r="N283" s="130">
        <f t="shared" si="118"/>
        <v>0</v>
      </c>
      <c r="O283" s="512"/>
      <c r="P283" s="512"/>
      <c r="Q283" s="512"/>
      <c r="R283" s="512"/>
      <c r="S283" s="512"/>
      <c r="T283" s="512"/>
      <c r="U283" s="512"/>
      <c r="V283" s="132">
        <f t="shared" ref="V283:V284" si="122">SUM(X283:AA283)</f>
        <v>0</v>
      </c>
      <c r="W283" s="133">
        <f t="shared" ref="W283:W284" si="123">IF(ISERROR(V283/G283),"",V283/G283)</f>
        <v>0</v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521">
        <f t="shared" si="113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17"/>
        <v>0</v>
      </c>
      <c r="N284" s="130">
        <f t="shared" si="118"/>
        <v>0</v>
      </c>
      <c r="O284" s="512"/>
      <c r="P284" s="512"/>
      <c r="Q284" s="512"/>
      <c r="R284" s="512"/>
      <c r="S284" s="512"/>
      <c r="T284" s="512"/>
      <c r="U284" s="512"/>
      <c r="V284" s="132">
        <f t="shared" si="122"/>
        <v>0</v>
      </c>
      <c r="W284" s="133" t="str">
        <f t="shared" si="123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/>
      <c r="G285" s="128"/>
      <c r="H285" s="521">
        <f t="shared" si="113"/>
        <v>0</v>
      </c>
      <c r="I285" s="129"/>
      <c r="J285" s="130"/>
      <c r="K285" s="131"/>
      <c r="L285" s="129">
        <v>24</v>
      </c>
      <c r="M285" s="109"/>
      <c r="N285" s="130"/>
      <c r="O285" s="512"/>
      <c r="P285" s="512"/>
      <c r="Q285" s="512"/>
      <c r="R285" s="512"/>
      <c r="S285" s="512"/>
      <c r="T285" s="512"/>
      <c r="U285" s="512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521">
        <f t="shared" si="113"/>
        <v>0</v>
      </c>
      <c r="I286" s="129"/>
      <c r="J286" s="130"/>
      <c r="K286" s="131"/>
      <c r="L286" s="129">
        <v>24</v>
      </c>
      <c r="M286" s="109"/>
      <c r="N286" s="130"/>
      <c r="O286" s="512"/>
      <c r="P286" s="512"/>
      <c r="Q286" s="512"/>
      <c r="R286" s="512"/>
      <c r="S286" s="512"/>
      <c r="T286" s="512"/>
      <c r="U286" s="512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521">
        <f t="shared" si="113"/>
        <v>0</v>
      </c>
      <c r="I287" s="129"/>
      <c r="J287" s="130"/>
      <c r="K287" s="131"/>
      <c r="L287" s="129">
        <v>24</v>
      </c>
      <c r="M287" s="109"/>
      <c r="N287" s="130"/>
      <c r="O287" s="512"/>
      <c r="P287" s="512"/>
      <c r="Q287" s="512"/>
      <c r="R287" s="512"/>
      <c r="S287" s="512"/>
      <c r="T287" s="512"/>
      <c r="U287" s="512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521">
        <f t="shared" si="113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4">IF(ISERROR(I288-K288),"",I288-K288)</f>
        <v>0</v>
      </c>
      <c r="N288" s="130">
        <f t="shared" ref="N288:N290" si="125">SUM(O288:U288)</f>
        <v>0</v>
      </c>
      <c r="O288" s="512"/>
      <c r="P288" s="512"/>
      <c r="Q288" s="512"/>
      <c r="R288" s="512"/>
      <c r="S288" s="512"/>
      <c r="T288" s="512"/>
      <c r="U288" s="512"/>
      <c r="V288" s="132">
        <f t="shared" ref="V288:V290" si="126">SUM(X288:AA288)</f>
        <v>0</v>
      </c>
      <c r="W288" s="133" t="str">
        <f t="shared" ref="W288:W312" si="127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521">
        <f t="shared" si="113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4"/>
        <v>0</v>
      </c>
      <c r="N289" s="130">
        <f t="shared" si="125"/>
        <v>0</v>
      </c>
      <c r="O289" s="512"/>
      <c r="P289" s="512"/>
      <c r="Q289" s="512"/>
      <c r="R289" s="512"/>
      <c r="S289" s="512"/>
      <c r="T289" s="512"/>
      <c r="U289" s="512"/>
      <c r="V289" s="132">
        <f t="shared" si="126"/>
        <v>0</v>
      </c>
      <c r="W289" s="133" t="str">
        <f t="shared" si="127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521">
        <f t="shared" si="113"/>
        <v>0</v>
      </c>
      <c r="I290" s="129"/>
      <c r="J290" s="130" t="str">
        <f t="array" ref="J290">IF(ISERROR(G290/I290),"",G290/I290)</f>
        <v/>
      </c>
      <c r="K290" s="521">
        <f t="array" ref="K290">IF(ISERROR(G290/L290),"",G290/L290)</f>
        <v>0</v>
      </c>
      <c r="L290" s="129">
        <v>9</v>
      </c>
      <c r="M290" s="109">
        <f t="shared" si="124"/>
        <v>0</v>
      </c>
      <c r="N290" s="130">
        <f t="shared" si="125"/>
        <v>0</v>
      </c>
      <c r="O290" s="512"/>
      <c r="P290" s="512"/>
      <c r="Q290" s="512"/>
      <c r="R290" s="512"/>
      <c r="S290" s="512"/>
      <c r="T290" s="512"/>
      <c r="U290" s="512"/>
      <c r="V290" s="132">
        <f t="shared" si="126"/>
        <v>0</v>
      </c>
      <c r="W290" s="133" t="str">
        <f t="shared" si="127"/>
        <v/>
      </c>
      <c r="X290" s="132"/>
      <c r="Y290" s="132"/>
      <c r="Z290" s="132"/>
      <c r="AA290" s="132"/>
    </row>
    <row r="291" spans="1:27" ht="20.100000000000001" customHeight="1">
      <c r="A291" s="630" t="s">
        <v>224</v>
      </c>
      <c r="B291" s="631"/>
      <c r="C291" s="519" t="s">
        <v>202</v>
      </c>
      <c r="D291" s="143"/>
      <c r="E291" s="143"/>
      <c r="F291" s="144"/>
      <c r="G291" s="145">
        <f>SUM(G257:G290)</f>
        <v>481</v>
      </c>
      <c r="H291" s="146">
        <f>SUM(H257:H290)</f>
        <v>2423.6</v>
      </c>
      <c r="I291" s="146">
        <f>SUM(I257:I290)</f>
        <v>86.5</v>
      </c>
      <c r="J291" s="130">
        <f t="array" ref="J291">IF(ISERROR(G291/I291),"",G291/I291)</f>
        <v>5.5606936416184976</v>
      </c>
      <c r="K291" s="146">
        <f>SUM(K257:K290)</f>
        <v>50.836559139784939</v>
      </c>
      <c r="L291" s="147"/>
      <c r="M291" s="150">
        <f t="shared" ref="M291:V291" si="128">SUM(M257:M290)</f>
        <v>35.663440860215061</v>
      </c>
      <c r="N291" s="146">
        <f t="shared" si="128"/>
        <v>0</v>
      </c>
      <c r="O291" s="148">
        <f t="shared" si="128"/>
        <v>0</v>
      </c>
      <c r="P291" s="148">
        <f t="shared" si="128"/>
        <v>0</v>
      </c>
      <c r="Q291" s="148">
        <f t="shared" si="128"/>
        <v>0</v>
      </c>
      <c r="R291" s="148">
        <f t="shared" si="128"/>
        <v>0</v>
      </c>
      <c r="S291" s="148">
        <f t="shared" si="128"/>
        <v>0</v>
      </c>
      <c r="T291" s="148">
        <f t="shared" si="128"/>
        <v>0</v>
      </c>
      <c r="U291" s="148">
        <f t="shared" si="128"/>
        <v>0</v>
      </c>
      <c r="V291" s="149">
        <f t="shared" si="128"/>
        <v>0</v>
      </c>
      <c r="W291" s="133">
        <f t="shared" si="127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521">
        <f t="shared" ref="H292:H306" si="129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0">IF(ISERROR(I292-K292),"",I292-K292)</f>
        <v>0</v>
      </c>
      <c r="N292" s="130">
        <f t="shared" ref="N292:N306" si="131">SUM(O292:U292)</f>
        <v>0</v>
      </c>
      <c r="O292" s="512"/>
      <c r="P292" s="512"/>
      <c r="Q292" s="512"/>
      <c r="R292" s="512"/>
      <c r="S292" s="512"/>
      <c r="T292" s="512"/>
      <c r="U292" s="512"/>
      <c r="V292" s="132">
        <f t="shared" ref="V292:V306" si="132">SUM(X292:AA292)</f>
        <v>0</v>
      </c>
      <c r="W292" s="133" t="str">
        <f t="shared" si="127"/>
        <v/>
      </c>
      <c r="X292" s="132"/>
      <c r="Y292" s="132"/>
      <c r="Z292" s="132"/>
      <c r="AA292" s="132"/>
    </row>
    <row r="293" spans="1:27" ht="20.10000000000000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>
        <v>42720</v>
      </c>
      <c r="G293" s="128">
        <f>90*4+73</f>
        <v>433</v>
      </c>
      <c r="H293" s="521">
        <f t="shared" si="129"/>
        <v>2177.9900000000002</v>
      </c>
      <c r="I293" s="129">
        <f>10*2</f>
        <v>20</v>
      </c>
      <c r="J293" s="130">
        <f t="array" ref="J293">IF(ISERROR(G293/I293),"",G293/I293)</f>
        <v>21.65</v>
      </c>
      <c r="K293" s="131">
        <f t="array" ref="K293">IF(ISERROR(G293/L293),"",G293/L293)</f>
        <v>17.32</v>
      </c>
      <c r="L293" s="129">
        <v>25</v>
      </c>
      <c r="M293" s="109">
        <f t="shared" si="130"/>
        <v>2.6799999999999997</v>
      </c>
      <c r="N293" s="130">
        <f t="shared" si="131"/>
        <v>0</v>
      </c>
      <c r="O293" s="512"/>
      <c r="P293" s="512"/>
      <c r="Q293" s="512"/>
      <c r="R293" s="512"/>
      <c r="S293" s="512"/>
      <c r="T293" s="512"/>
      <c r="U293" s="512"/>
      <c r="V293" s="132">
        <f t="shared" si="132"/>
        <v>0</v>
      </c>
      <c r="W293" s="133">
        <f t="shared" si="127"/>
        <v>0</v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521">
        <f t="shared" si="129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0"/>
        <v>0</v>
      </c>
      <c r="N294" s="130">
        <f t="shared" si="131"/>
        <v>0</v>
      </c>
      <c r="O294" s="512"/>
      <c r="P294" s="512"/>
      <c r="Q294" s="512"/>
      <c r="R294" s="512"/>
      <c r="S294" s="512"/>
      <c r="T294" s="512"/>
      <c r="U294" s="512"/>
      <c r="V294" s="132">
        <f t="shared" si="132"/>
        <v>0</v>
      </c>
      <c r="W294" s="133" t="str">
        <f t="shared" si="127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521">
        <f t="shared" si="129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0"/>
        <v>0</v>
      </c>
      <c r="N295" s="130">
        <f t="shared" si="131"/>
        <v>0</v>
      </c>
      <c r="O295" s="512"/>
      <c r="P295" s="512"/>
      <c r="Q295" s="512"/>
      <c r="R295" s="512"/>
      <c r="S295" s="512"/>
      <c r="T295" s="512"/>
      <c r="U295" s="512"/>
      <c r="V295" s="132">
        <f t="shared" si="132"/>
        <v>0</v>
      </c>
      <c r="W295" s="133" t="str">
        <f t="shared" si="127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517" t="s">
        <v>203</v>
      </c>
      <c r="D296" s="108">
        <v>5.03</v>
      </c>
      <c r="E296" s="108"/>
      <c r="F296" s="127"/>
      <c r="G296" s="128"/>
      <c r="H296" s="521">
        <f t="shared" si="129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0"/>
        <v>0</v>
      </c>
      <c r="N296" s="130">
        <f t="shared" si="131"/>
        <v>0</v>
      </c>
      <c r="O296" s="512"/>
      <c r="P296" s="512"/>
      <c r="Q296" s="512"/>
      <c r="R296" s="512"/>
      <c r="S296" s="512"/>
      <c r="T296" s="512"/>
      <c r="U296" s="512"/>
      <c r="V296" s="132">
        <f t="shared" si="132"/>
        <v>0</v>
      </c>
      <c r="W296" s="133" t="str">
        <f t="shared" si="127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521">
        <f t="shared" si="129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0"/>
        <v>0</v>
      </c>
      <c r="N297" s="130">
        <f t="shared" si="131"/>
        <v>0</v>
      </c>
      <c r="O297" s="512"/>
      <c r="P297" s="512"/>
      <c r="Q297" s="512"/>
      <c r="R297" s="512"/>
      <c r="S297" s="512"/>
      <c r="T297" s="512"/>
      <c r="U297" s="512"/>
      <c r="V297" s="132">
        <f t="shared" si="132"/>
        <v>0</v>
      </c>
      <c r="W297" s="133" t="str">
        <f t="shared" si="127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521">
        <f t="shared" si="129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0"/>
        <v>0</v>
      </c>
      <c r="N298" s="130">
        <f t="shared" si="131"/>
        <v>0</v>
      </c>
      <c r="O298" s="512"/>
      <c r="P298" s="512"/>
      <c r="Q298" s="512"/>
      <c r="R298" s="512"/>
      <c r="S298" s="512"/>
      <c r="T298" s="512"/>
      <c r="U298" s="512"/>
      <c r="V298" s="132">
        <f t="shared" si="132"/>
        <v>0</v>
      </c>
      <c r="W298" s="133" t="str">
        <f t="shared" si="127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517" t="s">
        <v>228</v>
      </c>
      <c r="D299" s="108">
        <v>5.03</v>
      </c>
      <c r="E299" s="108"/>
      <c r="F299" s="127"/>
      <c r="G299" s="128"/>
      <c r="H299" s="521">
        <f t="shared" si="129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0"/>
        <v>0</v>
      </c>
      <c r="N299" s="130">
        <f t="shared" si="131"/>
        <v>0</v>
      </c>
      <c r="O299" s="512"/>
      <c r="P299" s="512"/>
      <c r="Q299" s="512"/>
      <c r="R299" s="512"/>
      <c r="S299" s="512"/>
      <c r="T299" s="512"/>
      <c r="U299" s="512"/>
      <c r="V299" s="132">
        <f t="shared" si="132"/>
        <v>0</v>
      </c>
      <c r="W299" s="133" t="str">
        <f t="shared" si="127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517" t="s">
        <v>212</v>
      </c>
      <c r="D300" s="108">
        <v>5.03</v>
      </c>
      <c r="E300" s="108"/>
      <c r="F300" s="127"/>
      <c r="G300" s="128"/>
      <c r="H300" s="521">
        <f t="shared" si="129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0"/>
        <v/>
      </c>
      <c r="N300" s="130">
        <f t="shared" si="131"/>
        <v>0</v>
      </c>
      <c r="O300" s="512"/>
      <c r="P300" s="512"/>
      <c r="Q300" s="512"/>
      <c r="R300" s="512"/>
      <c r="S300" s="512"/>
      <c r="T300" s="512"/>
      <c r="U300" s="512"/>
      <c r="V300" s="132">
        <f t="shared" si="132"/>
        <v>0</v>
      </c>
      <c r="W300" s="133" t="str">
        <f t="shared" si="127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517" t="s">
        <v>203</v>
      </c>
      <c r="D301" s="108">
        <v>5.03</v>
      </c>
      <c r="E301" s="108"/>
      <c r="F301" s="127"/>
      <c r="G301" s="128"/>
      <c r="H301" s="521">
        <f t="shared" si="129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0"/>
        <v/>
      </c>
      <c r="N301" s="130">
        <f t="shared" si="131"/>
        <v>0</v>
      </c>
      <c r="O301" s="512"/>
      <c r="P301" s="512"/>
      <c r="Q301" s="512"/>
      <c r="R301" s="512"/>
      <c r="S301" s="512"/>
      <c r="T301" s="512"/>
      <c r="U301" s="512"/>
      <c r="V301" s="132">
        <f t="shared" si="132"/>
        <v>0</v>
      </c>
      <c r="W301" s="133" t="str">
        <f t="shared" si="127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517" t="s">
        <v>186</v>
      </c>
      <c r="D302" s="108">
        <v>5.03</v>
      </c>
      <c r="E302" s="108"/>
      <c r="F302" s="127"/>
      <c r="G302" s="128"/>
      <c r="H302" s="521">
        <f t="shared" si="129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0"/>
        <v/>
      </c>
      <c r="N302" s="130">
        <f t="shared" si="131"/>
        <v>0</v>
      </c>
      <c r="O302" s="512"/>
      <c r="P302" s="512"/>
      <c r="Q302" s="512"/>
      <c r="R302" s="512"/>
      <c r="S302" s="512"/>
      <c r="T302" s="512"/>
      <c r="U302" s="512"/>
      <c r="V302" s="132">
        <f t="shared" si="132"/>
        <v>0</v>
      </c>
      <c r="W302" s="133" t="str">
        <f t="shared" si="127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517" t="s">
        <v>228</v>
      </c>
      <c r="D303" s="108">
        <v>5.03</v>
      </c>
      <c r="E303" s="108"/>
      <c r="F303" s="127"/>
      <c r="G303" s="128"/>
      <c r="H303" s="521">
        <f t="shared" si="129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0"/>
        <v/>
      </c>
      <c r="N303" s="130">
        <f t="shared" si="131"/>
        <v>0</v>
      </c>
      <c r="O303" s="512"/>
      <c r="P303" s="512"/>
      <c r="Q303" s="512"/>
      <c r="R303" s="512"/>
      <c r="S303" s="512"/>
      <c r="T303" s="512"/>
      <c r="U303" s="512"/>
      <c r="V303" s="132">
        <f t="shared" si="132"/>
        <v>0</v>
      </c>
      <c r="W303" s="133" t="str">
        <f t="shared" si="127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517" t="s">
        <v>199</v>
      </c>
      <c r="D304" s="108">
        <v>5.03</v>
      </c>
      <c r="E304" s="108"/>
      <c r="F304" s="127"/>
      <c r="G304" s="128"/>
      <c r="H304" s="521">
        <f t="shared" si="129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0"/>
        <v/>
      </c>
      <c r="N304" s="130">
        <f t="shared" si="131"/>
        <v>0</v>
      </c>
      <c r="O304" s="512"/>
      <c r="P304" s="512"/>
      <c r="Q304" s="512"/>
      <c r="R304" s="512"/>
      <c r="S304" s="512"/>
      <c r="T304" s="512"/>
      <c r="U304" s="512"/>
      <c r="V304" s="132">
        <f t="shared" si="132"/>
        <v>0</v>
      </c>
      <c r="W304" s="133" t="str">
        <f t="shared" si="127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521">
        <f t="shared" si="129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0"/>
        <v>0</v>
      </c>
      <c r="N305" s="130">
        <f t="shared" si="131"/>
        <v>0</v>
      </c>
      <c r="O305" s="512"/>
      <c r="P305" s="512"/>
      <c r="Q305" s="512"/>
      <c r="R305" s="512"/>
      <c r="S305" s="512"/>
      <c r="T305" s="512"/>
      <c r="U305" s="512"/>
      <c r="V305" s="132">
        <f t="shared" si="132"/>
        <v>0</v>
      </c>
      <c r="W305" s="133" t="str">
        <f t="shared" si="127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521">
        <f t="shared" si="129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0"/>
        <v>0</v>
      </c>
      <c r="N306" s="130">
        <f t="shared" si="131"/>
        <v>0</v>
      </c>
      <c r="O306" s="512"/>
      <c r="P306" s="512"/>
      <c r="Q306" s="512"/>
      <c r="R306" s="512"/>
      <c r="S306" s="512"/>
      <c r="T306" s="512"/>
      <c r="U306" s="512"/>
      <c r="V306" s="132">
        <f t="shared" si="132"/>
        <v>0</v>
      </c>
      <c r="W306" s="133" t="str">
        <f t="shared" si="127"/>
        <v/>
      </c>
      <c r="X306" s="132"/>
      <c r="Y306" s="132"/>
      <c r="Z306" s="132"/>
      <c r="AA306" s="132"/>
    </row>
    <row r="307" spans="1:27" ht="20.100000000000001" customHeight="1">
      <c r="A307" s="630" t="s">
        <v>231</v>
      </c>
      <c r="B307" s="631"/>
      <c r="C307" s="519" t="s">
        <v>202</v>
      </c>
      <c r="D307" s="143"/>
      <c r="E307" s="143"/>
      <c r="F307" s="144"/>
      <c r="G307" s="145">
        <f>SUM(G292:G306)</f>
        <v>433</v>
      </c>
      <c r="H307" s="146">
        <f>SUM(H292:H306)</f>
        <v>2177.9900000000002</v>
      </c>
      <c r="I307" s="146">
        <f>SUM(I292:I306)</f>
        <v>20</v>
      </c>
      <c r="J307" s="130">
        <f t="array" ref="J307">IF(ISERROR(G307/I307),"",G307/I307)</f>
        <v>21.65</v>
      </c>
      <c r="K307" s="146">
        <f>SUM(K292:K306)</f>
        <v>17.32</v>
      </c>
      <c r="L307" s="146"/>
      <c r="M307" s="150">
        <f>SUM(M292:M306)</f>
        <v>2.6799999999999997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>
        <f t="shared" si="127"/>
        <v>0</v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521">
        <f t="shared" ref="H308:H316" si="133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4">IF(ISERROR(I308-K308),"",I308-K308)</f>
        <v>0</v>
      </c>
      <c r="N308" s="130">
        <f t="shared" ref="N308:N312" si="135">SUM(O308:U308)</f>
        <v>0</v>
      </c>
      <c r="O308" s="512"/>
      <c r="P308" s="512"/>
      <c r="Q308" s="512"/>
      <c r="R308" s="512"/>
      <c r="S308" s="512"/>
      <c r="T308" s="512"/>
      <c r="U308" s="512"/>
      <c r="V308" s="132">
        <f t="shared" ref="V308:V312" si="136">SUM(X308:AA308)</f>
        <v>0</v>
      </c>
      <c r="W308" s="133" t="str">
        <f t="shared" si="127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521">
        <f t="shared" si="133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4"/>
        <v>0</v>
      </c>
      <c r="N309" s="130">
        <f t="shared" si="135"/>
        <v>0</v>
      </c>
      <c r="O309" s="512"/>
      <c r="P309" s="512"/>
      <c r="Q309" s="512"/>
      <c r="R309" s="512"/>
      <c r="S309" s="512"/>
      <c r="T309" s="512"/>
      <c r="U309" s="512"/>
      <c r="V309" s="132">
        <f t="shared" si="136"/>
        <v>0</v>
      </c>
      <c r="W309" s="133" t="str">
        <f t="shared" si="127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521">
        <f t="shared" si="133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4"/>
        <v>0</v>
      </c>
      <c r="N310" s="130">
        <f t="shared" si="135"/>
        <v>0</v>
      </c>
      <c r="O310" s="512"/>
      <c r="P310" s="512"/>
      <c r="Q310" s="512"/>
      <c r="R310" s="512"/>
      <c r="S310" s="512"/>
      <c r="T310" s="512"/>
      <c r="U310" s="512"/>
      <c r="V310" s="132">
        <f t="shared" si="136"/>
        <v>0</v>
      </c>
      <c r="W310" s="133" t="str">
        <f t="shared" si="127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521">
        <f t="shared" si="133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4"/>
        <v>0</v>
      </c>
      <c r="N311" s="130">
        <f t="shared" si="135"/>
        <v>0</v>
      </c>
      <c r="O311" s="512"/>
      <c r="P311" s="512"/>
      <c r="Q311" s="512"/>
      <c r="R311" s="512"/>
      <c r="S311" s="512"/>
      <c r="T311" s="512"/>
      <c r="U311" s="512"/>
      <c r="V311" s="132">
        <f t="shared" si="136"/>
        <v>0</v>
      </c>
      <c r="W311" s="133" t="str">
        <f t="shared" si="127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521">
        <f t="shared" si="133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4"/>
        <v>0</v>
      </c>
      <c r="N312" s="130">
        <f t="shared" si="135"/>
        <v>0</v>
      </c>
      <c r="O312" s="512"/>
      <c r="P312" s="512"/>
      <c r="Q312" s="512"/>
      <c r="R312" s="512"/>
      <c r="S312" s="512"/>
      <c r="T312" s="512"/>
      <c r="U312" s="512"/>
      <c r="V312" s="132">
        <f t="shared" si="136"/>
        <v>0</v>
      </c>
      <c r="W312" s="133" t="str">
        <f t="shared" si="127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521">
        <f t="shared" si="133"/>
        <v>0</v>
      </c>
      <c r="I313" s="129"/>
      <c r="J313" s="130"/>
      <c r="K313" s="131"/>
      <c r="L313" s="129">
        <v>13.5</v>
      </c>
      <c r="M313" s="109"/>
      <c r="N313" s="130"/>
      <c r="O313" s="512"/>
      <c r="P313" s="512"/>
      <c r="Q313" s="512"/>
      <c r="R313" s="512"/>
      <c r="S313" s="512"/>
      <c r="T313" s="512"/>
      <c r="U313" s="512"/>
      <c r="V313" s="132"/>
      <c r="W313" s="133"/>
      <c r="X313" s="132"/>
      <c r="Y313" s="132"/>
      <c r="Z313" s="132"/>
      <c r="AA313" s="132"/>
    </row>
    <row r="314" spans="1:27" ht="20.100000000000001" hidden="1" customHeight="1">
      <c r="A314" s="300">
        <v>30400020</v>
      </c>
      <c r="B314" s="134" t="s">
        <v>439</v>
      </c>
      <c r="C314" s="187" t="s">
        <v>74</v>
      </c>
      <c r="D314" s="108">
        <v>5.03</v>
      </c>
      <c r="E314" s="108"/>
      <c r="F314" s="127"/>
      <c r="G314" s="128"/>
      <c r="H314" s="521">
        <f t="shared" si="133"/>
        <v>0</v>
      </c>
      <c r="I314" s="129"/>
      <c r="J314" s="130"/>
      <c r="K314" s="131"/>
      <c r="L314" s="129">
        <v>13.5</v>
      </c>
      <c r="M314" s="109"/>
      <c r="N314" s="130"/>
      <c r="O314" s="512"/>
      <c r="P314" s="512"/>
      <c r="Q314" s="512"/>
      <c r="R314" s="512"/>
      <c r="S314" s="512"/>
      <c r="T314" s="512"/>
      <c r="U314" s="512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30400021</v>
      </c>
      <c r="B315" s="134" t="s">
        <v>439</v>
      </c>
      <c r="C315" s="187" t="s">
        <v>53</v>
      </c>
      <c r="D315" s="108">
        <v>5.03</v>
      </c>
      <c r="E315" s="108"/>
      <c r="F315" s="127"/>
      <c r="G315" s="128"/>
      <c r="H315" s="521">
        <f t="shared" si="133"/>
        <v>0</v>
      </c>
      <c r="I315" s="129"/>
      <c r="J315" s="130"/>
      <c r="K315" s="131"/>
      <c r="L315" s="129">
        <v>13.5</v>
      </c>
      <c r="M315" s="109"/>
      <c r="N315" s="130"/>
      <c r="O315" s="512"/>
      <c r="P315" s="512"/>
      <c r="Q315" s="512"/>
      <c r="R315" s="512"/>
      <c r="S315" s="512"/>
      <c r="T315" s="512"/>
      <c r="U315" s="512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>
        <v>42705</v>
      </c>
      <c r="G316" s="128">
        <v>75</v>
      </c>
      <c r="H316" s="521">
        <f t="shared" si="133"/>
        <v>378</v>
      </c>
      <c r="I316" s="129">
        <v>3.5</v>
      </c>
      <c r="J316" s="130">
        <f t="array" ref="J316">IF(ISERROR(G316/I316),"",G316/I316)</f>
        <v>21.428571428571427</v>
      </c>
      <c r="K316" s="131">
        <f t="array" ref="K316">IF(ISERROR(G316/L316),"",G316/L316)</f>
        <v>3.4090909090909092</v>
      </c>
      <c r="L316" s="129">
        <v>22</v>
      </c>
      <c r="M316" s="109">
        <f t="shared" ref="M316" si="137">IF(ISERROR(I316-K316),"",I316-K316)</f>
        <v>9.0909090909090828E-2</v>
      </c>
      <c r="N316" s="130">
        <f t="shared" ref="N316" si="138">SUM(O316:U316)</f>
        <v>0</v>
      </c>
      <c r="O316" s="512"/>
      <c r="P316" s="512"/>
      <c r="Q316" s="512"/>
      <c r="R316" s="512"/>
      <c r="S316" s="512"/>
      <c r="T316" s="512"/>
      <c r="U316" s="512"/>
      <c r="V316" s="132">
        <f t="shared" ref="V316" si="139">SUM(X316:AA316)</f>
        <v>0</v>
      </c>
      <c r="W316" s="133">
        <f t="shared" ref="W316:W321" si="140">IF(ISERROR(V316/G316),"",V316/G316)</f>
        <v>0</v>
      </c>
      <c r="X316" s="132"/>
      <c r="Y316" s="132"/>
      <c r="Z316" s="132"/>
      <c r="AA316" s="132"/>
    </row>
    <row r="317" spans="1:27" ht="20.100000000000001" customHeight="1">
      <c r="A317" s="630" t="s">
        <v>234</v>
      </c>
      <c r="B317" s="631"/>
      <c r="C317" s="519" t="s">
        <v>202</v>
      </c>
      <c r="D317" s="143"/>
      <c r="E317" s="143"/>
      <c r="F317" s="144"/>
      <c r="G317" s="145">
        <f>SUM(G308:G316)</f>
        <v>75</v>
      </c>
      <c r="H317" s="146">
        <f>SUM(H308:H316)</f>
        <v>378</v>
      </c>
      <c r="I317" s="146">
        <f>SUM(I308:I316)</f>
        <v>3.5</v>
      </c>
      <c r="J317" s="130">
        <f t="array" ref="J317">IF(ISERROR(G317/I317),"",G317/I317)</f>
        <v>21.428571428571427</v>
      </c>
      <c r="K317" s="146">
        <f>SUM(K308:K316)</f>
        <v>3.4090909090909092</v>
      </c>
      <c r="L317" s="147"/>
      <c r="M317" s="150">
        <f>SUM(M308:M316)</f>
        <v>9.0909090909090828E-2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>
        <f t="shared" si="140"/>
        <v>0</v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511"/>
      <c r="D318" s="108">
        <v>3.65</v>
      </c>
      <c r="E318" s="108"/>
      <c r="F318" s="153"/>
      <c r="G318" s="128"/>
      <c r="H318" s="521">
        <f t="shared" ref="H318:H331" si="141">D318*G318</f>
        <v>0</v>
      </c>
      <c r="I318" s="129"/>
      <c r="J318" s="130" t="str">
        <f t="array" ref="J318">IF(ISERROR(G318/I318),"",G318/I318)</f>
        <v/>
      </c>
      <c r="K318" s="521">
        <f t="array" ref="K318">IF(ISERROR(G318/L318),"",G318/L318)</f>
        <v>0</v>
      </c>
      <c r="L318" s="129">
        <v>5</v>
      </c>
      <c r="M318" s="109">
        <f t="shared" ref="M318:M321" si="142">IF(ISERROR(I318-K318),"",I318-K318)</f>
        <v>0</v>
      </c>
      <c r="N318" s="130">
        <f t="shared" ref="N318:N321" si="143">SUM(O318:U318)</f>
        <v>0</v>
      </c>
      <c r="O318" s="512"/>
      <c r="P318" s="512"/>
      <c r="Q318" s="512"/>
      <c r="R318" s="512"/>
      <c r="S318" s="512"/>
      <c r="T318" s="512"/>
      <c r="U318" s="512"/>
      <c r="V318" s="132">
        <f t="shared" ref="V318:V321" si="144">SUM(X318:AA318)</f>
        <v>0</v>
      </c>
      <c r="W318" s="133" t="str">
        <f t="shared" si="140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511"/>
      <c r="D319" s="108">
        <v>6.58</v>
      </c>
      <c r="E319" s="108"/>
      <c r="F319" s="127"/>
      <c r="G319" s="128"/>
      <c r="H319" s="521">
        <f t="shared" si="141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2"/>
        <v>0</v>
      </c>
      <c r="N319" s="130">
        <f t="shared" si="143"/>
        <v>0</v>
      </c>
      <c r="O319" s="512"/>
      <c r="P319" s="512"/>
      <c r="Q319" s="512"/>
      <c r="R319" s="512"/>
      <c r="S319" s="512"/>
      <c r="T319" s="512"/>
      <c r="U319" s="512"/>
      <c r="V319" s="132">
        <f t="shared" si="144"/>
        <v>0</v>
      </c>
      <c r="W319" s="133" t="str">
        <f t="shared" si="140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511"/>
      <c r="D320" s="108">
        <v>7.8</v>
      </c>
      <c r="E320" s="108"/>
      <c r="F320" s="127"/>
      <c r="G320" s="128"/>
      <c r="H320" s="521">
        <f t="shared" si="141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2"/>
        <v>0</v>
      </c>
      <c r="N320" s="130">
        <f t="shared" si="143"/>
        <v>0</v>
      </c>
      <c r="O320" s="512"/>
      <c r="P320" s="512"/>
      <c r="Q320" s="512"/>
      <c r="R320" s="512"/>
      <c r="S320" s="512"/>
      <c r="T320" s="512"/>
      <c r="U320" s="512"/>
      <c r="V320" s="132">
        <f t="shared" si="144"/>
        <v>0</v>
      </c>
      <c r="W320" s="133" t="str">
        <f t="shared" si="140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511"/>
      <c r="D321" s="108">
        <v>4.4000000000000004</v>
      </c>
      <c r="E321" s="108"/>
      <c r="F321" s="127"/>
      <c r="G321" s="128"/>
      <c r="H321" s="521">
        <f t="shared" si="141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2"/>
        <v>0</v>
      </c>
      <c r="N321" s="130">
        <f t="shared" si="143"/>
        <v>0</v>
      </c>
      <c r="O321" s="512"/>
      <c r="P321" s="512"/>
      <c r="Q321" s="512"/>
      <c r="R321" s="512"/>
      <c r="S321" s="512"/>
      <c r="T321" s="512"/>
      <c r="U321" s="512"/>
      <c r="V321" s="132">
        <f t="shared" si="144"/>
        <v>0</v>
      </c>
      <c r="W321" s="133" t="str">
        <f t="shared" si="140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511"/>
      <c r="D322" s="108"/>
      <c r="E322" s="108"/>
      <c r="F322" s="127"/>
      <c r="G322" s="128"/>
      <c r="H322" s="521">
        <f t="shared" si="141"/>
        <v>0</v>
      </c>
      <c r="I322" s="129"/>
      <c r="J322" s="130"/>
      <c r="K322" s="131"/>
      <c r="L322" s="129">
        <v>6</v>
      </c>
      <c r="M322" s="109"/>
      <c r="N322" s="130"/>
      <c r="O322" s="512"/>
      <c r="P322" s="512"/>
      <c r="Q322" s="512"/>
      <c r="R322" s="512"/>
      <c r="S322" s="512"/>
      <c r="T322" s="512"/>
      <c r="U322" s="512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511" t="s">
        <v>239</v>
      </c>
      <c r="C323" s="511" t="s">
        <v>179</v>
      </c>
      <c r="D323" s="108">
        <v>6.04</v>
      </c>
      <c r="E323" s="108"/>
      <c r="F323" s="127"/>
      <c r="G323" s="128"/>
      <c r="H323" s="521">
        <f t="shared" si="141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5">IF(ISERROR(I323-K323),"",I323-K323)</f>
        <v>0</v>
      </c>
      <c r="N323" s="130">
        <f t="shared" ref="N323:N324" si="146">SUM(O323:U323)</f>
        <v>0</v>
      </c>
      <c r="O323" s="512"/>
      <c r="P323" s="512"/>
      <c r="Q323" s="512"/>
      <c r="R323" s="512"/>
      <c r="S323" s="512"/>
      <c r="T323" s="512"/>
      <c r="U323" s="512"/>
      <c r="V323" s="132">
        <f t="shared" ref="V323:V324" si="147">SUM(X323:AA323)</f>
        <v>0</v>
      </c>
      <c r="W323" s="133" t="str">
        <f t="shared" ref="W323:W324" si="148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511" t="s">
        <v>239</v>
      </c>
      <c r="C324" s="511" t="s">
        <v>186</v>
      </c>
      <c r="D324" s="108">
        <v>6.04</v>
      </c>
      <c r="E324" s="108"/>
      <c r="F324" s="127"/>
      <c r="G324" s="128"/>
      <c r="H324" s="521">
        <f t="shared" si="141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5"/>
        <v>0</v>
      </c>
      <c r="N324" s="130">
        <f t="shared" si="146"/>
        <v>0</v>
      </c>
      <c r="O324" s="512"/>
      <c r="P324" s="512"/>
      <c r="Q324" s="512"/>
      <c r="R324" s="512"/>
      <c r="S324" s="512"/>
      <c r="T324" s="512"/>
      <c r="U324" s="512"/>
      <c r="V324" s="132">
        <f t="shared" si="147"/>
        <v>0</v>
      </c>
      <c r="W324" s="133" t="str">
        <f t="shared" si="148"/>
        <v/>
      </c>
      <c r="X324" s="132"/>
      <c r="Y324" s="132"/>
      <c r="Z324" s="132"/>
      <c r="AA324" s="132"/>
    </row>
    <row r="325" spans="1:27" ht="20.100000000000001" customHeight="1">
      <c r="A325" s="305">
        <v>30601015</v>
      </c>
      <c r="B325" s="511" t="s">
        <v>443</v>
      </c>
      <c r="C325" s="511" t="s">
        <v>179</v>
      </c>
      <c r="D325" s="108">
        <v>6</v>
      </c>
      <c r="E325" s="108"/>
      <c r="F325" s="127">
        <v>42712</v>
      </c>
      <c r="G325" s="128">
        <v>42</v>
      </c>
      <c r="H325" s="521">
        <f t="shared" si="141"/>
        <v>252</v>
      </c>
      <c r="I325" s="129">
        <f>8*4</f>
        <v>32</v>
      </c>
      <c r="J325" s="130">
        <f t="array" ref="J325">IF(ISERROR(G325/I325),"",G325/I325)</f>
        <v>1.3125</v>
      </c>
      <c r="K325" s="131">
        <f t="array" ref="K325">IF(ISERROR(G325/L325),"",G325/L325)</f>
        <v>3.1111111111111112</v>
      </c>
      <c r="L325" s="129">
        <v>13.5</v>
      </c>
      <c r="M325" s="109"/>
      <c r="N325" s="130"/>
      <c r="O325" s="512"/>
      <c r="P325" s="512"/>
      <c r="Q325" s="512"/>
      <c r="R325" s="512"/>
      <c r="S325" s="512"/>
      <c r="T325" s="512"/>
      <c r="U325" s="512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511" t="s">
        <v>443</v>
      </c>
      <c r="C326" s="511" t="s">
        <v>60</v>
      </c>
      <c r="D326" s="108">
        <v>6</v>
      </c>
      <c r="E326" s="108"/>
      <c r="F326" s="127"/>
      <c r="G326" s="128"/>
      <c r="H326" s="521">
        <f t="shared" si="141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512"/>
      <c r="P326" s="512"/>
      <c r="Q326" s="512"/>
      <c r="R326" s="512"/>
      <c r="S326" s="512"/>
      <c r="T326" s="512"/>
      <c r="U326" s="512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513" t="s">
        <v>240</v>
      </c>
      <c r="C327" s="126"/>
      <c r="D327" s="108">
        <v>7.3</v>
      </c>
      <c r="E327" s="108"/>
      <c r="F327" s="127"/>
      <c r="G327" s="128"/>
      <c r="H327" s="521">
        <f t="shared" si="141"/>
        <v>0</v>
      </c>
      <c r="I327" s="129"/>
      <c r="J327" s="130"/>
      <c r="K327" s="131"/>
      <c r="L327" s="129"/>
      <c r="M327" s="109"/>
      <c r="N327" s="130"/>
      <c r="O327" s="512"/>
      <c r="P327" s="512"/>
      <c r="Q327" s="512"/>
      <c r="R327" s="512"/>
      <c r="S327" s="512"/>
      <c r="T327" s="512"/>
      <c r="U327" s="512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513" t="s">
        <v>241</v>
      </c>
      <c r="C328" s="126"/>
      <c r="D328" s="108">
        <f>78*120/1000</f>
        <v>9.36</v>
      </c>
      <c r="E328" s="108"/>
      <c r="F328" s="127"/>
      <c r="G328" s="128"/>
      <c r="H328" s="521">
        <f t="shared" si="141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49">SUM(O328:U328)</f>
        <v>0</v>
      </c>
      <c r="O328" s="512"/>
      <c r="P328" s="512"/>
      <c r="Q328" s="512"/>
      <c r="R328" s="512"/>
      <c r="S328" s="512"/>
      <c r="T328" s="512"/>
      <c r="U328" s="512"/>
      <c r="V328" s="132">
        <f t="shared" ref="V328" si="150">SUM(X328:AA328)</f>
        <v>0</v>
      </c>
      <c r="W328" s="133" t="str">
        <f t="shared" ref="W328" si="151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513" t="s">
        <v>242</v>
      </c>
      <c r="C329" s="126"/>
      <c r="D329" s="108">
        <v>4.5</v>
      </c>
      <c r="E329" s="108"/>
      <c r="F329" s="127"/>
      <c r="G329" s="128"/>
      <c r="H329" s="521">
        <f t="shared" si="141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512"/>
      <c r="P329" s="512"/>
      <c r="Q329" s="512"/>
      <c r="R329" s="512"/>
      <c r="S329" s="512"/>
      <c r="T329" s="512"/>
      <c r="U329" s="512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513" t="s">
        <v>243</v>
      </c>
      <c r="C330" s="126"/>
      <c r="D330" s="108">
        <v>4.5</v>
      </c>
      <c r="E330" s="108"/>
      <c r="F330" s="127"/>
      <c r="G330" s="128"/>
      <c r="H330" s="521">
        <f t="shared" si="141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512"/>
      <c r="P330" s="512"/>
      <c r="Q330" s="512"/>
      <c r="R330" s="512"/>
      <c r="S330" s="512"/>
      <c r="T330" s="512"/>
      <c r="U330" s="512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521">
        <f t="shared" si="141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512"/>
      <c r="P331" s="512"/>
      <c r="Q331" s="512"/>
      <c r="R331" s="512"/>
      <c r="S331" s="512"/>
      <c r="T331" s="512"/>
      <c r="U331" s="512"/>
      <c r="V331" s="132"/>
      <c r="W331" s="133"/>
      <c r="X331" s="132"/>
      <c r="Y331" s="132"/>
      <c r="Z331" s="132"/>
      <c r="AA331" s="132"/>
    </row>
    <row r="332" spans="1:27" ht="20.100000000000001" customHeight="1">
      <c r="A332" s="630" t="s">
        <v>244</v>
      </c>
      <c r="B332" s="631"/>
      <c r="C332" s="519" t="s">
        <v>202</v>
      </c>
      <c r="D332" s="143"/>
      <c r="E332" s="143"/>
      <c r="F332" s="144"/>
      <c r="G332" s="145">
        <f>SUM(G318:G331)</f>
        <v>42</v>
      </c>
      <c r="H332" s="146">
        <f>SUM(H318:H328)</f>
        <v>252</v>
      </c>
      <c r="I332" s="146">
        <f>SUM(I318:I331)</f>
        <v>32</v>
      </c>
      <c r="J332" s="130"/>
      <c r="K332" s="146">
        <f>SUM(K318:K328)</f>
        <v>3.1111111111111112</v>
      </c>
      <c r="L332" s="147"/>
      <c r="M332" s="150">
        <f t="shared" ref="M332:AA332" si="152">SUM(M318:M328)</f>
        <v>0</v>
      </c>
      <c r="N332" s="146">
        <f t="shared" si="152"/>
        <v>0</v>
      </c>
      <c r="O332" s="148">
        <f t="shared" si="152"/>
        <v>0</v>
      </c>
      <c r="P332" s="148">
        <f t="shared" si="152"/>
        <v>0</v>
      </c>
      <c r="Q332" s="148">
        <f t="shared" si="152"/>
        <v>0</v>
      </c>
      <c r="R332" s="148">
        <f t="shared" si="152"/>
        <v>0</v>
      </c>
      <c r="S332" s="148">
        <f t="shared" si="152"/>
        <v>0</v>
      </c>
      <c r="T332" s="148">
        <f t="shared" si="152"/>
        <v>0</v>
      </c>
      <c r="U332" s="148">
        <f t="shared" si="152"/>
        <v>0</v>
      </c>
      <c r="V332" s="149">
        <f t="shared" si="152"/>
        <v>0</v>
      </c>
      <c r="W332" s="133">
        <f t="shared" si="152"/>
        <v>0</v>
      </c>
      <c r="X332" s="149">
        <f t="shared" si="152"/>
        <v>0</v>
      </c>
      <c r="Y332" s="149">
        <f t="shared" si="152"/>
        <v>0</v>
      </c>
      <c r="Z332" s="149">
        <f t="shared" si="152"/>
        <v>0</v>
      </c>
      <c r="AA332" s="149">
        <f t="shared" si="152"/>
        <v>0</v>
      </c>
    </row>
    <row r="333" spans="1:27" ht="20.100000000000001" customHeight="1">
      <c r="A333" s="632" t="s">
        <v>246</v>
      </c>
      <c r="B333" s="633"/>
      <c r="C333" s="633"/>
      <c r="D333" s="633"/>
      <c r="E333" s="633"/>
      <c r="F333" s="634"/>
      <c r="G333" s="154">
        <f>SUM(G198,G256,G291,G307,G317,G332)</f>
        <v>3736</v>
      </c>
      <c r="H333" s="154">
        <f>SUM(H198,H256,H291,H307,H317,H332)</f>
        <v>18889.120000000003</v>
      </c>
      <c r="I333" s="154">
        <f>SUM(I198,I256,I291,I307,I317,I332)</f>
        <v>225.5</v>
      </c>
      <c r="J333" s="155">
        <f t="array" ref="J333">IF(ISERROR(G333/I333),"",G333/I333)</f>
        <v>16.567627494456762</v>
      </c>
      <c r="K333" s="154">
        <f>SUM(K198,K256,K291,K307,K317,K332)</f>
        <v>153.719528278452</v>
      </c>
      <c r="L333" s="155">
        <f>IF(ISERROR(G333/K333),"",G333/K333)</f>
        <v>24.304003803814059</v>
      </c>
      <c r="M333" s="154">
        <f t="shared" ref="M333:AA333" si="153">SUM(M198,M256,M291,M307,M317,M332)</f>
        <v>42.89158283265909</v>
      </c>
      <c r="N333" s="154">
        <f t="shared" si="153"/>
        <v>0</v>
      </c>
      <c r="O333" s="154">
        <f t="shared" si="153"/>
        <v>0</v>
      </c>
      <c r="P333" s="154">
        <f t="shared" si="153"/>
        <v>0</v>
      </c>
      <c r="Q333" s="154">
        <f t="shared" si="153"/>
        <v>0</v>
      </c>
      <c r="R333" s="154">
        <f t="shared" si="153"/>
        <v>0</v>
      </c>
      <c r="S333" s="154">
        <f t="shared" si="153"/>
        <v>0</v>
      </c>
      <c r="T333" s="154">
        <f t="shared" si="153"/>
        <v>0</v>
      </c>
      <c r="U333" s="154">
        <f t="shared" si="153"/>
        <v>0</v>
      </c>
      <c r="V333" s="154">
        <f t="shared" si="153"/>
        <v>0</v>
      </c>
      <c r="W333" s="154">
        <f t="shared" si="153"/>
        <v>0</v>
      </c>
      <c r="X333" s="154">
        <f t="shared" si="153"/>
        <v>0</v>
      </c>
      <c r="Y333" s="154">
        <f t="shared" si="153"/>
        <v>0</v>
      </c>
      <c r="Z333" s="154">
        <f t="shared" si="153"/>
        <v>0</v>
      </c>
      <c r="AA333" s="154">
        <f t="shared" si="153"/>
        <v>0</v>
      </c>
    </row>
    <row r="334" spans="1:27" ht="20.100000000000001" customHeight="1">
      <c r="A334" s="635" t="s">
        <v>476</v>
      </c>
      <c r="B334" s="518" t="s">
        <v>247</v>
      </c>
      <c r="C334" s="638" t="s">
        <v>248</v>
      </c>
      <c r="D334" s="639"/>
      <c r="E334" s="640" t="s">
        <v>249</v>
      </c>
      <c r="F334" s="640"/>
      <c r="G334" s="643" t="s">
        <v>250</v>
      </c>
      <c r="H334" s="643"/>
      <c r="I334" s="640" t="s">
        <v>251</v>
      </c>
      <c r="J334" s="640"/>
      <c r="K334" s="640" t="s">
        <v>252</v>
      </c>
      <c r="L334" s="640"/>
      <c r="M334" s="640" t="s">
        <v>253</v>
      </c>
      <c r="N334" s="640"/>
      <c r="O334" s="640" t="s">
        <v>254</v>
      </c>
      <c r="P334" s="643" t="s">
        <v>255</v>
      </c>
      <c r="Q334" s="643"/>
      <c r="R334" s="643" t="s">
        <v>252</v>
      </c>
      <c r="S334" s="643"/>
      <c r="T334" s="643" t="s">
        <v>256</v>
      </c>
      <c r="U334" s="643"/>
      <c r="V334" s="643" t="s">
        <v>257</v>
      </c>
      <c r="W334" s="643"/>
      <c r="X334" s="643" t="s">
        <v>252</v>
      </c>
      <c r="Y334" s="643"/>
      <c r="Z334" s="643" t="s">
        <v>256</v>
      </c>
      <c r="AA334" s="643"/>
    </row>
    <row r="335" spans="1:27" ht="20.100000000000001" customHeight="1">
      <c r="A335" s="636"/>
      <c r="B335" s="518" t="s">
        <v>258</v>
      </c>
      <c r="C335" s="678">
        <v>1</v>
      </c>
      <c r="D335" s="679"/>
      <c r="E335" s="642">
        <f>C335*11</f>
        <v>11</v>
      </c>
      <c r="F335" s="642"/>
      <c r="G335" s="643">
        <v>1</v>
      </c>
      <c r="H335" s="643"/>
      <c r="I335" s="642">
        <f>G335*11</f>
        <v>11</v>
      </c>
      <c r="J335" s="642"/>
      <c r="K335" s="642">
        <f>E335-I335</f>
        <v>0</v>
      </c>
      <c r="L335" s="642"/>
      <c r="M335" s="644">
        <f>IF(ISERROR(K335/E335),"",K335/E335)</f>
        <v>0</v>
      </c>
      <c r="N335" s="644"/>
      <c r="O335" s="640"/>
      <c r="P335" s="643" t="s">
        <v>201</v>
      </c>
      <c r="Q335" s="643"/>
      <c r="R335" s="645">
        <f>SUM(O198:U198)</f>
        <v>0</v>
      </c>
      <c r="S335" s="645"/>
      <c r="T335" s="646" t="str">
        <f t="array" ref="T335">IF(ISERROR(R335/R342),"",R335/R342)</f>
        <v/>
      </c>
      <c r="U335" s="646"/>
      <c r="V335" s="643" t="s">
        <v>259</v>
      </c>
      <c r="W335" s="643"/>
      <c r="X335" s="680">
        <f>SUM(P197,P255,P290,P306,P316,P331)</f>
        <v>0</v>
      </c>
      <c r="Y335" s="681"/>
      <c r="Z335" s="646" t="str">
        <f t="array" ref="Z335">IF(ISERROR(X335/X342),"",X335/X342)</f>
        <v/>
      </c>
      <c r="AA335" s="646"/>
    </row>
    <row r="336" spans="1:27" ht="20.100000000000001" customHeight="1">
      <c r="A336" s="636"/>
      <c r="B336" s="518" t="s">
        <v>260</v>
      </c>
      <c r="C336" s="638">
        <v>0</v>
      </c>
      <c r="D336" s="639"/>
      <c r="E336" s="642">
        <f>C336*11</f>
        <v>0</v>
      </c>
      <c r="F336" s="642"/>
      <c r="G336" s="643">
        <v>0</v>
      </c>
      <c r="H336" s="643"/>
      <c r="I336" s="642">
        <f>G336*11</f>
        <v>0</v>
      </c>
      <c r="J336" s="642"/>
      <c r="K336" s="642">
        <f>E336-I336</f>
        <v>0</v>
      </c>
      <c r="L336" s="642"/>
      <c r="M336" s="644" t="str">
        <f>IF(ISERROR(K336/E336),"",K336/E336)</f>
        <v/>
      </c>
      <c r="N336" s="644"/>
      <c r="O336" s="640"/>
      <c r="P336" s="643" t="s">
        <v>216</v>
      </c>
      <c r="Q336" s="643"/>
      <c r="R336" s="645">
        <f>SUM(O256:U256)</f>
        <v>0</v>
      </c>
      <c r="S336" s="645"/>
      <c r="T336" s="646" t="str">
        <f>IF(ISERROR(R336/R342),"",R336/R342)</f>
        <v/>
      </c>
      <c r="U336" s="646"/>
      <c r="V336" s="643" t="s">
        <v>261</v>
      </c>
      <c r="W336" s="643"/>
      <c r="X336" s="680">
        <f>SUM(P198,P256,P291,P307,P317,P332)</f>
        <v>0</v>
      </c>
      <c r="Y336" s="681"/>
      <c r="Z336" s="646" t="str">
        <f>IF(ISERROR(X336/X342),"",X336/X342)</f>
        <v/>
      </c>
      <c r="AA336" s="646"/>
    </row>
    <row r="337" spans="1:27" ht="20.100000000000001" customHeight="1">
      <c r="A337" s="636"/>
      <c r="B337" s="518" t="s">
        <v>262</v>
      </c>
      <c r="C337" s="638">
        <v>0</v>
      </c>
      <c r="D337" s="639"/>
      <c r="E337" s="642">
        <f>C337*8</f>
        <v>0</v>
      </c>
      <c r="F337" s="642"/>
      <c r="G337" s="643">
        <v>1</v>
      </c>
      <c r="H337" s="643"/>
      <c r="I337" s="642">
        <f>G337*8</f>
        <v>8</v>
      </c>
      <c r="J337" s="642"/>
      <c r="K337" s="642">
        <f>E337-I337</f>
        <v>-8</v>
      </c>
      <c r="L337" s="642"/>
      <c r="M337" s="644" t="str">
        <f>IF(ISERROR(K337/E337),"",K337/E337)</f>
        <v/>
      </c>
      <c r="N337" s="644"/>
      <c r="O337" s="640"/>
      <c r="P337" s="643" t="s">
        <v>224</v>
      </c>
      <c r="Q337" s="643"/>
      <c r="R337" s="645">
        <f>SUM(O291:U291)</f>
        <v>0</v>
      </c>
      <c r="S337" s="645"/>
      <c r="T337" s="646" t="str">
        <f>IF(ISERROR(R337/R342),"",R337/R342)</f>
        <v/>
      </c>
      <c r="U337" s="646"/>
      <c r="V337" s="643" t="s">
        <v>263</v>
      </c>
      <c r="W337" s="643"/>
      <c r="X337" s="680">
        <f>SUM(P199,P257,P292,P308,P318,P333)</f>
        <v>0</v>
      </c>
      <c r="Y337" s="681"/>
      <c r="Z337" s="646" t="str">
        <f>IF(ISERROR(X337/X342),"",X337/X342)</f>
        <v/>
      </c>
      <c r="AA337" s="646"/>
    </row>
    <row r="338" spans="1:27" ht="20.100000000000001" customHeight="1">
      <c r="A338" s="636"/>
      <c r="B338" s="518" t="s">
        <v>264</v>
      </c>
      <c r="C338" s="638">
        <v>1</v>
      </c>
      <c r="D338" s="639"/>
      <c r="E338" s="642">
        <f>C338*11</f>
        <v>11</v>
      </c>
      <c r="F338" s="642"/>
      <c r="G338" s="643">
        <v>1</v>
      </c>
      <c r="H338" s="643"/>
      <c r="I338" s="642">
        <f>G338*11</f>
        <v>11</v>
      </c>
      <c r="J338" s="642"/>
      <c r="K338" s="642">
        <f>E338-I338</f>
        <v>0</v>
      </c>
      <c r="L338" s="642"/>
      <c r="M338" s="644">
        <f>IF(ISERROR(K338/E338),"",K338/E338)</f>
        <v>0</v>
      </c>
      <c r="N338" s="644"/>
      <c r="O338" s="640"/>
      <c r="P338" s="643" t="s">
        <v>231</v>
      </c>
      <c r="Q338" s="643"/>
      <c r="R338" s="645">
        <f>SUM(O307:U307)</f>
        <v>0</v>
      </c>
      <c r="S338" s="645"/>
      <c r="T338" s="646" t="str">
        <f>IF(ISERROR(R338/R342),"",R338/R342)</f>
        <v/>
      </c>
      <c r="U338" s="646"/>
      <c r="V338" s="643" t="s">
        <v>265</v>
      </c>
      <c r="W338" s="643"/>
      <c r="X338" s="680">
        <f>SUM(P201,P258,P293,P309,P319,P334)</f>
        <v>0</v>
      </c>
      <c r="Y338" s="681"/>
      <c r="Z338" s="646" t="str">
        <f>IF(ISERROR(X338/X342),"",X338/X342)</f>
        <v/>
      </c>
      <c r="AA338" s="646"/>
    </row>
    <row r="339" spans="1:27" ht="20.100000000000001" customHeight="1">
      <c r="A339" s="637"/>
      <c r="B339" s="518" t="s">
        <v>266</v>
      </c>
      <c r="C339" s="648">
        <f>SUM(C335:D338)</f>
        <v>2</v>
      </c>
      <c r="D339" s="649"/>
      <c r="E339" s="642">
        <f>SUM(E335:F338)</f>
        <v>22</v>
      </c>
      <c r="F339" s="642"/>
      <c r="G339" s="643">
        <f>SUM(G335:H338)</f>
        <v>3</v>
      </c>
      <c r="H339" s="643"/>
      <c r="I339" s="642">
        <f>SUM(I335:J338)</f>
        <v>30</v>
      </c>
      <c r="J339" s="642"/>
      <c r="K339" s="642">
        <f>SUM(K335:L338)</f>
        <v>-8</v>
      </c>
      <c r="L339" s="642"/>
      <c r="M339" s="644">
        <f>IF(ISERROR(K339/E339),"",K339/E339)</f>
        <v>-0.36363636363636365</v>
      </c>
      <c r="N339" s="644"/>
      <c r="O339" s="640"/>
      <c r="P339" s="643" t="s">
        <v>234</v>
      </c>
      <c r="Q339" s="643"/>
      <c r="R339" s="645">
        <f>SUM(O317:U317)</f>
        <v>0</v>
      </c>
      <c r="S339" s="645"/>
      <c r="T339" s="646" t="str">
        <f>IF(ISERROR(R339/R342),"",R339/R342)</f>
        <v/>
      </c>
      <c r="U339" s="646"/>
      <c r="V339" s="643" t="s">
        <v>267</v>
      </c>
      <c r="W339" s="643"/>
      <c r="X339" s="680">
        <f>SUM(P202,P259,P294,P310,P320,P335)</f>
        <v>0</v>
      </c>
      <c r="Y339" s="681"/>
      <c r="Z339" s="646" t="str">
        <f>IF(ISERROR(X339/X342),"",X339/X342)</f>
        <v/>
      </c>
      <c r="AA339" s="646"/>
    </row>
    <row r="340" spans="1:27" ht="20.100000000000001" customHeight="1">
      <c r="A340" s="309" t="s">
        <v>477</v>
      </c>
      <c r="B340" s="518">
        <f>G333</f>
        <v>3736</v>
      </c>
      <c r="C340" s="650" t="s">
        <v>269</v>
      </c>
      <c r="D340" s="651"/>
      <c r="E340" s="643">
        <f>H333</f>
        <v>18889.120000000003</v>
      </c>
      <c r="F340" s="643"/>
      <c r="G340" s="643" t="s">
        <v>270</v>
      </c>
      <c r="H340" s="643"/>
      <c r="I340" s="652">
        <f>L333</f>
        <v>24.304003803814059</v>
      </c>
      <c r="J340" s="652"/>
      <c r="K340" s="640" t="s">
        <v>271</v>
      </c>
      <c r="L340" s="640"/>
      <c r="M340" s="652">
        <f>J333</f>
        <v>16.567627494456762</v>
      </c>
      <c r="N340" s="652"/>
      <c r="O340" s="640"/>
      <c r="P340" s="643" t="s">
        <v>244</v>
      </c>
      <c r="Q340" s="643"/>
      <c r="R340" s="645">
        <f>SUM(O332:U332)</f>
        <v>0</v>
      </c>
      <c r="S340" s="645"/>
      <c r="T340" s="646" t="str">
        <f>IF(ISERROR(R340/R342),"",R340/R342)</f>
        <v/>
      </c>
      <c r="U340" s="646"/>
      <c r="V340" s="643" t="s">
        <v>272</v>
      </c>
      <c r="W340" s="643"/>
      <c r="X340" s="680">
        <f>SUM(P203,P260,P295,P311,P321,P336)</f>
        <v>0</v>
      </c>
      <c r="Y340" s="681"/>
      <c r="Z340" s="646" t="str">
        <f>IF(ISERROR(X340/X342),"",X340/X342)</f>
        <v/>
      </c>
      <c r="AA340" s="646"/>
    </row>
    <row r="341" spans="1:27" ht="20.100000000000001" customHeight="1">
      <c r="A341" s="310" t="s">
        <v>478</v>
      </c>
      <c r="B341" s="518">
        <f>I333+C339</f>
        <v>227.5</v>
      </c>
      <c r="C341" s="653" t="s">
        <v>251</v>
      </c>
      <c r="D341" s="654"/>
      <c r="E341" s="655">
        <f>K333+I339</f>
        <v>183.719528278452</v>
      </c>
      <c r="F341" s="655"/>
      <c r="G341" s="643" t="s">
        <v>274</v>
      </c>
      <c r="H341" s="643"/>
      <c r="I341" s="652">
        <f>B341-E341</f>
        <v>43.780471721547997</v>
      </c>
      <c r="J341" s="652"/>
      <c r="K341" s="640" t="s">
        <v>275</v>
      </c>
      <c r="L341" s="640"/>
      <c r="M341" s="644">
        <f>IF(ISERROR(I341/E341),"",I341/E341)</f>
        <v>0.23830058857538933</v>
      </c>
      <c r="N341" s="644"/>
      <c r="O341" s="640"/>
      <c r="P341" s="643" t="s">
        <v>245</v>
      </c>
      <c r="Q341" s="643"/>
      <c r="R341" s="645"/>
      <c r="S341" s="645"/>
      <c r="T341" s="646" t="str">
        <f>IF(ISERROR(R341/R342),"",R341/R342)</f>
        <v/>
      </c>
      <c r="U341" s="646"/>
      <c r="V341" s="643" t="s">
        <v>264</v>
      </c>
      <c r="W341" s="643"/>
      <c r="X341" s="680">
        <f>SUM(P204,P261,P296,P312,P322,P337)</f>
        <v>0</v>
      </c>
      <c r="Y341" s="681"/>
      <c r="Z341" s="646" t="str">
        <f>IF(ISERROR(X341/X342),"",X341/X342)</f>
        <v/>
      </c>
      <c r="AA341" s="646"/>
    </row>
    <row r="342" spans="1:27" ht="20.100000000000001" customHeight="1">
      <c r="A342" s="310" t="s">
        <v>479</v>
      </c>
      <c r="B342" s="518">
        <f>N333</f>
        <v>0</v>
      </c>
      <c r="C342" s="653" t="s">
        <v>277</v>
      </c>
      <c r="D342" s="654"/>
      <c r="E342" s="646">
        <f>IF(ISERROR(B342/B341),"",B342/B341)</f>
        <v>0</v>
      </c>
      <c r="F342" s="646"/>
      <c r="G342" s="643" t="s">
        <v>278</v>
      </c>
      <c r="H342" s="643"/>
      <c r="I342" s="640">
        <f>V333</f>
        <v>0</v>
      </c>
      <c r="J342" s="640"/>
      <c r="K342" s="640" t="s">
        <v>279</v>
      </c>
      <c r="L342" s="640"/>
      <c r="M342" s="644">
        <f t="array" ref="M342">IF(ISERROR(I342/B340),"",I342/B340)</f>
        <v>0</v>
      </c>
      <c r="N342" s="644"/>
      <c r="O342" s="640"/>
      <c r="P342" s="643" t="s">
        <v>266</v>
      </c>
      <c r="Q342" s="643"/>
      <c r="R342" s="645">
        <f>SUM(R335:S341)</f>
        <v>0</v>
      </c>
      <c r="S342" s="645"/>
      <c r="T342" s="646"/>
      <c r="U342" s="646"/>
      <c r="V342" s="643" t="s">
        <v>266</v>
      </c>
      <c r="W342" s="643"/>
      <c r="X342" s="647">
        <f>SUM(X335:Y341)</f>
        <v>0</v>
      </c>
      <c r="Y342" s="647"/>
      <c r="Z342" s="646"/>
      <c r="AA342" s="646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56" t="s">
        <v>480</v>
      </c>
      <c r="B344" s="659" t="s">
        <v>280</v>
      </c>
      <c r="C344" s="659" t="s">
        <v>281</v>
      </c>
      <c r="D344" s="659" t="s">
        <v>282</v>
      </c>
      <c r="E344" s="662" t="s">
        <v>283</v>
      </c>
      <c r="F344" s="675" t="s">
        <v>284</v>
      </c>
      <c r="G344" s="640" t="s">
        <v>285</v>
      </c>
      <c r="H344" s="640"/>
      <c r="I344" s="659" t="s">
        <v>286</v>
      </c>
      <c r="J344" s="665" t="s">
        <v>271</v>
      </c>
      <c r="K344" s="668" t="s">
        <v>287</v>
      </c>
      <c r="L344" s="659" t="s">
        <v>270</v>
      </c>
      <c r="M344" s="671" t="s">
        <v>288</v>
      </c>
      <c r="N344" s="673" t="s">
        <v>252</v>
      </c>
      <c r="O344" s="640" t="s">
        <v>289</v>
      </c>
      <c r="P344" s="640"/>
      <c r="Q344" s="640"/>
      <c r="R344" s="640"/>
      <c r="S344" s="640"/>
      <c r="T344" s="640"/>
      <c r="U344" s="640"/>
      <c r="V344" s="640" t="s">
        <v>290</v>
      </c>
      <c r="W344" s="673" t="s">
        <v>291</v>
      </c>
      <c r="X344" s="640" t="s">
        <v>292</v>
      </c>
      <c r="Y344" s="640"/>
      <c r="Z344" s="640"/>
      <c r="AA344" s="640"/>
    </row>
    <row r="345" spans="1:27" ht="21.95" customHeight="1">
      <c r="A345" s="657"/>
      <c r="B345" s="660"/>
      <c r="C345" s="660"/>
      <c r="D345" s="660"/>
      <c r="E345" s="663"/>
      <c r="F345" s="676"/>
      <c r="G345" s="640"/>
      <c r="H345" s="640"/>
      <c r="I345" s="660"/>
      <c r="J345" s="666"/>
      <c r="K345" s="669"/>
      <c r="L345" s="660"/>
      <c r="M345" s="672"/>
      <c r="N345" s="673"/>
      <c r="O345" s="640" t="s">
        <v>259</v>
      </c>
      <c r="P345" s="640" t="s">
        <v>261</v>
      </c>
      <c r="Q345" s="640" t="s">
        <v>263</v>
      </c>
      <c r="R345" s="674" t="s">
        <v>265</v>
      </c>
      <c r="S345" s="643" t="s">
        <v>267</v>
      </c>
      <c r="T345" s="640" t="s">
        <v>272</v>
      </c>
      <c r="U345" s="640" t="s">
        <v>264</v>
      </c>
      <c r="V345" s="640"/>
      <c r="W345" s="673"/>
      <c r="X345" s="640" t="s">
        <v>293</v>
      </c>
      <c r="Y345" s="640" t="s">
        <v>294</v>
      </c>
      <c r="Z345" s="640" t="s">
        <v>295</v>
      </c>
      <c r="AA345" s="640" t="s">
        <v>264</v>
      </c>
    </row>
    <row r="346" spans="1:27" ht="21.95" customHeight="1">
      <c r="A346" s="658"/>
      <c r="B346" s="661"/>
      <c r="C346" s="661"/>
      <c r="D346" s="661"/>
      <c r="E346" s="664"/>
      <c r="F346" s="677"/>
      <c r="G346" s="348" t="s">
        <v>296</v>
      </c>
      <c r="H346" s="511" t="s">
        <v>297</v>
      </c>
      <c r="I346" s="661"/>
      <c r="J346" s="667"/>
      <c r="K346" s="670"/>
      <c r="L346" s="661"/>
      <c r="M346" s="672"/>
      <c r="N346" s="673"/>
      <c r="O346" s="640"/>
      <c r="P346" s="640"/>
      <c r="Q346" s="640"/>
      <c r="R346" s="674"/>
      <c r="S346" s="643"/>
      <c r="T346" s="640"/>
      <c r="U346" s="640"/>
      <c r="V346" s="640"/>
      <c r="W346" s="673"/>
      <c r="X346" s="640"/>
      <c r="Y346" s="640"/>
      <c r="Z346" s="640"/>
      <c r="AA346" s="640"/>
    </row>
    <row r="347" spans="1:27" ht="20.100000000000001" hidden="1" customHeight="1">
      <c r="A347" s="299">
        <v>30100030</v>
      </c>
      <c r="B347" s="513" t="s">
        <v>178</v>
      </c>
      <c r="C347" s="126" t="s">
        <v>179</v>
      </c>
      <c r="D347" s="108">
        <v>5.03</v>
      </c>
      <c r="E347" s="108"/>
      <c r="F347" s="127"/>
      <c r="G347" s="128"/>
      <c r="H347" s="521">
        <f t="shared" ref="H347:H367" si="154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5">IF(ISERROR(I347-K347),"",I347-K347)</f>
        <v>0</v>
      </c>
      <c r="N347" s="130">
        <f t="shared" ref="N347:N352" si="156">SUM(O347:U347)</f>
        <v>0</v>
      </c>
      <c r="O347" s="512"/>
      <c r="P347" s="512"/>
      <c r="Q347" s="512"/>
      <c r="R347" s="512"/>
      <c r="S347" s="512"/>
      <c r="T347" s="512"/>
      <c r="U347" s="512"/>
      <c r="V347" s="132">
        <f t="shared" ref="V347:V352" si="157">SUM(X347:AA347)</f>
        <v>0</v>
      </c>
      <c r="W347" s="133" t="str">
        <f t="shared" ref="W347:W352" si="158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521">
        <f t="shared" si="154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5"/>
        <v>0</v>
      </c>
      <c r="N348" s="130">
        <f t="shared" si="156"/>
        <v>0</v>
      </c>
      <c r="O348" s="512"/>
      <c r="P348" s="512"/>
      <c r="Q348" s="512"/>
      <c r="R348" s="512"/>
      <c r="S348" s="512"/>
      <c r="T348" s="512"/>
      <c r="U348" s="512"/>
      <c r="V348" s="132">
        <f t="shared" si="157"/>
        <v>0</v>
      </c>
      <c r="W348" s="133" t="str">
        <f t="shared" si="158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521">
        <f t="shared" si="154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5"/>
        <v>0</v>
      </c>
      <c r="N349" s="130">
        <f t="shared" si="156"/>
        <v>0</v>
      </c>
      <c r="O349" s="512"/>
      <c r="P349" s="512"/>
      <c r="Q349" s="512"/>
      <c r="R349" s="512"/>
      <c r="S349" s="512"/>
      <c r="T349" s="512"/>
      <c r="U349" s="512"/>
      <c r="V349" s="132">
        <f t="shared" si="157"/>
        <v>0</v>
      </c>
      <c r="W349" s="133" t="str">
        <f t="shared" si="158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521">
        <f t="shared" si="154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5"/>
        <v>0</v>
      </c>
      <c r="N350" s="130">
        <f t="shared" si="156"/>
        <v>0</v>
      </c>
      <c r="O350" s="512"/>
      <c r="P350" s="512"/>
      <c r="Q350" s="512"/>
      <c r="R350" s="512"/>
      <c r="S350" s="512"/>
      <c r="T350" s="512"/>
      <c r="U350" s="512"/>
      <c r="V350" s="132">
        <f t="shared" si="157"/>
        <v>0</v>
      </c>
      <c r="W350" s="133" t="str">
        <f t="shared" si="158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521">
        <f t="shared" si="154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5"/>
        <v>0</v>
      </c>
      <c r="N351" s="130">
        <f t="shared" si="156"/>
        <v>0</v>
      </c>
      <c r="O351" s="512"/>
      <c r="P351" s="512"/>
      <c r="Q351" s="512"/>
      <c r="R351" s="512"/>
      <c r="S351" s="512"/>
      <c r="T351" s="512"/>
      <c r="U351" s="512"/>
      <c r="V351" s="132">
        <f t="shared" si="157"/>
        <v>0</v>
      </c>
      <c r="W351" s="133" t="str">
        <f t="shared" si="158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521">
        <f t="shared" si="154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5"/>
        <v>0</v>
      </c>
      <c r="N352" s="130">
        <f t="shared" si="156"/>
        <v>0</v>
      </c>
      <c r="O352" s="512"/>
      <c r="P352" s="512"/>
      <c r="Q352" s="512"/>
      <c r="R352" s="512"/>
      <c r="S352" s="512"/>
      <c r="T352" s="512"/>
      <c r="U352" s="512"/>
      <c r="V352" s="132">
        <f t="shared" si="157"/>
        <v>0</v>
      </c>
      <c r="W352" s="133" t="str">
        <f t="shared" si="158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521">
        <f t="shared" si="154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5"/>
        <v>0</v>
      </c>
      <c r="N353" s="130"/>
      <c r="O353" s="512"/>
      <c r="P353" s="512"/>
      <c r="Q353" s="512"/>
      <c r="R353" s="512"/>
      <c r="S353" s="512"/>
      <c r="T353" s="512"/>
      <c r="U353" s="512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521">
        <f t="shared" si="154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5"/>
        <v>0</v>
      </c>
      <c r="N354" s="130"/>
      <c r="O354" s="512"/>
      <c r="P354" s="512"/>
      <c r="Q354" s="512"/>
      <c r="R354" s="512"/>
      <c r="S354" s="512"/>
      <c r="T354" s="512"/>
      <c r="U354" s="512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521">
        <f t="shared" si="154"/>
        <v>0</v>
      </c>
      <c r="I355" s="521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5"/>
        <v>0</v>
      </c>
      <c r="N355" s="130">
        <f>SUM(O355:U355)</f>
        <v>0</v>
      </c>
      <c r="O355" s="512"/>
      <c r="P355" s="512"/>
      <c r="Q355" s="512"/>
      <c r="R355" s="512"/>
      <c r="S355" s="512"/>
      <c r="T355" s="512"/>
      <c r="U355" s="512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521">
        <f t="shared" si="154"/>
        <v>0</v>
      </c>
      <c r="I356" s="521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5"/>
        <v>0</v>
      </c>
      <c r="N356" s="130">
        <f>SUM(O356:U356)</f>
        <v>0</v>
      </c>
      <c r="O356" s="512"/>
      <c r="P356" s="512"/>
      <c r="Q356" s="512"/>
      <c r="R356" s="512"/>
      <c r="S356" s="512"/>
      <c r="T356" s="512"/>
      <c r="U356" s="512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521">
        <f t="shared" si="154"/>
        <v>0</v>
      </c>
      <c r="I357" s="521"/>
      <c r="J357" s="130"/>
      <c r="K357" s="131"/>
      <c r="L357" s="129"/>
      <c r="M357" s="109"/>
      <c r="N357" s="130"/>
      <c r="O357" s="512"/>
      <c r="P357" s="512"/>
      <c r="Q357" s="512"/>
      <c r="R357" s="512"/>
      <c r="S357" s="512"/>
      <c r="T357" s="512"/>
      <c r="U357" s="512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521">
        <f t="shared" si="154"/>
        <v>0</v>
      </c>
      <c r="I358" s="521"/>
      <c r="J358" s="130"/>
      <c r="K358" s="131"/>
      <c r="L358" s="129"/>
      <c r="M358" s="109"/>
      <c r="N358" s="130"/>
      <c r="O358" s="512"/>
      <c r="P358" s="512"/>
      <c r="Q358" s="512"/>
      <c r="R358" s="512"/>
      <c r="S358" s="512"/>
      <c r="T358" s="512"/>
      <c r="U358" s="512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521">
        <f t="shared" si="154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59">IF(ISERROR(I359-K359),"",I359-K359)</f>
        <v>0</v>
      </c>
      <c r="N359" s="130">
        <f t="shared" ref="N359:N361" si="160">SUM(O359:U359)</f>
        <v>0</v>
      </c>
      <c r="O359" s="512"/>
      <c r="P359" s="512"/>
      <c r="Q359" s="512"/>
      <c r="R359" s="512"/>
      <c r="S359" s="512"/>
      <c r="T359" s="512"/>
      <c r="U359" s="512"/>
      <c r="V359" s="132">
        <f t="shared" ref="V359:V361" si="161">SUM(X359:AA359)</f>
        <v>0</v>
      </c>
      <c r="W359" s="133" t="str">
        <f t="shared" ref="W359:W361" si="162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521">
        <f t="shared" si="154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59"/>
        <v>0</v>
      </c>
      <c r="N360" s="130">
        <f t="shared" si="160"/>
        <v>0</v>
      </c>
      <c r="O360" s="512"/>
      <c r="P360" s="512"/>
      <c r="Q360" s="512"/>
      <c r="R360" s="512"/>
      <c r="S360" s="512"/>
      <c r="T360" s="512"/>
      <c r="U360" s="512"/>
      <c r="V360" s="132">
        <f t="shared" si="161"/>
        <v>0</v>
      </c>
      <c r="W360" s="133" t="str">
        <f t="shared" si="162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521">
        <f t="shared" si="154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59"/>
        <v>0</v>
      </c>
      <c r="N361" s="130">
        <f t="shared" si="160"/>
        <v>0</v>
      </c>
      <c r="O361" s="512"/>
      <c r="P361" s="512"/>
      <c r="Q361" s="512"/>
      <c r="R361" s="512"/>
      <c r="S361" s="512"/>
      <c r="T361" s="512"/>
      <c r="U361" s="512"/>
      <c r="V361" s="132">
        <f t="shared" si="161"/>
        <v>0</v>
      </c>
      <c r="W361" s="133" t="str">
        <f t="shared" si="162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511" t="s">
        <v>190</v>
      </c>
      <c r="D362" s="108">
        <v>4.8</v>
      </c>
      <c r="E362" s="108"/>
      <c r="F362" s="127"/>
      <c r="G362" s="128"/>
      <c r="H362" s="521">
        <f t="shared" si="154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59"/>
        <v>0</v>
      </c>
      <c r="N362" s="130"/>
      <c r="O362" s="512"/>
      <c r="P362" s="512"/>
      <c r="Q362" s="512"/>
      <c r="R362" s="512"/>
      <c r="S362" s="512"/>
      <c r="T362" s="512"/>
      <c r="U362" s="512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511" t="s">
        <v>187</v>
      </c>
      <c r="D363" s="108">
        <v>4.8</v>
      </c>
      <c r="E363" s="108"/>
      <c r="F363" s="127"/>
      <c r="G363" s="128"/>
      <c r="H363" s="521">
        <f t="shared" si="154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59"/>
        <v>0</v>
      </c>
      <c r="N363" s="130"/>
      <c r="O363" s="512"/>
      <c r="P363" s="512"/>
      <c r="Q363" s="512"/>
      <c r="R363" s="512"/>
      <c r="S363" s="512"/>
      <c r="T363" s="512"/>
      <c r="U363" s="512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511" t="s">
        <v>179</v>
      </c>
      <c r="D364" s="108">
        <v>4.8</v>
      </c>
      <c r="E364" s="108"/>
      <c r="F364" s="127"/>
      <c r="G364" s="128"/>
      <c r="H364" s="521">
        <f t="shared" si="154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59"/>
        <v>0</v>
      </c>
      <c r="N364" s="130"/>
      <c r="O364" s="512"/>
      <c r="P364" s="512"/>
      <c r="Q364" s="512"/>
      <c r="R364" s="512"/>
      <c r="S364" s="512"/>
      <c r="T364" s="512"/>
      <c r="U364" s="512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511" t="s">
        <v>199</v>
      </c>
      <c r="D365" s="108">
        <v>4.8</v>
      </c>
      <c r="E365" s="108"/>
      <c r="F365" s="127"/>
      <c r="G365" s="128"/>
      <c r="H365" s="521">
        <f t="shared" si="154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59"/>
        <v>0</v>
      </c>
      <c r="N365" s="130"/>
      <c r="O365" s="512"/>
      <c r="P365" s="512"/>
      <c r="Q365" s="512"/>
      <c r="R365" s="512"/>
      <c r="S365" s="512"/>
      <c r="T365" s="512"/>
      <c r="U365" s="512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521">
        <f t="shared" si="154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59"/>
        <v>0</v>
      </c>
      <c r="N366" s="130">
        <f t="shared" ref="N366:N367" si="163">SUM(O366:U366)</f>
        <v>0</v>
      </c>
      <c r="O366" s="512"/>
      <c r="P366" s="512"/>
      <c r="Q366" s="512"/>
      <c r="R366" s="512"/>
      <c r="S366" s="512"/>
      <c r="T366" s="512"/>
      <c r="U366" s="512"/>
      <c r="V366" s="132">
        <f t="shared" ref="V366:V367" si="164">SUM(X366:AA366)</f>
        <v>0</v>
      </c>
      <c r="W366" s="133" t="str">
        <f t="shared" ref="W366:W367" si="165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521">
        <f t="shared" si="154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59"/>
        <v>0</v>
      </c>
      <c r="N367" s="130">
        <f t="shared" si="163"/>
        <v>0</v>
      </c>
      <c r="O367" s="512"/>
      <c r="P367" s="512"/>
      <c r="Q367" s="512"/>
      <c r="R367" s="512"/>
      <c r="S367" s="512"/>
      <c r="T367" s="512"/>
      <c r="U367" s="512"/>
      <c r="V367" s="132">
        <f t="shared" si="164"/>
        <v>0</v>
      </c>
      <c r="W367" s="133" t="str">
        <f t="shared" si="165"/>
        <v/>
      </c>
      <c r="X367" s="132"/>
      <c r="Y367" s="132"/>
      <c r="Z367" s="132"/>
      <c r="AA367" s="132"/>
    </row>
    <row r="368" spans="1:27" ht="20.100000000000001" hidden="1" customHeight="1">
      <c r="A368" s="630" t="s">
        <v>201</v>
      </c>
      <c r="B368" s="631"/>
      <c r="C368" s="519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66">SUM(M347:M367)</f>
        <v>0</v>
      </c>
      <c r="N368" s="146">
        <f t="shared" si="166"/>
        <v>0</v>
      </c>
      <c r="O368" s="148">
        <f t="shared" si="166"/>
        <v>0</v>
      </c>
      <c r="P368" s="148">
        <f t="shared" si="166"/>
        <v>0</v>
      </c>
      <c r="Q368" s="148">
        <f t="shared" si="166"/>
        <v>0</v>
      </c>
      <c r="R368" s="148">
        <f t="shared" si="166"/>
        <v>0</v>
      </c>
      <c r="S368" s="148">
        <f t="shared" si="166"/>
        <v>0</v>
      </c>
      <c r="T368" s="148">
        <f t="shared" si="166"/>
        <v>0</v>
      </c>
      <c r="U368" s="148">
        <f t="shared" si="166"/>
        <v>0</v>
      </c>
      <c r="V368" s="149">
        <f t="shared" si="166"/>
        <v>0</v>
      </c>
      <c r="W368" s="133">
        <f t="shared" si="166"/>
        <v>0</v>
      </c>
      <c r="X368" s="149">
        <f t="shared" si="166"/>
        <v>0</v>
      </c>
      <c r="Y368" s="149">
        <f t="shared" si="166"/>
        <v>0</v>
      </c>
      <c r="Z368" s="149">
        <f t="shared" si="166"/>
        <v>0</v>
      </c>
      <c r="AA368" s="149">
        <f t="shared" si="166"/>
        <v>0</v>
      </c>
    </row>
    <row r="369" spans="1:27" ht="20.100000000000001" hidden="1" customHeight="1">
      <c r="A369" s="300">
        <v>30100012</v>
      </c>
      <c r="B369" s="513" t="s">
        <v>206</v>
      </c>
      <c r="C369" s="126" t="s">
        <v>199</v>
      </c>
      <c r="D369" s="108">
        <v>5.03</v>
      </c>
      <c r="E369" s="108"/>
      <c r="F369" s="127"/>
      <c r="G369" s="128"/>
      <c r="H369" s="521">
        <f t="shared" ref="H369:H425" si="167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68">IF(ISERROR(I369-K369),"",I369-K369)</f>
        <v>0</v>
      </c>
      <c r="N369" s="130">
        <f t="shared" ref="N369" si="169">SUM(O369:U369)</f>
        <v>0</v>
      </c>
      <c r="O369" s="516"/>
      <c r="P369" s="516"/>
      <c r="Q369" s="516"/>
      <c r="R369" s="516"/>
      <c r="S369" s="516"/>
      <c r="T369" s="516"/>
      <c r="U369" s="516"/>
      <c r="V369" s="132">
        <f t="shared" ref="V369" si="170">SUM(X369:AA369)</f>
        <v>0</v>
      </c>
      <c r="W369" s="133" t="str">
        <f t="shared" ref="W369" si="171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513" t="s">
        <v>425</v>
      </c>
      <c r="C370" s="187" t="s">
        <v>427</v>
      </c>
      <c r="D370" s="108">
        <v>5.03</v>
      </c>
      <c r="E370" s="108"/>
      <c r="F370" s="127"/>
      <c r="G370" s="128"/>
      <c r="H370" s="521">
        <f t="shared" si="167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516"/>
      <c r="P370" s="516"/>
      <c r="Q370" s="516"/>
      <c r="R370" s="516"/>
      <c r="S370" s="516"/>
      <c r="T370" s="516"/>
      <c r="U370" s="516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513" t="s">
        <v>206</v>
      </c>
      <c r="C371" s="126" t="s">
        <v>186</v>
      </c>
      <c r="D371" s="108">
        <v>5.03</v>
      </c>
      <c r="E371" s="108"/>
      <c r="F371" s="127"/>
      <c r="G371" s="128"/>
      <c r="H371" s="521">
        <f t="shared" si="167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2">IF(ISERROR(I371-K371),"",I371-K371)</f>
        <v>0</v>
      </c>
      <c r="N371" s="130">
        <f t="shared" ref="N371:N373" si="173">SUM(O371:U371)</f>
        <v>0</v>
      </c>
      <c r="O371" s="516"/>
      <c r="P371" s="516"/>
      <c r="Q371" s="516"/>
      <c r="R371" s="516"/>
      <c r="S371" s="516"/>
      <c r="T371" s="516"/>
      <c r="U371" s="516"/>
      <c r="V371" s="132">
        <f t="shared" ref="V371:V373" si="174">SUM(X371:AA371)</f>
        <v>0</v>
      </c>
      <c r="W371" s="133" t="str">
        <f t="shared" ref="W371:W373" si="175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513" t="s">
        <v>206</v>
      </c>
      <c r="C372" s="126" t="s">
        <v>203</v>
      </c>
      <c r="D372" s="108">
        <v>5.03</v>
      </c>
      <c r="E372" s="108"/>
      <c r="F372" s="127"/>
      <c r="G372" s="128"/>
      <c r="H372" s="521">
        <f t="shared" si="167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2"/>
        <v>0</v>
      </c>
      <c r="N372" s="130">
        <f t="shared" si="173"/>
        <v>0</v>
      </c>
      <c r="O372" s="516"/>
      <c r="P372" s="516"/>
      <c r="Q372" s="516"/>
      <c r="R372" s="516"/>
      <c r="S372" s="516"/>
      <c r="T372" s="516"/>
      <c r="U372" s="516"/>
      <c r="V372" s="132">
        <f t="shared" si="174"/>
        <v>0</v>
      </c>
      <c r="W372" s="133" t="str">
        <f t="shared" si="175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513" t="s">
        <v>206</v>
      </c>
      <c r="C373" s="126" t="s">
        <v>207</v>
      </c>
      <c r="D373" s="108">
        <v>5.03</v>
      </c>
      <c r="E373" s="108"/>
      <c r="F373" s="127"/>
      <c r="G373" s="128"/>
      <c r="H373" s="521">
        <f t="shared" si="167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2"/>
        <v>0</v>
      </c>
      <c r="N373" s="130">
        <f t="shared" si="173"/>
        <v>0</v>
      </c>
      <c r="O373" s="516"/>
      <c r="P373" s="516"/>
      <c r="Q373" s="516"/>
      <c r="R373" s="516"/>
      <c r="S373" s="516"/>
      <c r="T373" s="516"/>
      <c r="U373" s="516"/>
      <c r="V373" s="132">
        <f t="shared" si="174"/>
        <v>0</v>
      </c>
      <c r="W373" s="133" t="str">
        <f t="shared" si="175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513" t="s">
        <v>414</v>
      </c>
      <c r="C374" s="187" t="s">
        <v>415</v>
      </c>
      <c r="D374" s="108"/>
      <c r="E374" s="108"/>
      <c r="F374" s="127"/>
      <c r="G374" s="128"/>
      <c r="H374" s="521">
        <f t="shared" si="167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2"/>
        <v>0</v>
      </c>
      <c r="N374" s="130"/>
      <c r="O374" s="516"/>
      <c r="P374" s="516"/>
      <c r="Q374" s="516"/>
      <c r="R374" s="516"/>
      <c r="S374" s="516"/>
      <c r="T374" s="516"/>
      <c r="U374" s="516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513" t="s">
        <v>414</v>
      </c>
      <c r="C375" s="187" t="s">
        <v>416</v>
      </c>
      <c r="D375" s="108"/>
      <c r="E375" s="108"/>
      <c r="F375" s="127"/>
      <c r="G375" s="128"/>
      <c r="H375" s="521">
        <f t="shared" si="167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2"/>
        <v>0</v>
      </c>
      <c r="N375" s="130"/>
      <c r="O375" s="516"/>
      <c r="P375" s="516"/>
      <c r="Q375" s="516"/>
      <c r="R375" s="516"/>
      <c r="S375" s="516"/>
      <c r="T375" s="516"/>
      <c r="U375" s="516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513" t="s">
        <v>414</v>
      </c>
      <c r="C376" s="187" t="s">
        <v>61</v>
      </c>
      <c r="D376" s="108"/>
      <c r="E376" s="108"/>
      <c r="F376" s="127"/>
      <c r="G376" s="128"/>
      <c r="H376" s="521">
        <f t="shared" si="167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2"/>
        <v>0</v>
      </c>
      <c r="N376" s="130"/>
      <c r="O376" s="516"/>
      <c r="P376" s="516"/>
      <c r="Q376" s="516"/>
      <c r="R376" s="516"/>
      <c r="S376" s="516"/>
      <c r="T376" s="516"/>
      <c r="U376" s="516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513" t="s">
        <v>208</v>
      </c>
      <c r="C377" s="126" t="s">
        <v>179</v>
      </c>
      <c r="D377" s="108">
        <v>5.08</v>
      </c>
      <c r="E377" s="108"/>
      <c r="F377" s="127"/>
      <c r="G377" s="128"/>
      <c r="H377" s="521">
        <f t="shared" si="167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2"/>
        <v>0</v>
      </c>
      <c r="N377" s="130">
        <f t="shared" ref="N377:N392" si="176">SUM(O377:U377)</f>
        <v>0</v>
      </c>
      <c r="O377" s="516"/>
      <c r="P377" s="516"/>
      <c r="Q377" s="516"/>
      <c r="R377" s="516"/>
      <c r="S377" s="516"/>
      <c r="T377" s="516"/>
      <c r="U377" s="516"/>
      <c r="V377" s="132">
        <f t="shared" ref="V377:V388" si="177">SUM(X377:AA377)</f>
        <v>0</v>
      </c>
      <c r="W377" s="133" t="str">
        <f t="shared" ref="W377:W388" si="178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513" t="s">
        <v>208</v>
      </c>
      <c r="C378" s="126" t="s">
        <v>204</v>
      </c>
      <c r="D378" s="108">
        <v>5.08</v>
      </c>
      <c r="E378" s="108"/>
      <c r="F378" s="127"/>
      <c r="G378" s="128"/>
      <c r="H378" s="521">
        <f t="shared" si="167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2"/>
        <v>0</v>
      </c>
      <c r="N378" s="130">
        <f t="shared" si="176"/>
        <v>0</v>
      </c>
      <c r="O378" s="516"/>
      <c r="P378" s="516"/>
      <c r="Q378" s="516"/>
      <c r="R378" s="516"/>
      <c r="S378" s="516"/>
      <c r="T378" s="516"/>
      <c r="U378" s="516"/>
      <c r="V378" s="132">
        <f t="shared" si="177"/>
        <v>0</v>
      </c>
      <c r="W378" s="133" t="str">
        <f t="shared" si="178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513" t="s">
        <v>208</v>
      </c>
      <c r="C379" s="126" t="s">
        <v>205</v>
      </c>
      <c r="D379" s="108">
        <v>5.08</v>
      </c>
      <c r="E379" s="108"/>
      <c r="F379" s="127"/>
      <c r="G379" s="128"/>
      <c r="H379" s="521">
        <f t="shared" si="167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2"/>
        <v>0</v>
      </c>
      <c r="N379" s="130">
        <f t="shared" si="176"/>
        <v>0</v>
      </c>
      <c r="O379" s="516"/>
      <c r="P379" s="516"/>
      <c r="Q379" s="516"/>
      <c r="R379" s="516"/>
      <c r="S379" s="516"/>
      <c r="T379" s="516"/>
      <c r="U379" s="516"/>
      <c r="V379" s="132">
        <f t="shared" si="177"/>
        <v>0</v>
      </c>
      <c r="W379" s="133" t="str">
        <f t="shared" si="178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513" t="s">
        <v>208</v>
      </c>
      <c r="C380" s="126" t="s">
        <v>186</v>
      </c>
      <c r="D380" s="108">
        <v>5.08</v>
      </c>
      <c r="E380" s="108"/>
      <c r="F380" s="127"/>
      <c r="G380" s="128"/>
      <c r="H380" s="521">
        <f t="shared" si="167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2"/>
        <v>0</v>
      </c>
      <c r="N380" s="130">
        <f t="shared" si="176"/>
        <v>0</v>
      </c>
      <c r="O380" s="516"/>
      <c r="P380" s="516"/>
      <c r="Q380" s="516"/>
      <c r="R380" s="516"/>
      <c r="S380" s="516"/>
      <c r="T380" s="516"/>
      <c r="U380" s="516"/>
      <c r="V380" s="132">
        <f t="shared" si="177"/>
        <v>0</v>
      </c>
      <c r="W380" s="133" t="str">
        <f t="shared" si="178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513" t="s">
        <v>208</v>
      </c>
      <c r="C381" s="126" t="s">
        <v>203</v>
      </c>
      <c r="D381" s="108">
        <v>5.08</v>
      </c>
      <c r="E381" s="108"/>
      <c r="F381" s="127"/>
      <c r="G381" s="128"/>
      <c r="H381" s="521">
        <f t="shared" si="167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2"/>
        <v>0</v>
      </c>
      <c r="N381" s="130">
        <f t="shared" si="176"/>
        <v>0</v>
      </c>
      <c r="O381" s="516"/>
      <c r="P381" s="516"/>
      <c r="Q381" s="516"/>
      <c r="R381" s="516"/>
      <c r="S381" s="516"/>
      <c r="T381" s="516"/>
      <c r="U381" s="516"/>
      <c r="V381" s="132">
        <f t="shared" si="177"/>
        <v>0</v>
      </c>
      <c r="W381" s="133" t="str">
        <f t="shared" si="178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513" t="s">
        <v>208</v>
      </c>
      <c r="C382" s="126" t="s">
        <v>199</v>
      </c>
      <c r="D382" s="108">
        <v>5.08</v>
      </c>
      <c r="E382" s="108"/>
      <c r="F382" s="127"/>
      <c r="G382" s="128"/>
      <c r="H382" s="521">
        <f t="shared" si="167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2"/>
        <v>0</v>
      </c>
      <c r="N382" s="130">
        <f t="shared" si="176"/>
        <v>0</v>
      </c>
      <c r="O382" s="512"/>
      <c r="P382" s="512"/>
      <c r="Q382" s="512"/>
      <c r="R382" s="512"/>
      <c r="S382" s="512"/>
      <c r="T382" s="512"/>
      <c r="U382" s="512"/>
      <c r="V382" s="132">
        <f t="shared" si="177"/>
        <v>0</v>
      </c>
      <c r="W382" s="133" t="str">
        <f t="shared" si="178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513" t="s">
        <v>208</v>
      </c>
      <c r="C383" s="126" t="s">
        <v>187</v>
      </c>
      <c r="D383" s="108">
        <v>5.08</v>
      </c>
      <c r="E383" s="108"/>
      <c r="F383" s="127"/>
      <c r="G383" s="128"/>
      <c r="H383" s="521">
        <f t="shared" si="167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2"/>
        <v>0</v>
      </c>
      <c r="N383" s="130">
        <f t="shared" si="176"/>
        <v>0</v>
      </c>
      <c r="O383" s="516"/>
      <c r="P383" s="516"/>
      <c r="Q383" s="516"/>
      <c r="R383" s="516"/>
      <c r="S383" s="516"/>
      <c r="T383" s="516"/>
      <c r="U383" s="516"/>
      <c r="V383" s="132">
        <f t="shared" si="177"/>
        <v>0</v>
      </c>
      <c r="W383" s="133" t="str">
        <f t="shared" si="178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513" t="s">
        <v>208</v>
      </c>
      <c r="C384" s="126" t="s">
        <v>207</v>
      </c>
      <c r="D384" s="108">
        <v>5.08</v>
      </c>
      <c r="E384" s="108"/>
      <c r="F384" s="127"/>
      <c r="G384" s="128"/>
      <c r="H384" s="521">
        <f t="shared" si="167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2"/>
        <v>0</v>
      </c>
      <c r="N384" s="130">
        <f t="shared" si="176"/>
        <v>0</v>
      </c>
      <c r="O384" s="512"/>
      <c r="P384" s="512"/>
      <c r="Q384" s="512"/>
      <c r="R384" s="512"/>
      <c r="S384" s="512"/>
      <c r="T384" s="512"/>
      <c r="U384" s="512"/>
      <c r="V384" s="132">
        <f t="shared" si="177"/>
        <v>0</v>
      </c>
      <c r="W384" s="133" t="str">
        <f t="shared" si="178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513" t="s">
        <v>209</v>
      </c>
      <c r="C385" s="126" t="s">
        <v>194</v>
      </c>
      <c r="D385" s="108">
        <v>5.03</v>
      </c>
      <c r="E385" s="108"/>
      <c r="F385" s="127"/>
      <c r="G385" s="128"/>
      <c r="H385" s="521">
        <f t="shared" si="167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2"/>
        <v>0</v>
      </c>
      <c r="N385" s="130">
        <f t="shared" si="176"/>
        <v>0</v>
      </c>
      <c r="O385" s="516"/>
      <c r="P385" s="516"/>
      <c r="Q385" s="516"/>
      <c r="R385" s="516"/>
      <c r="S385" s="516"/>
      <c r="T385" s="516"/>
      <c r="U385" s="516"/>
      <c r="V385" s="132">
        <f t="shared" si="177"/>
        <v>0</v>
      </c>
      <c r="W385" s="133" t="str">
        <f t="shared" si="178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513" t="s">
        <v>209</v>
      </c>
      <c r="C386" s="126" t="s">
        <v>179</v>
      </c>
      <c r="D386" s="108">
        <v>5.03</v>
      </c>
      <c r="E386" s="108"/>
      <c r="F386" s="127"/>
      <c r="G386" s="128"/>
      <c r="H386" s="521">
        <f t="shared" si="167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2"/>
        <v>0</v>
      </c>
      <c r="N386" s="130">
        <f t="shared" si="176"/>
        <v>0</v>
      </c>
      <c r="O386" s="516"/>
      <c r="P386" s="516"/>
      <c r="Q386" s="516"/>
      <c r="R386" s="516"/>
      <c r="S386" s="516"/>
      <c r="T386" s="516"/>
      <c r="U386" s="516"/>
      <c r="V386" s="132">
        <f t="shared" si="177"/>
        <v>0</v>
      </c>
      <c r="W386" s="133" t="str">
        <f t="shared" si="178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513" t="s">
        <v>209</v>
      </c>
      <c r="C387" s="126" t="s">
        <v>195</v>
      </c>
      <c r="D387" s="108">
        <v>5.03</v>
      </c>
      <c r="E387" s="108"/>
      <c r="F387" s="127"/>
      <c r="G387" s="128"/>
      <c r="H387" s="521">
        <f t="shared" si="167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2"/>
        <v>0</v>
      </c>
      <c r="N387" s="130">
        <f t="shared" si="176"/>
        <v>0</v>
      </c>
      <c r="O387" s="516"/>
      <c r="P387" s="516"/>
      <c r="Q387" s="516"/>
      <c r="R387" s="516"/>
      <c r="S387" s="516"/>
      <c r="T387" s="516"/>
      <c r="U387" s="516"/>
      <c r="V387" s="132">
        <f t="shared" si="177"/>
        <v>0</v>
      </c>
      <c r="W387" s="133" t="str">
        <f t="shared" si="178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513" t="s">
        <v>209</v>
      </c>
      <c r="C388" s="126" t="s">
        <v>204</v>
      </c>
      <c r="D388" s="108">
        <v>5.03</v>
      </c>
      <c r="E388" s="108"/>
      <c r="F388" s="127"/>
      <c r="G388" s="128"/>
      <c r="H388" s="521">
        <f t="shared" si="167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2"/>
        <v>0</v>
      </c>
      <c r="N388" s="130">
        <f t="shared" si="176"/>
        <v>0</v>
      </c>
      <c r="O388" s="516"/>
      <c r="P388" s="516"/>
      <c r="Q388" s="516"/>
      <c r="R388" s="516"/>
      <c r="S388" s="516"/>
      <c r="T388" s="516"/>
      <c r="U388" s="516"/>
      <c r="V388" s="132">
        <f t="shared" si="177"/>
        <v>0</v>
      </c>
      <c r="W388" s="133" t="str">
        <f t="shared" si="178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513" t="s">
        <v>382</v>
      </c>
      <c r="C389" s="187" t="s">
        <v>383</v>
      </c>
      <c r="D389" s="108">
        <v>5.03</v>
      </c>
      <c r="E389" s="108"/>
      <c r="F389" s="127"/>
      <c r="G389" s="128"/>
      <c r="H389" s="521">
        <f t="shared" si="167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2"/>
        <v>0</v>
      </c>
      <c r="N389" s="130">
        <f t="shared" si="176"/>
        <v>0</v>
      </c>
      <c r="O389" s="516"/>
      <c r="P389" s="516"/>
      <c r="Q389" s="516"/>
      <c r="R389" s="516"/>
      <c r="S389" s="516"/>
      <c r="T389" s="516"/>
      <c r="U389" s="516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513" t="s">
        <v>382</v>
      </c>
      <c r="C390" s="187" t="s">
        <v>384</v>
      </c>
      <c r="D390" s="108">
        <v>5.03</v>
      </c>
      <c r="E390" s="108"/>
      <c r="F390" s="127"/>
      <c r="G390" s="128"/>
      <c r="H390" s="521">
        <f t="shared" si="167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2"/>
        <v>0</v>
      </c>
      <c r="N390" s="130">
        <f t="shared" si="176"/>
        <v>0</v>
      </c>
      <c r="O390" s="516"/>
      <c r="P390" s="516"/>
      <c r="Q390" s="516"/>
      <c r="R390" s="516"/>
      <c r="S390" s="516"/>
      <c r="T390" s="516"/>
      <c r="U390" s="516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513" t="s">
        <v>382</v>
      </c>
      <c r="C391" s="187" t="s">
        <v>389</v>
      </c>
      <c r="D391" s="108">
        <v>5.03</v>
      </c>
      <c r="E391" s="108"/>
      <c r="F391" s="127"/>
      <c r="G391" s="128"/>
      <c r="H391" s="521">
        <f t="shared" si="167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2"/>
        <v>0</v>
      </c>
      <c r="N391" s="130">
        <f t="shared" si="176"/>
        <v>0</v>
      </c>
      <c r="O391" s="516"/>
      <c r="P391" s="516"/>
      <c r="Q391" s="516"/>
      <c r="R391" s="516"/>
      <c r="S391" s="516"/>
      <c r="T391" s="516"/>
      <c r="U391" s="516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513" t="s">
        <v>382</v>
      </c>
      <c r="C392" s="187" t="s">
        <v>391</v>
      </c>
      <c r="D392" s="108">
        <v>5.03</v>
      </c>
      <c r="E392" s="108"/>
      <c r="F392" s="127"/>
      <c r="G392" s="128"/>
      <c r="H392" s="521">
        <f t="shared" si="167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2"/>
        <v>0</v>
      </c>
      <c r="N392" s="130">
        <f t="shared" si="176"/>
        <v>0</v>
      </c>
      <c r="O392" s="516"/>
      <c r="P392" s="516"/>
      <c r="Q392" s="516"/>
      <c r="R392" s="516"/>
      <c r="S392" s="516"/>
      <c r="T392" s="516"/>
      <c r="U392" s="516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513" t="s">
        <v>418</v>
      </c>
      <c r="C393" s="187" t="s">
        <v>364</v>
      </c>
      <c r="D393" s="108">
        <v>5.03</v>
      </c>
      <c r="E393" s="108"/>
      <c r="F393" s="127"/>
      <c r="G393" s="128"/>
      <c r="H393" s="521">
        <f t="shared" si="167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2"/>
        <v>0</v>
      </c>
      <c r="N393" s="130"/>
      <c r="O393" s="516"/>
      <c r="P393" s="516"/>
      <c r="Q393" s="516"/>
      <c r="R393" s="516"/>
      <c r="S393" s="516"/>
      <c r="T393" s="516"/>
      <c r="U393" s="516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513" t="s">
        <v>418</v>
      </c>
      <c r="C394" s="187" t="s">
        <v>365</v>
      </c>
      <c r="D394" s="108">
        <v>5.03</v>
      </c>
      <c r="E394" s="108"/>
      <c r="F394" s="127"/>
      <c r="G394" s="128"/>
      <c r="H394" s="521">
        <f t="shared" si="167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2"/>
        <v>0</v>
      </c>
      <c r="N394" s="130"/>
      <c r="O394" s="516"/>
      <c r="P394" s="516"/>
      <c r="Q394" s="516"/>
      <c r="R394" s="516"/>
      <c r="S394" s="516"/>
      <c r="T394" s="516"/>
      <c r="U394" s="516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513" t="s">
        <v>418</v>
      </c>
      <c r="C395" s="187" t="s">
        <v>366</v>
      </c>
      <c r="D395" s="108">
        <v>5.03</v>
      </c>
      <c r="E395" s="108"/>
      <c r="F395" s="127"/>
      <c r="G395" s="128"/>
      <c r="H395" s="521">
        <f t="shared" si="167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2"/>
        <v>0</v>
      </c>
      <c r="N395" s="130"/>
      <c r="O395" s="516"/>
      <c r="P395" s="516"/>
      <c r="Q395" s="516"/>
      <c r="R395" s="516"/>
      <c r="S395" s="516"/>
      <c r="T395" s="516"/>
      <c r="U395" s="516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513" t="s">
        <v>418</v>
      </c>
      <c r="C396" s="187" t="s">
        <v>367</v>
      </c>
      <c r="D396" s="108">
        <v>5.03</v>
      </c>
      <c r="E396" s="108"/>
      <c r="F396" s="127"/>
      <c r="G396" s="128"/>
      <c r="H396" s="521">
        <f t="shared" si="167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2"/>
        <v>0</v>
      </c>
      <c r="N396" s="130"/>
      <c r="O396" s="516"/>
      <c r="P396" s="516"/>
      <c r="Q396" s="516"/>
      <c r="R396" s="516"/>
      <c r="S396" s="516"/>
      <c r="T396" s="516"/>
      <c r="U396" s="516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521">
        <f t="shared" si="167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2"/>
        <v>0</v>
      </c>
      <c r="N397" s="130">
        <f t="shared" ref="N397:N406" si="179">SUM(O397:U397)</f>
        <v>0</v>
      </c>
      <c r="O397" s="512"/>
      <c r="P397" s="512"/>
      <c r="Q397" s="512"/>
      <c r="R397" s="512"/>
      <c r="S397" s="512"/>
      <c r="T397" s="512"/>
      <c r="U397" s="512"/>
      <c r="V397" s="132">
        <f t="shared" ref="V397:V406" si="180">SUM(X397:AA397)</f>
        <v>0</v>
      </c>
      <c r="W397" s="133" t="str">
        <f t="shared" ref="W397:W406" si="181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521">
        <f t="shared" si="167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2"/>
        <v>0</v>
      </c>
      <c r="N398" s="130">
        <f t="shared" si="179"/>
        <v>0</v>
      </c>
      <c r="O398" s="512"/>
      <c r="P398" s="512"/>
      <c r="Q398" s="512"/>
      <c r="R398" s="512"/>
      <c r="S398" s="512"/>
      <c r="T398" s="512"/>
      <c r="U398" s="512"/>
      <c r="V398" s="132">
        <f t="shared" si="180"/>
        <v>0</v>
      </c>
      <c r="W398" s="133" t="str">
        <f t="shared" si="181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521">
        <f t="shared" si="167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2"/>
        <v>0</v>
      </c>
      <c r="N399" s="130">
        <f t="shared" si="179"/>
        <v>0</v>
      </c>
      <c r="O399" s="512"/>
      <c r="P399" s="512"/>
      <c r="Q399" s="512"/>
      <c r="R399" s="512"/>
      <c r="S399" s="512"/>
      <c r="T399" s="512"/>
      <c r="U399" s="512"/>
      <c r="V399" s="132">
        <f t="shared" si="180"/>
        <v>0</v>
      </c>
      <c r="W399" s="133" t="str">
        <f t="shared" si="181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521">
        <f t="shared" si="167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2"/>
        <v>0</v>
      </c>
      <c r="N400" s="130">
        <f t="shared" si="179"/>
        <v>0</v>
      </c>
      <c r="O400" s="512"/>
      <c r="P400" s="512"/>
      <c r="Q400" s="512"/>
      <c r="R400" s="512"/>
      <c r="S400" s="512"/>
      <c r="T400" s="512"/>
      <c r="U400" s="512"/>
      <c r="V400" s="132">
        <f t="shared" si="180"/>
        <v>0</v>
      </c>
      <c r="W400" s="133" t="str">
        <f t="shared" si="181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521">
        <f t="shared" si="167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2"/>
        <v>0</v>
      </c>
      <c r="N401" s="130">
        <f t="shared" si="179"/>
        <v>0</v>
      </c>
      <c r="O401" s="512"/>
      <c r="P401" s="512"/>
      <c r="Q401" s="512"/>
      <c r="R401" s="512"/>
      <c r="S401" s="512"/>
      <c r="T401" s="512"/>
      <c r="U401" s="512"/>
      <c r="V401" s="132">
        <f t="shared" si="180"/>
        <v>0</v>
      </c>
      <c r="W401" s="133" t="str">
        <f t="shared" si="181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521">
        <f t="shared" si="167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2"/>
        <v>0</v>
      </c>
      <c r="N402" s="130">
        <f t="shared" si="179"/>
        <v>0</v>
      </c>
      <c r="O402" s="512"/>
      <c r="P402" s="512"/>
      <c r="Q402" s="512"/>
      <c r="R402" s="512"/>
      <c r="S402" s="512"/>
      <c r="T402" s="512"/>
      <c r="U402" s="512"/>
      <c r="V402" s="132">
        <f t="shared" si="180"/>
        <v>0</v>
      </c>
      <c r="W402" s="133" t="str">
        <f t="shared" si="181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521">
        <f t="shared" si="167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2"/>
        <v>0</v>
      </c>
      <c r="N403" s="130">
        <f t="shared" si="179"/>
        <v>0</v>
      </c>
      <c r="O403" s="512"/>
      <c r="P403" s="512"/>
      <c r="Q403" s="512"/>
      <c r="R403" s="512"/>
      <c r="S403" s="512"/>
      <c r="T403" s="512"/>
      <c r="U403" s="512"/>
      <c r="V403" s="132">
        <f t="shared" si="180"/>
        <v>0</v>
      </c>
      <c r="W403" s="133" t="str">
        <f t="shared" si="181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521">
        <f t="shared" si="167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2"/>
        <v>0</v>
      </c>
      <c r="N404" s="130">
        <f t="shared" si="179"/>
        <v>0</v>
      </c>
      <c r="O404" s="512"/>
      <c r="P404" s="512"/>
      <c r="Q404" s="512"/>
      <c r="R404" s="512"/>
      <c r="S404" s="512"/>
      <c r="T404" s="512"/>
      <c r="U404" s="512"/>
      <c r="V404" s="132">
        <f t="shared" si="180"/>
        <v>0</v>
      </c>
      <c r="W404" s="133" t="str">
        <f t="shared" si="181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521">
        <f t="shared" si="167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2"/>
        <v>0</v>
      </c>
      <c r="N405" s="130">
        <f t="shared" si="179"/>
        <v>0</v>
      </c>
      <c r="O405" s="512"/>
      <c r="P405" s="512"/>
      <c r="Q405" s="512"/>
      <c r="R405" s="512"/>
      <c r="S405" s="512"/>
      <c r="T405" s="512"/>
      <c r="U405" s="512"/>
      <c r="V405" s="132">
        <f t="shared" si="180"/>
        <v>0</v>
      </c>
      <c r="W405" s="133" t="str">
        <f t="shared" si="181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521">
        <f t="shared" si="167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2"/>
        <v>0</v>
      </c>
      <c r="N406" s="130">
        <f t="shared" si="179"/>
        <v>0</v>
      </c>
      <c r="O406" s="512"/>
      <c r="P406" s="512"/>
      <c r="Q406" s="512"/>
      <c r="R406" s="512"/>
      <c r="S406" s="512"/>
      <c r="T406" s="512"/>
      <c r="U406" s="512"/>
      <c r="V406" s="132">
        <f t="shared" si="180"/>
        <v>0</v>
      </c>
      <c r="W406" s="133" t="str">
        <f t="shared" si="181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521">
        <f t="shared" si="167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512"/>
      <c r="P407" s="512"/>
      <c r="Q407" s="512"/>
      <c r="R407" s="512"/>
      <c r="S407" s="512"/>
      <c r="T407" s="512"/>
      <c r="U407" s="512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521">
        <f t="shared" si="167"/>
        <v>0</v>
      </c>
      <c r="I408" s="129"/>
      <c r="J408" s="130"/>
      <c r="K408" s="131"/>
      <c r="L408" s="129">
        <v>50</v>
      </c>
      <c r="M408" s="109"/>
      <c r="N408" s="130"/>
      <c r="O408" s="512"/>
      <c r="P408" s="512"/>
      <c r="Q408" s="512"/>
      <c r="R408" s="512"/>
      <c r="S408" s="512"/>
      <c r="T408" s="512"/>
      <c r="U408" s="512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521">
        <f t="shared" si="167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2">IF(ISERROR(I409-K409),"",I409-K409)</f>
        <v>0</v>
      </c>
      <c r="N409" s="130">
        <f t="shared" ref="N409:N410" si="183">SUM(O409:U409)</f>
        <v>0</v>
      </c>
      <c r="O409" s="512"/>
      <c r="P409" s="512"/>
      <c r="Q409" s="512"/>
      <c r="R409" s="512"/>
      <c r="S409" s="512"/>
      <c r="T409" s="512"/>
      <c r="U409" s="512"/>
      <c r="V409" s="132">
        <f t="shared" ref="V409:V410" si="184">SUM(X409:AA409)</f>
        <v>0</v>
      </c>
      <c r="W409" s="133" t="str">
        <f t="shared" ref="W409:W410" si="185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521">
        <f t="shared" si="167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2"/>
        <v>0</v>
      </c>
      <c r="N410" s="130">
        <f t="shared" si="183"/>
        <v>0</v>
      </c>
      <c r="O410" s="512"/>
      <c r="P410" s="512"/>
      <c r="Q410" s="512"/>
      <c r="R410" s="512"/>
      <c r="S410" s="512"/>
      <c r="T410" s="512"/>
      <c r="U410" s="512"/>
      <c r="V410" s="132">
        <f t="shared" si="184"/>
        <v>0</v>
      </c>
      <c r="W410" s="133" t="str">
        <f t="shared" si="185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521">
        <f t="shared" si="167"/>
        <v>0</v>
      </c>
      <c r="I411" s="129"/>
      <c r="J411" s="130"/>
      <c r="K411" s="131"/>
      <c r="L411" s="129"/>
      <c r="M411" s="109"/>
      <c r="N411" s="130"/>
      <c r="O411" s="512"/>
      <c r="P411" s="512"/>
      <c r="Q411" s="512"/>
      <c r="R411" s="512"/>
      <c r="S411" s="512"/>
      <c r="T411" s="512"/>
      <c r="U411" s="512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521">
        <f t="shared" si="167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86">IF(ISERROR(I412-K412),"",I412-K412)</f>
        <v/>
      </c>
      <c r="N412" s="130">
        <f t="shared" ref="N412:N415" si="187">SUM(O412:U412)</f>
        <v>0</v>
      </c>
      <c r="O412" s="512"/>
      <c r="P412" s="512"/>
      <c r="Q412" s="512"/>
      <c r="R412" s="512"/>
      <c r="S412" s="512"/>
      <c r="T412" s="512"/>
      <c r="U412" s="512"/>
      <c r="V412" s="132">
        <f t="shared" ref="V412:V415" si="188">SUM(X412:AA412)</f>
        <v>0</v>
      </c>
      <c r="W412" s="133" t="str">
        <f t="shared" ref="W412:W415" si="189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521">
        <f t="shared" si="167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86"/>
        <v/>
      </c>
      <c r="N413" s="130">
        <f t="shared" si="187"/>
        <v>0</v>
      </c>
      <c r="O413" s="512"/>
      <c r="P413" s="512"/>
      <c r="Q413" s="512"/>
      <c r="R413" s="512"/>
      <c r="S413" s="512"/>
      <c r="T413" s="512"/>
      <c r="U413" s="512"/>
      <c r="V413" s="132">
        <f t="shared" si="188"/>
        <v>0</v>
      </c>
      <c r="W413" s="133" t="str">
        <f t="shared" si="189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521">
        <f t="shared" si="167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86"/>
        <v/>
      </c>
      <c r="N414" s="130">
        <f t="shared" si="187"/>
        <v>0</v>
      </c>
      <c r="O414" s="512"/>
      <c r="P414" s="512"/>
      <c r="Q414" s="512"/>
      <c r="R414" s="512"/>
      <c r="S414" s="512"/>
      <c r="T414" s="512"/>
      <c r="U414" s="512"/>
      <c r="V414" s="132">
        <f t="shared" si="188"/>
        <v>0</v>
      </c>
      <c r="W414" s="133" t="str">
        <f t="shared" si="189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521">
        <f t="shared" si="167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6"/>
        <v/>
      </c>
      <c r="N415" s="130">
        <f t="shared" si="187"/>
        <v>0</v>
      </c>
      <c r="O415" s="512"/>
      <c r="P415" s="512"/>
      <c r="Q415" s="512"/>
      <c r="R415" s="512"/>
      <c r="S415" s="512"/>
      <c r="T415" s="512"/>
      <c r="U415" s="512"/>
      <c r="V415" s="132">
        <f t="shared" si="188"/>
        <v>0</v>
      </c>
      <c r="W415" s="133" t="str">
        <f t="shared" si="189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521">
        <f t="shared" si="167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86"/>
        <v>0</v>
      </c>
      <c r="N416" s="130"/>
      <c r="O416" s="512"/>
      <c r="P416" s="512"/>
      <c r="Q416" s="512"/>
      <c r="R416" s="512"/>
      <c r="S416" s="512"/>
      <c r="T416" s="512"/>
      <c r="U416" s="512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521">
        <f t="shared" si="167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86"/>
        <v>0</v>
      </c>
      <c r="N417" s="130"/>
      <c r="O417" s="512"/>
      <c r="P417" s="512"/>
      <c r="Q417" s="512"/>
      <c r="R417" s="512"/>
      <c r="S417" s="512"/>
      <c r="T417" s="512"/>
      <c r="U417" s="512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521">
        <f t="shared" si="167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6"/>
        <v>0</v>
      </c>
      <c r="N418" s="130"/>
      <c r="O418" s="512"/>
      <c r="P418" s="512"/>
      <c r="Q418" s="512"/>
      <c r="R418" s="512"/>
      <c r="S418" s="512"/>
      <c r="T418" s="512"/>
      <c r="U418" s="512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521">
        <f t="shared" si="167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6"/>
        <v>0</v>
      </c>
      <c r="N419" s="130"/>
      <c r="O419" s="512"/>
      <c r="P419" s="512"/>
      <c r="Q419" s="512"/>
      <c r="R419" s="512"/>
      <c r="S419" s="512"/>
      <c r="T419" s="512"/>
      <c r="U419" s="512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521">
        <f t="shared" si="167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86"/>
        <v>0</v>
      </c>
      <c r="N420" s="130"/>
      <c r="O420" s="512"/>
      <c r="P420" s="512"/>
      <c r="Q420" s="512"/>
      <c r="R420" s="512"/>
      <c r="S420" s="512"/>
      <c r="T420" s="512"/>
      <c r="U420" s="512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521">
        <f t="shared" si="167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86"/>
        <v>0</v>
      </c>
      <c r="N421" s="130"/>
      <c r="O421" s="512"/>
      <c r="P421" s="512"/>
      <c r="Q421" s="512"/>
      <c r="R421" s="512"/>
      <c r="S421" s="512"/>
      <c r="T421" s="512"/>
      <c r="U421" s="512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521">
        <f t="shared" si="167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6"/>
        <v>0</v>
      </c>
      <c r="N422" s="130"/>
      <c r="O422" s="512"/>
      <c r="P422" s="512"/>
      <c r="Q422" s="512"/>
      <c r="R422" s="512"/>
      <c r="S422" s="512"/>
      <c r="T422" s="512"/>
      <c r="U422" s="512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521">
        <f t="shared" si="167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6"/>
        <v>0</v>
      </c>
      <c r="N423" s="130"/>
      <c r="O423" s="512"/>
      <c r="P423" s="512"/>
      <c r="Q423" s="512"/>
      <c r="R423" s="512"/>
      <c r="S423" s="512"/>
      <c r="T423" s="512"/>
      <c r="U423" s="512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521">
        <f t="shared" si="167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6"/>
        <v>0</v>
      </c>
      <c r="N424" s="130"/>
      <c r="O424" s="512"/>
      <c r="P424" s="512"/>
      <c r="Q424" s="512"/>
      <c r="R424" s="512"/>
      <c r="S424" s="512"/>
      <c r="T424" s="512"/>
      <c r="U424" s="512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521">
        <f t="shared" si="167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6"/>
        <v>0</v>
      </c>
      <c r="N425" s="130"/>
      <c r="O425" s="512"/>
      <c r="P425" s="512"/>
      <c r="Q425" s="512"/>
      <c r="R425" s="512"/>
      <c r="S425" s="512"/>
      <c r="T425" s="512"/>
      <c r="U425" s="512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41" t="s">
        <v>216</v>
      </c>
      <c r="B426" s="641"/>
      <c r="C426" s="519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0">SUM(M369:M425)</f>
        <v>0</v>
      </c>
      <c r="N426" s="146">
        <f t="shared" si="190"/>
        <v>0</v>
      </c>
      <c r="O426" s="148">
        <f t="shared" si="190"/>
        <v>0</v>
      </c>
      <c r="P426" s="148">
        <f t="shared" si="190"/>
        <v>0</v>
      </c>
      <c r="Q426" s="148">
        <f t="shared" si="190"/>
        <v>0</v>
      </c>
      <c r="R426" s="148">
        <f t="shared" si="190"/>
        <v>0</v>
      </c>
      <c r="S426" s="148">
        <f t="shared" si="190"/>
        <v>0</v>
      </c>
      <c r="T426" s="148">
        <f t="shared" si="190"/>
        <v>0</v>
      </c>
      <c r="U426" s="148">
        <f t="shared" si="190"/>
        <v>0</v>
      </c>
      <c r="V426" s="149">
        <f t="shared" si="190"/>
        <v>0</v>
      </c>
      <c r="W426" s="133" t="str">
        <f t="shared" ref="W426:W433" si="191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513" t="s">
        <v>217</v>
      </c>
      <c r="C427" s="126" t="s">
        <v>179</v>
      </c>
      <c r="D427" s="108">
        <v>5.03</v>
      </c>
      <c r="E427" s="108"/>
      <c r="F427" s="127"/>
      <c r="G427" s="128"/>
      <c r="H427" s="521">
        <f t="shared" ref="H427:H460" si="192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3">IF(ISERROR(I427-K427),"",I427-K427)</f>
        <v>0</v>
      </c>
      <c r="N427" s="130">
        <f t="shared" ref="N427:N434" si="194">SUM(O427:U427)</f>
        <v>0</v>
      </c>
      <c r="O427" s="512"/>
      <c r="P427" s="512"/>
      <c r="Q427" s="512"/>
      <c r="R427" s="512"/>
      <c r="S427" s="512"/>
      <c r="T427" s="512"/>
      <c r="U427" s="512"/>
      <c r="V427" s="132">
        <f t="shared" ref="V427:V433" si="195">SUM(X427:AA427)</f>
        <v>0</v>
      </c>
      <c r="W427" s="133" t="str">
        <f t="shared" si="191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513" t="s">
        <v>217</v>
      </c>
      <c r="C428" s="126" t="s">
        <v>186</v>
      </c>
      <c r="D428" s="108">
        <v>5.03</v>
      </c>
      <c r="E428" s="108"/>
      <c r="F428" s="127"/>
      <c r="G428" s="128"/>
      <c r="H428" s="521">
        <f t="shared" si="192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3"/>
        <v>0</v>
      </c>
      <c r="N428" s="130">
        <f t="shared" si="194"/>
        <v>0</v>
      </c>
      <c r="O428" s="512"/>
      <c r="P428" s="512"/>
      <c r="Q428" s="512"/>
      <c r="R428" s="512"/>
      <c r="S428" s="512"/>
      <c r="T428" s="512"/>
      <c r="U428" s="512"/>
      <c r="V428" s="132">
        <f t="shared" si="195"/>
        <v>0</v>
      </c>
      <c r="W428" s="133" t="str">
        <f t="shared" si="191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513" t="s">
        <v>217</v>
      </c>
      <c r="C429" s="126" t="s">
        <v>204</v>
      </c>
      <c r="D429" s="108">
        <v>5.03</v>
      </c>
      <c r="E429" s="108"/>
      <c r="F429" s="127"/>
      <c r="G429" s="128"/>
      <c r="H429" s="521">
        <f t="shared" si="192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3"/>
        <v>0</v>
      </c>
      <c r="N429" s="130">
        <f t="shared" si="194"/>
        <v>0</v>
      </c>
      <c r="O429" s="512"/>
      <c r="P429" s="512"/>
      <c r="Q429" s="512"/>
      <c r="R429" s="512"/>
      <c r="S429" s="512"/>
      <c r="T429" s="512"/>
      <c r="U429" s="512"/>
      <c r="V429" s="132">
        <f t="shared" si="195"/>
        <v>0</v>
      </c>
      <c r="W429" s="133" t="str">
        <f t="shared" si="191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521">
        <f t="shared" si="192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3"/>
        <v>0</v>
      </c>
      <c r="N430" s="130">
        <f t="shared" si="194"/>
        <v>0</v>
      </c>
      <c r="O430" s="512"/>
      <c r="P430" s="512"/>
      <c r="Q430" s="512"/>
      <c r="R430" s="512"/>
      <c r="S430" s="512"/>
      <c r="T430" s="512"/>
      <c r="U430" s="512"/>
      <c r="V430" s="132">
        <f t="shared" si="195"/>
        <v>0</v>
      </c>
      <c r="W430" s="133" t="str">
        <f t="shared" si="191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521">
        <f t="shared" si="192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3"/>
        <v>0</v>
      </c>
      <c r="N431" s="130">
        <f t="shared" si="194"/>
        <v>0</v>
      </c>
      <c r="O431" s="512"/>
      <c r="P431" s="512"/>
      <c r="Q431" s="512"/>
      <c r="R431" s="512"/>
      <c r="S431" s="512"/>
      <c r="T431" s="512"/>
      <c r="U431" s="512"/>
      <c r="V431" s="132">
        <f t="shared" si="195"/>
        <v>0</v>
      </c>
      <c r="W431" s="133" t="str">
        <f t="shared" si="191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521">
        <f t="shared" si="192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3"/>
        <v>0</v>
      </c>
      <c r="N432" s="130">
        <f t="shared" si="194"/>
        <v>0</v>
      </c>
      <c r="O432" s="512"/>
      <c r="P432" s="512"/>
      <c r="Q432" s="512"/>
      <c r="R432" s="512"/>
      <c r="S432" s="512"/>
      <c r="T432" s="512"/>
      <c r="U432" s="512"/>
      <c r="V432" s="132">
        <f t="shared" si="195"/>
        <v>0</v>
      </c>
      <c r="W432" s="133" t="str">
        <f t="shared" si="191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521">
        <f t="shared" si="192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3"/>
        <v>0</v>
      </c>
      <c r="N433" s="130">
        <f t="shared" si="194"/>
        <v>0</v>
      </c>
      <c r="O433" s="512"/>
      <c r="P433" s="512"/>
      <c r="Q433" s="512"/>
      <c r="R433" s="512"/>
      <c r="S433" s="512"/>
      <c r="T433" s="512"/>
      <c r="U433" s="512"/>
      <c r="V433" s="132">
        <f t="shared" si="195"/>
        <v>0</v>
      </c>
      <c r="W433" s="133" t="str">
        <f t="shared" si="191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521">
        <f t="shared" si="192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3"/>
        <v>0</v>
      </c>
      <c r="N434" s="130">
        <f t="shared" si="194"/>
        <v>0</v>
      </c>
      <c r="O434" s="512"/>
      <c r="P434" s="512"/>
      <c r="Q434" s="512"/>
      <c r="R434" s="512"/>
      <c r="S434" s="512"/>
      <c r="T434" s="512"/>
      <c r="U434" s="512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521">
        <f t="shared" si="192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512"/>
      <c r="P435" s="512"/>
      <c r="Q435" s="512"/>
      <c r="R435" s="512"/>
      <c r="S435" s="512"/>
      <c r="T435" s="512"/>
      <c r="U435" s="512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521">
        <f t="shared" si="192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512"/>
      <c r="P436" s="512"/>
      <c r="Q436" s="512"/>
      <c r="R436" s="512"/>
      <c r="S436" s="512"/>
      <c r="T436" s="512"/>
      <c r="U436" s="512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521">
        <f t="shared" si="192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512"/>
      <c r="P437" s="512"/>
      <c r="Q437" s="512"/>
      <c r="R437" s="512"/>
      <c r="S437" s="512"/>
      <c r="T437" s="512"/>
      <c r="U437" s="512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521">
        <f t="shared" si="192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512"/>
      <c r="P438" s="512"/>
      <c r="Q438" s="512"/>
      <c r="R438" s="512"/>
      <c r="S438" s="512"/>
      <c r="T438" s="512"/>
      <c r="U438" s="512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521">
        <f t="shared" si="192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196">IF(ISERROR(I439-K439),"",I439-K439)</f>
        <v>0</v>
      </c>
      <c r="N439" s="130">
        <f t="shared" ref="N439:N454" si="197">SUM(O439:U439)</f>
        <v>0</v>
      </c>
      <c r="O439" s="512"/>
      <c r="P439" s="512"/>
      <c r="Q439" s="512"/>
      <c r="R439" s="512"/>
      <c r="S439" s="512"/>
      <c r="T439" s="512"/>
      <c r="U439" s="512"/>
      <c r="V439" s="132">
        <f t="shared" ref="V439:V442" si="198">SUM(X439:AA439)</f>
        <v>0</v>
      </c>
      <c r="W439" s="133" t="str">
        <f t="shared" ref="W439:W446" si="199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521">
        <f t="shared" si="192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196"/>
        <v/>
      </c>
      <c r="N440" s="130">
        <f t="shared" si="197"/>
        <v>0</v>
      </c>
      <c r="O440" s="512"/>
      <c r="P440" s="512"/>
      <c r="Q440" s="512"/>
      <c r="R440" s="512"/>
      <c r="S440" s="512"/>
      <c r="T440" s="512"/>
      <c r="U440" s="512"/>
      <c r="V440" s="132">
        <f t="shared" si="198"/>
        <v>0</v>
      </c>
      <c r="W440" s="133" t="str">
        <f t="shared" si="199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521">
        <f t="shared" si="192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196"/>
        <v/>
      </c>
      <c r="N441" s="130">
        <f t="shared" si="197"/>
        <v>0</v>
      </c>
      <c r="O441" s="512"/>
      <c r="P441" s="512"/>
      <c r="Q441" s="512"/>
      <c r="R441" s="512"/>
      <c r="S441" s="512"/>
      <c r="T441" s="512"/>
      <c r="U441" s="512"/>
      <c r="V441" s="132">
        <f t="shared" si="198"/>
        <v>0</v>
      </c>
      <c r="W441" s="133" t="str">
        <f t="shared" si="199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521">
        <f t="shared" si="192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6"/>
        <v/>
      </c>
      <c r="N442" s="130">
        <f t="shared" si="197"/>
        <v>0</v>
      </c>
      <c r="O442" s="512"/>
      <c r="P442" s="512"/>
      <c r="Q442" s="512"/>
      <c r="R442" s="512"/>
      <c r="S442" s="512"/>
      <c r="T442" s="512"/>
      <c r="U442" s="512"/>
      <c r="V442" s="132">
        <f t="shared" si="198"/>
        <v>0</v>
      </c>
      <c r="W442" s="133" t="str">
        <f t="shared" si="199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513" t="s">
        <v>222</v>
      </c>
      <c r="C443" s="126" t="s">
        <v>181</v>
      </c>
      <c r="D443" s="108">
        <v>9.36</v>
      </c>
      <c r="E443" s="108"/>
      <c r="F443" s="127"/>
      <c r="G443" s="128"/>
      <c r="H443" s="521">
        <f t="shared" si="192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196"/>
        <v>0</v>
      </c>
      <c r="N443" s="130">
        <f t="shared" si="197"/>
        <v>0</v>
      </c>
      <c r="O443" s="512"/>
      <c r="P443" s="512"/>
      <c r="Q443" s="512"/>
      <c r="R443" s="512"/>
      <c r="S443" s="512"/>
      <c r="T443" s="512"/>
      <c r="U443" s="512"/>
      <c r="V443" s="132">
        <f t="shared" ref="V443:V446" si="200">SUM(X443:AA443)</f>
        <v>0</v>
      </c>
      <c r="W443" s="133" t="str">
        <f t="shared" si="199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513" t="s">
        <v>222</v>
      </c>
      <c r="C444" s="126" t="s">
        <v>179</v>
      </c>
      <c r="D444" s="108">
        <v>9.36</v>
      </c>
      <c r="E444" s="108"/>
      <c r="F444" s="127"/>
      <c r="G444" s="128"/>
      <c r="H444" s="521">
        <f t="shared" si="192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196"/>
        <v>0</v>
      </c>
      <c r="N444" s="130">
        <f t="shared" si="197"/>
        <v>0</v>
      </c>
      <c r="O444" s="512"/>
      <c r="P444" s="512"/>
      <c r="Q444" s="512"/>
      <c r="R444" s="512"/>
      <c r="S444" s="512"/>
      <c r="T444" s="512"/>
      <c r="U444" s="512"/>
      <c r="V444" s="132">
        <f t="shared" si="200"/>
        <v>0</v>
      </c>
      <c r="W444" s="133" t="str">
        <f t="shared" si="199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513" t="s">
        <v>222</v>
      </c>
      <c r="C445" s="126" t="s">
        <v>221</v>
      </c>
      <c r="D445" s="108">
        <v>9.36</v>
      </c>
      <c r="E445" s="108"/>
      <c r="F445" s="127"/>
      <c r="G445" s="128"/>
      <c r="H445" s="521">
        <f t="shared" si="192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6"/>
        <v>0</v>
      </c>
      <c r="N445" s="130">
        <f t="shared" si="197"/>
        <v>0</v>
      </c>
      <c r="O445" s="512"/>
      <c r="P445" s="512"/>
      <c r="Q445" s="512"/>
      <c r="R445" s="512"/>
      <c r="S445" s="512"/>
      <c r="T445" s="512"/>
      <c r="U445" s="512"/>
      <c r="V445" s="132">
        <f t="shared" si="200"/>
        <v>0</v>
      </c>
      <c r="W445" s="133" t="str">
        <f t="shared" si="199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513" t="s">
        <v>222</v>
      </c>
      <c r="C446" s="126" t="s">
        <v>186</v>
      </c>
      <c r="D446" s="108">
        <v>9.36</v>
      </c>
      <c r="E446" s="108"/>
      <c r="F446" s="127"/>
      <c r="G446" s="128"/>
      <c r="H446" s="521">
        <f t="shared" si="192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6"/>
        <v>0</v>
      </c>
      <c r="N446" s="130">
        <f t="shared" si="197"/>
        <v>0</v>
      </c>
      <c r="O446" s="512"/>
      <c r="P446" s="512"/>
      <c r="Q446" s="512"/>
      <c r="R446" s="512"/>
      <c r="S446" s="512"/>
      <c r="T446" s="512"/>
      <c r="U446" s="512"/>
      <c r="V446" s="132">
        <f t="shared" si="200"/>
        <v>0</v>
      </c>
      <c r="W446" s="133" t="str">
        <f t="shared" si="199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513" t="s">
        <v>393</v>
      </c>
      <c r="C447" s="187" t="s">
        <v>395</v>
      </c>
      <c r="D447" s="108">
        <v>5</v>
      </c>
      <c r="E447" s="108"/>
      <c r="F447" s="127"/>
      <c r="G447" s="128"/>
      <c r="H447" s="521">
        <f t="shared" si="192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196"/>
        <v>0</v>
      </c>
      <c r="N447" s="130">
        <f t="shared" si="197"/>
        <v>0</v>
      </c>
      <c r="O447" s="512"/>
      <c r="P447" s="512"/>
      <c r="Q447" s="512"/>
      <c r="R447" s="512"/>
      <c r="S447" s="512"/>
      <c r="T447" s="512"/>
      <c r="U447" s="512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513" t="s">
        <v>393</v>
      </c>
      <c r="C448" s="187" t="s">
        <v>402</v>
      </c>
      <c r="D448" s="108">
        <v>5</v>
      </c>
      <c r="E448" s="108"/>
      <c r="F448" s="127"/>
      <c r="G448" s="128"/>
      <c r="H448" s="521">
        <f t="shared" si="192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196"/>
        <v>0</v>
      </c>
      <c r="N448" s="130">
        <f t="shared" si="197"/>
        <v>0</v>
      </c>
      <c r="O448" s="512"/>
      <c r="P448" s="512"/>
      <c r="Q448" s="512"/>
      <c r="R448" s="512"/>
      <c r="S448" s="512"/>
      <c r="T448" s="512"/>
      <c r="U448" s="512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513" t="s">
        <v>404</v>
      </c>
      <c r="C449" s="187" t="s">
        <v>405</v>
      </c>
      <c r="D449" s="108">
        <v>5</v>
      </c>
      <c r="E449" s="108"/>
      <c r="F449" s="127"/>
      <c r="G449" s="128"/>
      <c r="H449" s="521">
        <f t="shared" si="192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6"/>
        <v>0</v>
      </c>
      <c r="N449" s="130">
        <f t="shared" si="197"/>
        <v>0</v>
      </c>
      <c r="O449" s="512"/>
      <c r="P449" s="512"/>
      <c r="Q449" s="512"/>
      <c r="R449" s="512"/>
      <c r="S449" s="512"/>
      <c r="T449" s="512"/>
      <c r="U449" s="512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513" t="s">
        <v>342</v>
      </c>
      <c r="C450" s="187" t="s">
        <v>372</v>
      </c>
      <c r="D450" s="108">
        <v>5</v>
      </c>
      <c r="E450" s="108"/>
      <c r="F450" s="127"/>
      <c r="G450" s="128"/>
      <c r="H450" s="521">
        <f t="shared" si="192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6"/>
        <v>0</v>
      </c>
      <c r="N450" s="130">
        <f t="shared" si="197"/>
        <v>0</v>
      </c>
      <c r="O450" s="512"/>
      <c r="P450" s="512"/>
      <c r="Q450" s="512"/>
      <c r="R450" s="512"/>
      <c r="S450" s="512"/>
      <c r="T450" s="512"/>
      <c r="U450" s="512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513" t="s">
        <v>343</v>
      </c>
      <c r="C451" s="126" t="s">
        <v>345</v>
      </c>
      <c r="D451" s="108">
        <v>5</v>
      </c>
      <c r="E451" s="108"/>
      <c r="F451" s="127"/>
      <c r="G451" s="128"/>
      <c r="H451" s="521">
        <f t="shared" si="192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6"/>
        <v>0</v>
      </c>
      <c r="N451" s="130">
        <f t="shared" si="197"/>
        <v>0</v>
      </c>
      <c r="O451" s="512"/>
      <c r="P451" s="512"/>
      <c r="Q451" s="512"/>
      <c r="R451" s="512"/>
      <c r="S451" s="512"/>
      <c r="T451" s="512"/>
      <c r="U451" s="512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513" t="s">
        <v>343</v>
      </c>
      <c r="C452" s="126" t="s">
        <v>347</v>
      </c>
      <c r="D452" s="108">
        <v>5</v>
      </c>
      <c r="E452" s="108"/>
      <c r="F452" s="127"/>
      <c r="G452" s="128"/>
      <c r="H452" s="521">
        <f t="shared" si="192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6"/>
        <v>0</v>
      </c>
      <c r="N452" s="130">
        <f t="shared" si="197"/>
        <v>0</v>
      </c>
      <c r="O452" s="512"/>
      <c r="P452" s="512"/>
      <c r="Q452" s="512"/>
      <c r="R452" s="512"/>
      <c r="S452" s="512"/>
      <c r="T452" s="512"/>
      <c r="U452" s="512"/>
      <c r="V452" s="132"/>
      <c r="W452" s="133"/>
      <c r="X452" s="132"/>
      <c r="Y452" s="132"/>
      <c r="Z452" s="132"/>
      <c r="AA452" s="132"/>
    </row>
    <row r="453" spans="1:27" ht="20.10000000000000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>
        <v>42720</v>
      </c>
      <c r="G453" s="128">
        <f>100+46+20+83+100*3+50</f>
        <v>599</v>
      </c>
      <c r="H453" s="521">
        <f t="shared" si="192"/>
        <v>3030.9399999999996</v>
      </c>
      <c r="I453" s="129">
        <f>1.5+2+2+9.5+6.5+7</f>
        <v>28.5</v>
      </c>
      <c r="J453" s="130">
        <f t="array" ref="J453">IF(ISERROR(G453/I453),"",G453/I453)</f>
        <v>21.017543859649123</v>
      </c>
      <c r="K453" s="131">
        <f t="array" ref="K453">IF(ISERROR(G453/L453),"",G453/L453)</f>
        <v>38.645161290322584</v>
      </c>
      <c r="L453" s="129">
        <v>15.5</v>
      </c>
      <c r="M453" s="109">
        <f t="shared" si="196"/>
        <v>-10.145161290322584</v>
      </c>
      <c r="N453" s="130">
        <f t="shared" si="197"/>
        <v>0</v>
      </c>
      <c r="O453" s="512"/>
      <c r="P453" s="512"/>
      <c r="Q453" s="512"/>
      <c r="R453" s="512"/>
      <c r="S453" s="512"/>
      <c r="T453" s="512"/>
      <c r="U453" s="512"/>
      <c r="V453" s="132">
        <f t="shared" ref="V453:V454" si="201">SUM(X453:AA453)</f>
        <v>0</v>
      </c>
      <c r="W453" s="133">
        <f t="shared" ref="W453:W454" si="202">IF(ISERROR(V453/G453),"",V453/G453)</f>
        <v>0</v>
      </c>
      <c r="X453" s="132"/>
      <c r="Y453" s="132"/>
      <c r="Z453" s="132"/>
      <c r="AA453" s="132"/>
    </row>
    <row r="454" spans="1:27" ht="20.10000000000000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>
        <v>42719</v>
      </c>
      <c r="G454" s="128">
        <f>90+106+36+100*7+104+100</f>
        <v>1136</v>
      </c>
      <c r="H454" s="521">
        <f t="shared" si="192"/>
        <v>5748.16</v>
      </c>
      <c r="I454" s="129">
        <f>8*2+8.5+7.5+8.5</f>
        <v>40.5</v>
      </c>
      <c r="J454" s="130">
        <f t="array" ref="J454">IF(ISERROR(G454/I454),"",G454/I454)</f>
        <v>28.049382716049383</v>
      </c>
      <c r="K454" s="131">
        <f t="array" ref="K454">IF(ISERROR(G454/L454),"",G454/L454)</f>
        <v>73.290322580645167</v>
      </c>
      <c r="L454" s="129">
        <v>15.5</v>
      </c>
      <c r="M454" s="109">
        <f t="shared" si="196"/>
        <v>-32.790322580645167</v>
      </c>
      <c r="N454" s="130">
        <f t="shared" si="197"/>
        <v>0</v>
      </c>
      <c r="O454" s="512"/>
      <c r="P454" s="512"/>
      <c r="Q454" s="512"/>
      <c r="R454" s="512"/>
      <c r="S454" s="512"/>
      <c r="T454" s="512"/>
      <c r="U454" s="512"/>
      <c r="V454" s="132">
        <f t="shared" si="201"/>
        <v>0</v>
      </c>
      <c r="W454" s="133">
        <f t="shared" si="202"/>
        <v>0</v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>
        <v>5.0599999999999996</v>
      </c>
      <c r="E455" s="108"/>
      <c r="F455" s="127"/>
      <c r="G455" s="128"/>
      <c r="H455" s="521">
        <f t="shared" si="192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196"/>
        <v>0</v>
      </c>
      <c r="N455" s="130"/>
      <c r="O455" s="512"/>
      <c r="P455" s="512"/>
      <c r="Q455" s="512"/>
      <c r="R455" s="512"/>
      <c r="S455" s="512"/>
      <c r="T455" s="512"/>
      <c r="U455" s="512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>
        <v>5.0599999999999996</v>
      </c>
      <c r="E456" s="108"/>
      <c r="F456" s="127"/>
      <c r="G456" s="128"/>
      <c r="H456" s="521">
        <f t="shared" si="192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196"/>
        <v>0</v>
      </c>
      <c r="N456" s="130"/>
      <c r="O456" s="512"/>
      <c r="P456" s="512"/>
      <c r="Q456" s="512"/>
      <c r="R456" s="512"/>
      <c r="S456" s="512"/>
      <c r="T456" s="512"/>
      <c r="U456" s="512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>
        <v>5.0599999999999996</v>
      </c>
      <c r="E457" s="108"/>
      <c r="F457" s="127"/>
      <c r="G457" s="128"/>
      <c r="H457" s="521">
        <f t="shared" si="192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6"/>
        <v>0</v>
      </c>
      <c r="N457" s="130"/>
      <c r="O457" s="512"/>
      <c r="P457" s="512"/>
      <c r="Q457" s="512"/>
      <c r="R457" s="512"/>
      <c r="S457" s="512"/>
      <c r="T457" s="512"/>
      <c r="U457" s="512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521">
        <f t="shared" si="192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196"/>
        <v>0</v>
      </c>
      <c r="N458" s="130">
        <f t="shared" ref="N458:N460" si="203">SUM(O458:U458)</f>
        <v>0</v>
      </c>
      <c r="O458" s="512"/>
      <c r="P458" s="512"/>
      <c r="Q458" s="512"/>
      <c r="R458" s="512"/>
      <c r="S458" s="512"/>
      <c r="T458" s="512"/>
      <c r="U458" s="512"/>
      <c r="V458" s="132">
        <f t="shared" ref="V458:V460" si="204">SUM(X458:AA458)</f>
        <v>0</v>
      </c>
      <c r="W458" s="133" t="str">
        <f t="shared" ref="W458:W482" si="205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521">
        <f t="shared" si="192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196"/>
        <v>0</v>
      </c>
      <c r="N459" s="130">
        <f t="shared" si="203"/>
        <v>0</v>
      </c>
      <c r="O459" s="512"/>
      <c r="P459" s="512"/>
      <c r="Q459" s="512"/>
      <c r="R459" s="512"/>
      <c r="S459" s="512"/>
      <c r="T459" s="512"/>
      <c r="U459" s="512"/>
      <c r="V459" s="132">
        <f t="shared" si="204"/>
        <v>0</v>
      </c>
      <c r="W459" s="133" t="str">
        <f t="shared" si="205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521">
        <f t="shared" si="192"/>
        <v>0</v>
      </c>
      <c r="I460" s="129"/>
      <c r="J460" s="130" t="str">
        <f t="array" ref="J460">IF(ISERROR(G460/I460),"",G460/I460)</f>
        <v/>
      </c>
      <c r="K460" s="521">
        <f t="array" ref="K460">IF(ISERROR(G460/L460),"",G460/L460)</f>
        <v>0</v>
      </c>
      <c r="L460" s="129">
        <v>9</v>
      </c>
      <c r="M460" s="109">
        <f t="shared" si="196"/>
        <v>0</v>
      </c>
      <c r="N460" s="130">
        <f t="shared" si="203"/>
        <v>0</v>
      </c>
      <c r="O460" s="512"/>
      <c r="P460" s="512"/>
      <c r="Q460" s="512"/>
      <c r="R460" s="512"/>
      <c r="S460" s="512"/>
      <c r="T460" s="512"/>
      <c r="U460" s="512"/>
      <c r="V460" s="132">
        <f t="shared" si="204"/>
        <v>0</v>
      </c>
      <c r="W460" s="133" t="str">
        <f t="shared" si="205"/>
        <v/>
      </c>
      <c r="X460" s="132"/>
      <c r="Y460" s="132"/>
      <c r="Z460" s="132"/>
      <c r="AA460" s="132"/>
    </row>
    <row r="461" spans="1:27" ht="20.100000000000001" customHeight="1">
      <c r="A461" s="630" t="s">
        <v>224</v>
      </c>
      <c r="B461" s="631"/>
      <c r="C461" s="519" t="s">
        <v>202</v>
      </c>
      <c r="D461" s="143"/>
      <c r="E461" s="143"/>
      <c r="F461" s="144"/>
      <c r="G461" s="145">
        <f>SUM(G427:G460)</f>
        <v>1735</v>
      </c>
      <c r="H461" s="146">
        <f>SUM(H427:H460)</f>
        <v>8779.0999999999985</v>
      </c>
      <c r="I461" s="146">
        <f>SUM(I427:I460)</f>
        <v>69</v>
      </c>
      <c r="J461" s="130">
        <f t="array" ref="J461">IF(ISERROR(G461/I461),"",G461/I461)</f>
        <v>25.144927536231883</v>
      </c>
      <c r="K461" s="146">
        <f>SUM(K427:K460)</f>
        <v>111.93548387096774</v>
      </c>
      <c r="L461" s="147"/>
      <c r="M461" s="150">
        <f t="shared" ref="M461:V461" si="206">SUM(M427:M460)</f>
        <v>-42.935483870967751</v>
      </c>
      <c r="N461" s="146">
        <f t="shared" si="206"/>
        <v>0</v>
      </c>
      <c r="O461" s="148">
        <f t="shared" si="206"/>
        <v>0</v>
      </c>
      <c r="P461" s="148">
        <f t="shared" si="206"/>
        <v>0</v>
      </c>
      <c r="Q461" s="148">
        <f t="shared" si="206"/>
        <v>0</v>
      </c>
      <c r="R461" s="148">
        <f t="shared" si="206"/>
        <v>0</v>
      </c>
      <c r="S461" s="148">
        <f t="shared" si="206"/>
        <v>0</v>
      </c>
      <c r="T461" s="148">
        <f t="shared" si="206"/>
        <v>0</v>
      </c>
      <c r="U461" s="148">
        <f t="shared" si="206"/>
        <v>0</v>
      </c>
      <c r="V461" s="149">
        <f t="shared" si="206"/>
        <v>0</v>
      </c>
      <c r="W461" s="133">
        <f t="shared" si="205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521">
        <f t="shared" ref="H462:H476" si="207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08">IF(ISERROR(I462-K462),"",I462-K462)</f>
        <v>0</v>
      </c>
      <c r="N462" s="130">
        <f t="shared" ref="N462:N476" si="209">SUM(O462:U462)</f>
        <v>0</v>
      </c>
      <c r="O462" s="512"/>
      <c r="P462" s="512"/>
      <c r="Q462" s="512"/>
      <c r="R462" s="512"/>
      <c r="S462" s="512"/>
      <c r="T462" s="512"/>
      <c r="U462" s="512"/>
      <c r="V462" s="132">
        <f t="shared" ref="V462:V476" si="210">SUM(X462:AA462)</f>
        <v>0</v>
      </c>
      <c r="W462" s="133" t="str">
        <f t="shared" si="205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521">
        <f t="shared" si="207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08"/>
        <v>0</v>
      </c>
      <c r="N463" s="130">
        <f t="shared" si="209"/>
        <v>0</v>
      </c>
      <c r="O463" s="512"/>
      <c r="P463" s="512"/>
      <c r="Q463" s="512"/>
      <c r="R463" s="512"/>
      <c r="S463" s="512"/>
      <c r="T463" s="512"/>
      <c r="U463" s="512"/>
      <c r="V463" s="132">
        <f t="shared" si="210"/>
        <v>0</v>
      </c>
      <c r="W463" s="133" t="str">
        <f t="shared" si="205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521">
        <f t="shared" si="207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08"/>
        <v>0</v>
      </c>
      <c r="N464" s="130">
        <f t="shared" si="209"/>
        <v>0</v>
      </c>
      <c r="O464" s="512"/>
      <c r="P464" s="512"/>
      <c r="Q464" s="512"/>
      <c r="R464" s="512"/>
      <c r="S464" s="512"/>
      <c r="T464" s="512"/>
      <c r="U464" s="512"/>
      <c r="V464" s="132">
        <f t="shared" si="210"/>
        <v>0</v>
      </c>
      <c r="W464" s="133" t="str">
        <f t="shared" si="205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521">
        <f t="shared" si="207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08"/>
        <v>0</v>
      </c>
      <c r="N465" s="130">
        <f t="shared" si="209"/>
        <v>0</v>
      </c>
      <c r="O465" s="512"/>
      <c r="P465" s="512"/>
      <c r="Q465" s="512"/>
      <c r="R465" s="512"/>
      <c r="S465" s="512"/>
      <c r="T465" s="512"/>
      <c r="U465" s="512"/>
      <c r="V465" s="132">
        <f t="shared" si="210"/>
        <v>0</v>
      </c>
      <c r="W465" s="133" t="str">
        <f t="shared" si="205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517" t="s">
        <v>203</v>
      </c>
      <c r="D466" s="108">
        <v>5.03</v>
      </c>
      <c r="E466" s="108"/>
      <c r="F466" s="127"/>
      <c r="G466" s="128"/>
      <c r="H466" s="521">
        <f t="shared" si="207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08"/>
        <v>0</v>
      </c>
      <c r="N466" s="130">
        <f t="shared" si="209"/>
        <v>0</v>
      </c>
      <c r="O466" s="512"/>
      <c r="P466" s="512"/>
      <c r="Q466" s="512"/>
      <c r="R466" s="512"/>
      <c r="S466" s="512"/>
      <c r="T466" s="512"/>
      <c r="U466" s="512"/>
      <c r="V466" s="132">
        <f t="shared" si="210"/>
        <v>0</v>
      </c>
      <c r="W466" s="133" t="str">
        <f t="shared" si="205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521">
        <f t="shared" si="207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08"/>
        <v>0</v>
      </c>
      <c r="N467" s="130">
        <f t="shared" si="209"/>
        <v>0</v>
      </c>
      <c r="O467" s="512"/>
      <c r="P467" s="512"/>
      <c r="Q467" s="512"/>
      <c r="R467" s="512"/>
      <c r="S467" s="512"/>
      <c r="T467" s="512"/>
      <c r="U467" s="512"/>
      <c r="V467" s="132">
        <f t="shared" si="210"/>
        <v>0</v>
      </c>
      <c r="W467" s="133" t="str">
        <f t="shared" si="205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521">
        <f t="shared" si="207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08"/>
        <v>0</v>
      </c>
      <c r="N468" s="130">
        <f t="shared" si="209"/>
        <v>0</v>
      </c>
      <c r="O468" s="512"/>
      <c r="P468" s="512"/>
      <c r="Q468" s="512"/>
      <c r="R468" s="512"/>
      <c r="S468" s="512"/>
      <c r="T468" s="512"/>
      <c r="U468" s="512"/>
      <c r="V468" s="132">
        <f t="shared" si="210"/>
        <v>0</v>
      </c>
      <c r="W468" s="133" t="str">
        <f t="shared" si="205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517" t="s">
        <v>228</v>
      </c>
      <c r="D469" s="108">
        <v>5.03</v>
      </c>
      <c r="E469" s="108"/>
      <c r="F469" s="127"/>
      <c r="G469" s="128"/>
      <c r="H469" s="521">
        <f t="shared" si="207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08"/>
        <v>0</v>
      </c>
      <c r="N469" s="130">
        <f t="shared" si="209"/>
        <v>0</v>
      </c>
      <c r="O469" s="512"/>
      <c r="P469" s="512"/>
      <c r="Q469" s="512"/>
      <c r="R469" s="512"/>
      <c r="S469" s="512"/>
      <c r="T469" s="512"/>
      <c r="U469" s="512"/>
      <c r="V469" s="132">
        <f t="shared" si="210"/>
        <v>0</v>
      </c>
      <c r="W469" s="133" t="str">
        <f t="shared" si="205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517" t="s">
        <v>212</v>
      </c>
      <c r="D470" s="108">
        <v>5.03</v>
      </c>
      <c r="E470" s="108"/>
      <c r="F470" s="127"/>
      <c r="G470" s="128"/>
      <c r="H470" s="521">
        <f t="shared" si="207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08"/>
        <v/>
      </c>
      <c r="N470" s="130">
        <f t="shared" si="209"/>
        <v>0</v>
      </c>
      <c r="O470" s="512"/>
      <c r="P470" s="512"/>
      <c r="Q470" s="512"/>
      <c r="R470" s="512"/>
      <c r="S470" s="512"/>
      <c r="T470" s="512"/>
      <c r="U470" s="512"/>
      <c r="V470" s="132">
        <f t="shared" si="210"/>
        <v>0</v>
      </c>
      <c r="W470" s="133" t="str">
        <f t="shared" si="205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517" t="s">
        <v>203</v>
      </c>
      <c r="D471" s="108">
        <v>5.03</v>
      </c>
      <c r="E471" s="108"/>
      <c r="F471" s="127"/>
      <c r="G471" s="128"/>
      <c r="H471" s="521">
        <f t="shared" si="207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08"/>
        <v/>
      </c>
      <c r="N471" s="130">
        <f t="shared" si="209"/>
        <v>0</v>
      </c>
      <c r="O471" s="512"/>
      <c r="P471" s="512"/>
      <c r="Q471" s="512"/>
      <c r="R471" s="512"/>
      <c r="S471" s="512"/>
      <c r="T471" s="512"/>
      <c r="U471" s="512"/>
      <c r="V471" s="132">
        <f t="shared" si="210"/>
        <v>0</v>
      </c>
      <c r="W471" s="133" t="str">
        <f t="shared" si="205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517" t="s">
        <v>186</v>
      </c>
      <c r="D472" s="108">
        <v>5.03</v>
      </c>
      <c r="E472" s="108"/>
      <c r="F472" s="127"/>
      <c r="G472" s="128"/>
      <c r="H472" s="521">
        <f t="shared" si="207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08"/>
        <v/>
      </c>
      <c r="N472" s="130">
        <f t="shared" si="209"/>
        <v>0</v>
      </c>
      <c r="O472" s="512"/>
      <c r="P472" s="512"/>
      <c r="Q472" s="512"/>
      <c r="R472" s="512"/>
      <c r="S472" s="512"/>
      <c r="T472" s="512"/>
      <c r="U472" s="512"/>
      <c r="V472" s="132">
        <f t="shared" si="210"/>
        <v>0</v>
      </c>
      <c r="W472" s="133" t="str">
        <f t="shared" si="205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517" t="s">
        <v>228</v>
      </c>
      <c r="D473" s="108">
        <v>5.03</v>
      </c>
      <c r="E473" s="108"/>
      <c r="F473" s="127"/>
      <c r="G473" s="128"/>
      <c r="H473" s="521">
        <f t="shared" si="207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08"/>
        <v/>
      </c>
      <c r="N473" s="130">
        <f t="shared" si="209"/>
        <v>0</v>
      </c>
      <c r="O473" s="512"/>
      <c r="P473" s="512"/>
      <c r="Q473" s="512"/>
      <c r="R473" s="512"/>
      <c r="S473" s="512"/>
      <c r="T473" s="512"/>
      <c r="U473" s="512"/>
      <c r="V473" s="132">
        <f t="shared" si="210"/>
        <v>0</v>
      </c>
      <c r="W473" s="133" t="str">
        <f t="shared" si="205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517" t="s">
        <v>199</v>
      </c>
      <c r="D474" s="108">
        <v>5.03</v>
      </c>
      <c r="E474" s="108"/>
      <c r="F474" s="127"/>
      <c r="G474" s="128"/>
      <c r="H474" s="521">
        <f t="shared" si="207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08"/>
        <v/>
      </c>
      <c r="N474" s="130">
        <f t="shared" si="209"/>
        <v>0</v>
      </c>
      <c r="O474" s="512"/>
      <c r="P474" s="512"/>
      <c r="Q474" s="512"/>
      <c r="R474" s="512"/>
      <c r="S474" s="512"/>
      <c r="T474" s="512"/>
      <c r="U474" s="512"/>
      <c r="V474" s="132">
        <f t="shared" si="210"/>
        <v>0</v>
      </c>
      <c r="W474" s="133" t="str">
        <f t="shared" si="205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521">
        <f t="shared" si="207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08"/>
        <v>0</v>
      </c>
      <c r="N475" s="130">
        <f t="shared" si="209"/>
        <v>0</v>
      </c>
      <c r="O475" s="512"/>
      <c r="P475" s="512"/>
      <c r="Q475" s="512"/>
      <c r="R475" s="512"/>
      <c r="S475" s="512"/>
      <c r="T475" s="512"/>
      <c r="U475" s="512"/>
      <c r="V475" s="132">
        <f t="shared" si="210"/>
        <v>0</v>
      </c>
      <c r="W475" s="133" t="str">
        <f t="shared" si="205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521">
        <f t="shared" si="207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08"/>
        <v>0</v>
      </c>
      <c r="N476" s="130">
        <f t="shared" si="209"/>
        <v>0</v>
      </c>
      <c r="O476" s="512"/>
      <c r="P476" s="512"/>
      <c r="Q476" s="512"/>
      <c r="R476" s="512"/>
      <c r="S476" s="512"/>
      <c r="T476" s="512"/>
      <c r="U476" s="512"/>
      <c r="V476" s="132">
        <f t="shared" si="210"/>
        <v>0</v>
      </c>
      <c r="W476" s="133" t="str">
        <f t="shared" si="205"/>
        <v/>
      </c>
      <c r="X476" s="132"/>
      <c r="Y476" s="132"/>
      <c r="Z476" s="132"/>
      <c r="AA476" s="132"/>
    </row>
    <row r="477" spans="1:27" ht="20.100000000000001" hidden="1" customHeight="1">
      <c r="A477" s="630" t="s">
        <v>231</v>
      </c>
      <c r="B477" s="631"/>
      <c r="C477" s="519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5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521">
        <f t="shared" ref="H478:H486" si="211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2">IF(ISERROR(I478-K478),"",I478-K478)</f>
        <v>0</v>
      </c>
      <c r="N478" s="130">
        <f t="shared" ref="N478:N482" si="213">SUM(O478:U478)</f>
        <v>0</v>
      </c>
      <c r="O478" s="512"/>
      <c r="P478" s="512"/>
      <c r="Q478" s="512"/>
      <c r="R478" s="512"/>
      <c r="S478" s="512"/>
      <c r="T478" s="512"/>
      <c r="U478" s="512"/>
      <c r="V478" s="132">
        <f t="shared" ref="V478:V482" si="214">SUM(X478:AA478)</f>
        <v>0</v>
      </c>
      <c r="W478" s="133" t="str">
        <f t="shared" si="205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521">
        <f t="shared" si="211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2"/>
        <v>0</v>
      </c>
      <c r="N479" s="130">
        <f t="shared" si="213"/>
        <v>0</v>
      </c>
      <c r="O479" s="512"/>
      <c r="P479" s="512"/>
      <c r="Q479" s="512"/>
      <c r="R479" s="512"/>
      <c r="S479" s="512"/>
      <c r="T479" s="512"/>
      <c r="U479" s="512"/>
      <c r="V479" s="132">
        <f t="shared" si="214"/>
        <v>0</v>
      </c>
      <c r="W479" s="133" t="str">
        <f t="shared" si="205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521">
        <f t="shared" si="211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2"/>
        <v>0</v>
      </c>
      <c r="N480" s="130">
        <f t="shared" si="213"/>
        <v>0</v>
      </c>
      <c r="O480" s="512"/>
      <c r="P480" s="512"/>
      <c r="Q480" s="512"/>
      <c r="R480" s="512"/>
      <c r="S480" s="512"/>
      <c r="T480" s="512"/>
      <c r="U480" s="512"/>
      <c r="V480" s="132">
        <f t="shared" si="214"/>
        <v>0</v>
      </c>
      <c r="W480" s="133" t="str">
        <f t="shared" si="205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521">
        <f t="shared" si="211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2"/>
        <v>0</v>
      </c>
      <c r="N481" s="130">
        <f t="shared" si="213"/>
        <v>0</v>
      </c>
      <c r="O481" s="512"/>
      <c r="P481" s="512"/>
      <c r="Q481" s="512"/>
      <c r="R481" s="512"/>
      <c r="S481" s="512"/>
      <c r="T481" s="512"/>
      <c r="U481" s="512"/>
      <c r="V481" s="132">
        <f t="shared" si="214"/>
        <v>0</v>
      </c>
      <c r="W481" s="133" t="str">
        <f t="shared" si="205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521">
        <f t="shared" si="211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2"/>
        <v>0</v>
      </c>
      <c r="N482" s="130">
        <f t="shared" si="213"/>
        <v>0</v>
      </c>
      <c r="O482" s="512"/>
      <c r="P482" s="512"/>
      <c r="Q482" s="512"/>
      <c r="R482" s="512"/>
      <c r="S482" s="512"/>
      <c r="T482" s="512"/>
      <c r="U482" s="512"/>
      <c r="V482" s="132">
        <f t="shared" si="214"/>
        <v>0</v>
      </c>
      <c r="W482" s="133" t="str">
        <f t="shared" si="205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521">
        <f t="shared" si="211"/>
        <v>0</v>
      </c>
      <c r="I483" s="129"/>
      <c r="J483" s="130"/>
      <c r="K483" s="131"/>
      <c r="L483" s="129">
        <v>13.5</v>
      </c>
      <c r="M483" s="109"/>
      <c r="N483" s="130"/>
      <c r="O483" s="512"/>
      <c r="P483" s="512"/>
      <c r="Q483" s="512"/>
      <c r="R483" s="512"/>
      <c r="S483" s="512"/>
      <c r="T483" s="512"/>
      <c r="U483" s="512"/>
      <c r="V483" s="132"/>
      <c r="W483" s="133"/>
      <c r="X483" s="132"/>
      <c r="Y483" s="132"/>
      <c r="Z483" s="132"/>
      <c r="AA483" s="132"/>
    </row>
    <row r="484" spans="1:27" ht="20.100000000000001" hidden="1" customHeight="1">
      <c r="A484" s="300">
        <v>30400020</v>
      </c>
      <c r="B484" s="134" t="s">
        <v>439</v>
      </c>
      <c r="C484" s="187" t="s">
        <v>74</v>
      </c>
      <c r="D484" s="108">
        <v>5.04</v>
      </c>
      <c r="E484" s="108"/>
      <c r="F484" s="127"/>
      <c r="G484" s="128"/>
      <c r="H484" s="521">
        <f t="shared" si="211"/>
        <v>0</v>
      </c>
      <c r="I484" s="129"/>
      <c r="J484" s="130"/>
      <c r="K484" s="131"/>
      <c r="L484" s="129">
        <v>13.5</v>
      </c>
      <c r="M484" s="109"/>
      <c r="N484" s="130"/>
      <c r="O484" s="512"/>
      <c r="P484" s="512"/>
      <c r="Q484" s="512"/>
      <c r="R484" s="512"/>
      <c r="S484" s="512"/>
      <c r="T484" s="512"/>
      <c r="U484" s="512"/>
      <c r="V484" s="132"/>
      <c r="W484" s="133"/>
      <c r="X484" s="132"/>
      <c r="Y484" s="132"/>
      <c r="Z484" s="132"/>
      <c r="AA484" s="132"/>
    </row>
    <row r="485" spans="1:27" ht="20.100000000000001" hidden="1" customHeight="1">
      <c r="A485" s="300">
        <v>30400021</v>
      </c>
      <c r="B485" s="134" t="s">
        <v>439</v>
      </c>
      <c r="C485" s="187" t="s">
        <v>53</v>
      </c>
      <c r="D485" s="108">
        <v>5.04</v>
      </c>
      <c r="E485" s="108"/>
      <c r="F485" s="127"/>
      <c r="G485" s="128"/>
      <c r="H485" s="521">
        <f t="shared" si="211"/>
        <v>0</v>
      </c>
      <c r="I485" s="129"/>
      <c r="J485" s="130"/>
      <c r="K485" s="131"/>
      <c r="L485" s="129">
        <v>13.5</v>
      </c>
      <c r="M485" s="109"/>
      <c r="N485" s="130"/>
      <c r="O485" s="512"/>
      <c r="P485" s="512"/>
      <c r="Q485" s="512"/>
      <c r="R485" s="512"/>
      <c r="S485" s="512"/>
      <c r="T485" s="512"/>
      <c r="U485" s="512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521">
        <f t="shared" si="211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5">IF(ISERROR(I486-K486),"",I486-K486)</f>
        <v>0</v>
      </c>
      <c r="N486" s="130">
        <f t="shared" ref="N486" si="216">SUM(O486:U486)</f>
        <v>0</v>
      </c>
      <c r="O486" s="512"/>
      <c r="P486" s="512"/>
      <c r="Q486" s="512"/>
      <c r="R486" s="512"/>
      <c r="S486" s="512"/>
      <c r="T486" s="512"/>
      <c r="U486" s="512"/>
      <c r="V486" s="132">
        <f t="shared" ref="V486" si="217">SUM(X486:AA486)</f>
        <v>0</v>
      </c>
      <c r="W486" s="133" t="str">
        <f t="shared" ref="W486:W491" si="218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30" t="s">
        <v>234</v>
      </c>
      <c r="B487" s="631"/>
      <c r="C487" s="519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18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511"/>
      <c r="D488" s="108">
        <v>3.65</v>
      </c>
      <c r="E488" s="108"/>
      <c r="F488" s="153"/>
      <c r="G488" s="128"/>
      <c r="H488" s="521">
        <f t="shared" ref="H488:H502" si="219">D488*G488</f>
        <v>0</v>
      </c>
      <c r="I488" s="129"/>
      <c r="J488" s="130" t="str">
        <f t="array" ref="J488">IF(ISERROR(G488/I488),"",G488/I488)</f>
        <v/>
      </c>
      <c r="K488" s="521">
        <f t="array" ref="K488">IF(ISERROR(G488/L488),"",G488/L488)</f>
        <v>0</v>
      </c>
      <c r="L488" s="129">
        <v>5</v>
      </c>
      <c r="M488" s="109">
        <f t="shared" ref="M488:M491" si="220">IF(ISERROR(I488-K488),"",I488-K488)</f>
        <v>0</v>
      </c>
      <c r="N488" s="130">
        <f t="shared" ref="N488:N491" si="221">SUM(O488:U488)</f>
        <v>0</v>
      </c>
      <c r="O488" s="512"/>
      <c r="P488" s="512"/>
      <c r="Q488" s="512"/>
      <c r="R488" s="512"/>
      <c r="S488" s="512"/>
      <c r="T488" s="512"/>
      <c r="U488" s="512"/>
      <c r="V488" s="132">
        <f t="shared" ref="V488:V491" si="222">SUM(X488:AA488)</f>
        <v>0</v>
      </c>
      <c r="W488" s="133" t="str">
        <f t="shared" si="218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511"/>
      <c r="D489" s="108">
        <v>6.58</v>
      </c>
      <c r="E489" s="108"/>
      <c r="F489" s="127"/>
      <c r="G489" s="128"/>
      <c r="H489" s="521">
        <f t="shared" si="219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0"/>
        <v>0</v>
      </c>
      <c r="N489" s="130">
        <f t="shared" si="221"/>
        <v>0</v>
      </c>
      <c r="O489" s="512"/>
      <c r="P489" s="512"/>
      <c r="Q489" s="512"/>
      <c r="R489" s="512"/>
      <c r="S489" s="512"/>
      <c r="T489" s="512"/>
      <c r="U489" s="512"/>
      <c r="V489" s="132">
        <f t="shared" si="222"/>
        <v>0</v>
      </c>
      <c r="W489" s="133" t="str">
        <f t="shared" si="218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511"/>
      <c r="D490" s="108">
        <v>7.8</v>
      </c>
      <c r="E490" s="108"/>
      <c r="F490" s="127"/>
      <c r="G490" s="128"/>
      <c r="H490" s="521">
        <f t="shared" si="219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0"/>
        <v>0</v>
      </c>
      <c r="N490" s="130">
        <f t="shared" si="221"/>
        <v>0</v>
      </c>
      <c r="O490" s="512"/>
      <c r="P490" s="512"/>
      <c r="Q490" s="512"/>
      <c r="R490" s="512"/>
      <c r="S490" s="512"/>
      <c r="T490" s="512"/>
      <c r="U490" s="512"/>
      <c r="V490" s="132">
        <f t="shared" si="222"/>
        <v>0</v>
      </c>
      <c r="W490" s="133" t="str">
        <f t="shared" si="218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511"/>
      <c r="D491" s="108">
        <v>4.4000000000000004</v>
      </c>
      <c r="E491" s="108"/>
      <c r="F491" s="127"/>
      <c r="G491" s="128"/>
      <c r="H491" s="521">
        <f t="shared" si="219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0"/>
        <v>0</v>
      </c>
      <c r="N491" s="130">
        <f t="shared" si="221"/>
        <v>0</v>
      </c>
      <c r="O491" s="512"/>
      <c r="P491" s="512"/>
      <c r="Q491" s="512"/>
      <c r="R491" s="512"/>
      <c r="S491" s="512"/>
      <c r="T491" s="512"/>
      <c r="U491" s="512"/>
      <c r="V491" s="132">
        <f t="shared" si="222"/>
        <v>0</v>
      </c>
      <c r="W491" s="133" t="str">
        <f t="shared" si="218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521">
        <f t="shared" si="219"/>
        <v>0</v>
      </c>
      <c r="I492" s="129"/>
      <c r="J492" s="130"/>
      <c r="K492" s="131"/>
      <c r="L492" s="129"/>
      <c r="M492" s="109"/>
      <c r="N492" s="130"/>
      <c r="O492" s="512"/>
      <c r="P492" s="512"/>
      <c r="Q492" s="512"/>
      <c r="R492" s="512"/>
      <c r="S492" s="512"/>
      <c r="T492" s="512"/>
      <c r="U492" s="512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511"/>
      <c r="D493" s="108"/>
      <c r="E493" s="108"/>
      <c r="F493" s="127"/>
      <c r="G493" s="128"/>
      <c r="H493" s="521">
        <f t="shared" si="219"/>
        <v>0</v>
      </c>
      <c r="I493" s="129"/>
      <c r="J493" s="130"/>
      <c r="K493" s="131"/>
      <c r="L493" s="129">
        <v>6</v>
      </c>
      <c r="M493" s="109"/>
      <c r="N493" s="130"/>
      <c r="O493" s="512"/>
      <c r="P493" s="512"/>
      <c r="Q493" s="512"/>
      <c r="R493" s="512"/>
      <c r="S493" s="512"/>
      <c r="T493" s="512"/>
      <c r="U493" s="512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511" t="s">
        <v>239</v>
      </c>
      <c r="C494" s="511" t="s">
        <v>179</v>
      </c>
      <c r="D494" s="108">
        <v>6.04</v>
      </c>
      <c r="E494" s="108"/>
      <c r="F494" s="127"/>
      <c r="G494" s="128"/>
      <c r="H494" s="521">
        <f t="shared" si="219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3">IF(ISERROR(I494-K494),"",I494-K494)</f>
        <v>0</v>
      </c>
      <c r="N494" s="130">
        <f t="shared" ref="N494:N495" si="224">SUM(O494:U494)</f>
        <v>0</v>
      </c>
      <c r="O494" s="512"/>
      <c r="P494" s="512"/>
      <c r="Q494" s="512"/>
      <c r="R494" s="512"/>
      <c r="S494" s="512"/>
      <c r="T494" s="512"/>
      <c r="U494" s="512"/>
      <c r="V494" s="132">
        <f t="shared" ref="V494:V495" si="225">SUM(X494:AA494)</f>
        <v>0</v>
      </c>
      <c r="W494" s="133" t="str">
        <f t="shared" ref="W494:W495" si="226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511" t="s">
        <v>239</v>
      </c>
      <c r="C495" s="511" t="s">
        <v>186</v>
      </c>
      <c r="D495" s="108">
        <v>6.04</v>
      </c>
      <c r="E495" s="108"/>
      <c r="F495" s="127"/>
      <c r="G495" s="128"/>
      <c r="H495" s="521">
        <f t="shared" si="219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3"/>
        <v>0</v>
      </c>
      <c r="N495" s="130">
        <f t="shared" si="224"/>
        <v>0</v>
      </c>
      <c r="O495" s="512"/>
      <c r="P495" s="512"/>
      <c r="Q495" s="512"/>
      <c r="R495" s="512"/>
      <c r="S495" s="512"/>
      <c r="T495" s="512"/>
      <c r="U495" s="512"/>
      <c r="V495" s="132">
        <f t="shared" si="225"/>
        <v>0</v>
      </c>
      <c r="W495" s="133" t="str">
        <f t="shared" si="226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511" t="s">
        <v>443</v>
      </c>
      <c r="C496" s="511" t="s">
        <v>179</v>
      </c>
      <c r="D496" s="108"/>
      <c r="E496" s="108"/>
      <c r="F496" s="127"/>
      <c r="G496" s="128"/>
      <c r="H496" s="521">
        <f t="shared" si="219"/>
        <v>0</v>
      </c>
      <c r="I496" s="129"/>
      <c r="J496" s="130"/>
      <c r="K496" s="131"/>
      <c r="L496" s="129"/>
      <c r="M496" s="109"/>
      <c r="N496" s="130"/>
      <c r="O496" s="512"/>
      <c r="P496" s="512"/>
      <c r="Q496" s="512"/>
      <c r="R496" s="512"/>
      <c r="S496" s="512"/>
      <c r="T496" s="512"/>
      <c r="U496" s="512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511" t="s">
        <v>443</v>
      </c>
      <c r="C497" s="511" t="s">
        <v>186</v>
      </c>
      <c r="D497" s="108"/>
      <c r="E497" s="108"/>
      <c r="F497" s="127"/>
      <c r="G497" s="128"/>
      <c r="H497" s="521">
        <f t="shared" si="219"/>
        <v>0</v>
      </c>
      <c r="I497" s="129"/>
      <c r="J497" s="130"/>
      <c r="K497" s="131"/>
      <c r="L497" s="129"/>
      <c r="M497" s="109"/>
      <c r="N497" s="130"/>
      <c r="O497" s="512"/>
      <c r="P497" s="512"/>
      <c r="Q497" s="512"/>
      <c r="R497" s="512"/>
      <c r="S497" s="512"/>
      <c r="T497" s="512"/>
      <c r="U497" s="512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513" t="s">
        <v>240</v>
      </c>
      <c r="C498" s="126"/>
      <c r="D498" s="108">
        <v>7.3</v>
      </c>
      <c r="E498" s="108"/>
      <c r="F498" s="127"/>
      <c r="G498" s="128"/>
      <c r="H498" s="521">
        <f t="shared" si="219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27">IF(ISERROR(I498-K498),"",I498-K498)</f>
        <v>0</v>
      </c>
      <c r="N498" s="130">
        <f t="shared" ref="N498" si="228">SUM(O498:U498)</f>
        <v>0</v>
      </c>
      <c r="O498" s="512"/>
      <c r="P498" s="512"/>
      <c r="Q498" s="512"/>
      <c r="R498" s="512"/>
      <c r="S498" s="512"/>
      <c r="T498" s="512"/>
      <c r="U498" s="512"/>
      <c r="V498" s="132">
        <f t="shared" ref="V498" si="229">SUM(X498:AA498)</f>
        <v>0</v>
      </c>
      <c r="W498" s="133" t="str">
        <f t="shared" ref="W498" si="230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513" t="s">
        <v>241</v>
      </c>
      <c r="C499" s="126"/>
      <c r="D499" s="108">
        <f>78*120/1000</f>
        <v>9.36</v>
      </c>
      <c r="E499" s="108"/>
      <c r="F499" s="127"/>
      <c r="G499" s="128"/>
      <c r="H499" s="521">
        <f t="shared" si="219"/>
        <v>0</v>
      </c>
      <c r="I499" s="129"/>
      <c r="J499" s="130"/>
      <c r="K499" s="131"/>
      <c r="L499" s="129"/>
      <c r="M499" s="109"/>
      <c r="N499" s="130"/>
      <c r="O499" s="512"/>
      <c r="P499" s="512"/>
      <c r="Q499" s="512"/>
      <c r="R499" s="512"/>
      <c r="S499" s="512"/>
      <c r="T499" s="512"/>
      <c r="U499" s="512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513" t="s">
        <v>242</v>
      </c>
      <c r="C500" s="126"/>
      <c r="D500" s="108">
        <v>4.5</v>
      </c>
      <c r="E500" s="108"/>
      <c r="F500" s="127"/>
      <c r="G500" s="128"/>
      <c r="H500" s="521">
        <f t="shared" si="219"/>
        <v>0</v>
      </c>
      <c r="I500" s="129"/>
      <c r="J500" s="130"/>
      <c r="K500" s="131"/>
      <c r="L500" s="129"/>
      <c r="M500" s="109"/>
      <c r="N500" s="130"/>
      <c r="O500" s="512"/>
      <c r="P500" s="512"/>
      <c r="Q500" s="512"/>
      <c r="R500" s="512"/>
      <c r="S500" s="512"/>
      <c r="T500" s="512"/>
      <c r="U500" s="512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513" t="s">
        <v>243</v>
      </c>
      <c r="C501" s="126"/>
      <c r="D501" s="108">
        <v>4.5</v>
      </c>
      <c r="E501" s="108"/>
      <c r="F501" s="127"/>
      <c r="G501" s="128"/>
      <c r="H501" s="521">
        <f t="shared" si="219"/>
        <v>0</v>
      </c>
      <c r="I501" s="129"/>
      <c r="J501" s="130"/>
      <c r="K501" s="131"/>
      <c r="L501" s="129"/>
      <c r="M501" s="109"/>
      <c r="N501" s="130"/>
      <c r="O501" s="512"/>
      <c r="P501" s="512"/>
      <c r="Q501" s="512"/>
      <c r="R501" s="512"/>
      <c r="S501" s="512"/>
      <c r="T501" s="512"/>
      <c r="U501" s="512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513"/>
      <c r="C502" s="126"/>
      <c r="D502" s="108"/>
      <c r="E502" s="108"/>
      <c r="F502" s="127"/>
      <c r="G502" s="128"/>
      <c r="H502" s="521">
        <f t="shared" si="219"/>
        <v>0</v>
      </c>
      <c r="I502" s="129"/>
      <c r="J502" s="130"/>
      <c r="K502" s="131"/>
      <c r="L502" s="129"/>
      <c r="M502" s="109"/>
      <c r="N502" s="130"/>
      <c r="O502" s="512"/>
      <c r="P502" s="512"/>
      <c r="Q502" s="512"/>
      <c r="R502" s="512"/>
      <c r="S502" s="512"/>
      <c r="T502" s="512"/>
      <c r="U502" s="512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30" t="s">
        <v>244</v>
      </c>
      <c r="B503" s="631"/>
      <c r="C503" s="519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1">SUM(M488:M498)</f>
        <v>0</v>
      </c>
      <c r="N503" s="146">
        <f t="shared" si="231"/>
        <v>0</v>
      </c>
      <c r="O503" s="148">
        <f t="shared" si="231"/>
        <v>0</v>
      </c>
      <c r="P503" s="148">
        <f t="shared" si="231"/>
        <v>0</v>
      </c>
      <c r="Q503" s="148">
        <f t="shared" si="231"/>
        <v>0</v>
      </c>
      <c r="R503" s="148">
        <f t="shared" si="231"/>
        <v>0</v>
      </c>
      <c r="S503" s="148">
        <f t="shared" si="231"/>
        <v>0</v>
      </c>
      <c r="T503" s="148">
        <f t="shared" si="231"/>
        <v>0</v>
      </c>
      <c r="U503" s="148">
        <f t="shared" si="231"/>
        <v>0</v>
      </c>
      <c r="V503" s="149">
        <f t="shared" si="231"/>
        <v>0</v>
      </c>
      <c r="W503" s="133">
        <f t="shared" si="231"/>
        <v>0</v>
      </c>
      <c r="X503" s="149">
        <f t="shared" si="231"/>
        <v>0</v>
      </c>
      <c r="Y503" s="149">
        <f t="shared" si="231"/>
        <v>0</v>
      </c>
      <c r="Z503" s="149">
        <f t="shared" si="231"/>
        <v>0</v>
      </c>
      <c r="AA503" s="149">
        <f t="shared" si="231"/>
        <v>0</v>
      </c>
    </row>
    <row r="504" spans="1:27" ht="20.100000000000001" customHeight="1">
      <c r="A504" s="632" t="s">
        <v>246</v>
      </c>
      <c r="B504" s="633"/>
      <c r="C504" s="633"/>
      <c r="D504" s="633"/>
      <c r="E504" s="633"/>
      <c r="F504" s="634"/>
      <c r="G504" s="154">
        <f>SUM(G368,G426,G461,G477,G487,G503)</f>
        <v>1735</v>
      </c>
      <c r="H504" s="154">
        <f>SUM(H368,H426,H461,H477,H487,H503)</f>
        <v>8779.0999999999985</v>
      </c>
      <c r="I504" s="154">
        <f>SUM(I368,I426,I461,I477,I487,I503)</f>
        <v>69</v>
      </c>
      <c r="J504" s="155">
        <f t="array" ref="J504">IF(ISERROR(G504/I504),"",G504/I504)</f>
        <v>25.144927536231883</v>
      </c>
      <c r="K504" s="154">
        <f>SUM(K368,K426,K461,K477,K487,K503)</f>
        <v>111.93548387096774</v>
      </c>
      <c r="L504" s="155">
        <f>IF(ISERROR(G504/K504),"",G504/K504)</f>
        <v>15.5</v>
      </c>
      <c r="M504" s="154">
        <f t="shared" ref="M504:V504" si="232">SUM(M368,M426,M461,M477,M487,M503)</f>
        <v>-42.935483870967751</v>
      </c>
      <c r="N504" s="154">
        <f t="shared" si="232"/>
        <v>0</v>
      </c>
      <c r="O504" s="154">
        <f t="shared" si="232"/>
        <v>0</v>
      </c>
      <c r="P504" s="154">
        <f t="shared" si="232"/>
        <v>0</v>
      </c>
      <c r="Q504" s="154">
        <f t="shared" si="232"/>
        <v>0</v>
      </c>
      <c r="R504" s="154">
        <f t="shared" si="232"/>
        <v>0</v>
      </c>
      <c r="S504" s="154">
        <f t="shared" si="232"/>
        <v>0</v>
      </c>
      <c r="T504" s="154">
        <f t="shared" si="232"/>
        <v>0</v>
      </c>
      <c r="U504" s="154">
        <f t="shared" si="232"/>
        <v>0</v>
      </c>
      <c r="V504" s="154">
        <f t="shared" si="232"/>
        <v>0</v>
      </c>
      <c r="W504" s="156">
        <f t="shared" ref="W504" si="233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35" t="s">
        <v>476</v>
      </c>
      <c r="B505" s="518" t="s">
        <v>247</v>
      </c>
      <c r="C505" s="638" t="s">
        <v>248</v>
      </c>
      <c r="D505" s="639"/>
      <c r="E505" s="640" t="s">
        <v>249</v>
      </c>
      <c r="F505" s="640"/>
      <c r="G505" s="643" t="s">
        <v>250</v>
      </c>
      <c r="H505" s="643"/>
      <c r="I505" s="640" t="s">
        <v>251</v>
      </c>
      <c r="J505" s="640"/>
      <c r="K505" s="640" t="s">
        <v>252</v>
      </c>
      <c r="L505" s="640"/>
      <c r="M505" s="640" t="s">
        <v>253</v>
      </c>
      <c r="N505" s="640"/>
      <c r="O505" s="640" t="s">
        <v>254</v>
      </c>
      <c r="P505" s="643" t="s">
        <v>255</v>
      </c>
      <c r="Q505" s="643"/>
      <c r="R505" s="643" t="s">
        <v>252</v>
      </c>
      <c r="S505" s="643"/>
      <c r="T505" s="643" t="s">
        <v>256</v>
      </c>
      <c r="U505" s="643"/>
      <c r="V505" s="643" t="s">
        <v>257</v>
      </c>
      <c r="W505" s="643"/>
      <c r="X505" s="643" t="s">
        <v>252</v>
      </c>
      <c r="Y505" s="643"/>
      <c r="Z505" s="643" t="s">
        <v>256</v>
      </c>
      <c r="AA505" s="643"/>
    </row>
    <row r="506" spans="1:27" ht="20.100000000000001" customHeight="1">
      <c r="A506" s="636"/>
      <c r="B506" s="518" t="s">
        <v>258</v>
      </c>
      <c r="C506" s="638">
        <v>0</v>
      </c>
      <c r="D506" s="639"/>
      <c r="E506" s="642">
        <f>C506*11</f>
        <v>0</v>
      </c>
      <c r="F506" s="642"/>
      <c r="G506" s="643">
        <v>0</v>
      </c>
      <c r="H506" s="643"/>
      <c r="I506" s="642">
        <f>G506*11</f>
        <v>0</v>
      </c>
      <c r="J506" s="642"/>
      <c r="K506" s="642">
        <f>E506-I506</f>
        <v>0</v>
      </c>
      <c r="L506" s="642"/>
      <c r="M506" s="644" t="str">
        <f>IF(ISERROR(K506/E506),"",K506/E506)</f>
        <v/>
      </c>
      <c r="N506" s="644"/>
      <c r="O506" s="640"/>
      <c r="P506" s="643" t="s">
        <v>201</v>
      </c>
      <c r="Q506" s="643"/>
      <c r="R506" s="645">
        <f>SUM(O368:U368)</f>
        <v>0</v>
      </c>
      <c r="S506" s="645"/>
      <c r="T506" s="646" t="str">
        <f t="array" ref="T506">IF(ISERROR(R506/R513),"",R506/R513)</f>
        <v/>
      </c>
      <c r="U506" s="646"/>
      <c r="V506" s="643" t="s">
        <v>259</v>
      </c>
      <c r="W506" s="643"/>
      <c r="X506" s="647">
        <f>SUM(O368,O426,O461,O477,O487,O503)</f>
        <v>0</v>
      </c>
      <c r="Y506" s="647"/>
      <c r="Z506" s="646" t="str">
        <f t="array" ref="Z506">IF(ISERROR(X506/X513),"",X506/X513)</f>
        <v/>
      </c>
      <c r="AA506" s="646"/>
    </row>
    <row r="507" spans="1:27" ht="20.100000000000001" customHeight="1">
      <c r="A507" s="636"/>
      <c r="B507" s="518" t="s">
        <v>260</v>
      </c>
      <c r="C507" s="638">
        <v>0</v>
      </c>
      <c r="D507" s="639"/>
      <c r="E507" s="642">
        <f>C507*11</f>
        <v>0</v>
      </c>
      <c r="F507" s="642"/>
      <c r="G507" s="643">
        <v>0</v>
      </c>
      <c r="H507" s="643"/>
      <c r="I507" s="642">
        <f>G507*11</f>
        <v>0</v>
      </c>
      <c r="J507" s="642"/>
      <c r="K507" s="642">
        <f>E507-I507</f>
        <v>0</v>
      </c>
      <c r="L507" s="642"/>
      <c r="M507" s="644" t="str">
        <f>IF(ISERROR(K507/E507),"",K507/E507)</f>
        <v/>
      </c>
      <c r="N507" s="644"/>
      <c r="O507" s="640"/>
      <c r="P507" s="643" t="s">
        <v>216</v>
      </c>
      <c r="Q507" s="643"/>
      <c r="R507" s="645">
        <f>SUM(O426:U426)</f>
        <v>0</v>
      </c>
      <c r="S507" s="645"/>
      <c r="T507" s="646" t="str">
        <f>IF(ISERROR(R507/R513),"",R507/R513)</f>
        <v/>
      </c>
      <c r="U507" s="646"/>
      <c r="V507" s="643" t="s">
        <v>261</v>
      </c>
      <c r="W507" s="643"/>
      <c r="X507" s="647">
        <f>SUM(O369,O427,O462,O478,O488,O504)</f>
        <v>0</v>
      </c>
      <c r="Y507" s="647"/>
      <c r="Z507" s="646" t="str">
        <f>IF(ISERROR(X507/X513),"",X507/X513)</f>
        <v/>
      </c>
      <c r="AA507" s="646"/>
    </row>
    <row r="508" spans="1:27" ht="20.100000000000001" customHeight="1">
      <c r="A508" s="636"/>
      <c r="B508" s="518" t="s">
        <v>262</v>
      </c>
      <c r="C508" s="638">
        <v>0</v>
      </c>
      <c r="D508" s="639"/>
      <c r="E508" s="642">
        <f>C508*11</f>
        <v>0</v>
      </c>
      <c r="F508" s="642"/>
      <c r="G508" s="643">
        <v>0</v>
      </c>
      <c r="H508" s="643"/>
      <c r="I508" s="642">
        <f>G508*11</f>
        <v>0</v>
      </c>
      <c r="J508" s="642"/>
      <c r="K508" s="642">
        <f>E508-I508</f>
        <v>0</v>
      </c>
      <c r="L508" s="642"/>
      <c r="M508" s="644" t="str">
        <f>IF(ISERROR(K508/E508),"",K508/E508)</f>
        <v/>
      </c>
      <c r="N508" s="644"/>
      <c r="O508" s="640"/>
      <c r="P508" s="643" t="s">
        <v>224</v>
      </c>
      <c r="Q508" s="643"/>
      <c r="R508" s="645">
        <f>SUM(O461:U461)</f>
        <v>0</v>
      </c>
      <c r="S508" s="645"/>
      <c r="T508" s="646" t="str">
        <f>IF(ISERROR(R508/R513),"",R508/R513)</f>
        <v/>
      </c>
      <c r="U508" s="646"/>
      <c r="V508" s="643" t="s">
        <v>263</v>
      </c>
      <c r="W508" s="643"/>
      <c r="X508" s="647">
        <f>SUM(O371,O428,O463,O479,O489,O505)</f>
        <v>0</v>
      </c>
      <c r="Y508" s="647"/>
      <c r="Z508" s="646" t="str">
        <f>IF(ISERROR(X508/X513),"",X508/X513)</f>
        <v/>
      </c>
      <c r="AA508" s="646"/>
    </row>
    <row r="509" spans="1:27" ht="20.100000000000001" customHeight="1">
      <c r="A509" s="636"/>
      <c r="B509" s="518" t="s">
        <v>264</v>
      </c>
      <c r="C509" s="638">
        <v>1</v>
      </c>
      <c r="D509" s="639"/>
      <c r="E509" s="642">
        <f>C509*11</f>
        <v>11</v>
      </c>
      <c r="F509" s="642"/>
      <c r="G509" s="643">
        <v>1</v>
      </c>
      <c r="H509" s="643"/>
      <c r="I509" s="642">
        <f>G509*11</f>
        <v>11</v>
      </c>
      <c r="J509" s="642"/>
      <c r="K509" s="642">
        <f>E509-I509</f>
        <v>0</v>
      </c>
      <c r="L509" s="642"/>
      <c r="M509" s="644">
        <f>IF(ISERROR(K509/E509),"",K509/E509)</f>
        <v>0</v>
      </c>
      <c r="N509" s="644"/>
      <c r="O509" s="640"/>
      <c r="P509" s="643" t="s">
        <v>231</v>
      </c>
      <c r="Q509" s="643"/>
      <c r="R509" s="645">
        <f>SUM(O477:U477)</f>
        <v>0</v>
      </c>
      <c r="S509" s="645"/>
      <c r="T509" s="646" t="str">
        <f>IF(ISERROR(R509/R513),"",R509/R513)</f>
        <v/>
      </c>
      <c r="U509" s="646"/>
      <c r="V509" s="643" t="s">
        <v>265</v>
      </c>
      <c r="W509" s="643"/>
      <c r="X509" s="647">
        <f>SUM(O372,O429,O464,O480,O490,O506)</f>
        <v>0</v>
      </c>
      <c r="Y509" s="647"/>
      <c r="Z509" s="646" t="str">
        <f>IF(ISERROR(X509/X513),"",X509/X513)</f>
        <v/>
      </c>
      <c r="AA509" s="646"/>
    </row>
    <row r="510" spans="1:27" ht="20.100000000000001" customHeight="1">
      <c r="A510" s="637"/>
      <c r="B510" s="518" t="s">
        <v>266</v>
      </c>
      <c r="C510" s="648">
        <f>SUM(C506:D509)</f>
        <v>1</v>
      </c>
      <c r="D510" s="649"/>
      <c r="E510" s="642">
        <f>SUM(E506:F509)</f>
        <v>11</v>
      </c>
      <c r="F510" s="642"/>
      <c r="G510" s="643">
        <f>SUM(G506:H509)</f>
        <v>1</v>
      </c>
      <c r="H510" s="643"/>
      <c r="I510" s="642">
        <f>SUM(I506:J509)</f>
        <v>11</v>
      </c>
      <c r="J510" s="642"/>
      <c r="K510" s="642">
        <f>SUM(K506:L509)</f>
        <v>0</v>
      </c>
      <c r="L510" s="642"/>
      <c r="M510" s="644">
        <f>IF(ISERROR(K510/E510),"",K510/E510)</f>
        <v>0</v>
      </c>
      <c r="N510" s="644"/>
      <c r="O510" s="640"/>
      <c r="P510" s="643" t="s">
        <v>234</v>
      </c>
      <c r="Q510" s="643"/>
      <c r="R510" s="645">
        <f>SUM(O487:U487)</f>
        <v>0</v>
      </c>
      <c r="S510" s="645"/>
      <c r="T510" s="646" t="str">
        <f>IF(ISERROR(R510/R513),"",R510/R513)</f>
        <v/>
      </c>
      <c r="U510" s="646"/>
      <c r="V510" s="643" t="s">
        <v>267</v>
      </c>
      <c r="W510" s="643"/>
      <c r="X510" s="647">
        <f>SUM(O373,O430,O465,O481,O491,O507)</f>
        <v>0</v>
      </c>
      <c r="Y510" s="647"/>
      <c r="Z510" s="646" t="str">
        <f>IF(ISERROR(X510/X513),"",X510/X513)</f>
        <v/>
      </c>
      <c r="AA510" s="646"/>
    </row>
    <row r="511" spans="1:27" ht="20.100000000000001" customHeight="1">
      <c r="A511" s="307" t="s">
        <v>477</v>
      </c>
      <c r="B511" s="518">
        <f>G504</f>
        <v>1735</v>
      </c>
      <c r="C511" s="650" t="s">
        <v>269</v>
      </c>
      <c r="D511" s="651"/>
      <c r="E511" s="643">
        <f>H504</f>
        <v>8779.0999999999985</v>
      </c>
      <c r="F511" s="643"/>
      <c r="G511" s="643" t="s">
        <v>270</v>
      </c>
      <c r="H511" s="643"/>
      <c r="I511" s="652">
        <f>L504</f>
        <v>15.5</v>
      </c>
      <c r="J511" s="652"/>
      <c r="K511" s="640" t="s">
        <v>271</v>
      </c>
      <c r="L511" s="640"/>
      <c r="M511" s="652">
        <f>J504</f>
        <v>25.144927536231883</v>
      </c>
      <c r="N511" s="652"/>
      <c r="O511" s="640"/>
      <c r="P511" s="643" t="s">
        <v>244</v>
      </c>
      <c r="Q511" s="643"/>
      <c r="R511" s="645">
        <f>SUM(O503:U503)</f>
        <v>0</v>
      </c>
      <c r="S511" s="645"/>
      <c r="T511" s="646" t="str">
        <f>IF(ISERROR(R511/R513),"",R511/R513)</f>
        <v/>
      </c>
      <c r="U511" s="646"/>
      <c r="V511" s="643" t="s">
        <v>272</v>
      </c>
      <c r="W511" s="643"/>
      <c r="X511" s="647">
        <f>SUM(O374,O431,O466,O482,O492,O508)</f>
        <v>0</v>
      </c>
      <c r="Y511" s="647"/>
      <c r="Z511" s="646" t="str">
        <f>IF(ISERROR(X511/X513),"",X511/X513)</f>
        <v/>
      </c>
      <c r="AA511" s="646"/>
    </row>
    <row r="512" spans="1:27" ht="20.100000000000001" customHeight="1">
      <c r="A512" s="308" t="s">
        <v>478</v>
      </c>
      <c r="B512" s="518">
        <f>I504+C510</f>
        <v>70</v>
      </c>
      <c r="C512" s="653" t="s">
        <v>251</v>
      </c>
      <c r="D512" s="654"/>
      <c r="E512" s="655">
        <f>K504+I510</f>
        <v>122.93548387096774</v>
      </c>
      <c r="F512" s="655"/>
      <c r="G512" s="643" t="s">
        <v>274</v>
      </c>
      <c r="H512" s="643"/>
      <c r="I512" s="652">
        <f>B512-E512</f>
        <v>-52.935483870967744</v>
      </c>
      <c r="J512" s="652"/>
      <c r="K512" s="640" t="s">
        <v>275</v>
      </c>
      <c r="L512" s="640"/>
      <c r="M512" s="644">
        <f>IF(ISERROR(I512/E512),"",I512/E512)</f>
        <v>-0.43059564418787721</v>
      </c>
      <c r="N512" s="644"/>
      <c r="O512" s="640"/>
      <c r="P512" s="643" t="s">
        <v>245</v>
      </c>
      <c r="Q512" s="643"/>
      <c r="R512" s="645"/>
      <c r="S512" s="645"/>
      <c r="T512" s="646" t="str">
        <f>IF(ISERROR(R512/R513),"",R512/R513)</f>
        <v/>
      </c>
      <c r="U512" s="646"/>
      <c r="V512" s="643" t="s">
        <v>264</v>
      </c>
      <c r="W512" s="643"/>
      <c r="X512" s="647">
        <f>SUM(O375,O432,O467,O486,O493,O509)</f>
        <v>0</v>
      </c>
      <c r="Y512" s="647"/>
      <c r="Z512" s="646" t="str">
        <f>IF(ISERROR(X512/X513),"",X512/X513)</f>
        <v/>
      </c>
      <c r="AA512" s="646"/>
    </row>
    <row r="513" spans="1:27" ht="20.100000000000001" customHeight="1">
      <c r="A513" s="308" t="s">
        <v>479</v>
      </c>
      <c r="B513" s="518">
        <f>N504</f>
        <v>0</v>
      </c>
      <c r="C513" s="653" t="s">
        <v>277</v>
      </c>
      <c r="D513" s="654"/>
      <c r="E513" s="646">
        <f>IF(ISERROR(B513/B512),"",B513/B512)</f>
        <v>0</v>
      </c>
      <c r="F513" s="646"/>
      <c r="G513" s="643" t="s">
        <v>278</v>
      </c>
      <c r="H513" s="643"/>
      <c r="I513" s="640">
        <f>V504</f>
        <v>0</v>
      </c>
      <c r="J513" s="640"/>
      <c r="K513" s="640" t="s">
        <v>279</v>
      </c>
      <c r="L513" s="640"/>
      <c r="M513" s="644">
        <f t="array" ref="M513">IF(ISERROR(I513/B511),"",I513/B511)</f>
        <v>0</v>
      </c>
      <c r="N513" s="644"/>
      <c r="O513" s="640"/>
      <c r="P513" s="643" t="s">
        <v>266</v>
      </c>
      <c r="Q513" s="643"/>
      <c r="R513" s="645">
        <f>SUM(R506:S512)</f>
        <v>0</v>
      </c>
      <c r="S513" s="645"/>
      <c r="T513" s="646"/>
      <c r="U513" s="646"/>
      <c r="V513" s="643" t="s">
        <v>266</v>
      </c>
      <c r="W513" s="643"/>
      <c r="X513" s="647">
        <f>SUM(X506:Y512)</f>
        <v>0</v>
      </c>
      <c r="Y513" s="647"/>
      <c r="Z513" s="646"/>
      <c r="AA513" s="646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682" t="str">
        <f>IF(ISERROR(#REF!/#REF!),"",#REF!/#REF!)</f>
        <v/>
      </c>
      <c r="H514" s="682"/>
      <c r="I514" s="682"/>
      <c r="J514" s="125"/>
      <c r="K514" s="160"/>
      <c r="L514" s="122"/>
      <c r="M514" s="122"/>
      <c r="N514" s="682" t="str">
        <f>IF(ISERROR(G514/#REF!),"",G514/#REF!)</f>
        <v/>
      </c>
      <c r="O514" s="682"/>
      <c r="P514" s="682"/>
      <c r="Q514" s="682"/>
      <c r="R514" s="682"/>
      <c r="S514" s="520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685" t="s">
        <v>268</v>
      </c>
      <c r="B516" s="685"/>
      <c r="C516" s="638">
        <f>SUM(B170,B340,B511)</f>
        <v>10646</v>
      </c>
      <c r="D516" s="639"/>
      <c r="E516" s="685" t="s">
        <v>269</v>
      </c>
      <c r="F516" s="685"/>
      <c r="G516" s="655">
        <f>SUM(E170,E340,E511)</f>
        <v>53799.830000000009</v>
      </c>
      <c r="H516" s="655"/>
      <c r="I516" s="643" t="s">
        <v>270</v>
      </c>
      <c r="J516" s="685"/>
      <c r="K516" s="638">
        <f>IF(ISERROR(C516/G517),"",C516/G517)</f>
        <v>17.76873005482015</v>
      </c>
      <c r="L516" s="639"/>
      <c r="M516" s="643" t="s">
        <v>271</v>
      </c>
      <c r="N516" s="643"/>
      <c r="O516" s="680">
        <f t="array" ref="O516">IF(ISERROR(C516/C517),"",C516/C517)</f>
        <v>20.39463601532567</v>
      </c>
      <c r="P516" s="681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643" t="s">
        <v>273</v>
      </c>
      <c r="B517" s="643"/>
      <c r="C517" s="638">
        <f>SUM(B171,B341,B512)</f>
        <v>522</v>
      </c>
      <c r="D517" s="639"/>
      <c r="E517" s="643" t="s">
        <v>251</v>
      </c>
      <c r="F517" s="643"/>
      <c r="G517" s="655">
        <f>SUM(E171,E341,E512)</f>
        <v>599.14242419998072</v>
      </c>
      <c r="H517" s="655"/>
      <c r="I517" s="653" t="s">
        <v>274</v>
      </c>
      <c r="J517" s="654"/>
      <c r="K517" s="650">
        <f>C517-G517</f>
        <v>-77.142424199980724</v>
      </c>
      <c r="L517" s="651"/>
      <c r="M517" s="650" t="s">
        <v>275</v>
      </c>
      <c r="N517" s="651"/>
      <c r="O517" s="683">
        <f>IF(ISERROR(K517/C517),"",K517/C517)</f>
        <v>-0.14778242183904353</v>
      </c>
      <c r="P517" s="684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653" t="s">
        <v>276</v>
      </c>
      <c r="B518" s="654"/>
      <c r="C518" s="638">
        <f>SUM(B172,B342,B513)</f>
        <v>0</v>
      </c>
      <c r="D518" s="639"/>
      <c r="E518" s="653" t="s">
        <v>277</v>
      </c>
      <c r="F518" s="654"/>
      <c r="G518" s="646">
        <f>IF(ISERROR(C518/C517),"",C518/C517)</f>
        <v>0</v>
      </c>
      <c r="H518" s="646"/>
      <c r="I518" s="643" t="s">
        <v>278</v>
      </c>
      <c r="J518" s="685"/>
      <c r="K518" s="655">
        <f>SUM(I172,I342,I513)</f>
        <v>0</v>
      </c>
      <c r="L518" s="655"/>
      <c r="M518" s="685" t="s">
        <v>279</v>
      </c>
      <c r="N518" s="685"/>
      <c r="O518" s="683">
        <f t="array" ref="O518">IF(ISERROR(K518/C516),"",K518/C516)</f>
        <v>0</v>
      </c>
      <c r="P518" s="684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520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653" t="s">
        <v>298</v>
      </c>
      <c r="B520" s="654"/>
      <c r="C520" s="653" t="s">
        <v>299</v>
      </c>
      <c r="D520" s="654"/>
      <c r="E520" s="653" t="s">
        <v>256</v>
      </c>
      <c r="F520" s="654"/>
      <c r="G520" s="686" t="s">
        <v>254</v>
      </c>
      <c r="H520" s="687"/>
      <c r="I520" s="653" t="s">
        <v>255</v>
      </c>
      <c r="J520" s="651"/>
      <c r="K520" s="653" t="s">
        <v>300</v>
      </c>
      <c r="L520" s="654"/>
      <c r="M520" s="653" t="s">
        <v>256</v>
      </c>
      <c r="N520" s="654"/>
      <c r="O520" s="643" t="s">
        <v>257</v>
      </c>
      <c r="P520" s="643"/>
      <c r="Q520" s="653" t="s">
        <v>300</v>
      </c>
      <c r="R520" s="654"/>
      <c r="S520" s="653" t="s">
        <v>256</v>
      </c>
      <c r="T520" s="654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692" t="s">
        <v>201</v>
      </c>
      <c r="B521" s="654"/>
      <c r="C521" s="653">
        <f>SUM(G28,G198,G368)</f>
        <v>2221</v>
      </c>
      <c r="D521" s="654"/>
      <c r="E521" s="693">
        <f>IF(ISERROR(C521/C527),"",C521/C527)</f>
        <v>0.2086229569791471</v>
      </c>
      <c r="F521" s="694"/>
      <c r="G521" s="688"/>
      <c r="H521" s="689"/>
      <c r="I521" s="695" t="s">
        <v>301</v>
      </c>
      <c r="J521" s="696"/>
      <c r="K521" s="650">
        <f t="shared" ref="K521:K526" si="234">SUM(R165,U335,U506)</f>
        <v>0</v>
      </c>
      <c r="L521" s="651"/>
      <c r="M521" s="693" t="str">
        <f t="array" ref="M521">IF(ISERROR(K521/K527),"",K521/K527)</f>
        <v/>
      </c>
      <c r="N521" s="694"/>
      <c r="O521" s="643" t="s">
        <v>259</v>
      </c>
      <c r="P521" s="643"/>
      <c r="Q521" s="680">
        <f t="shared" ref="Q521:Q526" si="235">SUM(X165,AA335,AA506)</f>
        <v>0</v>
      </c>
      <c r="R521" s="681"/>
      <c r="S521" s="693" t="str">
        <f t="array" ref="S521">IF(ISERROR(Q521/Q527),"",Q521/Q527)</f>
        <v/>
      </c>
      <c r="T521" s="694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692" t="s">
        <v>216</v>
      </c>
      <c r="B522" s="654"/>
      <c r="C522" s="653">
        <f>SUM(G86,G256,G426)</f>
        <v>3600</v>
      </c>
      <c r="D522" s="654"/>
      <c r="E522" s="693">
        <f>IF(ISERROR(C522/C527),"",C522/C527)</f>
        <v>0.33815517565282738</v>
      </c>
      <c r="F522" s="694"/>
      <c r="G522" s="688"/>
      <c r="H522" s="689"/>
      <c r="I522" s="695" t="s">
        <v>302</v>
      </c>
      <c r="J522" s="696"/>
      <c r="K522" s="650">
        <f t="shared" si="234"/>
        <v>0</v>
      </c>
      <c r="L522" s="651"/>
      <c r="M522" s="693" t="str">
        <f>IF(ISERROR(K522/K527),"",K522/K527)</f>
        <v/>
      </c>
      <c r="N522" s="694"/>
      <c r="O522" s="643" t="s">
        <v>261</v>
      </c>
      <c r="P522" s="643"/>
      <c r="Q522" s="680">
        <f t="shared" si="235"/>
        <v>0</v>
      </c>
      <c r="R522" s="681"/>
      <c r="S522" s="693" t="str">
        <f>IF(ISERROR(Q522/Q527),"",Q522/Q527)</f>
        <v/>
      </c>
      <c r="T522" s="694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692" t="s">
        <v>224</v>
      </c>
      <c r="B523" s="654"/>
      <c r="C523" s="653">
        <f>SUM(G121,G291,G461)</f>
        <v>3134</v>
      </c>
      <c r="D523" s="654"/>
      <c r="E523" s="693">
        <f>IF(ISERROR(C523/C527),"",C523/C527)</f>
        <v>0.2943828668044336</v>
      </c>
      <c r="F523" s="694"/>
      <c r="G523" s="688"/>
      <c r="H523" s="689"/>
      <c r="I523" s="695" t="s">
        <v>303</v>
      </c>
      <c r="J523" s="696"/>
      <c r="K523" s="650">
        <f t="shared" si="234"/>
        <v>0</v>
      </c>
      <c r="L523" s="651"/>
      <c r="M523" s="693" t="str">
        <f>IF(ISERROR(K523/K527),"",K523/K527)</f>
        <v/>
      </c>
      <c r="N523" s="694"/>
      <c r="O523" s="643" t="s">
        <v>263</v>
      </c>
      <c r="P523" s="643"/>
      <c r="Q523" s="680">
        <f t="shared" si="235"/>
        <v>0</v>
      </c>
      <c r="R523" s="681"/>
      <c r="S523" s="693" t="str">
        <f>IF(ISERROR(Q523/Q527),"",Q523/Q527)</f>
        <v/>
      </c>
      <c r="T523" s="694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692" t="s">
        <v>231</v>
      </c>
      <c r="B524" s="654"/>
      <c r="C524" s="653">
        <f>SUM(G137,G307,G477)</f>
        <v>1045</v>
      </c>
      <c r="D524" s="654"/>
      <c r="E524" s="693">
        <f>IF(ISERROR(C524/C527),"",C524/C527)</f>
        <v>9.8158932932556828E-2</v>
      </c>
      <c r="F524" s="694"/>
      <c r="G524" s="688"/>
      <c r="H524" s="689"/>
      <c r="I524" s="695" t="s">
        <v>304</v>
      </c>
      <c r="J524" s="696"/>
      <c r="K524" s="650">
        <f t="shared" si="234"/>
        <v>0</v>
      </c>
      <c r="L524" s="651"/>
      <c r="M524" s="693" t="str">
        <f>IF(ISERROR(K524/K527),"",K524/K527)</f>
        <v/>
      </c>
      <c r="N524" s="694"/>
      <c r="O524" s="643" t="s">
        <v>305</v>
      </c>
      <c r="P524" s="643"/>
      <c r="Q524" s="680">
        <f t="shared" si="235"/>
        <v>0</v>
      </c>
      <c r="R524" s="681"/>
      <c r="S524" s="693" t="str">
        <f>IF(ISERROR(Q524/Q527),"",Q524/Q527)</f>
        <v/>
      </c>
      <c r="T524" s="694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92" t="s">
        <v>234</v>
      </c>
      <c r="B525" s="654"/>
      <c r="C525" s="653">
        <f>SUM(G147,G317,G487)</f>
        <v>604</v>
      </c>
      <c r="D525" s="654"/>
      <c r="E525" s="693">
        <f>IF(ISERROR(C525/C527),"",C525/C527)</f>
        <v>5.6734923915085479E-2</v>
      </c>
      <c r="F525" s="694"/>
      <c r="G525" s="688"/>
      <c r="H525" s="689"/>
      <c r="I525" s="695" t="s">
        <v>306</v>
      </c>
      <c r="J525" s="696"/>
      <c r="K525" s="650">
        <f t="shared" si="234"/>
        <v>0</v>
      </c>
      <c r="L525" s="651"/>
      <c r="M525" s="693" t="str">
        <f>IF(ISERROR(K525/K527),"",K525/K527)</f>
        <v/>
      </c>
      <c r="N525" s="694"/>
      <c r="O525" s="643" t="s">
        <v>267</v>
      </c>
      <c r="P525" s="643"/>
      <c r="Q525" s="680">
        <f t="shared" si="235"/>
        <v>0</v>
      </c>
      <c r="R525" s="681"/>
      <c r="S525" s="693" t="str">
        <f>IF(ISERROR(Q525/Q527),"",Q525/Q527)</f>
        <v/>
      </c>
      <c r="T525" s="694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92" t="s">
        <v>244</v>
      </c>
      <c r="B526" s="654"/>
      <c r="C526" s="653">
        <f>SUM(G162,G332,G503)</f>
        <v>42</v>
      </c>
      <c r="D526" s="654"/>
      <c r="E526" s="693">
        <f>IF(ISERROR(C526/C527),"",C526/C527)</f>
        <v>3.9451437159496528E-3</v>
      </c>
      <c r="F526" s="694"/>
      <c r="G526" s="688"/>
      <c r="H526" s="689"/>
      <c r="I526" s="695" t="s">
        <v>307</v>
      </c>
      <c r="J526" s="696"/>
      <c r="K526" s="650">
        <f t="shared" si="234"/>
        <v>0</v>
      </c>
      <c r="L526" s="651"/>
      <c r="M526" s="693" t="str">
        <f>IF(ISERROR(K526/K527),"",K526/K527)</f>
        <v/>
      </c>
      <c r="N526" s="694"/>
      <c r="O526" s="643" t="s">
        <v>272</v>
      </c>
      <c r="P526" s="643"/>
      <c r="Q526" s="680">
        <f t="shared" si="235"/>
        <v>0</v>
      </c>
      <c r="R526" s="681"/>
      <c r="S526" s="693" t="str">
        <f>IF(ISERROR(Q526/Q527),"",Q526/Q527)</f>
        <v/>
      </c>
      <c r="T526" s="694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53" t="s">
        <v>266</v>
      </c>
      <c r="B527" s="654"/>
      <c r="C527" s="653">
        <f>SUM(C521:C526)</f>
        <v>10646</v>
      </c>
      <c r="D527" s="654"/>
      <c r="E527" s="693">
        <f>SUM(E521:F526)</f>
        <v>1</v>
      </c>
      <c r="F527" s="694"/>
      <c r="G527" s="690"/>
      <c r="H527" s="691"/>
      <c r="I527" s="653" t="s">
        <v>266</v>
      </c>
      <c r="J527" s="651"/>
      <c r="K527" s="650">
        <f>SUM(R172,U342,U513)</f>
        <v>0</v>
      </c>
      <c r="L527" s="651"/>
      <c r="M527" s="693"/>
      <c r="N527" s="694"/>
      <c r="O527" s="643" t="s">
        <v>266</v>
      </c>
      <c r="P527" s="643"/>
      <c r="Q527" s="680">
        <f>SUM(Q521:R526)</f>
        <v>0</v>
      </c>
      <c r="R527" s="681"/>
      <c r="S527" s="693">
        <f>SUM(S521:T526)</f>
        <v>0</v>
      </c>
      <c r="T527" s="694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695" t="s">
        <v>308</v>
      </c>
      <c r="B529" s="649"/>
      <c r="C529" s="511" t="s">
        <v>309</v>
      </c>
      <c r="D529" s="511" t="s">
        <v>310</v>
      </c>
      <c r="E529" s="511" t="s">
        <v>311</v>
      </c>
      <c r="F529" s="511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512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521" t="s">
        <v>322</v>
      </c>
      <c r="Q529" s="129" t="s">
        <v>323</v>
      </c>
      <c r="R529" s="109" t="s">
        <v>324</v>
      </c>
      <c r="S529" s="511" t="s">
        <v>325</v>
      </c>
      <c r="T529" s="511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697" t="s">
        <v>327</v>
      </c>
      <c r="B530" s="698"/>
      <c r="C530" s="106">
        <f>D530+E530+F530-G530-O530-P530</f>
        <v>33</v>
      </c>
      <c r="D530" s="106">
        <f>+'15'!D530</f>
        <v>33</v>
      </c>
      <c r="E530" s="106"/>
      <c r="F530" s="106"/>
      <c r="G530" s="107"/>
      <c r="H530" s="106"/>
      <c r="I530" s="106"/>
      <c r="J530" s="106">
        <f>C530-H530-I530</f>
        <v>33</v>
      </c>
      <c r="K530" s="106">
        <v>1</v>
      </c>
      <c r="L530" s="106"/>
      <c r="M530" s="106"/>
      <c r="N530" s="106"/>
      <c r="O530" s="106"/>
      <c r="P530" s="108"/>
      <c r="Q530" s="106">
        <f>J530-K530-L530</f>
        <v>32</v>
      </c>
      <c r="R530" s="109">
        <f>Q530*11-M530-N530</f>
        <v>352</v>
      </c>
      <c r="S530" s="514">
        <f t="array" ref="S530">IF(ISERROR(Q530/J530),"",Q530/J530)</f>
        <v>0.96969696969696972</v>
      </c>
      <c r="T530" s="514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697" t="s">
        <v>328</v>
      </c>
      <c r="B531" s="698"/>
      <c r="C531" s="106">
        <f>D531+E531+F531-G531-O531-P531</f>
        <v>31</v>
      </c>
      <c r="D531" s="106">
        <f>+'15'!D531</f>
        <v>31</v>
      </c>
      <c r="E531" s="110"/>
      <c r="F531" s="110"/>
      <c r="G531" s="107"/>
      <c r="H531" s="106"/>
      <c r="I531" s="106"/>
      <c r="J531" s="106">
        <f>C531-H531-I531</f>
        <v>31</v>
      </c>
      <c r="K531" s="106">
        <v>2</v>
      </c>
      <c r="L531" s="106"/>
      <c r="M531" s="106"/>
      <c r="N531" s="106"/>
      <c r="O531" s="110"/>
      <c r="P531" s="111"/>
      <c r="Q531" s="106">
        <f>J531-K531-L531</f>
        <v>29</v>
      </c>
      <c r="R531" s="109">
        <f>Q531*11-M531-N531</f>
        <v>319</v>
      </c>
      <c r="S531" s="514">
        <f t="array" ref="S531">IF(ISERROR(Q531/J531),"",Q531/J531)</f>
        <v>0.93548387096774188</v>
      </c>
      <c r="T531" s="514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697" t="s">
        <v>329</v>
      </c>
      <c r="B532" s="698"/>
      <c r="C532" s="106">
        <f>D532+E532+F532-G532-O532-P532</f>
        <v>10</v>
      </c>
      <c r="D532" s="106">
        <f>+'15'!D532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>
        <v>1</v>
      </c>
      <c r="L532" s="106"/>
      <c r="M532" s="106"/>
      <c r="N532" s="106"/>
      <c r="O532" s="110"/>
      <c r="P532" s="111"/>
      <c r="Q532" s="106">
        <f>J532-K532-L532</f>
        <v>9</v>
      </c>
      <c r="R532" s="109">
        <f>Q532*11-M532-N532</f>
        <v>99</v>
      </c>
      <c r="S532" s="514">
        <f t="array" ref="S532">IF(ISERROR(Q532/J532),"",Q532/J532)</f>
        <v>0.9</v>
      </c>
      <c r="T532" s="514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699" t="s">
        <v>330</v>
      </c>
      <c r="B533" s="700"/>
      <c r="C533" s="112">
        <f>SUM(C530:C532)</f>
        <v>74</v>
      </c>
      <c r="D533" s="112">
        <f t="shared" ref="D533:N533" si="236">SUM(D530:D532)</f>
        <v>74</v>
      </c>
      <c r="E533" s="112">
        <f t="shared" si="236"/>
        <v>0</v>
      </c>
      <c r="F533" s="112">
        <f t="shared" si="236"/>
        <v>0</v>
      </c>
      <c r="G533" s="113">
        <f t="shared" si="236"/>
        <v>0</v>
      </c>
      <c r="H533" s="112">
        <f t="shared" si="236"/>
        <v>0</v>
      </c>
      <c r="I533" s="112">
        <f t="shared" si="236"/>
        <v>0</v>
      </c>
      <c r="J533" s="112">
        <f t="shared" si="236"/>
        <v>74</v>
      </c>
      <c r="K533" s="112">
        <f t="shared" si="236"/>
        <v>4</v>
      </c>
      <c r="L533" s="112">
        <f t="shared" si="236"/>
        <v>0</v>
      </c>
      <c r="M533" s="112">
        <f t="shared" si="236"/>
        <v>0</v>
      </c>
      <c r="N533" s="112">
        <f t="shared" si="236"/>
        <v>0</v>
      </c>
      <c r="O533" s="112">
        <f>SUM(O530:O532)</f>
        <v>0</v>
      </c>
      <c r="P533" s="112">
        <f>SUM(P530:P532)</f>
        <v>0</v>
      </c>
      <c r="Q533" s="112">
        <f>SUM(Q530:Q532)</f>
        <v>70</v>
      </c>
      <c r="R533" s="114">
        <f>SUM(R530:R532)</f>
        <v>770</v>
      </c>
      <c r="S533" s="115">
        <f t="array" ref="S533">IF(ISERROR(Q533/J533),"",Q533/J533)</f>
        <v>0.94594594594594594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176" activePane="bottomRight" state="frozen"/>
      <selection activeCell="F484" sqref="F484"/>
      <selection pane="topRight" activeCell="F484" sqref="F484"/>
      <selection pane="bottomLeft" activeCell="F484" sqref="F484"/>
      <selection pane="bottomRight" activeCell="G278" sqref="G278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07" t="s">
        <v>413</v>
      </c>
      <c r="B1" s="607"/>
      <c r="C1" s="607"/>
      <c r="D1" s="607"/>
      <c r="E1" s="607"/>
      <c r="F1" s="607"/>
      <c r="G1" s="607"/>
      <c r="H1" s="607"/>
      <c r="I1" s="607"/>
      <c r="J1" s="607"/>
      <c r="K1" s="607"/>
      <c r="L1" s="607"/>
      <c r="M1" s="607"/>
      <c r="N1" s="607"/>
      <c r="O1" s="607"/>
      <c r="P1" s="607"/>
      <c r="Q1" s="607"/>
      <c r="R1" s="607"/>
      <c r="S1" s="607"/>
      <c r="T1" s="607"/>
      <c r="U1" s="607"/>
      <c r="V1" s="607"/>
      <c r="W1" s="607"/>
      <c r="X1" s="607"/>
      <c r="Y1" s="607"/>
      <c r="Z1" s="607"/>
      <c r="AA1" s="607"/>
    </row>
    <row r="2" spans="1:27" ht="18.75">
      <c r="A2" s="608"/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09" t="s">
        <v>12</v>
      </c>
      <c r="B4" s="609" t="s">
        <v>25</v>
      </c>
      <c r="C4" s="609" t="s">
        <v>26</v>
      </c>
      <c r="D4" s="609" t="s">
        <v>27</v>
      </c>
      <c r="E4" s="612" t="s">
        <v>28</v>
      </c>
      <c r="F4" s="615" t="s">
        <v>29</v>
      </c>
      <c r="G4" s="618" t="s">
        <v>30</v>
      </c>
      <c r="H4" s="618"/>
      <c r="I4" s="609" t="s">
        <v>31</v>
      </c>
      <c r="J4" s="621" t="s">
        <v>32</v>
      </c>
      <c r="K4" s="624" t="s">
        <v>33</v>
      </c>
      <c r="L4" s="609" t="s">
        <v>34</v>
      </c>
      <c r="M4" s="627" t="s">
        <v>35</v>
      </c>
      <c r="N4" s="629" t="s">
        <v>36</v>
      </c>
      <c r="O4" s="618" t="s">
        <v>37</v>
      </c>
      <c r="P4" s="618"/>
      <c r="Q4" s="618"/>
      <c r="R4" s="618"/>
      <c r="S4" s="618"/>
      <c r="T4" s="618"/>
      <c r="U4" s="618"/>
      <c r="V4" s="618" t="s">
        <v>38</v>
      </c>
      <c r="W4" s="629" t="s">
        <v>39</v>
      </c>
      <c r="X4" s="618" t="s">
        <v>40</v>
      </c>
      <c r="Y4" s="618"/>
      <c r="Z4" s="618"/>
      <c r="AA4" s="618"/>
    </row>
    <row r="5" spans="1:27" s="104" customFormat="1" ht="15" customHeight="1">
      <c r="A5" s="610"/>
      <c r="B5" s="610"/>
      <c r="C5" s="610"/>
      <c r="D5" s="610"/>
      <c r="E5" s="613"/>
      <c r="F5" s="616"/>
      <c r="G5" s="618"/>
      <c r="H5" s="618"/>
      <c r="I5" s="610"/>
      <c r="J5" s="622"/>
      <c r="K5" s="625"/>
      <c r="L5" s="610"/>
      <c r="M5" s="628"/>
      <c r="N5" s="629"/>
      <c r="O5" s="618" t="s">
        <v>41</v>
      </c>
      <c r="P5" s="618" t="s">
        <v>42</v>
      </c>
      <c r="Q5" s="618" t="s">
        <v>43</v>
      </c>
      <c r="R5" s="619" t="s">
        <v>44</v>
      </c>
      <c r="S5" s="620" t="s">
        <v>45</v>
      </c>
      <c r="T5" s="618" t="s">
        <v>46</v>
      </c>
      <c r="U5" s="618" t="s">
        <v>47</v>
      </c>
      <c r="V5" s="618"/>
      <c r="W5" s="629"/>
      <c r="X5" s="618" t="s">
        <v>13</v>
      </c>
      <c r="Y5" s="618" t="s">
        <v>48</v>
      </c>
      <c r="Z5" s="618" t="s">
        <v>49</v>
      </c>
      <c r="AA5" s="618" t="s">
        <v>47</v>
      </c>
    </row>
    <row r="6" spans="1:27" s="104" customFormat="1" ht="27.75" customHeight="1">
      <c r="A6" s="611"/>
      <c r="B6" s="611"/>
      <c r="C6" s="611"/>
      <c r="D6" s="611"/>
      <c r="E6" s="614"/>
      <c r="F6" s="617"/>
      <c r="G6" s="350" t="s">
        <v>50</v>
      </c>
      <c r="H6" s="522" t="s">
        <v>51</v>
      </c>
      <c r="I6" s="611"/>
      <c r="J6" s="623"/>
      <c r="K6" s="626"/>
      <c r="L6" s="611"/>
      <c r="M6" s="628"/>
      <c r="N6" s="629"/>
      <c r="O6" s="618"/>
      <c r="P6" s="618"/>
      <c r="Q6" s="618"/>
      <c r="R6" s="619"/>
      <c r="S6" s="620"/>
      <c r="T6" s="618"/>
      <c r="U6" s="618"/>
      <c r="V6" s="618"/>
      <c r="W6" s="629"/>
      <c r="X6" s="618"/>
      <c r="Y6" s="618"/>
      <c r="Z6" s="618"/>
      <c r="AA6" s="618"/>
    </row>
    <row r="7" spans="1:27" ht="20.100000000000001" hidden="1" customHeight="1">
      <c r="A7" s="299">
        <v>30100030</v>
      </c>
      <c r="B7" s="525" t="s">
        <v>178</v>
      </c>
      <c r="C7" s="126" t="s">
        <v>179</v>
      </c>
      <c r="D7" s="108">
        <v>5.03</v>
      </c>
      <c r="E7" s="108"/>
      <c r="F7" s="127"/>
      <c r="G7" s="128"/>
      <c r="H7" s="533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524"/>
      <c r="P7" s="524"/>
      <c r="Q7" s="524"/>
      <c r="R7" s="524"/>
      <c r="S7" s="524"/>
      <c r="T7" s="524"/>
      <c r="U7" s="524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533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524"/>
      <c r="Q8" s="524"/>
      <c r="R8" s="524"/>
      <c r="S8" s="524"/>
      <c r="T8" s="524"/>
      <c r="U8" s="524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533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524"/>
      <c r="P9" s="524"/>
      <c r="Q9" s="524"/>
      <c r="R9" s="524"/>
      <c r="S9" s="524"/>
      <c r="T9" s="524"/>
      <c r="U9" s="524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533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524"/>
      <c r="P10" s="524"/>
      <c r="Q10" s="524"/>
      <c r="R10" s="524"/>
      <c r="S10" s="524"/>
      <c r="T10" s="524"/>
      <c r="U10" s="524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533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524"/>
      <c r="P11" s="524"/>
      <c r="Q11" s="524"/>
      <c r="R11" s="524"/>
      <c r="S11" s="524"/>
      <c r="T11" s="524"/>
      <c r="U11" s="524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533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524"/>
      <c r="P12" s="524"/>
      <c r="Q12" s="524"/>
      <c r="R12" s="524"/>
      <c r="S12" s="524"/>
      <c r="T12" s="524"/>
      <c r="U12" s="524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533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524"/>
      <c r="P13" s="524"/>
      <c r="Q13" s="524"/>
      <c r="R13" s="524"/>
      <c r="S13" s="524"/>
      <c r="T13" s="524"/>
      <c r="U13" s="524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533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524"/>
      <c r="P14" s="524"/>
      <c r="Q14" s="524"/>
      <c r="R14" s="524"/>
      <c r="S14" s="524"/>
      <c r="T14" s="524"/>
      <c r="U14" s="524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>
        <v>42721</v>
      </c>
      <c r="G15" s="536">
        <f>100*4+66</f>
        <v>466</v>
      </c>
      <c r="H15" s="533">
        <f t="shared" si="0"/>
        <v>2348.64</v>
      </c>
      <c r="I15" s="533">
        <v>27.5</v>
      </c>
      <c r="J15" s="130">
        <f t="array" ref="J15">IF(ISERROR(G15/I15),"",G15/I15)</f>
        <v>16.945454545454545</v>
      </c>
      <c r="K15" s="131">
        <f t="array" ref="K15">IF(ISERROR(G15/L15),"",G15/L15)</f>
        <v>27.411764705882351</v>
      </c>
      <c r="L15" s="129">
        <v>17</v>
      </c>
      <c r="M15" s="109">
        <f t="shared" si="1"/>
        <v>8.8235294117648522E-2</v>
      </c>
      <c r="N15" s="130">
        <f t="shared" si="4"/>
        <v>0</v>
      </c>
      <c r="O15" s="524"/>
      <c r="P15" s="524"/>
      <c r="Q15" s="524"/>
      <c r="R15" s="524"/>
      <c r="S15" s="524"/>
      <c r="T15" s="524"/>
      <c r="U15" s="524"/>
      <c r="V15" s="132">
        <f>SUM(X15:AA15)</f>
        <v>0</v>
      </c>
      <c r="W15" s="133">
        <f>IF(ISERROR(V15/G15),"",V15/G15)</f>
        <v>0</v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533">
        <f t="shared" si="0"/>
        <v>0</v>
      </c>
      <c r="I16" s="533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524"/>
      <c r="P16" s="524"/>
      <c r="Q16" s="524"/>
      <c r="R16" s="524"/>
      <c r="S16" s="524"/>
      <c r="T16" s="524"/>
      <c r="U16" s="524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533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524"/>
      <c r="P17" s="524"/>
      <c r="Q17" s="524"/>
      <c r="R17" s="524"/>
      <c r="S17" s="524"/>
      <c r="T17" s="524"/>
      <c r="U17" s="524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533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524"/>
      <c r="P18" s="524"/>
      <c r="Q18" s="524"/>
      <c r="R18" s="524"/>
      <c r="S18" s="524"/>
      <c r="T18" s="524"/>
      <c r="U18" s="524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533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524"/>
      <c r="P19" s="524"/>
      <c r="Q19" s="524"/>
      <c r="R19" s="524"/>
      <c r="S19" s="524"/>
      <c r="T19" s="524"/>
      <c r="U19" s="524"/>
      <c r="V19" s="132">
        <f t="shared" ref="V19:V21" si="5">SUM(X19:AA19)</f>
        <v>0</v>
      </c>
      <c r="W19" s="527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533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524"/>
      <c r="P20" s="524"/>
      <c r="Q20" s="524"/>
      <c r="R20" s="524"/>
      <c r="S20" s="524"/>
      <c r="T20" s="524"/>
      <c r="U20" s="524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533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524"/>
      <c r="P21" s="524"/>
      <c r="Q21" s="524"/>
      <c r="R21" s="524"/>
      <c r="S21" s="524"/>
      <c r="T21" s="524"/>
      <c r="U21" s="524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523" t="s">
        <v>190</v>
      </c>
      <c r="D22" s="108">
        <v>4.8</v>
      </c>
      <c r="E22" s="108"/>
      <c r="F22" s="127"/>
      <c r="G22" s="128"/>
      <c r="H22" s="533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524"/>
      <c r="P22" s="524"/>
      <c r="Q22" s="524"/>
      <c r="R22" s="524"/>
      <c r="S22" s="524"/>
      <c r="T22" s="524"/>
      <c r="U22" s="524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523" t="s">
        <v>187</v>
      </c>
      <c r="D23" s="108">
        <v>4.8</v>
      </c>
      <c r="E23" s="108"/>
      <c r="F23" s="127"/>
      <c r="G23" s="128"/>
      <c r="H23" s="533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524"/>
      <c r="P23" s="524"/>
      <c r="Q23" s="524"/>
      <c r="R23" s="524"/>
      <c r="S23" s="524"/>
      <c r="T23" s="524"/>
      <c r="U23" s="524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523" t="s">
        <v>179</v>
      </c>
      <c r="D24" s="108">
        <v>4.8</v>
      </c>
      <c r="E24" s="108"/>
      <c r="F24" s="127"/>
      <c r="G24" s="128"/>
      <c r="H24" s="533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524"/>
      <c r="P24" s="524"/>
      <c r="Q24" s="524"/>
      <c r="R24" s="524"/>
      <c r="S24" s="524"/>
      <c r="T24" s="524"/>
      <c r="U24" s="524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523" t="s">
        <v>199</v>
      </c>
      <c r="D25" s="108">
        <v>4.8</v>
      </c>
      <c r="E25" s="108"/>
      <c r="F25" s="127"/>
      <c r="G25" s="128"/>
      <c r="H25" s="533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524"/>
      <c r="P25" s="524"/>
      <c r="Q25" s="524"/>
      <c r="R25" s="524"/>
      <c r="S25" s="524"/>
      <c r="T25" s="524"/>
      <c r="U25" s="524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533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524"/>
      <c r="P26" s="524"/>
      <c r="Q26" s="524"/>
      <c r="R26" s="524"/>
      <c r="S26" s="524"/>
      <c r="T26" s="524"/>
      <c r="U26" s="524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533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524"/>
      <c r="P27" s="524"/>
      <c r="Q27" s="524"/>
      <c r="R27" s="524"/>
      <c r="S27" s="524"/>
      <c r="T27" s="524"/>
      <c r="U27" s="524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30" t="s">
        <v>201</v>
      </c>
      <c r="B28" s="631"/>
      <c r="C28" s="531" t="s">
        <v>202</v>
      </c>
      <c r="D28" s="143"/>
      <c r="E28" s="143"/>
      <c r="F28" s="144"/>
      <c r="G28" s="145">
        <f>SUM(G7:G27)</f>
        <v>466</v>
      </c>
      <c r="H28" s="146">
        <f>SUM(H7:H27)</f>
        <v>2348.64</v>
      </c>
      <c r="I28" s="146">
        <f>SUM(I7:I27)</f>
        <v>27.5</v>
      </c>
      <c r="J28" s="130">
        <f t="array" ref="J28">IF(ISERROR(G28/I28),"",G28/I28)</f>
        <v>16.945454545454545</v>
      </c>
      <c r="K28" s="146">
        <f>SUM(K7:K27)</f>
        <v>27.411764705882351</v>
      </c>
      <c r="L28" s="147"/>
      <c r="M28" s="146">
        <f t="shared" ref="M28:V28" si="10">SUM(M7:M27)</f>
        <v>8.8235294117648522E-2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525" t="s">
        <v>206</v>
      </c>
      <c r="C29" s="126" t="s">
        <v>199</v>
      </c>
      <c r="D29" s="108">
        <v>5.03</v>
      </c>
      <c r="E29" s="108"/>
      <c r="F29" s="127"/>
      <c r="G29" s="128"/>
      <c r="H29" s="533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:M30" si="12">IF(ISERROR(I29-K29),"",I29-K29)</f>
        <v>0</v>
      </c>
      <c r="N29" s="130">
        <f t="shared" ref="N29" si="13">SUM(O29:U29)</f>
        <v>0</v>
      </c>
      <c r="O29" s="528"/>
      <c r="P29" s="528"/>
      <c r="Q29" s="528"/>
      <c r="R29" s="528"/>
      <c r="S29" s="528"/>
      <c r="T29" s="528"/>
      <c r="U29" s="528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customHeight="1">
      <c r="A30" s="300">
        <v>30100011</v>
      </c>
      <c r="B30" s="525" t="s">
        <v>425</v>
      </c>
      <c r="C30" s="187" t="s">
        <v>427</v>
      </c>
      <c r="D30" s="108">
        <v>5.03</v>
      </c>
      <c r="E30" s="108"/>
      <c r="F30" s="127">
        <v>42718</v>
      </c>
      <c r="G30" s="536">
        <f>108*3+58+108*6-108</f>
        <v>922</v>
      </c>
      <c r="H30" s="533">
        <f t="shared" si="11"/>
        <v>4637.66</v>
      </c>
      <c r="I30" s="129">
        <v>11</v>
      </c>
      <c r="J30" s="130">
        <f t="array" ref="J30">IF(ISERROR(G30/I30),"",G30/I30)</f>
        <v>83.818181818181813</v>
      </c>
      <c r="K30" s="131">
        <f t="array" ref="K30">IF(ISERROR(G30/L30),"",G30/L30)</f>
        <v>17.73076923076923</v>
      </c>
      <c r="L30" s="129">
        <v>52</v>
      </c>
      <c r="M30" s="109">
        <f t="shared" si="12"/>
        <v>-6.7307692307692299</v>
      </c>
      <c r="N30" s="130"/>
      <c r="O30" s="528"/>
      <c r="P30" s="528"/>
      <c r="Q30" s="528"/>
      <c r="R30" s="528"/>
      <c r="S30" s="528"/>
      <c r="T30" s="528"/>
      <c r="U30" s="528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525" t="s">
        <v>206</v>
      </c>
      <c r="C31" s="126" t="s">
        <v>186</v>
      </c>
      <c r="D31" s="108">
        <v>5.03</v>
      </c>
      <c r="E31" s="108"/>
      <c r="F31" s="127"/>
      <c r="G31" s="128"/>
      <c r="H31" s="533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528"/>
      <c r="P31" s="528"/>
      <c r="Q31" s="528"/>
      <c r="R31" s="528"/>
      <c r="S31" s="528"/>
      <c r="T31" s="528"/>
      <c r="U31" s="528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525" t="s">
        <v>206</v>
      </c>
      <c r="C32" s="126" t="s">
        <v>203</v>
      </c>
      <c r="D32" s="108">
        <v>5.03</v>
      </c>
      <c r="E32" s="108"/>
      <c r="F32" s="127"/>
      <c r="G32" s="128"/>
      <c r="H32" s="533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528"/>
      <c r="P32" s="528"/>
      <c r="Q32" s="528"/>
      <c r="R32" s="528"/>
      <c r="S32" s="528"/>
      <c r="T32" s="528"/>
      <c r="U32" s="528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525" t="s">
        <v>206</v>
      </c>
      <c r="C33" s="126" t="s">
        <v>207</v>
      </c>
      <c r="D33" s="108">
        <v>5.03</v>
      </c>
      <c r="E33" s="108"/>
      <c r="F33" s="127"/>
      <c r="G33" s="128"/>
      <c r="H33" s="533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528"/>
      <c r="P33" s="528"/>
      <c r="Q33" s="528"/>
      <c r="R33" s="528"/>
      <c r="S33" s="528"/>
      <c r="T33" s="528"/>
      <c r="U33" s="528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525" t="s">
        <v>414</v>
      </c>
      <c r="C34" s="187" t="s">
        <v>415</v>
      </c>
      <c r="D34" s="108">
        <v>5.03</v>
      </c>
      <c r="E34" s="108"/>
      <c r="F34" s="127"/>
      <c r="G34" s="128"/>
      <c r="H34" s="533">
        <f t="shared" si="11"/>
        <v>0</v>
      </c>
      <c r="I34" s="129"/>
      <c r="J34" s="130"/>
      <c r="K34" s="131"/>
      <c r="L34" s="129">
        <v>52</v>
      </c>
      <c r="M34" s="109"/>
      <c r="N34" s="130"/>
      <c r="O34" s="528"/>
      <c r="P34" s="528"/>
      <c r="Q34" s="528"/>
      <c r="R34" s="528"/>
      <c r="S34" s="528"/>
      <c r="T34" s="528"/>
      <c r="U34" s="528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525" t="s">
        <v>414</v>
      </c>
      <c r="C35" s="187" t="s">
        <v>416</v>
      </c>
      <c r="D35" s="108">
        <v>5.03</v>
      </c>
      <c r="E35" s="108"/>
      <c r="F35" s="127"/>
      <c r="G35" s="128"/>
      <c r="H35" s="533">
        <f t="shared" si="11"/>
        <v>0</v>
      </c>
      <c r="I35" s="129"/>
      <c r="J35" s="130"/>
      <c r="K35" s="131"/>
      <c r="L35" s="129">
        <v>52</v>
      </c>
      <c r="M35" s="109"/>
      <c r="N35" s="130"/>
      <c r="O35" s="528"/>
      <c r="P35" s="528"/>
      <c r="Q35" s="528"/>
      <c r="R35" s="528"/>
      <c r="S35" s="528"/>
      <c r="T35" s="528"/>
      <c r="U35" s="528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525" t="s">
        <v>414</v>
      </c>
      <c r="C36" s="187" t="s">
        <v>61</v>
      </c>
      <c r="D36" s="108">
        <v>5.03</v>
      </c>
      <c r="E36" s="108"/>
      <c r="F36" s="127"/>
      <c r="G36" s="128"/>
      <c r="H36" s="533">
        <f t="shared" si="11"/>
        <v>0</v>
      </c>
      <c r="I36" s="129"/>
      <c r="J36" s="130"/>
      <c r="K36" s="131"/>
      <c r="L36" s="129">
        <v>52</v>
      </c>
      <c r="M36" s="109"/>
      <c r="N36" s="130"/>
      <c r="O36" s="528"/>
      <c r="P36" s="528"/>
      <c r="Q36" s="528"/>
      <c r="R36" s="528"/>
      <c r="S36" s="528"/>
      <c r="T36" s="528"/>
      <c r="U36" s="528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525" t="s">
        <v>208</v>
      </c>
      <c r="C37" s="126" t="s">
        <v>179</v>
      </c>
      <c r="D37" s="108">
        <v>5.08</v>
      </c>
      <c r="E37" s="108"/>
      <c r="F37" s="127"/>
      <c r="G37" s="128"/>
      <c r="H37" s="533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528"/>
      <c r="P37" s="528"/>
      <c r="Q37" s="528"/>
      <c r="R37" s="528"/>
      <c r="S37" s="528"/>
      <c r="T37" s="528"/>
      <c r="U37" s="528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525" t="s">
        <v>208</v>
      </c>
      <c r="C38" s="126" t="s">
        <v>204</v>
      </c>
      <c r="D38" s="108">
        <v>5.08</v>
      </c>
      <c r="E38" s="108"/>
      <c r="F38" s="127"/>
      <c r="G38" s="128"/>
      <c r="H38" s="533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528"/>
      <c r="P38" s="528"/>
      <c r="Q38" s="528"/>
      <c r="R38" s="528"/>
      <c r="S38" s="528"/>
      <c r="T38" s="528"/>
      <c r="U38" s="528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525" t="s">
        <v>208</v>
      </c>
      <c r="C39" s="126" t="s">
        <v>205</v>
      </c>
      <c r="D39" s="108">
        <v>5.08</v>
      </c>
      <c r="E39" s="108"/>
      <c r="F39" s="127"/>
      <c r="G39" s="128"/>
      <c r="H39" s="533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528"/>
      <c r="P39" s="528"/>
      <c r="Q39" s="528"/>
      <c r="R39" s="528"/>
      <c r="S39" s="528"/>
      <c r="T39" s="528"/>
      <c r="U39" s="528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525" t="s">
        <v>208</v>
      </c>
      <c r="C40" s="126" t="s">
        <v>186</v>
      </c>
      <c r="D40" s="108">
        <v>5.08</v>
      </c>
      <c r="E40" s="108"/>
      <c r="F40" s="127"/>
      <c r="G40" s="128"/>
      <c r="H40" s="533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528"/>
      <c r="P40" s="528"/>
      <c r="Q40" s="528"/>
      <c r="R40" s="528"/>
      <c r="S40" s="528"/>
      <c r="T40" s="528"/>
      <c r="U40" s="528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525" t="s">
        <v>208</v>
      </c>
      <c r="C41" s="126" t="s">
        <v>203</v>
      </c>
      <c r="D41" s="108">
        <v>5.08</v>
      </c>
      <c r="E41" s="108"/>
      <c r="F41" s="127"/>
      <c r="G41" s="128"/>
      <c r="H41" s="533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528"/>
      <c r="P41" s="528"/>
      <c r="Q41" s="528"/>
      <c r="R41" s="528"/>
      <c r="S41" s="528"/>
      <c r="T41" s="528"/>
      <c r="U41" s="528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525" t="s">
        <v>208</v>
      </c>
      <c r="C42" s="126" t="s">
        <v>199</v>
      </c>
      <c r="D42" s="108">
        <v>5.08</v>
      </c>
      <c r="E42" s="108"/>
      <c r="F42" s="127"/>
      <c r="G42" s="128"/>
      <c r="H42" s="533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524"/>
      <c r="P42" s="524"/>
      <c r="Q42" s="524"/>
      <c r="R42" s="524"/>
      <c r="S42" s="524"/>
      <c r="T42" s="524"/>
      <c r="U42" s="524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525" t="s">
        <v>208</v>
      </c>
      <c r="C43" s="126" t="s">
        <v>187</v>
      </c>
      <c r="D43" s="108">
        <v>5.08</v>
      </c>
      <c r="E43" s="108"/>
      <c r="F43" s="127"/>
      <c r="G43" s="128"/>
      <c r="H43" s="533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528"/>
      <c r="P43" s="528"/>
      <c r="Q43" s="528"/>
      <c r="R43" s="528"/>
      <c r="S43" s="528"/>
      <c r="T43" s="528"/>
      <c r="U43" s="528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525" t="s">
        <v>208</v>
      </c>
      <c r="C44" s="126" t="s">
        <v>207</v>
      </c>
      <c r="D44" s="108">
        <v>5.08</v>
      </c>
      <c r="E44" s="108"/>
      <c r="F44" s="127"/>
      <c r="G44" s="128"/>
      <c r="H44" s="533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524"/>
      <c r="P44" s="524"/>
      <c r="Q44" s="524"/>
      <c r="R44" s="524"/>
      <c r="S44" s="524"/>
      <c r="T44" s="524"/>
      <c r="U44" s="524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525" t="s">
        <v>209</v>
      </c>
      <c r="C45" s="126" t="s">
        <v>194</v>
      </c>
      <c r="D45" s="108">
        <v>5.03</v>
      </c>
      <c r="E45" s="108"/>
      <c r="F45" s="127"/>
      <c r="G45" s="128"/>
      <c r="H45" s="533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528"/>
      <c r="P45" s="528"/>
      <c r="Q45" s="528"/>
      <c r="R45" s="528"/>
      <c r="S45" s="528"/>
      <c r="T45" s="528"/>
      <c r="U45" s="528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525" t="s">
        <v>209</v>
      </c>
      <c r="C46" s="126" t="s">
        <v>179</v>
      </c>
      <c r="D46" s="108">
        <v>5.03</v>
      </c>
      <c r="E46" s="108"/>
      <c r="F46" s="127"/>
      <c r="G46" s="128"/>
      <c r="H46" s="533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528"/>
      <c r="P46" s="528"/>
      <c r="Q46" s="528"/>
      <c r="R46" s="528"/>
      <c r="S46" s="528"/>
      <c r="T46" s="528"/>
      <c r="U46" s="528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525" t="s">
        <v>209</v>
      </c>
      <c r="C47" s="126" t="s">
        <v>195</v>
      </c>
      <c r="D47" s="108">
        <v>5.03</v>
      </c>
      <c r="E47" s="108"/>
      <c r="F47" s="127"/>
      <c r="G47" s="128"/>
      <c r="H47" s="533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528"/>
      <c r="P47" s="528"/>
      <c r="Q47" s="528"/>
      <c r="R47" s="528"/>
      <c r="S47" s="528"/>
      <c r="T47" s="528"/>
      <c r="U47" s="528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525" t="s">
        <v>209</v>
      </c>
      <c r="C48" s="126" t="s">
        <v>204</v>
      </c>
      <c r="D48" s="108">
        <v>5.03</v>
      </c>
      <c r="E48" s="108"/>
      <c r="F48" s="127"/>
      <c r="G48" s="128"/>
      <c r="H48" s="533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528"/>
      <c r="P48" s="528"/>
      <c r="Q48" s="528"/>
      <c r="R48" s="528"/>
      <c r="S48" s="528"/>
      <c r="T48" s="528"/>
      <c r="U48" s="528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525" t="s">
        <v>382</v>
      </c>
      <c r="C49" s="187" t="s">
        <v>383</v>
      </c>
      <c r="D49" s="108">
        <v>5.03</v>
      </c>
      <c r="E49" s="108"/>
      <c r="F49" s="127"/>
      <c r="G49" s="128"/>
      <c r="H49" s="533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528"/>
      <c r="P49" s="528"/>
      <c r="Q49" s="528"/>
      <c r="R49" s="528"/>
      <c r="S49" s="528"/>
      <c r="T49" s="528"/>
      <c r="U49" s="528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525" t="s">
        <v>382</v>
      </c>
      <c r="C50" s="187" t="s">
        <v>384</v>
      </c>
      <c r="D50" s="108">
        <v>5.03</v>
      </c>
      <c r="E50" s="108"/>
      <c r="F50" s="127"/>
      <c r="G50" s="128"/>
      <c r="H50" s="533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528"/>
      <c r="P50" s="528"/>
      <c r="Q50" s="528"/>
      <c r="R50" s="528"/>
      <c r="S50" s="528"/>
      <c r="T50" s="528"/>
      <c r="U50" s="528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525" t="s">
        <v>382</v>
      </c>
      <c r="C51" s="187" t="s">
        <v>389</v>
      </c>
      <c r="D51" s="108">
        <v>5.03</v>
      </c>
      <c r="E51" s="108"/>
      <c r="F51" s="127"/>
      <c r="G51" s="128"/>
      <c r="H51" s="533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528"/>
      <c r="P51" s="528"/>
      <c r="Q51" s="528"/>
      <c r="R51" s="528"/>
      <c r="S51" s="528"/>
      <c r="T51" s="528"/>
      <c r="U51" s="528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525" t="s">
        <v>382</v>
      </c>
      <c r="C52" s="187" t="s">
        <v>391</v>
      </c>
      <c r="D52" s="108">
        <v>5.03</v>
      </c>
      <c r="E52" s="108"/>
      <c r="F52" s="127"/>
      <c r="G52" s="128"/>
      <c r="H52" s="533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528"/>
      <c r="P52" s="528"/>
      <c r="Q52" s="528"/>
      <c r="R52" s="528"/>
      <c r="S52" s="528"/>
      <c r="T52" s="528"/>
      <c r="U52" s="528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525" t="s">
        <v>418</v>
      </c>
      <c r="C53" s="187" t="s">
        <v>364</v>
      </c>
      <c r="D53" s="108">
        <v>5.03</v>
      </c>
      <c r="E53" s="108"/>
      <c r="F53" s="127"/>
      <c r="G53" s="128"/>
      <c r="H53" s="533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528"/>
      <c r="P53" s="528"/>
      <c r="Q53" s="528"/>
      <c r="R53" s="528"/>
      <c r="S53" s="528"/>
      <c r="T53" s="528"/>
      <c r="U53" s="528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525" t="s">
        <v>418</v>
      </c>
      <c r="C54" s="187" t="s">
        <v>365</v>
      </c>
      <c r="D54" s="108">
        <v>5.03</v>
      </c>
      <c r="E54" s="108"/>
      <c r="F54" s="127"/>
      <c r="G54" s="128"/>
      <c r="H54" s="533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528"/>
      <c r="P54" s="528"/>
      <c r="Q54" s="528"/>
      <c r="R54" s="528"/>
      <c r="S54" s="528"/>
      <c r="T54" s="528"/>
      <c r="U54" s="528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525" t="s">
        <v>418</v>
      </c>
      <c r="C55" s="187" t="s">
        <v>366</v>
      </c>
      <c r="D55" s="108">
        <v>5.03</v>
      </c>
      <c r="E55" s="108"/>
      <c r="F55" s="127"/>
      <c r="G55" s="128"/>
      <c r="H55" s="533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528"/>
      <c r="P55" s="528"/>
      <c r="Q55" s="528"/>
      <c r="R55" s="528"/>
      <c r="S55" s="528"/>
      <c r="T55" s="528"/>
      <c r="U55" s="528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525" t="s">
        <v>418</v>
      </c>
      <c r="C56" s="187" t="s">
        <v>367</v>
      </c>
      <c r="D56" s="108">
        <v>5.03</v>
      </c>
      <c r="E56" s="108"/>
      <c r="F56" s="127"/>
      <c r="G56" s="128"/>
      <c r="H56" s="533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528"/>
      <c r="P56" s="528"/>
      <c r="Q56" s="528"/>
      <c r="R56" s="528"/>
      <c r="S56" s="528"/>
      <c r="T56" s="528"/>
      <c r="U56" s="528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533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524"/>
      <c r="P57" s="524"/>
      <c r="Q57" s="524"/>
      <c r="R57" s="524"/>
      <c r="S57" s="524"/>
      <c r="T57" s="524"/>
      <c r="U57" s="524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533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524"/>
      <c r="P58" s="524"/>
      <c r="Q58" s="524"/>
      <c r="R58" s="524"/>
      <c r="S58" s="524"/>
      <c r="T58" s="524"/>
      <c r="U58" s="524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533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524"/>
      <c r="P59" s="524"/>
      <c r="Q59" s="524"/>
      <c r="R59" s="524"/>
      <c r="S59" s="524"/>
      <c r="T59" s="524"/>
      <c r="U59" s="524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533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524"/>
      <c r="P60" s="524"/>
      <c r="Q60" s="524"/>
      <c r="R60" s="524"/>
      <c r="S60" s="524"/>
      <c r="T60" s="524"/>
      <c r="U60" s="524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533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524"/>
      <c r="P61" s="524"/>
      <c r="Q61" s="524"/>
      <c r="R61" s="524"/>
      <c r="S61" s="524"/>
      <c r="T61" s="524"/>
      <c r="U61" s="524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533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524"/>
      <c r="P62" s="524"/>
      <c r="Q62" s="524"/>
      <c r="R62" s="524"/>
      <c r="S62" s="524"/>
      <c r="T62" s="524"/>
      <c r="U62" s="524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533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524"/>
      <c r="P63" s="524"/>
      <c r="Q63" s="524"/>
      <c r="R63" s="524"/>
      <c r="S63" s="524"/>
      <c r="T63" s="524"/>
      <c r="U63" s="524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533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524"/>
      <c r="P64" s="524"/>
      <c r="Q64" s="524"/>
      <c r="R64" s="524"/>
      <c r="S64" s="524"/>
      <c r="T64" s="524"/>
      <c r="U64" s="524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533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524"/>
      <c r="P65" s="524"/>
      <c r="Q65" s="524"/>
      <c r="R65" s="524"/>
      <c r="S65" s="524"/>
      <c r="T65" s="524"/>
      <c r="U65" s="524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>
        <v>42719</v>
      </c>
      <c r="G66" s="536">
        <f>90*3+61+90*6</f>
        <v>871</v>
      </c>
      <c r="H66" s="533">
        <f t="shared" si="11"/>
        <v>4381.13</v>
      </c>
      <c r="I66" s="129">
        <v>11</v>
      </c>
      <c r="J66" s="130">
        <f t="array" ref="J66">IF(ISERROR(G66/I66),"",G66/I66)</f>
        <v>79.181818181818187</v>
      </c>
      <c r="K66" s="131">
        <f t="array" ref="K66">IF(ISERROR(G66/L66),"",G66/L66)</f>
        <v>17.420000000000002</v>
      </c>
      <c r="L66" s="129">
        <v>50</v>
      </c>
      <c r="M66" s="109">
        <f t="shared" si="19"/>
        <v>-6.4200000000000017</v>
      </c>
      <c r="N66" s="130">
        <f t="shared" si="23"/>
        <v>0</v>
      </c>
      <c r="O66" s="524"/>
      <c r="P66" s="524"/>
      <c r="Q66" s="524"/>
      <c r="R66" s="524"/>
      <c r="S66" s="524"/>
      <c r="T66" s="524"/>
      <c r="U66" s="524"/>
      <c r="V66" s="132">
        <f t="shared" si="24"/>
        <v>0</v>
      </c>
      <c r="W66" s="133">
        <f t="shared" si="25"/>
        <v>0</v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533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524"/>
      <c r="P67" s="524"/>
      <c r="Q67" s="524"/>
      <c r="R67" s="524"/>
      <c r="S67" s="524"/>
      <c r="T67" s="524"/>
      <c r="U67" s="524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533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524"/>
      <c r="P68" s="524"/>
      <c r="Q68" s="524"/>
      <c r="R68" s="524"/>
      <c r="S68" s="524"/>
      <c r="T68" s="524"/>
      <c r="U68" s="524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533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524"/>
      <c r="P69" s="524"/>
      <c r="Q69" s="524"/>
      <c r="R69" s="524"/>
      <c r="S69" s="524"/>
      <c r="T69" s="524"/>
      <c r="U69" s="524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533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524"/>
      <c r="P70" s="524"/>
      <c r="Q70" s="524"/>
      <c r="R70" s="524"/>
      <c r="S70" s="524"/>
      <c r="T70" s="524"/>
      <c r="U70" s="524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533">
        <f t="shared" si="11"/>
        <v>0</v>
      </c>
      <c r="I71" s="129"/>
      <c r="J71" s="130"/>
      <c r="K71" s="131"/>
      <c r="L71" s="129"/>
      <c r="M71" s="109"/>
      <c r="N71" s="130"/>
      <c r="O71" s="524"/>
      <c r="P71" s="524"/>
      <c r="Q71" s="524"/>
      <c r="R71" s="524"/>
      <c r="S71" s="524"/>
      <c r="T71" s="524"/>
      <c r="U71" s="524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533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524"/>
      <c r="P72" s="524"/>
      <c r="Q72" s="524"/>
      <c r="R72" s="524"/>
      <c r="S72" s="524"/>
      <c r="T72" s="524"/>
      <c r="U72" s="524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533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524"/>
      <c r="P73" s="524"/>
      <c r="Q73" s="524"/>
      <c r="R73" s="524"/>
      <c r="S73" s="524"/>
      <c r="T73" s="524"/>
      <c r="U73" s="524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533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524"/>
      <c r="P74" s="524"/>
      <c r="Q74" s="524"/>
      <c r="R74" s="524"/>
      <c r="S74" s="524"/>
      <c r="T74" s="524"/>
      <c r="U74" s="524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533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524"/>
      <c r="P75" s="524"/>
      <c r="Q75" s="524"/>
      <c r="R75" s="524"/>
      <c r="S75" s="524"/>
      <c r="T75" s="524"/>
      <c r="U75" s="524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533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524"/>
      <c r="P76" s="524"/>
      <c r="Q76" s="524"/>
      <c r="R76" s="524"/>
      <c r="S76" s="524"/>
      <c r="T76" s="524"/>
      <c r="U76" s="524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533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524"/>
      <c r="P77" s="524"/>
      <c r="Q77" s="524"/>
      <c r="R77" s="524"/>
      <c r="S77" s="524"/>
      <c r="T77" s="524"/>
      <c r="U77" s="524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533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524"/>
      <c r="P78" s="524"/>
      <c r="Q78" s="524"/>
      <c r="R78" s="524"/>
      <c r="S78" s="524"/>
      <c r="T78" s="524"/>
      <c r="U78" s="524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533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524"/>
      <c r="P79" s="524"/>
      <c r="Q79" s="524"/>
      <c r="R79" s="524"/>
      <c r="S79" s="524"/>
      <c r="T79" s="524"/>
      <c r="U79" s="524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533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524"/>
      <c r="P80" s="524"/>
      <c r="Q80" s="524"/>
      <c r="R80" s="524"/>
      <c r="S80" s="524"/>
      <c r="T80" s="524"/>
      <c r="U80" s="524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533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524"/>
      <c r="P81" s="524"/>
      <c r="Q81" s="524"/>
      <c r="R81" s="524"/>
      <c r="S81" s="524"/>
      <c r="T81" s="524"/>
      <c r="U81" s="524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533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524"/>
      <c r="P82" s="524"/>
      <c r="Q82" s="524"/>
      <c r="R82" s="524"/>
      <c r="S82" s="524"/>
      <c r="T82" s="524"/>
      <c r="U82" s="524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533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524"/>
      <c r="P83" s="524"/>
      <c r="Q83" s="524"/>
      <c r="R83" s="524"/>
      <c r="S83" s="524"/>
      <c r="T83" s="524"/>
      <c r="U83" s="524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533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524"/>
      <c r="P84" s="524"/>
      <c r="Q84" s="524"/>
      <c r="R84" s="524"/>
      <c r="S84" s="524"/>
      <c r="T84" s="524"/>
      <c r="U84" s="524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533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524"/>
      <c r="P85" s="524"/>
      <c r="Q85" s="524"/>
      <c r="R85" s="524"/>
      <c r="S85" s="524"/>
      <c r="T85" s="524"/>
      <c r="U85" s="524"/>
      <c r="V85" s="132"/>
      <c r="W85" s="133"/>
      <c r="X85" s="132"/>
      <c r="Y85" s="132"/>
      <c r="Z85" s="132"/>
      <c r="AA85" s="132"/>
    </row>
    <row r="86" spans="1:27" ht="20.100000000000001" customHeight="1">
      <c r="A86" s="641" t="s">
        <v>216</v>
      </c>
      <c r="B86" s="641"/>
      <c r="C86" s="531" t="s">
        <v>202</v>
      </c>
      <c r="D86" s="143"/>
      <c r="E86" s="143"/>
      <c r="F86" s="144"/>
      <c r="G86" s="145">
        <f>SUM(G29:G85)</f>
        <v>1793</v>
      </c>
      <c r="H86" s="146">
        <f>SUM(H29:H85)</f>
        <v>9018.7900000000009</v>
      </c>
      <c r="I86" s="146">
        <f>SUM(I29:I85)</f>
        <v>22</v>
      </c>
      <c r="J86" s="130">
        <f t="array" ref="J86">IF(ISERROR(G86/I86),"",G86/I86)</f>
        <v>81.5</v>
      </c>
      <c r="K86" s="146">
        <f>SUM(K29:K85)</f>
        <v>35.150769230769228</v>
      </c>
      <c r="L86" s="147"/>
      <c r="M86" s="150">
        <f t="shared" ref="M86:V86" si="34">SUM(M29:M85)</f>
        <v>-13.150769230769232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525" t="s">
        <v>217</v>
      </c>
      <c r="C87" s="126" t="s">
        <v>179</v>
      </c>
      <c r="D87" s="108">
        <v>5.03</v>
      </c>
      <c r="E87" s="108"/>
      <c r="F87" s="127"/>
      <c r="G87" s="128"/>
      <c r="H87" s="533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524"/>
      <c r="P87" s="524"/>
      <c r="Q87" s="524"/>
      <c r="R87" s="524"/>
      <c r="S87" s="524"/>
      <c r="T87" s="524"/>
      <c r="U87" s="524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525" t="s">
        <v>217</v>
      </c>
      <c r="C88" s="126" t="s">
        <v>186</v>
      </c>
      <c r="D88" s="108">
        <v>5.03</v>
      </c>
      <c r="E88" s="108"/>
      <c r="F88" s="127"/>
      <c r="G88" s="128"/>
      <c r="H88" s="533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524"/>
      <c r="P88" s="524"/>
      <c r="Q88" s="524"/>
      <c r="R88" s="524"/>
      <c r="S88" s="524"/>
      <c r="T88" s="524"/>
      <c r="U88" s="524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525" t="s">
        <v>217</v>
      </c>
      <c r="C89" s="126" t="s">
        <v>204</v>
      </c>
      <c r="D89" s="108">
        <v>5.03</v>
      </c>
      <c r="E89" s="108"/>
      <c r="F89" s="127"/>
      <c r="G89" s="128"/>
      <c r="H89" s="533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524"/>
      <c r="P89" s="524"/>
      <c r="Q89" s="524"/>
      <c r="R89" s="524"/>
      <c r="S89" s="524"/>
      <c r="T89" s="524"/>
      <c r="U89" s="524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533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524"/>
      <c r="P90" s="524"/>
      <c r="Q90" s="524"/>
      <c r="R90" s="524"/>
      <c r="S90" s="524"/>
      <c r="T90" s="524"/>
      <c r="U90" s="524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533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524"/>
      <c r="P91" s="524"/>
      <c r="Q91" s="524"/>
      <c r="R91" s="524"/>
      <c r="S91" s="524"/>
      <c r="T91" s="524"/>
      <c r="U91" s="524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>
        <v>42721</v>
      </c>
      <c r="G92" s="536">
        <f>89+98</f>
        <v>187</v>
      </c>
      <c r="H92" s="533">
        <f t="shared" si="36"/>
        <v>940.61</v>
      </c>
      <c r="I92" s="129">
        <f>11*2</f>
        <v>22</v>
      </c>
      <c r="J92" s="130">
        <f t="array" ref="J92">IF(ISERROR(G92/I92),"",G92/I92)</f>
        <v>8.5</v>
      </c>
      <c r="K92" s="131">
        <f t="array" ref="K92">IF(ISERROR(G92/L92),"",G92/L92)</f>
        <v>20.107526881720428</v>
      </c>
      <c r="L92" s="129">
        <v>9.3000000000000007</v>
      </c>
      <c r="M92" s="109">
        <f t="shared" si="37"/>
        <v>1.8924731182795718</v>
      </c>
      <c r="N92" s="130">
        <f t="shared" si="38"/>
        <v>0</v>
      </c>
      <c r="O92" s="524"/>
      <c r="P92" s="524"/>
      <c r="Q92" s="524"/>
      <c r="R92" s="524"/>
      <c r="S92" s="524"/>
      <c r="T92" s="524"/>
      <c r="U92" s="524"/>
      <c r="V92" s="132">
        <f t="shared" si="39"/>
        <v>0</v>
      </c>
      <c r="W92" s="133">
        <f t="shared" si="35"/>
        <v>0</v>
      </c>
      <c r="X92" s="132"/>
      <c r="Y92" s="132"/>
      <c r="Z92" s="132"/>
      <c r="AA92" s="132"/>
    </row>
    <row r="93" spans="1:27" ht="20.10000000000000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>
        <v>42720</v>
      </c>
      <c r="G93" s="536">
        <f>92+40</f>
        <v>132</v>
      </c>
      <c r="H93" s="533">
        <f t="shared" si="36"/>
        <v>663.96</v>
      </c>
      <c r="I93" s="129">
        <v>11</v>
      </c>
      <c r="J93" s="130">
        <f t="array" ref="J93">IF(ISERROR(G93/I93),"",G93/I93)</f>
        <v>12</v>
      </c>
      <c r="K93" s="131">
        <f t="array" ref="K93">IF(ISERROR(G93/L93),"",G93/L93)</f>
        <v>14.193548387096772</v>
      </c>
      <c r="L93" s="129">
        <v>9.3000000000000007</v>
      </c>
      <c r="M93" s="109">
        <f t="shared" si="37"/>
        <v>-3.1935483870967722</v>
      </c>
      <c r="N93" s="130">
        <f t="shared" si="38"/>
        <v>0</v>
      </c>
      <c r="O93" s="524"/>
      <c r="P93" s="524"/>
      <c r="Q93" s="524"/>
      <c r="R93" s="524"/>
      <c r="S93" s="524"/>
      <c r="T93" s="524"/>
      <c r="U93" s="524"/>
      <c r="V93" s="132">
        <f t="shared" si="39"/>
        <v>0</v>
      </c>
      <c r="W93" s="133">
        <f t="shared" si="35"/>
        <v>0</v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533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524"/>
      <c r="P94" s="524"/>
      <c r="Q94" s="524"/>
      <c r="R94" s="524"/>
      <c r="S94" s="524"/>
      <c r="T94" s="524"/>
      <c r="U94" s="524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533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524"/>
      <c r="P95" s="524"/>
      <c r="Q95" s="524"/>
      <c r="R95" s="524"/>
      <c r="S95" s="524"/>
      <c r="T95" s="524"/>
      <c r="U95" s="524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533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524"/>
      <c r="P96" s="524"/>
      <c r="Q96" s="524"/>
      <c r="R96" s="524"/>
      <c r="S96" s="524"/>
      <c r="T96" s="524"/>
      <c r="U96" s="524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533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524"/>
      <c r="P97" s="524"/>
      <c r="Q97" s="524"/>
      <c r="R97" s="524"/>
      <c r="S97" s="524"/>
      <c r="T97" s="524"/>
      <c r="U97" s="524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533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524"/>
      <c r="P98" s="524"/>
      <c r="Q98" s="524"/>
      <c r="R98" s="524"/>
      <c r="S98" s="524"/>
      <c r="T98" s="524"/>
      <c r="U98" s="524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533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524"/>
      <c r="P99" s="524"/>
      <c r="Q99" s="524"/>
      <c r="R99" s="524"/>
      <c r="S99" s="524"/>
      <c r="T99" s="524"/>
      <c r="U99" s="524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533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524"/>
      <c r="P100" s="524"/>
      <c r="Q100" s="524"/>
      <c r="R100" s="524"/>
      <c r="S100" s="524"/>
      <c r="T100" s="524"/>
      <c r="U100" s="524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533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524"/>
      <c r="P101" s="524"/>
      <c r="Q101" s="524"/>
      <c r="R101" s="524"/>
      <c r="S101" s="524"/>
      <c r="T101" s="524"/>
      <c r="U101" s="524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533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524"/>
      <c r="P102" s="524"/>
      <c r="Q102" s="524"/>
      <c r="R102" s="524"/>
      <c r="S102" s="524"/>
      <c r="T102" s="524"/>
      <c r="U102" s="524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525" t="s">
        <v>222</v>
      </c>
      <c r="C103" s="126" t="s">
        <v>181</v>
      </c>
      <c r="D103" s="108">
        <v>10.199999999999999</v>
      </c>
      <c r="E103" s="108"/>
      <c r="F103" s="127"/>
      <c r="G103" s="128"/>
      <c r="H103" s="533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524"/>
      <c r="P103" s="524"/>
      <c r="Q103" s="524"/>
      <c r="R103" s="524"/>
      <c r="S103" s="524"/>
      <c r="T103" s="524"/>
      <c r="U103" s="524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525" t="s">
        <v>222</v>
      </c>
      <c r="C104" s="126" t="s">
        <v>179</v>
      </c>
      <c r="D104" s="108">
        <v>10.199999999999999</v>
      </c>
      <c r="E104" s="108"/>
      <c r="F104" s="127"/>
      <c r="G104" s="128"/>
      <c r="H104" s="533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524"/>
      <c r="P104" s="524"/>
      <c r="Q104" s="524"/>
      <c r="R104" s="524"/>
      <c r="S104" s="524"/>
      <c r="T104" s="524"/>
      <c r="U104" s="524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525" t="s">
        <v>222</v>
      </c>
      <c r="C105" s="126" t="s">
        <v>221</v>
      </c>
      <c r="D105" s="108">
        <v>10.199999999999999</v>
      </c>
      <c r="E105" s="108"/>
      <c r="F105" s="127"/>
      <c r="G105" s="128"/>
      <c r="H105" s="533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524"/>
      <c r="P105" s="524"/>
      <c r="Q105" s="524"/>
      <c r="R105" s="524"/>
      <c r="S105" s="524"/>
      <c r="T105" s="524"/>
      <c r="U105" s="524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525" t="s">
        <v>222</v>
      </c>
      <c r="C106" s="126" t="s">
        <v>186</v>
      </c>
      <c r="D106" s="108">
        <v>10.199999999999999</v>
      </c>
      <c r="E106" s="108"/>
      <c r="F106" s="127"/>
      <c r="G106" s="128"/>
      <c r="H106" s="533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524"/>
      <c r="P106" s="524"/>
      <c r="Q106" s="524"/>
      <c r="R106" s="524"/>
      <c r="S106" s="524"/>
      <c r="T106" s="524"/>
      <c r="U106" s="524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525" t="s">
        <v>393</v>
      </c>
      <c r="C107" s="187" t="s">
        <v>395</v>
      </c>
      <c r="D107" s="108">
        <v>5</v>
      </c>
      <c r="E107" s="108"/>
      <c r="F107" s="127"/>
      <c r="G107" s="128"/>
      <c r="H107" s="533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524"/>
      <c r="P107" s="524"/>
      <c r="Q107" s="524"/>
      <c r="R107" s="524"/>
      <c r="S107" s="524"/>
      <c r="T107" s="524"/>
      <c r="U107" s="524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525" t="s">
        <v>393</v>
      </c>
      <c r="C108" s="187" t="s">
        <v>402</v>
      </c>
      <c r="D108" s="108">
        <v>5</v>
      </c>
      <c r="E108" s="108"/>
      <c r="F108" s="127"/>
      <c r="G108" s="128"/>
      <c r="H108" s="533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524"/>
      <c r="P108" s="524"/>
      <c r="Q108" s="524"/>
      <c r="R108" s="524"/>
      <c r="S108" s="524"/>
      <c r="T108" s="524"/>
      <c r="U108" s="524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525" t="s">
        <v>404</v>
      </c>
      <c r="C109" s="187" t="s">
        <v>405</v>
      </c>
      <c r="D109" s="108">
        <v>5</v>
      </c>
      <c r="E109" s="108"/>
      <c r="F109" s="127"/>
      <c r="G109" s="128"/>
      <c r="H109" s="533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524"/>
      <c r="P109" s="524"/>
      <c r="Q109" s="524"/>
      <c r="R109" s="524"/>
      <c r="S109" s="524"/>
      <c r="T109" s="524"/>
      <c r="U109" s="524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525" t="s">
        <v>492</v>
      </c>
      <c r="C110" s="187" t="s">
        <v>372</v>
      </c>
      <c r="D110" s="108">
        <v>5</v>
      </c>
      <c r="E110" s="108"/>
      <c r="F110" s="127"/>
      <c r="G110" s="128"/>
      <c r="H110" s="533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524"/>
      <c r="P110" s="524"/>
      <c r="Q110" s="524"/>
      <c r="R110" s="524"/>
      <c r="S110" s="524"/>
      <c r="T110" s="524"/>
      <c r="U110" s="524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525" t="s">
        <v>343</v>
      </c>
      <c r="C111" s="126" t="s">
        <v>345</v>
      </c>
      <c r="D111" s="108">
        <v>5</v>
      </c>
      <c r="E111" s="108"/>
      <c r="F111" s="127"/>
      <c r="G111" s="128"/>
      <c r="H111" s="533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524"/>
      <c r="P111" s="524"/>
      <c r="Q111" s="524"/>
      <c r="R111" s="524"/>
      <c r="S111" s="524"/>
      <c r="T111" s="524"/>
      <c r="U111" s="524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525" t="s">
        <v>343</v>
      </c>
      <c r="C112" s="126" t="s">
        <v>347</v>
      </c>
      <c r="D112" s="108">
        <v>5</v>
      </c>
      <c r="E112" s="108"/>
      <c r="F112" s="127">
        <v>42717</v>
      </c>
      <c r="G112" s="536">
        <f>90+34</f>
        <v>124</v>
      </c>
      <c r="H112" s="533">
        <f t="shared" si="36"/>
        <v>620</v>
      </c>
      <c r="I112" s="129">
        <f>3.5*3+1*2</f>
        <v>12.5</v>
      </c>
      <c r="J112" s="130">
        <f t="array" ref="J112">IF(ISERROR(G112/I112),"",G112/I112)</f>
        <v>9.92</v>
      </c>
      <c r="K112" s="131">
        <f t="array" ref="K112">IF(ISERROR(G112/L112),"",G112/L112)</f>
        <v>24.8</v>
      </c>
      <c r="L112" s="129">
        <v>5</v>
      </c>
      <c r="M112" s="109">
        <f t="shared" si="37"/>
        <v>-12.3</v>
      </c>
      <c r="N112" s="130">
        <f t="shared" si="40"/>
        <v>0</v>
      </c>
      <c r="O112" s="524"/>
      <c r="P112" s="524"/>
      <c r="Q112" s="524"/>
      <c r="R112" s="524"/>
      <c r="S112" s="524"/>
      <c r="T112" s="524"/>
      <c r="U112" s="524"/>
      <c r="V112" s="132"/>
      <c r="W112" s="133"/>
      <c r="X112" s="132"/>
      <c r="Y112" s="132"/>
      <c r="Z112" s="132"/>
      <c r="AA112" s="132"/>
    </row>
    <row r="113" spans="1:27" ht="20.10000000000000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>
        <v>42720</v>
      </c>
      <c r="G113" s="536">
        <v>53</v>
      </c>
      <c r="H113" s="533">
        <f t="shared" si="36"/>
        <v>268.18</v>
      </c>
      <c r="I113" s="129">
        <v>3.5</v>
      </c>
      <c r="J113" s="130">
        <f t="array" ref="J113">IF(ISERROR(G113/I113),"",G113/I113)</f>
        <v>15.142857142857142</v>
      </c>
      <c r="K113" s="131">
        <f t="array" ref="K113">IF(ISERROR(G113/L113),"",G113/L113)</f>
        <v>3.4193548387096775</v>
      </c>
      <c r="L113" s="129">
        <v>15.5</v>
      </c>
      <c r="M113" s="109">
        <f t="shared" si="37"/>
        <v>8.0645161290322509E-2</v>
      </c>
      <c r="N113" s="130">
        <f t="shared" si="40"/>
        <v>0</v>
      </c>
      <c r="O113" s="524"/>
      <c r="P113" s="524"/>
      <c r="Q113" s="524"/>
      <c r="R113" s="524"/>
      <c r="S113" s="524"/>
      <c r="T113" s="524"/>
      <c r="U113" s="524"/>
      <c r="V113" s="132">
        <f t="shared" ref="V113:V114" si="44">SUM(X113:AA113)</f>
        <v>0</v>
      </c>
      <c r="W113" s="133">
        <f t="shared" ref="W113:W114" si="45">IF(ISERROR(V113/G113),"",V113/G113)</f>
        <v>0</v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533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524"/>
      <c r="P114" s="524"/>
      <c r="Q114" s="524"/>
      <c r="R114" s="524"/>
      <c r="S114" s="524"/>
      <c r="T114" s="524"/>
      <c r="U114" s="524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533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524"/>
      <c r="P115" s="524"/>
      <c r="Q115" s="524"/>
      <c r="R115" s="524"/>
      <c r="S115" s="524"/>
      <c r="T115" s="524"/>
      <c r="U115" s="524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533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524"/>
      <c r="P116" s="524"/>
      <c r="Q116" s="524"/>
      <c r="R116" s="524"/>
      <c r="S116" s="524"/>
      <c r="T116" s="524"/>
      <c r="U116" s="524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533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524"/>
      <c r="P117" s="524"/>
      <c r="Q117" s="524"/>
      <c r="R117" s="524"/>
      <c r="S117" s="524"/>
      <c r="T117" s="524"/>
      <c r="U117" s="524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533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524"/>
      <c r="P118" s="524"/>
      <c r="Q118" s="524"/>
      <c r="R118" s="524"/>
      <c r="S118" s="524"/>
      <c r="T118" s="524"/>
      <c r="U118" s="524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533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524"/>
      <c r="P119" s="524"/>
      <c r="Q119" s="524"/>
      <c r="R119" s="524"/>
      <c r="S119" s="524"/>
      <c r="T119" s="524"/>
      <c r="U119" s="524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533">
        <f t="shared" si="36"/>
        <v>0</v>
      </c>
      <c r="I120" s="129"/>
      <c r="J120" s="130" t="str">
        <f t="array" ref="J120">IF(ISERROR(G120/I120),"",G120/I120)</f>
        <v/>
      </c>
      <c r="K120" s="533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524"/>
      <c r="P120" s="524"/>
      <c r="Q120" s="524"/>
      <c r="R120" s="524"/>
      <c r="S120" s="524"/>
      <c r="T120" s="524"/>
      <c r="U120" s="524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30" t="s">
        <v>224</v>
      </c>
      <c r="B121" s="631"/>
      <c r="C121" s="531" t="s">
        <v>202</v>
      </c>
      <c r="D121" s="143"/>
      <c r="E121" s="143"/>
      <c r="F121" s="144"/>
      <c r="G121" s="145">
        <f>SUM(G87:G120)</f>
        <v>496</v>
      </c>
      <c r="H121" s="146">
        <f>SUM(H87:H120)</f>
        <v>2492.75</v>
      </c>
      <c r="I121" s="146">
        <f>SUM(I87:I120)</f>
        <v>49</v>
      </c>
      <c r="J121" s="130">
        <f t="array" ref="J121">IF(ISERROR(G121/I121),"",G121/I121)</f>
        <v>10.122448979591837</v>
      </c>
      <c r="K121" s="146">
        <f>SUM(K87:K120)</f>
        <v>62.520430107526877</v>
      </c>
      <c r="L121" s="147"/>
      <c r="M121" s="150">
        <f t="shared" ref="M121:V121" si="50">SUM(M87:M120)</f>
        <v>-13.520430107526879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>
        <v>42721</v>
      </c>
      <c r="G122" s="536">
        <f>90*2+13+75</f>
        <v>268</v>
      </c>
      <c r="H122" s="533">
        <f t="shared" ref="H122:H136" si="51">D122*G122</f>
        <v>1348.04</v>
      </c>
      <c r="I122" s="129">
        <f>5.5*2</f>
        <v>11</v>
      </c>
      <c r="J122" s="130">
        <f t="array" ref="J122">IF(ISERROR(G122/I122),"",G122/I122)</f>
        <v>24.363636363636363</v>
      </c>
      <c r="K122" s="131">
        <f t="array" ref="K122">IF(ISERROR(G122/L122),"",G122/L122)</f>
        <v>10.72</v>
      </c>
      <c r="L122" s="129">
        <v>25</v>
      </c>
      <c r="M122" s="109">
        <f t="shared" ref="M122:M136" si="52">IF(ISERROR(I122-K122),"",I122-K122)</f>
        <v>0.27999999999999936</v>
      </c>
      <c r="N122" s="130">
        <f t="shared" ref="N122:N136" si="53">SUM(O122:U122)</f>
        <v>0</v>
      </c>
      <c r="O122" s="524"/>
      <c r="P122" s="524"/>
      <c r="Q122" s="524"/>
      <c r="R122" s="524"/>
      <c r="S122" s="524"/>
      <c r="T122" s="524"/>
      <c r="U122" s="524"/>
      <c r="V122" s="132">
        <f t="shared" ref="V122:V136" si="54">SUM(X122:AA122)</f>
        <v>0</v>
      </c>
      <c r="W122" s="133">
        <f t="shared" si="49"/>
        <v>0</v>
      </c>
      <c r="X122" s="132"/>
      <c r="Y122" s="132"/>
      <c r="Z122" s="132"/>
      <c r="AA122" s="132"/>
    </row>
    <row r="123" spans="1:27" ht="20.10000000000000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>
        <v>42720</v>
      </c>
      <c r="G123" s="536">
        <f>90*2+74+55</f>
        <v>309</v>
      </c>
      <c r="H123" s="533">
        <f t="shared" si="51"/>
        <v>1554.27</v>
      </c>
      <c r="I123" s="129">
        <f>5.5*2</f>
        <v>11</v>
      </c>
      <c r="J123" s="130">
        <f t="array" ref="J123">IF(ISERROR(G123/I123),"",G123/I123)</f>
        <v>28.09090909090909</v>
      </c>
      <c r="K123" s="131">
        <f t="array" ref="K123">IF(ISERROR(G123/L123),"",G123/L123)</f>
        <v>12.36</v>
      </c>
      <c r="L123" s="129">
        <v>25</v>
      </c>
      <c r="M123" s="109">
        <f t="shared" si="52"/>
        <v>-1.3599999999999994</v>
      </c>
      <c r="N123" s="130">
        <f t="shared" si="53"/>
        <v>0</v>
      </c>
      <c r="O123" s="524"/>
      <c r="P123" s="524"/>
      <c r="Q123" s="524"/>
      <c r="R123" s="524"/>
      <c r="S123" s="524"/>
      <c r="T123" s="524"/>
      <c r="U123" s="524"/>
      <c r="V123" s="132">
        <f t="shared" si="54"/>
        <v>0</v>
      </c>
      <c r="W123" s="133">
        <f t="shared" si="49"/>
        <v>0</v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533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524"/>
      <c r="P124" s="524"/>
      <c r="Q124" s="524"/>
      <c r="R124" s="524"/>
      <c r="S124" s="524"/>
      <c r="T124" s="524"/>
      <c r="U124" s="524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533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524"/>
      <c r="P125" s="524"/>
      <c r="Q125" s="524"/>
      <c r="R125" s="524"/>
      <c r="S125" s="524"/>
      <c r="T125" s="524"/>
      <c r="U125" s="524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529" t="s">
        <v>203</v>
      </c>
      <c r="D126" s="108">
        <v>5.03</v>
      </c>
      <c r="E126" s="108"/>
      <c r="F126" s="127"/>
      <c r="G126" s="128"/>
      <c r="H126" s="533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524"/>
      <c r="P126" s="524"/>
      <c r="Q126" s="524"/>
      <c r="R126" s="524"/>
      <c r="S126" s="524"/>
      <c r="T126" s="524"/>
      <c r="U126" s="524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533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524"/>
      <c r="P127" s="524"/>
      <c r="Q127" s="524"/>
      <c r="R127" s="524"/>
      <c r="S127" s="524"/>
      <c r="T127" s="524"/>
      <c r="U127" s="524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533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524"/>
      <c r="P128" s="524"/>
      <c r="Q128" s="524"/>
      <c r="R128" s="524"/>
      <c r="S128" s="524"/>
      <c r="T128" s="524"/>
      <c r="U128" s="524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529" t="s">
        <v>228</v>
      </c>
      <c r="D129" s="108">
        <v>5.03</v>
      </c>
      <c r="E129" s="108"/>
      <c r="F129" s="127"/>
      <c r="G129" s="128"/>
      <c r="H129" s="533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524"/>
      <c r="P129" s="524"/>
      <c r="Q129" s="524"/>
      <c r="R129" s="524"/>
      <c r="S129" s="524"/>
      <c r="T129" s="524"/>
      <c r="U129" s="524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529" t="s">
        <v>212</v>
      </c>
      <c r="D130" s="108">
        <v>5.03</v>
      </c>
      <c r="E130" s="108"/>
      <c r="F130" s="127"/>
      <c r="G130" s="128"/>
      <c r="H130" s="533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524"/>
      <c r="P130" s="524"/>
      <c r="Q130" s="524"/>
      <c r="R130" s="524"/>
      <c r="S130" s="524"/>
      <c r="T130" s="524"/>
      <c r="U130" s="524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529" t="s">
        <v>203</v>
      </c>
      <c r="D131" s="108">
        <v>5.03</v>
      </c>
      <c r="E131" s="108"/>
      <c r="F131" s="127"/>
      <c r="G131" s="128"/>
      <c r="H131" s="533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524"/>
      <c r="P131" s="524"/>
      <c r="Q131" s="524"/>
      <c r="R131" s="524"/>
      <c r="S131" s="524"/>
      <c r="T131" s="524"/>
      <c r="U131" s="524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529" t="s">
        <v>186</v>
      </c>
      <c r="D132" s="108">
        <v>5.03</v>
      </c>
      <c r="E132" s="108"/>
      <c r="F132" s="127"/>
      <c r="G132" s="128"/>
      <c r="H132" s="533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524"/>
      <c r="P132" s="524"/>
      <c r="Q132" s="524"/>
      <c r="R132" s="524"/>
      <c r="S132" s="524"/>
      <c r="T132" s="524"/>
      <c r="U132" s="524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529" t="s">
        <v>228</v>
      </c>
      <c r="D133" s="108">
        <v>5.03</v>
      </c>
      <c r="E133" s="108"/>
      <c r="F133" s="127"/>
      <c r="G133" s="128"/>
      <c r="H133" s="533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524"/>
      <c r="P133" s="524"/>
      <c r="Q133" s="524"/>
      <c r="R133" s="524"/>
      <c r="S133" s="524"/>
      <c r="T133" s="524"/>
      <c r="U133" s="524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529" t="s">
        <v>199</v>
      </c>
      <c r="D134" s="108">
        <v>5.03</v>
      </c>
      <c r="E134" s="108"/>
      <c r="F134" s="127"/>
      <c r="G134" s="128"/>
      <c r="H134" s="533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524"/>
      <c r="P134" s="524"/>
      <c r="Q134" s="524"/>
      <c r="R134" s="524"/>
      <c r="S134" s="524"/>
      <c r="T134" s="524"/>
      <c r="U134" s="524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533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524"/>
      <c r="P135" s="524"/>
      <c r="Q135" s="524"/>
      <c r="R135" s="524"/>
      <c r="S135" s="524"/>
      <c r="T135" s="524"/>
      <c r="U135" s="524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533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524"/>
      <c r="P136" s="524"/>
      <c r="Q136" s="524"/>
      <c r="R136" s="524"/>
      <c r="S136" s="524"/>
      <c r="T136" s="524"/>
      <c r="U136" s="524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630" t="s">
        <v>231</v>
      </c>
      <c r="B137" s="631"/>
      <c r="C137" s="531" t="s">
        <v>202</v>
      </c>
      <c r="D137" s="143"/>
      <c r="E137" s="143"/>
      <c r="F137" s="144"/>
      <c r="G137" s="145">
        <f>SUM(G122:G136)</f>
        <v>577</v>
      </c>
      <c r="H137" s="146">
        <f>SUM(H122:H136)</f>
        <v>2902.31</v>
      </c>
      <c r="I137" s="146">
        <f>SUM(I122:I136)</f>
        <v>22</v>
      </c>
      <c r="J137" s="130">
        <f t="array" ref="J137">IF(ISERROR(G137/I137),"",G137/I137)</f>
        <v>26.227272727272727</v>
      </c>
      <c r="K137" s="146">
        <f>SUM(K122:K136)</f>
        <v>23.08</v>
      </c>
      <c r="L137" s="147"/>
      <c r="M137" s="150">
        <f>SUM(M122:M136)</f>
        <v>-1.08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>
        <v>42705</v>
      </c>
      <c r="G138" s="536">
        <v>7</v>
      </c>
      <c r="H138" s="533">
        <f t="shared" ref="H138:H146" si="55">D138*G138</f>
        <v>35.28</v>
      </c>
      <c r="I138" s="129">
        <v>0.5</v>
      </c>
      <c r="J138" s="130">
        <f t="array" ref="J138">IF(ISERROR(G138/I138),"",G138/I138)</f>
        <v>14</v>
      </c>
      <c r="K138" s="131">
        <f t="array" ref="K138">IF(ISERROR(G138/L138),"",G138/L138)</f>
        <v>0.31818181818181818</v>
      </c>
      <c r="L138" s="129">
        <v>22</v>
      </c>
      <c r="M138" s="109">
        <f t="shared" ref="M138:M142" si="56">IF(ISERROR(I138-K138),"",I138-K138)</f>
        <v>0.18181818181818182</v>
      </c>
      <c r="N138" s="130">
        <f t="shared" ref="N138:N142" si="57">SUM(O138:U138)</f>
        <v>0</v>
      </c>
      <c r="O138" s="524"/>
      <c r="P138" s="524"/>
      <c r="Q138" s="524"/>
      <c r="R138" s="524"/>
      <c r="S138" s="524"/>
      <c r="T138" s="524"/>
      <c r="U138" s="524"/>
      <c r="V138" s="132">
        <f t="shared" ref="V138:V142" si="58">SUM(X138:AA138)</f>
        <v>0</v>
      </c>
      <c r="W138" s="133">
        <f t="shared" si="49"/>
        <v>0</v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535"/>
      <c r="H139" s="533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524"/>
      <c r="P139" s="524"/>
      <c r="Q139" s="524"/>
      <c r="R139" s="524"/>
      <c r="S139" s="524"/>
      <c r="T139" s="524"/>
      <c r="U139" s="524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>
        <v>42705</v>
      </c>
      <c r="G140" s="536">
        <v>28</v>
      </c>
      <c r="H140" s="533">
        <f t="shared" si="55"/>
        <v>141.12</v>
      </c>
      <c r="I140" s="129">
        <v>1.5</v>
      </c>
      <c r="J140" s="130">
        <f t="array" ref="J140">IF(ISERROR(G140/I140),"",G140/I140)</f>
        <v>18.666666666666668</v>
      </c>
      <c r="K140" s="131">
        <f t="array" ref="K140">IF(ISERROR(G140/L140),"",G140/L140)</f>
        <v>1.2727272727272727</v>
      </c>
      <c r="L140" s="129">
        <v>22</v>
      </c>
      <c r="M140" s="109">
        <f t="shared" si="56"/>
        <v>0.22727272727272729</v>
      </c>
      <c r="N140" s="130">
        <f t="shared" si="57"/>
        <v>0</v>
      </c>
      <c r="O140" s="524"/>
      <c r="P140" s="524"/>
      <c r="Q140" s="524"/>
      <c r="R140" s="524"/>
      <c r="S140" s="524"/>
      <c r="T140" s="524"/>
      <c r="U140" s="524"/>
      <c r="V140" s="132">
        <f t="shared" si="58"/>
        <v>0</v>
      </c>
      <c r="W140" s="133">
        <f t="shared" si="49"/>
        <v>0</v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533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524"/>
      <c r="P141" s="524"/>
      <c r="Q141" s="524"/>
      <c r="R141" s="524"/>
      <c r="S141" s="524"/>
      <c r="T141" s="524"/>
      <c r="U141" s="524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533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524"/>
      <c r="P142" s="524"/>
      <c r="Q142" s="524"/>
      <c r="R142" s="524"/>
      <c r="S142" s="524"/>
      <c r="T142" s="524"/>
      <c r="U142" s="524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533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524"/>
      <c r="P143" s="524"/>
      <c r="Q143" s="524"/>
      <c r="R143" s="524"/>
      <c r="S143" s="524"/>
      <c r="T143" s="524"/>
      <c r="U143" s="524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533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524"/>
      <c r="P144" s="524"/>
      <c r="Q144" s="524"/>
      <c r="R144" s="524"/>
      <c r="S144" s="524"/>
      <c r="T144" s="524"/>
      <c r="U144" s="524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30040021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533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524"/>
      <c r="P145" s="524"/>
      <c r="Q145" s="524"/>
      <c r="R145" s="524"/>
      <c r="S145" s="524"/>
      <c r="T145" s="524"/>
      <c r="U145" s="524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533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524"/>
      <c r="P146" s="524"/>
      <c r="Q146" s="524"/>
      <c r="R146" s="524"/>
      <c r="S146" s="524"/>
      <c r="T146" s="524"/>
      <c r="U146" s="524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customHeight="1">
      <c r="A147" s="630" t="s">
        <v>234</v>
      </c>
      <c r="B147" s="631"/>
      <c r="C147" s="531" t="s">
        <v>202</v>
      </c>
      <c r="D147" s="143"/>
      <c r="E147" s="143"/>
      <c r="F147" s="144"/>
      <c r="G147" s="145">
        <f>SUM(G138:G146)</f>
        <v>35</v>
      </c>
      <c r="H147" s="146">
        <f>SUM(H138:H146)</f>
        <v>176.4</v>
      </c>
      <c r="I147" s="146">
        <f>SUM(I138:I146)</f>
        <v>2</v>
      </c>
      <c r="J147" s="130">
        <f t="array" ref="J147">IF(ISERROR(G147/I147),"",G147/I147)</f>
        <v>17.5</v>
      </c>
      <c r="K147" s="146">
        <f>SUM(K138:K146)</f>
        <v>1.5909090909090908</v>
      </c>
      <c r="L147" s="147"/>
      <c r="M147" s="150">
        <f>SUM(M138:M146)</f>
        <v>0.40909090909090912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>
        <f t="shared" si="62"/>
        <v>0</v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523"/>
      <c r="D148" s="108">
        <v>3.65</v>
      </c>
      <c r="E148" s="108"/>
      <c r="F148" s="153"/>
      <c r="G148" s="128"/>
      <c r="H148" s="533">
        <f t="shared" ref="H148:H161" si="63">D148*G148</f>
        <v>0</v>
      </c>
      <c r="I148" s="129"/>
      <c r="J148" s="130" t="str">
        <f t="array" ref="J148">IF(ISERROR(G148/I148),"",G148/I148)</f>
        <v/>
      </c>
      <c r="K148" s="533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524"/>
      <c r="P148" s="524"/>
      <c r="Q148" s="524"/>
      <c r="R148" s="524"/>
      <c r="S148" s="524"/>
      <c r="T148" s="524"/>
      <c r="U148" s="524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523"/>
      <c r="D149" s="108">
        <v>6.58</v>
      </c>
      <c r="E149" s="108"/>
      <c r="F149" s="127"/>
      <c r="G149" s="128"/>
      <c r="H149" s="533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524"/>
      <c r="P149" s="524"/>
      <c r="Q149" s="524"/>
      <c r="R149" s="524"/>
      <c r="S149" s="524"/>
      <c r="T149" s="524"/>
      <c r="U149" s="524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523"/>
      <c r="D150" s="108">
        <v>7.8</v>
      </c>
      <c r="E150" s="108"/>
      <c r="F150" s="127"/>
      <c r="G150" s="128"/>
      <c r="H150" s="533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524"/>
      <c r="P150" s="524"/>
      <c r="Q150" s="524"/>
      <c r="R150" s="524"/>
      <c r="S150" s="524"/>
      <c r="T150" s="524"/>
      <c r="U150" s="524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523"/>
      <c r="D151" s="108">
        <v>4.4000000000000004</v>
      </c>
      <c r="E151" s="108"/>
      <c r="F151" s="127"/>
      <c r="G151" s="128"/>
      <c r="H151" s="533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524"/>
      <c r="P151" s="524"/>
      <c r="Q151" s="524"/>
      <c r="R151" s="524"/>
      <c r="S151" s="524"/>
      <c r="T151" s="524"/>
      <c r="U151" s="524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533">
        <f t="shared" si="63"/>
        <v>0</v>
      </c>
      <c r="I152" s="129"/>
      <c r="J152" s="130"/>
      <c r="K152" s="131"/>
      <c r="L152" s="129">
        <v>6</v>
      </c>
      <c r="M152" s="109"/>
      <c r="N152" s="130"/>
      <c r="O152" s="524"/>
      <c r="P152" s="524"/>
      <c r="Q152" s="524"/>
      <c r="R152" s="524"/>
      <c r="S152" s="524"/>
      <c r="T152" s="524"/>
      <c r="U152" s="524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523" t="s">
        <v>239</v>
      </c>
      <c r="C153" s="523" t="s">
        <v>179</v>
      </c>
      <c r="D153" s="108">
        <v>6.04</v>
      </c>
      <c r="E153" s="108"/>
      <c r="F153" s="127"/>
      <c r="G153" s="128"/>
      <c r="H153" s="533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5" si="67">IF(ISERROR(I153-K153),"",I153-K153)</f>
        <v>0</v>
      </c>
      <c r="N153" s="130">
        <f t="shared" ref="N153:N154" si="68">SUM(O153:U153)</f>
        <v>0</v>
      </c>
      <c r="O153" s="524"/>
      <c r="P153" s="524"/>
      <c r="Q153" s="524"/>
      <c r="R153" s="524"/>
      <c r="S153" s="524"/>
      <c r="T153" s="524"/>
      <c r="U153" s="524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523" t="s">
        <v>239</v>
      </c>
      <c r="C154" s="523" t="s">
        <v>186</v>
      </c>
      <c r="D154" s="108">
        <v>6.04</v>
      </c>
      <c r="E154" s="108"/>
      <c r="F154" s="127"/>
      <c r="G154" s="128"/>
      <c r="H154" s="533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524"/>
      <c r="P154" s="524"/>
      <c r="Q154" s="524"/>
      <c r="R154" s="524"/>
      <c r="S154" s="524"/>
      <c r="T154" s="524"/>
      <c r="U154" s="524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customHeight="1">
      <c r="A155" s="305">
        <v>30601015</v>
      </c>
      <c r="B155" s="523" t="s">
        <v>443</v>
      </c>
      <c r="C155" s="523" t="s">
        <v>179</v>
      </c>
      <c r="D155" s="108">
        <v>6</v>
      </c>
      <c r="E155" s="108"/>
      <c r="F155" s="127">
        <v>42712</v>
      </c>
      <c r="G155" s="536">
        <f>31+29</f>
        <v>60</v>
      </c>
      <c r="H155" s="533">
        <f t="shared" si="63"/>
        <v>360</v>
      </c>
      <c r="I155" s="129">
        <v>4.5</v>
      </c>
      <c r="J155" s="130">
        <f t="array" ref="J155">IF(ISERROR(G155/I155),"",G155/I155)</f>
        <v>13.333333333333334</v>
      </c>
      <c r="K155" s="131">
        <f t="array" ref="K155">IF(ISERROR(G155/L155),"",G155/L155)</f>
        <v>4.4444444444444446</v>
      </c>
      <c r="L155" s="129">
        <v>13.5</v>
      </c>
      <c r="M155" s="109">
        <f t="shared" si="67"/>
        <v>5.5555555555555358E-2</v>
      </c>
      <c r="N155" s="130"/>
      <c r="O155" s="524"/>
      <c r="P155" s="524"/>
      <c r="Q155" s="524"/>
      <c r="R155" s="524"/>
      <c r="S155" s="524"/>
      <c r="T155" s="524"/>
      <c r="U155" s="524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523" t="s">
        <v>443</v>
      </c>
      <c r="C156" s="523" t="s">
        <v>60</v>
      </c>
      <c r="D156" s="108">
        <v>6</v>
      </c>
      <c r="E156" s="108"/>
      <c r="F156" s="127"/>
      <c r="G156" s="128"/>
      <c r="H156" s="533">
        <f t="shared" si="63"/>
        <v>0</v>
      </c>
      <c r="I156" s="129"/>
      <c r="J156" s="130"/>
      <c r="K156" s="131"/>
      <c r="L156" s="129">
        <v>6</v>
      </c>
      <c r="M156" s="109"/>
      <c r="N156" s="130"/>
      <c r="O156" s="524"/>
      <c r="P156" s="524"/>
      <c r="Q156" s="524"/>
      <c r="R156" s="524"/>
      <c r="S156" s="524"/>
      <c r="T156" s="524"/>
      <c r="U156" s="524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525" t="s">
        <v>240</v>
      </c>
      <c r="C157" s="126"/>
      <c r="D157" s="108">
        <v>7.3</v>
      </c>
      <c r="E157" s="108"/>
      <c r="F157" s="127"/>
      <c r="G157" s="128"/>
      <c r="H157" s="533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524"/>
      <c r="P157" s="524"/>
      <c r="Q157" s="524"/>
      <c r="R157" s="524"/>
      <c r="S157" s="524"/>
      <c r="T157" s="524"/>
      <c r="U157" s="524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525" t="s">
        <v>241</v>
      </c>
      <c r="C158" s="126"/>
      <c r="D158" s="108">
        <f>78*120/1000</f>
        <v>9.36</v>
      </c>
      <c r="E158" s="108"/>
      <c r="F158" s="127"/>
      <c r="G158" s="128"/>
      <c r="H158" s="533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524"/>
      <c r="P158" s="524"/>
      <c r="Q158" s="524"/>
      <c r="R158" s="524"/>
      <c r="S158" s="524"/>
      <c r="T158" s="524"/>
      <c r="U158" s="524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525" t="s">
        <v>242</v>
      </c>
      <c r="C159" s="126"/>
      <c r="D159" s="108">
        <v>4.5</v>
      </c>
      <c r="E159" s="108"/>
      <c r="F159" s="127"/>
      <c r="G159" s="128"/>
      <c r="H159" s="533">
        <f t="shared" si="63"/>
        <v>0</v>
      </c>
      <c r="I159" s="129"/>
      <c r="J159" s="130"/>
      <c r="K159" s="131"/>
      <c r="L159" s="129"/>
      <c r="M159" s="109"/>
      <c r="N159" s="130"/>
      <c r="O159" s="524"/>
      <c r="P159" s="524"/>
      <c r="Q159" s="524"/>
      <c r="R159" s="524"/>
      <c r="S159" s="524"/>
      <c r="T159" s="524"/>
      <c r="U159" s="524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525" t="s">
        <v>243</v>
      </c>
      <c r="C160" s="126"/>
      <c r="D160" s="108">
        <v>4.5</v>
      </c>
      <c r="E160" s="108"/>
      <c r="F160" s="127"/>
      <c r="G160" s="128"/>
      <c r="H160" s="533">
        <f t="shared" si="63"/>
        <v>0</v>
      </c>
      <c r="I160" s="129"/>
      <c r="J160" s="130"/>
      <c r="K160" s="131"/>
      <c r="L160" s="129"/>
      <c r="M160" s="109"/>
      <c r="N160" s="130"/>
      <c r="O160" s="524"/>
      <c r="P160" s="524"/>
      <c r="Q160" s="524"/>
      <c r="R160" s="524"/>
      <c r="S160" s="524"/>
      <c r="T160" s="524"/>
      <c r="U160" s="524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533">
        <f t="shared" si="63"/>
        <v>0</v>
      </c>
      <c r="I161" s="129"/>
      <c r="J161" s="130"/>
      <c r="K161" s="131"/>
      <c r="L161" s="129"/>
      <c r="M161" s="109"/>
      <c r="N161" s="130"/>
      <c r="O161" s="524"/>
      <c r="P161" s="524"/>
      <c r="Q161" s="524"/>
      <c r="R161" s="524"/>
      <c r="S161" s="524"/>
      <c r="T161" s="524"/>
      <c r="U161" s="524"/>
      <c r="V161" s="132"/>
      <c r="W161" s="133"/>
      <c r="X161" s="132"/>
      <c r="Y161" s="132"/>
      <c r="Z161" s="132"/>
      <c r="AA161" s="132"/>
    </row>
    <row r="162" spans="1:27" ht="20.100000000000001" customHeight="1">
      <c r="A162" s="630" t="s">
        <v>244</v>
      </c>
      <c r="B162" s="631"/>
      <c r="C162" s="531" t="s">
        <v>202</v>
      </c>
      <c r="D162" s="143"/>
      <c r="E162" s="143"/>
      <c r="F162" s="144"/>
      <c r="G162" s="145">
        <f>SUM(G148:G160)</f>
        <v>60</v>
      </c>
      <c r="H162" s="146">
        <f>SUM(H148:H158)</f>
        <v>360</v>
      </c>
      <c r="I162" s="146">
        <f>SUM(I148:I160)</f>
        <v>4.5</v>
      </c>
      <c r="J162" s="130">
        <f t="array" ref="J162">IF(ISERROR(G162/I162),"",G162/I162)</f>
        <v>13.333333333333334</v>
      </c>
      <c r="K162" s="146">
        <f>SUM(K148:K158)</f>
        <v>4.4444444444444446</v>
      </c>
      <c r="L162" s="147"/>
      <c r="M162" s="150">
        <f t="shared" ref="M162:V162" si="75">SUM(M148:M158)</f>
        <v>5.5555555555555358E-2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>
        <f>IF(ISERROR(V162/G162),"",V162/G162)</f>
        <v>0</v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32" t="s">
        <v>246</v>
      </c>
      <c r="B163" s="633"/>
      <c r="C163" s="633"/>
      <c r="D163" s="633"/>
      <c r="E163" s="633"/>
      <c r="F163" s="634"/>
      <c r="G163" s="154">
        <f>SUM(G28,G86,G121,G137,G147,G162)</f>
        <v>3427</v>
      </c>
      <c r="H163" s="154">
        <f>SUM(H28,H86,H121,H137,H147,H162)</f>
        <v>17298.890000000003</v>
      </c>
      <c r="I163" s="154">
        <f>SUM(I28,I86,I121,I137,I147,I162)</f>
        <v>127</v>
      </c>
      <c r="J163" s="155">
        <f t="array" ref="J163">IF(ISERROR(G163/I163),"",G163/I163)</f>
        <v>26.984251968503937</v>
      </c>
      <c r="K163" s="154">
        <f>SUM(K28,K86,K121,K137,K147,K162)</f>
        <v>154.19831757953202</v>
      </c>
      <c r="L163" s="155">
        <f>IF(ISERROR(G163/K163),"",G163/K163)</f>
        <v>22.224626401857016</v>
      </c>
      <c r="M163" s="154">
        <f t="shared" ref="M163:AA163" si="76">SUM(M28,M86,M121,M137,M147,M162)</f>
        <v>-27.198317579531995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635" t="s">
        <v>476</v>
      </c>
      <c r="B164" s="530" t="s">
        <v>247</v>
      </c>
      <c r="C164" s="638" t="s">
        <v>248</v>
      </c>
      <c r="D164" s="639"/>
      <c r="E164" s="640" t="s">
        <v>249</v>
      </c>
      <c r="F164" s="640"/>
      <c r="G164" s="643" t="s">
        <v>250</v>
      </c>
      <c r="H164" s="643"/>
      <c r="I164" s="640" t="s">
        <v>251</v>
      </c>
      <c r="J164" s="640"/>
      <c r="K164" s="640" t="s">
        <v>252</v>
      </c>
      <c r="L164" s="640"/>
      <c r="M164" s="640" t="s">
        <v>253</v>
      </c>
      <c r="N164" s="640"/>
      <c r="O164" s="640" t="s">
        <v>254</v>
      </c>
      <c r="P164" s="643" t="s">
        <v>255</v>
      </c>
      <c r="Q164" s="643"/>
      <c r="R164" s="643" t="s">
        <v>252</v>
      </c>
      <c r="S164" s="643"/>
      <c r="T164" s="643" t="s">
        <v>256</v>
      </c>
      <c r="U164" s="643"/>
      <c r="V164" s="643" t="s">
        <v>257</v>
      </c>
      <c r="W164" s="643"/>
      <c r="X164" s="643" t="s">
        <v>252</v>
      </c>
      <c r="Y164" s="643"/>
      <c r="Z164" s="643" t="s">
        <v>256</v>
      </c>
      <c r="AA164" s="643"/>
    </row>
    <row r="165" spans="1:27" ht="20.100000000000001" customHeight="1">
      <c r="A165" s="636"/>
      <c r="B165" s="530" t="s">
        <v>258</v>
      </c>
      <c r="C165" s="638">
        <v>1</v>
      </c>
      <c r="D165" s="639"/>
      <c r="E165" s="642">
        <f>C165*11</f>
        <v>11</v>
      </c>
      <c r="F165" s="642"/>
      <c r="G165" s="643">
        <v>1</v>
      </c>
      <c r="H165" s="643"/>
      <c r="I165" s="642">
        <f>G165*11</f>
        <v>11</v>
      </c>
      <c r="J165" s="642"/>
      <c r="K165" s="642">
        <f>E165-I165</f>
        <v>0</v>
      </c>
      <c r="L165" s="642"/>
      <c r="M165" s="644">
        <f>IF(ISERROR(K165/E165),"",K165/E165)</f>
        <v>0</v>
      </c>
      <c r="N165" s="644"/>
      <c r="O165" s="640"/>
      <c r="P165" s="643" t="s">
        <v>201</v>
      </c>
      <c r="Q165" s="643"/>
      <c r="R165" s="645">
        <f>SUM(O28:U28)</f>
        <v>0</v>
      </c>
      <c r="S165" s="645"/>
      <c r="T165" s="646" t="str">
        <f t="array" ref="T165">IF(ISERROR(R165/R172),"",R165/R172)</f>
        <v/>
      </c>
      <c r="U165" s="646"/>
      <c r="V165" s="643" t="s">
        <v>259</v>
      </c>
      <c r="W165" s="643"/>
      <c r="X165" s="647">
        <f>SUM(P27,P85,P120,P136,P146,P160)</f>
        <v>0</v>
      </c>
      <c r="Y165" s="647"/>
      <c r="Z165" s="646" t="str">
        <f t="array" ref="Z165">IF(ISERROR(X165/X172),"",X165/X172)</f>
        <v/>
      </c>
      <c r="AA165" s="646"/>
    </row>
    <row r="166" spans="1:27" ht="20.100000000000001" customHeight="1">
      <c r="A166" s="636"/>
      <c r="B166" s="530" t="s">
        <v>260</v>
      </c>
      <c r="C166" s="638">
        <v>1</v>
      </c>
      <c r="D166" s="639"/>
      <c r="E166" s="642">
        <f>C166*11</f>
        <v>11</v>
      </c>
      <c r="F166" s="642"/>
      <c r="G166" s="643">
        <v>1</v>
      </c>
      <c r="H166" s="643"/>
      <c r="I166" s="642">
        <f>G166*11</f>
        <v>11</v>
      </c>
      <c r="J166" s="642"/>
      <c r="K166" s="642">
        <f>E166-I166</f>
        <v>0</v>
      </c>
      <c r="L166" s="642"/>
      <c r="M166" s="644">
        <f>IF(ISERROR(K166/E166),"",K166/E166)</f>
        <v>0</v>
      </c>
      <c r="N166" s="644"/>
      <c r="O166" s="640"/>
      <c r="P166" s="643" t="s">
        <v>216</v>
      </c>
      <c r="Q166" s="643"/>
      <c r="R166" s="645">
        <f>SUM(O86:U86)</f>
        <v>0</v>
      </c>
      <c r="S166" s="645"/>
      <c r="T166" s="646" t="str">
        <f>IF(ISERROR(R166/R172),"",R166/R172)</f>
        <v/>
      </c>
      <c r="U166" s="646"/>
      <c r="V166" s="643" t="s">
        <v>261</v>
      </c>
      <c r="W166" s="643"/>
      <c r="X166" s="647">
        <f>SUM(P28,P86,P121,P137,P147,P162)</f>
        <v>0</v>
      </c>
      <c r="Y166" s="647"/>
      <c r="Z166" s="646" t="str">
        <f>IF(ISERROR(X166/X172),"",X166/X172)</f>
        <v/>
      </c>
      <c r="AA166" s="646"/>
    </row>
    <row r="167" spans="1:27" ht="20.100000000000001" customHeight="1">
      <c r="A167" s="636"/>
      <c r="B167" s="530" t="s">
        <v>262</v>
      </c>
      <c r="C167" s="638">
        <v>1</v>
      </c>
      <c r="D167" s="639"/>
      <c r="E167" s="642">
        <f>C167*8</f>
        <v>8</v>
      </c>
      <c r="F167" s="642"/>
      <c r="G167" s="643">
        <v>1</v>
      </c>
      <c r="H167" s="643"/>
      <c r="I167" s="642">
        <f>G167*8</f>
        <v>8</v>
      </c>
      <c r="J167" s="642"/>
      <c r="K167" s="642">
        <f>E167-I167</f>
        <v>0</v>
      </c>
      <c r="L167" s="642"/>
      <c r="M167" s="644">
        <f>IF(ISERROR(K167/E167),"",K167/E167)</f>
        <v>0</v>
      </c>
      <c r="N167" s="644"/>
      <c r="O167" s="640"/>
      <c r="P167" s="643" t="s">
        <v>224</v>
      </c>
      <c r="Q167" s="643"/>
      <c r="R167" s="645">
        <f>SUM(O121:U121)</f>
        <v>0</v>
      </c>
      <c r="S167" s="645"/>
      <c r="T167" s="646" t="str">
        <f>IF(ISERROR(R167/R172),"",R167/R172)</f>
        <v/>
      </c>
      <c r="U167" s="646"/>
      <c r="V167" s="643" t="s">
        <v>263</v>
      </c>
      <c r="W167" s="643"/>
      <c r="X167" s="647">
        <f>SUM(P29,P87,P122,P138,P148,P163)</f>
        <v>0</v>
      </c>
      <c r="Y167" s="647"/>
      <c r="Z167" s="646" t="str">
        <f>IF(ISERROR(X167/X172),"",X167/X172)</f>
        <v/>
      </c>
      <c r="AA167" s="646"/>
    </row>
    <row r="168" spans="1:27" ht="20.100000000000001" customHeight="1">
      <c r="A168" s="636"/>
      <c r="B168" s="530" t="s">
        <v>264</v>
      </c>
      <c r="C168" s="638">
        <v>1</v>
      </c>
      <c r="D168" s="639"/>
      <c r="E168" s="642">
        <f>C168*11</f>
        <v>11</v>
      </c>
      <c r="F168" s="642"/>
      <c r="G168" s="643">
        <v>1</v>
      </c>
      <c r="H168" s="643"/>
      <c r="I168" s="642">
        <f>G168*11</f>
        <v>11</v>
      </c>
      <c r="J168" s="642"/>
      <c r="K168" s="642">
        <f>E168-I168</f>
        <v>0</v>
      </c>
      <c r="L168" s="642"/>
      <c r="M168" s="644">
        <f>IF(ISERROR(K168/E168),"",K168/E168)</f>
        <v>0</v>
      </c>
      <c r="N168" s="644"/>
      <c r="O168" s="640"/>
      <c r="P168" s="643" t="s">
        <v>231</v>
      </c>
      <c r="Q168" s="643"/>
      <c r="R168" s="645">
        <f>SUM(O137:U137)</f>
        <v>0</v>
      </c>
      <c r="S168" s="645"/>
      <c r="T168" s="646" t="str">
        <f>IF(ISERROR(R168/R172),"",R168/R172)</f>
        <v/>
      </c>
      <c r="U168" s="646"/>
      <c r="V168" s="643" t="s">
        <v>265</v>
      </c>
      <c r="W168" s="643"/>
      <c r="X168" s="647">
        <f>SUM(P31,P88,P123,P139,P149,P164)</f>
        <v>0</v>
      </c>
      <c r="Y168" s="647"/>
      <c r="Z168" s="646" t="str">
        <f>IF(ISERROR(X168/X172),"",X168/X172)</f>
        <v/>
      </c>
      <c r="AA168" s="646"/>
    </row>
    <row r="169" spans="1:27" ht="20.100000000000001" customHeight="1">
      <c r="A169" s="637"/>
      <c r="B169" s="530" t="s">
        <v>266</v>
      </c>
      <c r="C169" s="648">
        <f>SUM(C165:D168)</f>
        <v>4</v>
      </c>
      <c r="D169" s="649"/>
      <c r="E169" s="642">
        <f>SUM(E165:F168)</f>
        <v>41</v>
      </c>
      <c r="F169" s="642"/>
      <c r="G169" s="643">
        <f>SUM(G165:H168)</f>
        <v>4</v>
      </c>
      <c r="H169" s="643"/>
      <c r="I169" s="642">
        <f>SUM(I165:J168)</f>
        <v>41</v>
      </c>
      <c r="J169" s="642"/>
      <c r="K169" s="642">
        <f>SUM(K165:L168)</f>
        <v>0</v>
      </c>
      <c r="L169" s="642"/>
      <c r="M169" s="644">
        <f>IF(ISERROR(K169/E169),"",K169/E169)</f>
        <v>0</v>
      </c>
      <c r="N169" s="644"/>
      <c r="O169" s="640"/>
      <c r="P169" s="643" t="s">
        <v>234</v>
      </c>
      <c r="Q169" s="643"/>
      <c r="R169" s="645">
        <f>SUM(O147:U147)</f>
        <v>0</v>
      </c>
      <c r="S169" s="645"/>
      <c r="T169" s="646" t="str">
        <f>IF(ISERROR(R169/R172),"",R169/R172)</f>
        <v/>
      </c>
      <c r="U169" s="646"/>
      <c r="V169" s="643" t="s">
        <v>267</v>
      </c>
      <c r="W169" s="643"/>
      <c r="X169" s="647">
        <f>SUM(P32,P89,P124,P140,P150,P165)</f>
        <v>0</v>
      </c>
      <c r="Y169" s="647"/>
      <c r="Z169" s="646" t="str">
        <f>IF(ISERROR(X169/X172),"",X169/X172)</f>
        <v/>
      </c>
      <c r="AA169" s="646"/>
    </row>
    <row r="170" spans="1:27" ht="20.100000000000001" customHeight="1">
      <c r="A170" s="307" t="s">
        <v>477</v>
      </c>
      <c r="B170" s="530">
        <f>G163</f>
        <v>3427</v>
      </c>
      <c r="C170" s="650" t="s">
        <v>269</v>
      </c>
      <c r="D170" s="651"/>
      <c r="E170" s="643">
        <f>H163</f>
        <v>17298.890000000003</v>
      </c>
      <c r="F170" s="643"/>
      <c r="G170" s="643" t="s">
        <v>270</v>
      </c>
      <c r="H170" s="643"/>
      <c r="I170" s="652">
        <f>L163</f>
        <v>22.224626401857016</v>
      </c>
      <c r="J170" s="652"/>
      <c r="K170" s="640" t="s">
        <v>271</v>
      </c>
      <c r="L170" s="640"/>
      <c r="M170" s="652">
        <f>J163</f>
        <v>26.984251968503937</v>
      </c>
      <c r="N170" s="652"/>
      <c r="O170" s="640"/>
      <c r="P170" s="643" t="s">
        <v>244</v>
      </c>
      <c r="Q170" s="643"/>
      <c r="R170" s="645">
        <f>SUM(O162:U162)</f>
        <v>0</v>
      </c>
      <c r="S170" s="645"/>
      <c r="T170" s="646" t="str">
        <f>IF(ISERROR(R170/R172),"",R170/R172)</f>
        <v/>
      </c>
      <c r="U170" s="646"/>
      <c r="V170" s="643" t="s">
        <v>272</v>
      </c>
      <c r="W170" s="643"/>
      <c r="X170" s="647">
        <f>SUM(P33,P90,P125,P141,P151,P166)</f>
        <v>0</v>
      </c>
      <c r="Y170" s="647"/>
      <c r="Z170" s="646" t="str">
        <f>IF(ISERROR(X170/X172),"",X170/X172)</f>
        <v/>
      </c>
      <c r="AA170" s="646"/>
    </row>
    <row r="171" spans="1:27" ht="20.100000000000001" customHeight="1">
      <c r="A171" s="308" t="s">
        <v>478</v>
      </c>
      <c r="B171" s="530">
        <f>I163+C169</f>
        <v>131</v>
      </c>
      <c r="C171" s="653" t="s">
        <v>251</v>
      </c>
      <c r="D171" s="654"/>
      <c r="E171" s="655">
        <f>K163+I169</f>
        <v>195.19831757953202</v>
      </c>
      <c r="F171" s="655"/>
      <c r="G171" s="643" t="s">
        <v>274</v>
      </c>
      <c r="H171" s="643"/>
      <c r="I171" s="652">
        <f>B171-E171</f>
        <v>-64.198317579532016</v>
      </c>
      <c r="J171" s="652"/>
      <c r="K171" s="640" t="s">
        <v>275</v>
      </c>
      <c r="L171" s="640"/>
      <c r="M171" s="644">
        <f>IF(ISERROR(I171/E171),"",I171/E171)</f>
        <v>-0.3288876583343241</v>
      </c>
      <c r="N171" s="644"/>
      <c r="O171" s="640"/>
      <c r="P171" s="643" t="s">
        <v>245</v>
      </c>
      <c r="Q171" s="643"/>
      <c r="R171" s="645"/>
      <c r="S171" s="645"/>
      <c r="T171" s="646" t="str">
        <f>IF(ISERROR(R171/R172),"",R171/R172)</f>
        <v/>
      </c>
      <c r="U171" s="646"/>
      <c r="V171" s="643" t="s">
        <v>264</v>
      </c>
      <c r="W171" s="643"/>
      <c r="X171" s="647"/>
      <c r="Y171" s="647"/>
      <c r="Z171" s="646" t="str">
        <f>IF(ISERROR(X171/X172),"",X171/X172)</f>
        <v/>
      </c>
      <c r="AA171" s="646"/>
    </row>
    <row r="172" spans="1:27" ht="20.100000000000001" customHeight="1">
      <c r="A172" s="308" t="s">
        <v>479</v>
      </c>
      <c r="B172" s="530">
        <f>N163</f>
        <v>0</v>
      </c>
      <c r="C172" s="653" t="s">
        <v>277</v>
      </c>
      <c r="D172" s="654"/>
      <c r="E172" s="646">
        <f>IF(ISERROR(B172/B171),"",B172/B171)</f>
        <v>0</v>
      </c>
      <c r="F172" s="646"/>
      <c r="G172" s="643" t="s">
        <v>278</v>
      </c>
      <c r="H172" s="643"/>
      <c r="I172" s="640">
        <f>V163</f>
        <v>0</v>
      </c>
      <c r="J172" s="640"/>
      <c r="K172" s="640" t="s">
        <v>279</v>
      </c>
      <c r="L172" s="640"/>
      <c r="M172" s="644">
        <f t="array" ref="M172">IF(ISERROR(I172/B170),"",I172/B170)</f>
        <v>0</v>
      </c>
      <c r="N172" s="644"/>
      <c r="O172" s="640"/>
      <c r="P172" s="643" t="s">
        <v>266</v>
      </c>
      <c r="Q172" s="643"/>
      <c r="R172" s="645">
        <f>SUM(R165:S171)</f>
        <v>0</v>
      </c>
      <c r="S172" s="645"/>
      <c r="T172" s="646"/>
      <c r="U172" s="646"/>
      <c r="V172" s="643" t="s">
        <v>266</v>
      </c>
      <c r="W172" s="643"/>
      <c r="X172" s="647">
        <f>SUM(X165:Y171)</f>
        <v>0</v>
      </c>
      <c r="Y172" s="647"/>
      <c r="Z172" s="646"/>
      <c r="AA172" s="646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56" t="s">
        <v>480</v>
      </c>
      <c r="B174" s="659" t="s">
        <v>280</v>
      </c>
      <c r="C174" s="659" t="s">
        <v>281</v>
      </c>
      <c r="D174" s="659" t="s">
        <v>282</v>
      </c>
      <c r="E174" s="662" t="s">
        <v>283</v>
      </c>
      <c r="F174" s="675" t="s">
        <v>284</v>
      </c>
      <c r="G174" s="640" t="s">
        <v>285</v>
      </c>
      <c r="H174" s="640"/>
      <c r="I174" s="659" t="s">
        <v>286</v>
      </c>
      <c r="J174" s="665" t="s">
        <v>271</v>
      </c>
      <c r="K174" s="668" t="s">
        <v>287</v>
      </c>
      <c r="L174" s="659" t="s">
        <v>270</v>
      </c>
      <c r="M174" s="671" t="s">
        <v>288</v>
      </c>
      <c r="N174" s="673" t="s">
        <v>252</v>
      </c>
      <c r="O174" s="640" t="s">
        <v>289</v>
      </c>
      <c r="P174" s="640"/>
      <c r="Q174" s="640"/>
      <c r="R174" s="640"/>
      <c r="S174" s="640"/>
      <c r="T174" s="640"/>
      <c r="U174" s="640"/>
      <c r="V174" s="640" t="s">
        <v>290</v>
      </c>
      <c r="W174" s="673" t="s">
        <v>291</v>
      </c>
      <c r="X174" s="640" t="s">
        <v>292</v>
      </c>
      <c r="Y174" s="640"/>
      <c r="Z174" s="640"/>
      <c r="AA174" s="640"/>
    </row>
    <row r="175" spans="1:27" ht="21.95" customHeight="1">
      <c r="A175" s="657"/>
      <c r="B175" s="660"/>
      <c r="C175" s="660"/>
      <c r="D175" s="660"/>
      <c r="E175" s="663"/>
      <c r="F175" s="676"/>
      <c r="G175" s="640"/>
      <c r="H175" s="640"/>
      <c r="I175" s="660"/>
      <c r="J175" s="666"/>
      <c r="K175" s="669"/>
      <c r="L175" s="660"/>
      <c r="M175" s="672"/>
      <c r="N175" s="673"/>
      <c r="O175" s="640" t="s">
        <v>259</v>
      </c>
      <c r="P175" s="640" t="s">
        <v>261</v>
      </c>
      <c r="Q175" s="640" t="s">
        <v>263</v>
      </c>
      <c r="R175" s="674" t="s">
        <v>265</v>
      </c>
      <c r="S175" s="643" t="s">
        <v>267</v>
      </c>
      <c r="T175" s="640" t="s">
        <v>272</v>
      </c>
      <c r="U175" s="640" t="s">
        <v>264</v>
      </c>
      <c r="V175" s="640"/>
      <c r="W175" s="673"/>
      <c r="X175" s="640" t="s">
        <v>293</v>
      </c>
      <c r="Y175" s="640" t="s">
        <v>294</v>
      </c>
      <c r="Z175" s="640" t="s">
        <v>295</v>
      </c>
      <c r="AA175" s="640" t="s">
        <v>264</v>
      </c>
    </row>
    <row r="176" spans="1:27" ht="21.95" customHeight="1">
      <c r="A176" s="658"/>
      <c r="B176" s="661"/>
      <c r="C176" s="661"/>
      <c r="D176" s="661"/>
      <c r="E176" s="664"/>
      <c r="F176" s="677"/>
      <c r="G176" s="348" t="s">
        <v>296</v>
      </c>
      <c r="H176" s="523" t="s">
        <v>297</v>
      </c>
      <c r="I176" s="661"/>
      <c r="J176" s="667"/>
      <c r="K176" s="670"/>
      <c r="L176" s="661"/>
      <c r="M176" s="672"/>
      <c r="N176" s="673"/>
      <c r="O176" s="640"/>
      <c r="P176" s="640"/>
      <c r="Q176" s="640"/>
      <c r="R176" s="674"/>
      <c r="S176" s="643"/>
      <c r="T176" s="640"/>
      <c r="U176" s="640"/>
      <c r="V176" s="640"/>
      <c r="W176" s="673"/>
      <c r="X176" s="640"/>
      <c r="Y176" s="640"/>
      <c r="Z176" s="640"/>
      <c r="AA176" s="640"/>
    </row>
    <row r="177" spans="1:27" ht="20.100000000000001" hidden="1" customHeight="1">
      <c r="A177" s="299">
        <v>30100030</v>
      </c>
      <c r="B177" s="525" t="s">
        <v>178</v>
      </c>
      <c r="C177" s="126" t="s">
        <v>179</v>
      </c>
      <c r="D177" s="108">
        <v>5.03</v>
      </c>
      <c r="E177" s="108"/>
      <c r="F177" s="127"/>
      <c r="G177" s="128"/>
      <c r="H177" s="533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524"/>
      <c r="P177" s="524"/>
      <c r="Q177" s="524"/>
      <c r="R177" s="524"/>
      <c r="S177" s="524"/>
      <c r="T177" s="524"/>
      <c r="U177" s="524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533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524"/>
      <c r="P178" s="524"/>
      <c r="Q178" s="524"/>
      <c r="R178" s="524"/>
      <c r="S178" s="524"/>
      <c r="T178" s="524"/>
      <c r="U178" s="524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533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524"/>
      <c r="P179" s="524"/>
      <c r="Q179" s="524"/>
      <c r="R179" s="524"/>
      <c r="S179" s="524"/>
      <c r="T179" s="524"/>
      <c r="U179" s="524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533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524"/>
      <c r="P180" s="524"/>
      <c r="Q180" s="524"/>
      <c r="R180" s="524"/>
      <c r="S180" s="524"/>
      <c r="T180" s="524"/>
      <c r="U180" s="524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533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524"/>
      <c r="P181" s="524"/>
      <c r="Q181" s="524"/>
      <c r="R181" s="524"/>
      <c r="S181" s="524"/>
      <c r="T181" s="524"/>
      <c r="U181" s="524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533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524"/>
      <c r="P182" s="524"/>
      <c r="Q182" s="524"/>
      <c r="R182" s="524"/>
      <c r="S182" s="524"/>
      <c r="T182" s="524"/>
      <c r="U182" s="524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533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524"/>
      <c r="P183" s="524"/>
      <c r="Q183" s="524"/>
      <c r="R183" s="524"/>
      <c r="S183" s="524"/>
      <c r="T183" s="524"/>
      <c r="U183" s="524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533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524"/>
      <c r="P184" s="524"/>
      <c r="Q184" s="524"/>
      <c r="R184" s="524"/>
      <c r="S184" s="524"/>
      <c r="T184" s="524"/>
      <c r="U184" s="524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533">
        <f t="shared" si="77"/>
        <v>0</v>
      </c>
      <c r="I185" s="533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524"/>
      <c r="P185" s="524"/>
      <c r="Q185" s="524"/>
      <c r="R185" s="524"/>
      <c r="S185" s="524"/>
      <c r="T185" s="524"/>
      <c r="U185" s="524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533">
        <f t="shared" si="77"/>
        <v>0</v>
      </c>
      <c r="I186" s="533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524"/>
      <c r="P186" s="524"/>
      <c r="Q186" s="524"/>
      <c r="R186" s="524"/>
      <c r="S186" s="524"/>
      <c r="T186" s="524"/>
      <c r="U186" s="524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533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524"/>
      <c r="P187" s="524"/>
      <c r="Q187" s="524"/>
      <c r="R187" s="524"/>
      <c r="S187" s="524"/>
      <c r="T187" s="524"/>
      <c r="U187" s="524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533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524"/>
      <c r="P188" s="524"/>
      <c r="Q188" s="524"/>
      <c r="R188" s="524"/>
      <c r="S188" s="524"/>
      <c r="T188" s="524"/>
      <c r="U188" s="524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533">
        <f t="shared" ref="H189:H197" si="82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3">IF(ISERROR(I189-K189),"",I189-K189)</f>
        <v>0</v>
      </c>
      <c r="N189" s="130">
        <f t="shared" ref="N189:N191" si="84">SUM(O189:U189)</f>
        <v>0</v>
      </c>
      <c r="O189" s="524"/>
      <c r="P189" s="524"/>
      <c r="Q189" s="524"/>
      <c r="R189" s="524"/>
      <c r="S189" s="524"/>
      <c r="T189" s="524"/>
      <c r="U189" s="524"/>
      <c r="V189" s="132">
        <f t="shared" ref="V189:V191" si="85">SUM(X189:AA189)</f>
        <v>0</v>
      </c>
      <c r="W189" s="133" t="str">
        <f t="shared" ref="W189:W191" si="86">IF(ISERROR(V189/G189),"",V189/G189)</f>
        <v/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533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524"/>
      <c r="P190" s="524"/>
      <c r="Q190" s="524"/>
      <c r="R190" s="524"/>
      <c r="S190" s="524"/>
      <c r="T190" s="524"/>
      <c r="U190" s="524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533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524"/>
      <c r="P191" s="524"/>
      <c r="Q191" s="524"/>
      <c r="R191" s="524"/>
      <c r="S191" s="524"/>
      <c r="T191" s="524"/>
      <c r="U191" s="524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523" t="s">
        <v>190</v>
      </c>
      <c r="D192" s="108">
        <v>4.8</v>
      </c>
      <c r="E192" s="108"/>
      <c r="F192" s="127"/>
      <c r="G192" s="128"/>
      <c r="H192" s="533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524"/>
      <c r="P192" s="524"/>
      <c r="Q192" s="524"/>
      <c r="R192" s="524"/>
      <c r="S192" s="524"/>
      <c r="T192" s="524"/>
      <c r="U192" s="524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523" t="s">
        <v>187</v>
      </c>
      <c r="D193" s="108">
        <v>4.8</v>
      </c>
      <c r="E193" s="108"/>
      <c r="F193" s="127"/>
      <c r="G193" s="128"/>
      <c r="H193" s="533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524"/>
      <c r="P193" s="524"/>
      <c r="Q193" s="524"/>
      <c r="R193" s="524"/>
      <c r="S193" s="524"/>
      <c r="T193" s="524"/>
      <c r="U193" s="524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523" t="s">
        <v>179</v>
      </c>
      <c r="D194" s="108">
        <v>4.8</v>
      </c>
      <c r="E194" s="108"/>
      <c r="F194" s="127"/>
      <c r="G194" s="128"/>
      <c r="H194" s="533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524"/>
      <c r="P194" s="524"/>
      <c r="Q194" s="524"/>
      <c r="R194" s="524"/>
      <c r="S194" s="524"/>
      <c r="T194" s="524"/>
      <c r="U194" s="524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523" t="s">
        <v>199</v>
      </c>
      <c r="D195" s="108">
        <v>4.8</v>
      </c>
      <c r="E195" s="108"/>
      <c r="F195" s="127"/>
      <c r="G195" s="128"/>
      <c r="H195" s="533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524"/>
      <c r="P195" s="524"/>
      <c r="Q195" s="524"/>
      <c r="R195" s="524"/>
      <c r="S195" s="524"/>
      <c r="T195" s="524"/>
      <c r="U195" s="524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533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524"/>
      <c r="P196" s="524"/>
      <c r="Q196" s="524"/>
      <c r="R196" s="524"/>
      <c r="S196" s="524"/>
      <c r="T196" s="524"/>
      <c r="U196" s="524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533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524"/>
      <c r="P197" s="524"/>
      <c r="Q197" s="524"/>
      <c r="R197" s="524"/>
      <c r="S197" s="524"/>
      <c r="T197" s="524"/>
      <c r="U197" s="524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hidden="1" customHeight="1">
      <c r="A198" s="630" t="s">
        <v>201</v>
      </c>
      <c r="B198" s="631"/>
      <c r="C198" s="531" t="s">
        <v>202</v>
      </c>
      <c r="D198" s="143"/>
      <c r="E198" s="143"/>
      <c r="F198" s="144"/>
      <c r="G198" s="145">
        <f>SUM(G177:G197)</f>
        <v>0</v>
      </c>
      <c r="H198" s="146">
        <f>SUM(H177:H197)</f>
        <v>0</v>
      </c>
      <c r="I198" s="146">
        <f>SUM(I177:I197)</f>
        <v>0</v>
      </c>
      <c r="J198" s="130" t="str">
        <f t="array" ref="J198">IF(ISERROR(G198/I198),"",G198/I198)</f>
        <v/>
      </c>
      <c r="K198" s="146">
        <f>SUM(K177:K197)</f>
        <v>0</v>
      </c>
      <c r="L198" s="147"/>
      <c r="M198" s="150">
        <f t="shared" ref="M198:AA198" si="90">SUM(M177:M197)</f>
        <v>0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customHeight="1">
      <c r="A199" s="300">
        <v>30100012</v>
      </c>
      <c r="B199" s="525" t="s">
        <v>206</v>
      </c>
      <c r="C199" s="126" t="s">
        <v>199</v>
      </c>
      <c r="D199" s="108">
        <v>5.03</v>
      </c>
      <c r="E199" s="108"/>
      <c r="F199" s="127">
        <v>42721</v>
      </c>
      <c r="G199" s="536">
        <f>108*4+47+108</f>
        <v>587</v>
      </c>
      <c r="H199" s="533">
        <f t="shared" ref="H199:H255" si="91">D199*G199</f>
        <v>2952.61</v>
      </c>
      <c r="I199" s="129">
        <f>7*2</f>
        <v>14</v>
      </c>
      <c r="J199" s="130">
        <f t="array" ref="J199">IF(ISERROR(G199/I199),"",G199/I199)</f>
        <v>41.928571428571431</v>
      </c>
      <c r="K199" s="131">
        <f t="array" ref="K199">IF(ISERROR(G199/L199),"",G199/L199)</f>
        <v>11.288461538461538</v>
      </c>
      <c r="L199" s="129">
        <v>52</v>
      </c>
      <c r="M199" s="109">
        <f t="shared" ref="M199:M200" si="92">IF(ISERROR(I199-K199),"",I199-K199)</f>
        <v>2.7115384615384617</v>
      </c>
      <c r="N199" s="130">
        <f t="shared" ref="N199" si="93">SUM(O199:U199)</f>
        <v>0</v>
      </c>
      <c r="O199" s="528"/>
      <c r="P199" s="528"/>
      <c r="Q199" s="528"/>
      <c r="R199" s="528"/>
      <c r="S199" s="528"/>
      <c r="T199" s="528"/>
      <c r="U199" s="528"/>
      <c r="V199" s="132">
        <f t="shared" ref="V199" si="94">SUM(X199:AA199)</f>
        <v>0</v>
      </c>
      <c r="W199" s="133">
        <f t="shared" ref="W199" si="95">IF(ISERROR(V199/G199),"",V199/G199)</f>
        <v>0</v>
      </c>
      <c r="X199" s="132"/>
      <c r="Y199" s="132"/>
      <c r="Z199" s="132"/>
      <c r="AA199" s="132"/>
    </row>
    <row r="200" spans="1:27" ht="20.100000000000001" customHeight="1">
      <c r="A200" s="300">
        <v>30100011</v>
      </c>
      <c r="B200" s="525" t="s">
        <v>425</v>
      </c>
      <c r="C200" s="126" t="s">
        <v>528</v>
      </c>
      <c r="D200" s="108">
        <v>5.03</v>
      </c>
      <c r="E200" s="108"/>
      <c r="F200" s="127">
        <v>42718</v>
      </c>
      <c r="G200" s="536">
        <v>112</v>
      </c>
      <c r="H200" s="533">
        <f t="shared" si="91"/>
        <v>563.36</v>
      </c>
      <c r="I200" s="129">
        <f>1*2</f>
        <v>2</v>
      </c>
      <c r="J200" s="130">
        <f t="array" ref="J200">IF(ISERROR(G200/I200),"",G200/I200)</f>
        <v>56</v>
      </c>
      <c r="K200" s="131">
        <f t="array" ref="K200">IF(ISERROR(G200/L200),"",G200/L200)</f>
        <v>2.1538461538461537</v>
      </c>
      <c r="L200" s="129">
        <v>52</v>
      </c>
      <c r="M200" s="109">
        <f t="shared" si="92"/>
        <v>-0.15384615384615374</v>
      </c>
      <c r="N200" s="130"/>
      <c r="O200" s="528"/>
      <c r="P200" s="528"/>
      <c r="Q200" s="528"/>
      <c r="R200" s="528"/>
      <c r="S200" s="528"/>
      <c r="T200" s="528"/>
      <c r="U200" s="528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525" t="s">
        <v>206</v>
      </c>
      <c r="C201" s="126" t="s">
        <v>186</v>
      </c>
      <c r="D201" s="108">
        <v>5.03</v>
      </c>
      <c r="E201" s="108"/>
      <c r="F201" s="127"/>
      <c r="G201" s="128"/>
      <c r="H201" s="533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528"/>
      <c r="P201" s="528"/>
      <c r="Q201" s="528"/>
      <c r="R201" s="528"/>
      <c r="S201" s="528"/>
      <c r="T201" s="528"/>
      <c r="U201" s="528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525" t="s">
        <v>206</v>
      </c>
      <c r="C202" s="126" t="s">
        <v>203</v>
      </c>
      <c r="D202" s="108">
        <v>5.03</v>
      </c>
      <c r="E202" s="108"/>
      <c r="F202" s="127"/>
      <c r="G202" s="128"/>
      <c r="H202" s="533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528"/>
      <c r="P202" s="528"/>
      <c r="Q202" s="528"/>
      <c r="R202" s="528"/>
      <c r="S202" s="528"/>
      <c r="T202" s="528"/>
      <c r="U202" s="528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customHeight="1">
      <c r="A203" s="300">
        <v>30100013</v>
      </c>
      <c r="B203" s="525" t="s">
        <v>206</v>
      </c>
      <c r="C203" s="126" t="s">
        <v>207</v>
      </c>
      <c r="D203" s="108">
        <v>5.03</v>
      </c>
      <c r="E203" s="108"/>
      <c r="F203" s="127">
        <v>42718</v>
      </c>
      <c r="G203" s="536">
        <v>55</v>
      </c>
      <c r="H203" s="533">
        <f t="shared" si="91"/>
        <v>276.65000000000003</v>
      </c>
      <c r="I203" s="129">
        <v>1</v>
      </c>
      <c r="J203" s="130">
        <f t="array" ref="J203">IF(ISERROR(G203/I203),"",G203/I203)</f>
        <v>55</v>
      </c>
      <c r="K203" s="131">
        <f t="array" ref="K203">IF(ISERROR(G203/L203),"",G203/L203)</f>
        <v>1.0576923076923077</v>
      </c>
      <c r="L203" s="129">
        <v>52</v>
      </c>
      <c r="M203" s="109">
        <f t="shared" ref="M203" si="100">IF(ISERROR(I203-K203),"",I203-K203)</f>
        <v>-5.7692307692307709E-2</v>
      </c>
      <c r="N203" s="130">
        <f t="shared" si="97"/>
        <v>0</v>
      </c>
      <c r="O203" s="528"/>
      <c r="P203" s="528"/>
      <c r="Q203" s="528"/>
      <c r="R203" s="528"/>
      <c r="S203" s="528"/>
      <c r="T203" s="528"/>
      <c r="U203" s="528"/>
      <c r="V203" s="132">
        <f t="shared" si="98"/>
        <v>0</v>
      </c>
      <c r="W203" s="133">
        <f t="shared" si="99"/>
        <v>0</v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525" t="s">
        <v>414</v>
      </c>
      <c r="C204" s="187" t="s">
        <v>415</v>
      </c>
      <c r="D204" s="108">
        <v>5.03</v>
      </c>
      <c r="E204" s="108"/>
      <c r="F204" s="127"/>
      <c r="G204" s="128"/>
      <c r="H204" s="533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528"/>
      <c r="P204" s="528"/>
      <c r="Q204" s="528"/>
      <c r="R204" s="528"/>
      <c r="S204" s="528"/>
      <c r="T204" s="528"/>
      <c r="U204" s="528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525" t="s">
        <v>414</v>
      </c>
      <c r="C205" s="187" t="s">
        <v>416</v>
      </c>
      <c r="D205" s="108">
        <v>5.03</v>
      </c>
      <c r="E205" s="108"/>
      <c r="F205" s="127"/>
      <c r="G205" s="128"/>
      <c r="H205" s="533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528"/>
      <c r="P205" s="528"/>
      <c r="Q205" s="528"/>
      <c r="R205" s="528"/>
      <c r="S205" s="528"/>
      <c r="T205" s="528"/>
      <c r="U205" s="528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525" t="s">
        <v>414</v>
      </c>
      <c r="C206" s="187" t="s">
        <v>61</v>
      </c>
      <c r="D206" s="108">
        <v>5.03</v>
      </c>
      <c r="E206" s="108"/>
      <c r="F206" s="127"/>
      <c r="G206" s="128"/>
      <c r="H206" s="533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528"/>
      <c r="P206" s="528"/>
      <c r="Q206" s="528"/>
      <c r="R206" s="528"/>
      <c r="S206" s="528"/>
      <c r="T206" s="528"/>
      <c r="U206" s="528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525" t="s">
        <v>208</v>
      </c>
      <c r="C207" s="126" t="s">
        <v>179</v>
      </c>
      <c r="D207" s="108">
        <v>5.08</v>
      </c>
      <c r="E207" s="108"/>
      <c r="F207" s="127"/>
      <c r="G207" s="128"/>
      <c r="H207" s="533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1">IF(ISERROR(I207-K207),"",I207-K207)</f>
        <v>0</v>
      </c>
      <c r="N207" s="130">
        <f t="shared" ref="N207:N236" si="102">SUM(O207:U207)</f>
        <v>0</v>
      </c>
      <c r="O207" s="528"/>
      <c r="P207" s="528"/>
      <c r="Q207" s="528"/>
      <c r="R207" s="528"/>
      <c r="S207" s="528"/>
      <c r="T207" s="528"/>
      <c r="U207" s="528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525" t="s">
        <v>208</v>
      </c>
      <c r="C208" s="126" t="s">
        <v>204</v>
      </c>
      <c r="D208" s="108">
        <v>5.08</v>
      </c>
      <c r="E208" s="108"/>
      <c r="F208" s="127"/>
      <c r="G208" s="128"/>
      <c r="H208" s="533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528"/>
      <c r="P208" s="528"/>
      <c r="Q208" s="528"/>
      <c r="R208" s="528"/>
      <c r="S208" s="528"/>
      <c r="T208" s="528"/>
      <c r="U208" s="528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525" t="s">
        <v>208</v>
      </c>
      <c r="C209" s="126" t="s">
        <v>205</v>
      </c>
      <c r="D209" s="108">
        <v>5.08</v>
      </c>
      <c r="E209" s="108"/>
      <c r="F209" s="127"/>
      <c r="G209" s="128"/>
      <c r="H209" s="533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528"/>
      <c r="P209" s="528"/>
      <c r="Q209" s="528"/>
      <c r="R209" s="528"/>
      <c r="S209" s="528"/>
      <c r="T209" s="528"/>
      <c r="U209" s="528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525" t="s">
        <v>208</v>
      </c>
      <c r="C210" s="126" t="s">
        <v>186</v>
      </c>
      <c r="D210" s="108">
        <v>5.08</v>
      </c>
      <c r="E210" s="108"/>
      <c r="F210" s="127"/>
      <c r="G210" s="128"/>
      <c r="H210" s="533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528"/>
      <c r="P210" s="528"/>
      <c r="Q210" s="528"/>
      <c r="R210" s="528"/>
      <c r="S210" s="528"/>
      <c r="T210" s="528"/>
      <c r="U210" s="528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525" t="s">
        <v>208</v>
      </c>
      <c r="C211" s="126" t="s">
        <v>203</v>
      </c>
      <c r="D211" s="108">
        <v>5.08</v>
      </c>
      <c r="E211" s="108"/>
      <c r="F211" s="127"/>
      <c r="G211" s="128"/>
      <c r="H211" s="533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528"/>
      <c r="P211" s="528"/>
      <c r="Q211" s="528"/>
      <c r="R211" s="528"/>
      <c r="S211" s="528"/>
      <c r="T211" s="528"/>
      <c r="U211" s="528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525" t="s">
        <v>208</v>
      </c>
      <c r="C212" s="126" t="s">
        <v>199</v>
      </c>
      <c r="D212" s="108">
        <v>5.08</v>
      </c>
      <c r="E212" s="108"/>
      <c r="F212" s="127"/>
      <c r="G212" s="128"/>
      <c r="H212" s="533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524"/>
      <c r="P212" s="524"/>
      <c r="Q212" s="524"/>
      <c r="R212" s="524"/>
      <c r="S212" s="524"/>
      <c r="T212" s="524"/>
      <c r="U212" s="524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525" t="s">
        <v>208</v>
      </c>
      <c r="C213" s="126" t="s">
        <v>187</v>
      </c>
      <c r="D213" s="108">
        <v>5.08</v>
      </c>
      <c r="E213" s="108"/>
      <c r="F213" s="127"/>
      <c r="G213" s="128"/>
      <c r="H213" s="533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528"/>
      <c r="P213" s="528"/>
      <c r="Q213" s="528"/>
      <c r="R213" s="528"/>
      <c r="S213" s="528"/>
      <c r="T213" s="528"/>
      <c r="U213" s="528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525" t="s">
        <v>208</v>
      </c>
      <c r="C214" s="126" t="s">
        <v>207</v>
      </c>
      <c r="D214" s="108">
        <v>5.08</v>
      </c>
      <c r="E214" s="108"/>
      <c r="F214" s="127"/>
      <c r="G214" s="128"/>
      <c r="H214" s="533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524"/>
      <c r="P214" s="524"/>
      <c r="Q214" s="524"/>
      <c r="R214" s="524"/>
      <c r="S214" s="524"/>
      <c r="T214" s="524"/>
      <c r="U214" s="524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525" t="s">
        <v>209</v>
      </c>
      <c r="C215" s="126" t="s">
        <v>194</v>
      </c>
      <c r="D215" s="108">
        <v>5.03</v>
      </c>
      <c r="E215" s="108"/>
      <c r="F215" s="127"/>
      <c r="G215" s="128"/>
      <c r="H215" s="533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528"/>
      <c r="P215" s="528"/>
      <c r="Q215" s="528"/>
      <c r="R215" s="528"/>
      <c r="S215" s="528"/>
      <c r="T215" s="528"/>
      <c r="U215" s="528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525" t="s">
        <v>209</v>
      </c>
      <c r="C216" s="126" t="s">
        <v>179</v>
      </c>
      <c r="D216" s="108">
        <v>5.03</v>
      </c>
      <c r="E216" s="108"/>
      <c r="F216" s="127"/>
      <c r="G216" s="128"/>
      <c r="H216" s="533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528"/>
      <c r="P216" s="528"/>
      <c r="Q216" s="528"/>
      <c r="R216" s="528"/>
      <c r="S216" s="528"/>
      <c r="T216" s="528"/>
      <c r="U216" s="528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525" t="s">
        <v>209</v>
      </c>
      <c r="C217" s="126" t="s">
        <v>195</v>
      </c>
      <c r="D217" s="108">
        <v>5.03</v>
      </c>
      <c r="E217" s="108"/>
      <c r="F217" s="127"/>
      <c r="G217" s="128"/>
      <c r="H217" s="533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528"/>
      <c r="P217" s="528"/>
      <c r="Q217" s="528"/>
      <c r="R217" s="528"/>
      <c r="S217" s="528"/>
      <c r="T217" s="528"/>
      <c r="U217" s="528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525" t="s">
        <v>209</v>
      </c>
      <c r="C218" s="126" t="s">
        <v>204</v>
      </c>
      <c r="D218" s="108">
        <v>5.03</v>
      </c>
      <c r="E218" s="108"/>
      <c r="F218" s="127"/>
      <c r="G218" s="128"/>
      <c r="H218" s="533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528"/>
      <c r="P218" s="528"/>
      <c r="Q218" s="528"/>
      <c r="R218" s="528"/>
      <c r="S218" s="528"/>
      <c r="T218" s="528"/>
      <c r="U218" s="528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525" t="s">
        <v>382</v>
      </c>
      <c r="C219" s="187" t="s">
        <v>383</v>
      </c>
      <c r="D219" s="108">
        <v>5.03</v>
      </c>
      <c r="E219" s="108"/>
      <c r="F219" s="127"/>
      <c r="G219" s="128"/>
      <c r="H219" s="533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528"/>
      <c r="P219" s="528"/>
      <c r="Q219" s="528"/>
      <c r="R219" s="528"/>
      <c r="S219" s="528"/>
      <c r="T219" s="528"/>
      <c r="U219" s="528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525" t="s">
        <v>382</v>
      </c>
      <c r="C220" s="187" t="s">
        <v>384</v>
      </c>
      <c r="D220" s="108">
        <v>5.03</v>
      </c>
      <c r="E220" s="108"/>
      <c r="F220" s="127"/>
      <c r="G220" s="128"/>
      <c r="H220" s="533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528"/>
      <c r="P220" s="528"/>
      <c r="Q220" s="528"/>
      <c r="R220" s="528"/>
      <c r="S220" s="528"/>
      <c r="T220" s="528"/>
      <c r="U220" s="528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525" t="s">
        <v>382</v>
      </c>
      <c r="C221" s="187" t="s">
        <v>389</v>
      </c>
      <c r="D221" s="108">
        <v>5.03</v>
      </c>
      <c r="E221" s="108"/>
      <c r="F221" s="127"/>
      <c r="G221" s="128"/>
      <c r="H221" s="533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528"/>
      <c r="P221" s="528"/>
      <c r="Q221" s="528"/>
      <c r="R221" s="528"/>
      <c r="S221" s="528"/>
      <c r="T221" s="528"/>
      <c r="U221" s="528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525" t="s">
        <v>382</v>
      </c>
      <c r="C222" s="187" t="s">
        <v>391</v>
      </c>
      <c r="D222" s="108">
        <v>5.03</v>
      </c>
      <c r="E222" s="108"/>
      <c r="F222" s="127"/>
      <c r="G222" s="128"/>
      <c r="H222" s="533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528"/>
      <c r="P222" s="528"/>
      <c r="Q222" s="528"/>
      <c r="R222" s="528"/>
      <c r="S222" s="528"/>
      <c r="T222" s="528"/>
      <c r="U222" s="528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525" t="s">
        <v>418</v>
      </c>
      <c r="C223" s="187" t="s">
        <v>364</v>
      </c>
      <c r="D223" s="108">
        <v>5.03</v>
      </c>
      <c r="E223" s="108"/>
      <c r="F223" s="127"/>
      <c r="G223" s="128"/>
      <c r="H223" s="533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528"/>
      <c r="P223" s="528"/>
      <c r="Q223" s="528"/>
      <c r="R223" s="528"/>
      <c r="S223" s="528"/>
      <c r="T223" s="528"/>
      <c r="U223" s="528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525" t="s">
        <v>418</v>
      </c>
      <c r="C224" s="187" t="s">
        <v>365</v>
      </c>
      <c r="D224" s="108">
        <v>5.03</v>
      </c>
      <c r="E224" s="108"/>
      <c r="F224" s="127"/>
      <c r="G224" s="128"/>
      <c r="H224" s="533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528"/>
      <c r="P224" s="528"/>
      <c r="Q224" s="528"/>
      <c r="R224" s="528"/>
      <c r="S224" s="528"/>
      <c r="T224" s="528"/>
      <c r="U224" s="528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525" t="s">
        <v>418</v>
      </c>
      <c r="C225" s="187" t="s">
        <v>366</v>
      </c>
      <c r="D225" s="108">
        <v>5.03</v>
      </c>
      <c r="E225" s="108"/>
      <c r="F225" s="127"/>
      <c r="G225" s="128"/>
      <c r="H225" s="533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528"/>
      <c r="P225" s="528"/>
      <c r="Q225" s="528"/>
      <c r="R225" s="528"/>
      <c r="S225" s="528"/>
      <c r="T225" s="528"/>
      <c r="U225" s="528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525" t="s">
        <v>418</v>
      </c>
      <c r="C226" s="187" t="s">
        <v>367</v>
      </c>
      <c r="D226" s="108">
        <v>5.03</v>
      </c>
      <c r="E226" s="108"/>
      <c r="F226" s="127"/>
      <c r="G226" s="128"/>
      <c r="H226" s="533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528"/>
      <c r="P226" s="528"/>
      <c r="Q226" s="528"/>
      <c r="R226" s="528"/>
      <c r="S226" s="528"/>
      <c r="T226" s="528"/>
      <c r="U226" s="528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533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524"/>
      <c r="P227" s="524"/>
      <c r="Q227" s="524"/>
      <c r="R227" s="524"/>
      <c r="S227" s="524"/>
      <c r="T227" s="524"/>
      <c r="U227" s="524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533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524"/>
      <c r="P228" s="524"/>
      <c r="Q228" s="524"/>
      <c r="R228" s="524"/>
      <c r="S228" s="524"/>
      <c r="T228" s="524"/>
      <c r="U228" s="524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533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524"/>
      <c r="P229" s="524"/>
      <c r="Q229" s="524"/>
      <c r="R229" s="524"/>
      <c r="S229" s="524"/>
      <c r="T229" s="524"/>
      <c r="U229" s="524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533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524"/>
      <c r="P230" s="524"/>
      <c r="Q230" s="524"/>
      <c r="R230" s="524"/>
      <c r="S230" s="524"/>
      <c r="T230" s="524"/>
      <c r="U230" s="524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533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524"/>
      <c r="P231" s="524"/>
      <c r="Q231" s="524"/>
      <c r="R231" s="524"/>
      <c r="S231" s="524"/>
      <c r="T231" s="524"/>
      <c r="U231" s="524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533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524"/>
      <c r="P232" s="524"/>
      <c r="Q232" s="524"/>
      <c r="R232" s="524"/>
      <c r="S232" s="524"/>
      <c r="T232" s="524"/>
      <c r="U232" s="524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533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524"/>
      <c r="P233" s="524"/>
      <c r="Q233" s="524"/>
      <c r="R233" s="524"/>
      <c r="S233" s="524"/>
      <c r="T233" s="524"/>
      <c r="U233" s="524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533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524"/>
      <c r="P234" s="524"/>
      <c r="Q234" s="524"/>
      <c r="R234" s="524"/>
      <c r="S234" s="524"/>
      <c r="T234" s="524"/>
      <c r="U234" s="524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533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524"/>
      <c r="P235" s="524"/>
      <c r="Q235" s="524"/>
      <c r="R235" s="524"/>
      <c r="S235" s="524"/>
      <c r="T235" s="524"/>
      <c r="U235" s="524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>
        <v>42719</v>
      </c>
      <c r="G236" s="536">
        <f>90*6+61</f>
        <v>601</v>
      </c>
      <c r="H236" s="533">
        <f t="shared" si="91"/>
        <v>3023.03</v>
      </c>
      <c r="I236" s="129">
        <v>8</v>
      </c>
      <c r="J236" s="130">
        <f t="array" ref="J236">IF(ISERROR(G236/I236),"",G236/I236)</f>
        <v>75.125</v>
      </c>
      <c r="K236" s="131">
        <f t="array" ref="K236">IF(ISERROR(G236/L236),"",G236/L236)</f>
        <v>12.02</v>
      </c>
      <c r="L236" s="129">
        <v>50</v>
      </c>
      <c r="M236" s="109">
        <f t="shared" si="101"/>
        <v>-4.0199999999999996</v>
      </c>
      <c r="N236" s="130">
        <f t="shared" si="102"/>
        <v>0</v>
      </c>
      <c r="O236" s="524"/>
      <c r="P236" s="524"/>
      <c r="Q236" s="524"/>
      <c r="R236" s="524"/>
      <c r="S236" s="524"/>
      <c r="T236" s="524"/>
      <c r="U236" s="524"/>
      <c r="V236" s="132">
        <f t="shared" si="105"/>
        <v>0</v>
      </c>
      <c r="W236" s="133">
        <f t="shared" si="106"/>
        <v>0</v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533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524"/>
      <c r="P237" s="524"/>
      <c r="Q237" s="524"/>
      <c r="R237" s="524"/>
      <c r="S237" s="524"/>
      <c r="T237" s="524"/>
      <c r="U237" s="524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533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7">IF(ISERROR(I238-K238),"",I238-K238)</f>
        <v>0</v>
      </c>
      <c r="N238" s="130"/>
      <c r="O238" s="524"/>
      <c r="P238" s="524"/>
      <c r="Q238" s="524"/>
      <c r="R238" s="524"/>
      <c r="S238" s="524"/>
      <c r="T238" s="524"/>
      <c r="U238" s="524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533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7"/>
        <v>0</v>
      </c>
      <c r="N239" s="130">
        <f t="shared" ref="N239:N240" si="108">SUM(O239:U239)</f>
        <v>0</v>
      </c>
      <c r="O239" s="524"/>
      <c r="P239" s="524"/>
      <c r="Q239" s="524"/>
      <c r="R239" s="524"/>
      <c r="S239" s="524"/>
      <c r="T239" s="524"/>
      <c r="U239" s="524"/>
      <c r="V239" s="132">
        <f t="shared" ref="V239:V240" si="109">SUM(X239:AA239)</f>
        <v>0</v>
      </c>
      <c r="W239" s="133" t="str">
        <f t="shared" ref="W239:W240" si="110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533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524"/>
      <c r="P240" s="524"/>
      <c r="Q240" s="524"/>
      <c r="R240" s="524"/>
      <c r="S240" s="524"/>
      <c r="T240" s="524"/>
      <c r="U240" s="524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533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524"/>
      <c r="P241" s="524"/>
      <c r="Q241" s="524"/>
      <c r="R241" s="524"/>
      <c r="S241" s="524"/>
      <c r="T241" s="524"/>
      <c r="U241" s="524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533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524"/>
      <c r="P242" s="524"/>
      <c r="Q242" s="524"/>
      <c r="R242" s="524"/>
      <c r="S242" s="524"/>
      <c r="T242" s="524"/>
      <c r="U242" s="524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533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524"/>
      <c r="P243" s="524"/>
      <c r="Q243" s="524"/>
      <c r="R243" s="524"/>
      <c r="S243" s="524"/>
      <c r="T243" s="524"/>
      <c r="U243" s="524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533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524"/>
      <c r="P244" s="524"/>
      <c r="Q244" s="524"/>
      <c r="R244" s="524"/>
      <c r="S244" s="524"/>
      <c r="T244" s="524"/>
      <c r="U244" s="524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533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524"/>
      <c r="P245" s="524"/>
      <c r="Q245" s="524"/>
      <c r="R245" s="524"/>
      <c r="S245" s="524"/>
      <c r="T245" s="524"/>
      <c r="U245" s="524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533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524"/>
      <c r="P246" s="524"/>
      <c r="Q246" s="524"/>
      <c r="R246" s="524"/>
      <c r="S246" s="524"/>
      <c r="T246" s="524"/>
      <c r="U246" s="524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533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524"/>
      <c r="P247" s="524"/>
      <c r="Q247" s="524"/>
      <c r="R247" s="524"/>
      <c r="S247" s="524"/>
      <c r="T247" s="524"/>
      <c r="U247" s="524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533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524"/>
      <c r="P248" s="524"/>
      <c r="Q248" s="524"/>
      <c r="R248" s="524"/>
      <c r="S248" s="524"/>
      <c r="T248" s="524"/>
      <c r="U248" s="524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533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524"/>
      <c r="P249" s="524"/>
      <c r="Q249" s="524"/>
      <c r="R249" s="524"/>
      <c r="S249" s="524"/>
      <c r="T249" s="524"/>
      <c r="U249" s="524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533">
        <f t="shared" si="91"/>
        <v>0</v>
      </c>
      <c r="I250" s="129"/>
      <c r="J250" s="130"/>
      <c r="K250" s="131"/>
      <c r="L250" s="129">
        <v>4</v>
      </c>
      <c r="M250" s="109"/>
      <c r="N250" s="130"/>
      <c r="O250" s="524"/>
      <c r="P250" s="524"/>
      <c r="Q250" s="524"/>
      <c r="R250" s="524"/>
      <c r="S250" s="524"/>
      <c r="T250" s="524"/>
      <c r="U250" s="524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533">
        <f t="shared" si="91"/>
        <v>0</v>
      </c>
      <c r="I251" s="129"/>
      <c r="J251" s="130"/>
      <c r="K251" s="131"/>
      <c r="L251" s="129">
        <v>4</v>
      </c>
      <c r="M251" s="109"/>
      <c r="N251" s="130"/>
      <c r="O251" s="524"/>
      <c r="P251" s="524"/>
      <c r="Q251" s="524"/>
      <c r="R251" s="524"/>
      <c r="S251" s="524"/>
      <c r="T251" s="524"/>
      <c r="U251" s="524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533">
        <f t="shared" si="91"/>
        <v>0</v>
      </c>
      <c r="I252" s="129"/>
      <c r="J252" s="130"/>
      <c r="K252" s="131"/>
      <c r="L252" s="129">
        <v>4</v>
      </c>
      <c r="M252" s="109"/>
      <c r="N252" s="130"/>
      <c r="O252" s="524"/>
      <c r="P252" s="524"/>
      <c r="Q252" s="524"/>
      <c r="R252" s="524"/>
      <c r="S252" s="524"/>
      <c r="T252" s="524"/>
      <c r="U252" s="524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533">
        <f t="shared" si="91"/>
        <v>0</v>
      </c>
      <c r="I253" s="129"/>
      <c r="J253" s="130"/>
      <c r="K253" s="131"/>
      <c r="L253" s="129">
        <v>4</v>
      </c>
      <c r="M253" s="109"/>
      <c r="N253" s="130"/>
      <c r="O253" s="524"/>
      <c r="P253" s="524"/>
      <c r="Q253" s="524"/>
      <c r="R253" s="524"/>
      <c r="S253" s="524"/>
      <c r="T253" s="524"/>
      <c r="U253" s="524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533">
        <f t="shared" si="91"/>
        <v>0</v>
      </c>
      <c r="I254" s="129"/>
      <c r="J254" s="130"/>
      <c r="K254" s="131"/>
      <c r="L254" s="129">
        <v>4</v>
      </c>
      <c r="M254" s="109"/>
      <c r="N254" s="130"/>
      <c r="O254" s="524"/>
      <c r="P254" s="524"/>
      <c r="Q254" s="524"/>
      <c r="R254" s="524"/>
      <c r="S254" s="524"/>
      <c r="T254" s="524"/>
      <c r="U254" s="524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533">
        <f t="shared" si="91"/>
        <v>0</v>
      </c>
      <c r="I255" s="129"/>
      <c r="J255" s="130"/>
      <c r="K255" s="131"/>
      <c r="L255" s="129">
        <v>4</v>
      </c>
      <c r="M255" s="109"/>
      <c r="N255" s="130"/>
      <c r="O255" s="524"/>
      <c r="P255" s="524"/>
      <c r="Q255" s="524"/>
      <c r="R255" s="524"/>
      <c r="S255" s="524"/>
      <c r="T255" s="524"/>
      <c r="U255" s="524"/>
      <c r="V255" s="132"/>
      <c r="W255" s="133"/>
      <c r="X255" s="132"/>
      <c r="Y255" s="132"/>
      <c r="Z255" s="132"/>
      <c r="AA255" s="132"/>
    </row>
    <row r="256" spans="1:27" ht="20.100000000000001" customHeight="1">
      <c r="A256" s="641" t="s">
        <v>216</v>
      </c>
      <c r="B256" s="641"/>
      <c r="C256" s="531" t="s">
        <v>202</v>
      </c>
      <c r="D256" s="143"/>
      <c r="E256" s="143"/>
      <c r="F256" s="144"/>
      <c r="G256" s="145">
        <f>SUM(G199:G255)</f>
        <v>1355</v>
      </c>
      <c r="H256" s="146">
        <f>SUM(H199:H255)</f>
        <v>6815.6500000000005</v>
      </c>
      <c r="I256" s="146">
        <f>SUM(I199:I255)</f>
        <v>25</v>
      </c>
      <c r="J256" s="130">
        <f t="array" ref="J256">IF(ISERROR(G256/I256),"",G256/I256)</f>
        <v>54.2</v>
      </c>
      <c r="K256" s="146">
        <f>SUM(K199:K255)</f>
        <v>26.52</v>
      </c>
      <c r="L256" s="147"/>
      <c r="M256" s="150">
        <f t="shared" ref="M256:V256" si="114">SUM(M199:M255)</f>
        <v>-1.5199999999999996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>
        <f t="shared" ref="W256:W263" si="115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525" t="s">
        <v>217</v>
      </c>
      <c r="C257" s="126" t="s">
        <v>179</v>
      </c>
      <c r="D257" s="108">
        <v>5.03</v>
      </c>
      <c r="E257" s="108"/>
      <c r="F257" s="127"/>
      <c r="G257" s="128"/>
      <c r="H257" s="533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524"/>
      <c r="P257" s="524"/>
      <c r="Q257" s="524"/>
      <c r="R257" s="524"/>
      <c r="S257" s="524"/>
      <c r="T257" s="524"/>
      <c r="U257" s="524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525" t="s">
        <v>217</v>
      </c>
      <c r="C258" s="126" t="s">
        <v>186</v>
      </c>
      <c r="D258" s="108">
        <v>5.03</v>
      </c>
      <c r="E258" s="108"/>
      <c r="F258" s="127"/>
      <c r="G258" s="128"/>
      <c r="H258" s="533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524"/>
      <c r="P258" s="524"/>
      <c r="Q258" s="524"/>
      <c r="R258" s="524"/>
      <c r="S258" s="524"/>
      <c r="T258" s="524"/>
      <c r="U258" s="524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525" t="s">
        <v>217</v>
      </c>
      <c r="C259" s="126" t="s">
        <v>204</v>
      </c>
      <c r="D259" s="108">
        <v>5.03</v>
      </c>
      <c r="E259" s="108"/>
      <c r="F259" s="127"/>
      <c r="G259" s="128"/>
      <c r="H259" s="533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524"/>
      <c r="P259" s="524"/>
      <c r="Q259" s="524"/>
      <c r="R259" s="524"/>
      <c r="S259" s="524"/>
      <c r="T259" s="524"/>
      <c r="U259" s="524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533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524"/>
      <c r="P260" s="524"/>
      <c r="Q260" s="524"/>
      <c r="R260" s="524"/>
      <c r="S260" s="524"/>
      <c r="T260" s="524"/>
      <c r="U260" s="524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533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524"/>
      <c r="P261" s="524"/>
      <c r="Q261" s="524"/>
      <c r="R261" s="524"/>
      <c r="S261" s="524"/>
      <c r="T261" s="524"/>
      <c r="U261" s="524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>
        <v>42721</v>
      </c>
      <c r="G262" s="536">
        <f>108+89</f>
        <v>197</v>
      </c>
      <c r="H262" s="533">
        <f t="shared" si="116"/>
        <v>990.91000000000008</v>
      </c>
      <c r="I262" s="129">
        <f>11*3</f>
        <v>33</v>
      </c>
      <c r="J262" s="130">
        <f t="array" ref="J262">IF(ISERROR(G262/I262),"",G262/I262)</f>
        <v>5.9696969696969697</v>
      </c>
      <c r="K262" s="131">
        <f t="array" ref="K262">IF(ISERROR(G262/L262),"",G262/L262)</f>
        <v>21.182795698924728</v>
      </c>
      <c r="L262" s="129">
        <v>9.3000000000000007</v>
      </c>
      <c r="M262" s="109">
        <f t="shared" si="117"/>
        <v>11.817204301075272</v>
      </c>
      <c r="N262" s="130">
        <f t="shared" si="118"/>
        <v>0</v>
      </c>
      <c r="O262" s="524"/>
      <c r="P262" s="524"/>
      <c r="Q262" s="524"/>
      <c r="R262" s="524"/>
      <c r="S262" s="524"/>
      <c r="T262" s="524"/>
      <c r="U262" s="524"/>
      <c r="V262" s="132">
        <f t="shared" si="119"/>
        <v>0</v>
      </c>
      <c r="W262" s="133">
        <f t="shared" si="115"/>
        <v>0</v>
      </c>
      <c r="X262" s="132"/>
      <c r="Y262" s="132"/>
      <c r="Z262" s="132"/>
      <c r="AA262" s="132"/>
    </row>
    <row r="263" spans="1:27" ht="20.10000000000000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>
        <v>42720</v>
      </c>
      <c r="G263" s="536">
        <v>108</v>
      </c>
      <c r="H263" s="533">
        <f t="shared" si="116"/>
        <v>543.24</v>
      </c>
      <c r="I263" s="129">
        <v>11</v>
      </c>
      <c r="J263" s="130">
        <f t="array" ref="J263">IF(ISERROR(G263/I263),"",G263/I263)</f>
        <v>9.8181818181818183</v>
      </c>
      <c r="K263" s="131">
        <f t="array" ref="K263">IF(ISERROR(G263/L263),"",G263/L263)</f>
        <v>11.61290322580645</v>
      </c>
      <c r="L263" s="129">
        <v>9.3000000000000007</v>
      </c>
      <c r="M263" s="109">
        <f t="shared" si="117"/>
        <v>-0.61290322580645018</v>
      </c>
      <c r="N263" s="130">
        <f t="shared" si="118"/>
        <v>0</v>
      </c>
      <c r="O263" s="524"/>
      <c r="P263" s="524"/>
      <c r="Q263" s="524"/>
      <c r="R263" s="524"/>
      <c r="S263" s="524"/>
      <c r="T263" s="524"/>
      <c r="U263" s="524"/>
      <c r="V263" s="132">
        <f t="shared" si="119"/>
        <v>0</v>
      </c>
      <c r="W263" s="133">
        <f t="shared" si="115"/>
        <v>0</v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533">
        <f t="shared" si="116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524"/>
      <c r="P264" s="524"/>
      <c r="Q264" s="524"/>
      <c r="R264" s="524"/>
      <c r="S264" s="524"/>
      <c r="T264" s="524"/>
      <c r="U264" s="524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533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524"/>
      <c r="P265" s="524"/>
      <c r="Q265" s="524"/>
      <c r="R265" s="524"/>
      <c r="S265" s="524"/>
      <c r="T265" s="524"/>
      <c r="U265" s="524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533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524"/>
      <c r="P266" s="524"/>
      <c r="Q266" s="524"/>
      <c r="R266" s="524"/>
      <c r="S266" s="524"/>
      <c r="T266" s="524"/>
      <c r="U266" s="524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533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524"/>
      <c r="P267" s="524"/>
      <c r="Q267" s="524"/>
      <c r="R267" s="524"/>
      <c r="S267" s="524"/>
      <c r="T267" s="524"/>
      <c r="U267" s="524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533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524"/>
      <c r="P268" s="524"/>
      <c r="Q268" s="524"/>
      <c r="R268" s="524"/>
      <c r="S268" s="524"/>
      <c r="T268" s="524"/>
      <c r="U268" s="524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533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0">IF(ISERROR(I269-K269),"",I269-K269)</f>
        <v>0</v>
      </c>
      <c r="N269" s="130">
        <f t="shared" ref="N269:N284" si="121">SUM(O269:U269)</f>
        <v>0</v>
      </c>
      <c r="O269" s="524"/>
      <c r="P269" s="524"/>
      <c r="Q269" s="524"/>
      <c r="R269" s="524"/>
      <c r="S269" s="524"/>
      <c r="T269" s="524"/>
      <c r="U269" s="524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533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524"/>
      <c r="P270" s="524"/>
      <c r="Q270" s="524"/>
      <c r="R270" s="524"/>
      <c r="S270" s="524"/>
      <c r="T270" s="524"/>
      <c r="U270" s="524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533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524"/>
      <c r="P271" s="524"/>
      <c r="Q271" s="524"/>
      <c r="R271" s="524"/>
      <c r="S271" s="524"/>
      <c r="T271" s="524"/>
      <c r="U271" s="524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533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524"/>
      <c r="P272" s="524"/>
      <c r="Q272" s="524"/>
      <c r="R272" s="524"/>
      <c r="S272" s="524"/>
      <c r="T272" s="524"/>
      <c r="U272" s="524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525" t="s">
        <v>222</v>
      </c>
      <c r="C273" s="126" t="s">
        <v>181</v>
      </c>
      <c r="D273" s="108">
        <v>9.36</v>
      </c>
      <c r="E273" s="108"/>
      <c r="F273" s="127"/>
      <c r="G273" s="128"/>
      <c r="H273" s="533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524"/>
      <c r="P273" s="524"/>
      <c r="Q273" s="524"/>
      <c r="R273" s="524"/>
      <c r="S273" s="524"/>
      <c r="T273" s="524"/>
      <c r="U273" s="524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525" t="s">
        <v>222</v>
      </c>
      <c r="C274" s="126" t="s">
        <v>179</v>
      </c>
      <c r="D274" s="108">
        <v>9.36</v>
      </c>
      <c r="E274" s="108"/>
      <c r="F274" s="127"/>
      <c r="G274" s="128"/>
      <c r="H274" s="533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524"/>
      <c r="P274" s="524"/>
      <c r="Q274" s="524"/>
      <c r="R274" s="524"/>
      <c r="S274" s="524"/>
      <c r="T274" s="524"/>
      <c r="U274" s="524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525" t="s">
        <v>222</v>
      </c>
      <c r="C275" s="126" t="s">
        <v>221</v>
      </c>
      <c r="D275" s="108">
        <v>9.36</v>
      </c>
      <c r="E275" s="108"/>
      <c r="F275" s="127"/>
      <c r="G275" s="128"/>
      <c r="H275" s="533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524"/>
      <c r="P275" s="524"/>
      <c r="Q275" s="524"/>
      <c r="R275" s="524"/>
      <c r="S275" s="524"/>
      <c r="T275" s="524"/>
      <c r="U275" s="524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525" t="s">
        <v>222</v>
      </c>
      <c r="C276" s="126" t="s">
        <v>186</v>
      </c>
      <c r="D276" s="108">
        <v>9.36</v>
      </c>
      <c r="E276" s="108"/>
      <c r="F276" s="127"/>
      <c r="G276" s="128"/>
      <c r="H276" s="533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524"/>
      <c r="P276" s="524"/>
      <c r="Q276" s="524"/>
      <c r="R276" s="524"/>
      <c r="S276" s="524"/>
      <c r="T276" s="524"/>
      <c r="U276" s="524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525" t="s">
        <v>393</v>
      </c>
      <c r="C277" s="187" t="s">
        <v>395</v>
      </c>
      <c r="D277" s="108">
        <v>5</v>
      </c>
      <c r="E277" s="108"/>
      <c r="F277" s="127"/>
      <c r="G277" s="128"/>
      <c r="H277" s="533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524"/>
      <c r="P277" s="524"/>
      <c r="Q277" s="524"/>
      <c r="R277" s="524"/>
      <c r="S277" s="524"/>
      <c r="T277" s="524"/>
      <c r="U277" s="524"/>
      <c r="V277" s="132"/>
      <c r="W277" s="133"/>
      <c r="X277" s="132"/>
      <c r="Y277" s="132"/>
      <c r="Z277" s="132"/>
      <c r="AA277" s="132"/>
    </row>
    <row r="278" spans="1:27" ht="20.100000000000001" customHeight="1">
      <c r="A278" s="299">
        <v>30400028</v>
      </c>
      <c r="B278" s="525" t="s">
        <v>393</v>
      </c>
      <c r="C278" s="187" t="s">
        <v>402</v>
      </c>
      <c r="D278" s="108">
        <v>5</v>
      </c>
      <c r="E278" s="108"/>
      <c r="F278" s="127">
        <v>42716</v>
      </c>
      <c r="G278" s="534">
        <f>90*6+35-90</f>
        <v>485</v>
      </c>
      <c r="H278" s="533">
        <f t="shared" si="116"/>
        <v>2425</v>
      </c>
      <c r="I278" s="129">
        <f>5*11</f>
        <v>55</v>
      </c>
      <c r="J278" s="130">
        <f t="array" ref="J278">IF(ISERROR(G278/I278),"",G278/I278)</f>
        <v>8.8181818181818183</v>
      </c>
      <c r="K278" s="131">
        <f t="array" ref="K278">IF(ISERROR(G278/L278),"",G278/L278)</f>
        <v>97</v>
      </c>
      <c r="L278" s="129">
        <v>5</v>
      </c>
      <c r="M278" s="109">
        <f t="shared" si="120"/>
        <v>-42</v>
      </c>
      <c r="N278" s="130">
        <f t="shared" si="121"/>
        <v>0</v>
      </c>
      <c r="O278" s="524"/>
      <c r="P278" s="524"/>
      <c r="Q278" s="524"/>
      <c r="R278" s="524"/>
      <c r="S278" s="524"/>
      <c r="T278" s="524"/>
      <c r="U278" s="524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525" t="s">
        <v>404</v>
      </c>
      <c r="C279" s="187" t="s">
        <v>405</v>
      </c>
      <c r="D279" s="108">
        <v>5</v>
      </c>
      <c r="E279" s="108"/>
      <c r="F279" s="127"/>
      <c r="G279" s="128"/>
      <c r="H279" s="533">
        <f t="shared" si="116"/>
        <v>0</v>
      </c>
      <c r="I279" s="129"/>
      <c r="J279" s="130" t="str">
        <f t="array" ref="J279">IF(ISERROR(G279/I279),"",G279/I279)</f>
        <v/>
      </c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524"/>
      <c r="P279" s="524"/>
      <c r="Q279" s="524"/>
      <c r="R279" s="524"/>
      <c r="S279" s="524"/>
      <c r="T279" s="524"/>
      <c r="U279" s="524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525" t="s">
        <v>342</v>
      </c>
      <c r="C280" s="187" t="s">
        <v>372</v>
      </c>
      <c r="D280" s="108">
        <v>5</v>
      </c>
      <c r="E280" s="108"/>
      <c r="F280" s="127"/>
      <c r="G280" s="128"/>
      <c r="H280" s="533">
        <f t="shared" si="116"/>
        <v>0</v>
      </c>
      <c r="I280" s="129"/>
      <c r="J280" s="130" t="str">
        <f t="array" ref="J280">IF(ISERROR(G280/I280),"",G280/I280)</f>
        <v/>
      </c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524"/>
      <c r="P280" s="524"/>
      <c r="Q280" s="524"/>
      <c r="R280" s="524"/>
      <c r="S280" s="524"/>
      <c r="T280" s="524"/>
      <c r="U280" s="524"/>
      <c r="V280" s="132"/>
      <c r="W280" s="133"/>
      <c r="X280" s="132"/>
      <c r="Y280" s="132"/>
      <c r="Z280" s="132"/>
      <c r="AA280" s="132"/>
    </row>
    <row r="281" spans="1:27" ht="20.100000000000001" customHeight="1">
      <c r="A281" s="299">
        <v>30600009</v>
      </c>
      <c r="B281" s="525" t="s">
        <v>343</v>
      </c>
      <c r="C281" s="126" t="s">
        <v>345</v>
      </c>
      <c r="D281" s="108">
        <v>5</v>
      </c>
      <c r="E281" s="108"/>
      <c r="F281" s="127">
        <v>42717</v>
      </c>
      <c r="G281" s="536">
        <f>30+50+30</f>
        <v>110</v>
      </c>
      <c r="H281" s="533">
        <f t="shared" si="116"/>
        <v>550</v>
      </c>
      <c r="I281" s="129">
        <f>2*4+8*3+3.5*4+2*2</f>
        <v>50</v>
      </c>
      <c r="J281" s="130">
        <f t="array" ref="J281">IF(ISERROR(G281/I281),"",G281/I281)</f>
        <v>2.2000000000000002</v>
      </c>
      <c r="K281" s="131">
        <f t="array" ref="K281">IF(ISERROR(G281/L281),"",G281/L281)</f>
        <v>22</v>
      </c>
      <c r="L281" s="129">
        <v>5</v>
      </c>
      <c r="M281" s="109">
        <f t="shared" si="120"/>
        <v>28</v>
      </c>
      <c r="N281" s="130">
        <f t="shared" si="121"/>
        <v>0</v>
      </c>
      <c r="O281" s="524"/>
      <c r="P281" s="524"/>
      <c r="Q281" s="524"/>
      <c r="R281" s="524"/>
      <c r="S281" s="524"/>
      <c r="T281" s="524"/>
      <c r="U281" s="524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525" t="s">
        <v>343</v>
      </c>
      <c r="C282" s="126" t="s">
        <v>347</v>
      </c>
      <c r="D282" s="108">
        <v>5</v>
      </c>
      <c r="E282" s="108"/>
      <c r="F282" s="127"/>
      <c r="G282" s="128"/>
      <c r="H282" s="533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524"/>
      <c r="P282" s="524"/>
      <c r="Q282" s="524"/>
      <c r="R282" s="524"/>
      <c r="S282" s="524"/>
      <c r="T282" s="524"/>
      <c r="U282" s="524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533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524"/>
      <c r="P283" s="524"/>
      <c r="Q283" s="524"/>
      <c r="R283" s="524"/>
      <c r="S283" s="524"/>
      <c r="T283" s="524"/>
      <c r="U283" s="524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533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524"/>
      <c r="P284" s="524"/>
      <c r="Q284" s="524"/>
      <c r="R284" s="524"/>
      <c r="S284" s="524"/>
      <c r="T284" s="524"/>
      <c r="U284" s="524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/>
      <c r="G285" s="128"/>
      <c r="H285" s="533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524"/>
      <c r="P285" s="524"/>
      <c r="Q285" s="524"/>
      <c r="R285" s="524"/>
      <c r="S285" s="524"/>
      <c r="T285" s="524"/>
      <c r="U285" s="524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533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524"/>
      <c r="P286" s="524"/>
      <c r="Q286" s="524"/>
      <c r="R286" s="524"/>
      <c r="S286" s="524"/>
      <c r="T286" s="524"/>
      <c r="U286" s="524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533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524"/>
      <c r="P287" s="524"/>
      <c r="Q287" s="524"/>
      <c r="R287" s="524"/>
      <c r="S287" s="524"/>
      <c r="T287" s="524"/>
      <c r="U287" s="524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533">
        <f t="shared" si="116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7">IF(ISERROR(I288-K288),"",I288-K288)</f>
        <v>0</v>
      </c>
      <c r="N288" s="130">
        <f t="shared" ref="N288:N290" si="128">SUM(O288:U288)</f>
        <v>0</v>
      </c>
      <c r="O288" s="524"/>
      <c r="P288" s="524"/>
      <c r="Q288" s="524"/>
      <c r="R288" s="524"/>
      <c r="S288" s="524"/>
      <c r="T288" s="524"/>
      <c r="U288" s="524"/>
      <c r="V288" s="132">
        <f t="shared" ref="V288:V290" si="129">SUM(X288:AA288)</f>
        <v>0</v>
      </c>
      <c r="W288" s="133" t="str">
        <f t="shared" ref="W288:W312" si="130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533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524"/>
      <c r="P289" s="524"/>
      <c r="Q289" s="524"/>
      <c r="R289" s="524"/>
      <c r="S289" s="524"/>
      <c r="T289" s="524"/>
      <c r="U289" s="524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533">
        <f t="shared" si="116"/>
        <v>0</v>
      </c>
      <c r="I290" s="129"/>
      <c r="J290" s="130" t="str">
        <f t="array" ref="J290">IF(ISERROR(G290/I290),"",G290/I290)</f>
        <v/>
      </c>
      <c r="K290" s="533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524"/>
      <c r="P290" s="524"/>
      <c r="Q290" s="524"/>
      <c r="R290" s="524"/>
      <c r="S290" s="524"/>
      <c r="T290" s="524"/>
      <c r="U290" s="524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630" t="s">
        <v>224</v>
      </c>
      <c r="B291" s="631"/>
      <c r="C291" s="531" t="s">
        <v>202</v>
      </c>
      <c r="D291" s="143"/>
      <c r="E291" s="143"/>
      <c r="F291" s="144"/>
      <c r="G291" s="145">
        <f>SUM(G257:G290)</f>
        <v>900</v>
      </c>
      <c r="H291" s="146">
        <f>SUM(H257:H290)</f>
        <v>4509.1499999999996</v>
      </c>
      <c r="I291" s="146">
        <f>SUM(I257:I290)</f>
        <v>149</v>
      </c>
      <c r="J291" s="130">
        <f t="array" ref="J291">IF(ISERROR(G291/I291),"",G291/I291)</f>
        <v>6.0402684563758386</v>
      </c>
      <c r="K291" s="146">
        <f>SUM(K257:K290)</f>
        <v>151.79569892473117</v>
      </c>
      <c r="L291" s="147"/>
      <c r="M291" s="150">
        <f t="shared" ref="M291:V291" si="131">SUM(M257:M290)</f>
        <v>-2.7956989247311768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>
        <f t="shared" si="130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>
        <v>42721</v>
      </c>
      <c r="G292" s="536">
        <f>90*5+29</f>
        <v>479</v>
      </c>
      <c r="H292" s="533">
        <f t="shared" ref="H292:H306" si="132">D292*G292</f>
        <v>2409.3700000000003</v>
      </c>
      <c r="I292" s="129">
        <v>11</v>
      </c>
      <c r="J292" s="130">
        <f t="array" ref="J292">IF(ISERROR(G292/I292),"",G292/I292)</f>
        <v>43.545454545454547</v>
      </c>
      <c r="K292" s="131">
        <f t="array" ref="K292">IF(ISERROR(G292/L292),"",G292/L292)</f>
        <v>19.16</v>
      </c>
      <c r="L292" s="129">
        <v>25</v>
      </c>
      <c r="M292" s="109">
        <f t="shared" ref="M292:M306" si="133">IF(ISERROR(I292-K292),"",I292-K292)</f>
        <v>-8.16</v>
      </c>
      <c r="N292" s="130">
        <f t="shared" ref="N292:N306" si="134">SUM(O292:U292)</f>
        <v>0</v>
      </c>
      <c r="O292" s="524"/>
      <c r="P292" s="524"/>
      <c r="Q292" s="524"/>
      <c r="R292" s="524"/>
      <c r="S292" s="524"/>
      <c r="T292" s="524"/>
      <c r="U292" s="524"/>
      <c r="V292" s="132">
        <f t="shared" ref="V292:V306" si="135">SUM(X292:AA292)</f>
        <v>0</v>
      </c>
      <c r="W292" s="133">
        <f t="shared" si="130"/>
        <v>0</v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533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524"/>
      <c r="P293" s="524"/>
      <c r="Q293" s="524"/>
      <c r="R293" s="524"/>
      <c r="S293" s="524"/>
      <c r="T293" s="524"/>
      <c r="U293" s="524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533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3"/>
        <v>0</v>
      </c>
      <c r="N294" s="130">
        <f t="shared" si="134"/>
        <v>0</v>
      </c>
      <c r="O294" s="524"/>
      <c r="P294" s="524"/>
      <c r="Q294" s="524"/>
      <c r="R294" s="524"/>
      <c r="S294" s="524"/>
      <c r="T294" s="524"/>
      <c r="U294" s="524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533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524"/>
      <c r="P295" s="524"/>
      <c r="Q295" s="524"/>
      <c r="R295" s="524"/>
      <c r="S295" s="524"/>
      <c r="T295" s="524"/>
      <c r="U295" s="524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529" t="s">
        <v>203</v>
      </c>
      <c r="D296" s="108">
        <v>5.03</v>
      </c>
      <c r="E296" s="108"/>
      <c r="F296" s="127"/>
      <c r="G296" s="128"/>
      <c r="H296" s="533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524"/>
      <c r="P296" s="524"/>
      <c r="Q296" s="524"/>
      <c r="R296" s="524"/>
      <c r="S296" s="524"/>
      <c r="T296" s="524"/>
      <c r="U296" s="524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533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524"/>
      <c r="P297" s="524"/>
      <c r="Q297" s="524"/>
      <c r="R297" s="524"/>
      <c r="S297" s="524"/>
      <c r="T297" s="524"/>
      <c r="U297" s="524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533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524"/>
      <c r="P298" s="524"/>
      <c r="Q298" s="524"/>
      <c r="R298" s="524"/>
      <c r="S298" s="524"/>
      <c r="T298" s="524"/>
      <c r="U298" s="524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529" t="s">
        <v>228</v>
      </c>
      <c r="D299" s="108">
        <v>5.03</v>
      </c>
      <c r="E299" s="108"/>
      <c r="F299" s="127"/>
      <c r="G299" s="128"/>
      <c r="H299" s="533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524"/>
      <c r="P299" s="524"/>
      <c r="Q299" s="524"/>
      <c r="R299" s="524"/>
      <c r="S299" s="524"/>
      <c r="T299" s="524"/>
      <c r="U299" s="524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529" t="s">
        <v>212</v>
      </c>
      <c r="D300" s="108">
        <v>5.03</v>
      </c>
      <c r="E300" s="108"/>
      <c r="F300" s="127"/>
      <c r="G300" s="128"/>
      <c r="H300" s="533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524"/>
      <c r="P300" s="524"/>
      <c r="Q300" s="524"/>
      <c r="R300" s="524"/>
      <c r="S300" s="524"/>
      <c r="T300" s="524"/>
      <c r="U300" s="524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529" t="s">
        <v>203</v>
      </c>
      <c r="D301" s="108">
        <v>5.03</v>
      </c>
      <c r="E301" s="108"/>
      <c r="F301" s="127"/>
      <c r="G301" s="128"/>
      <c r="H301" s="533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524"/>
      <c r="P301" s="524"/>
      <c r="Q301" s="524"/>
      <c r="R301" s="524"/>
      <c r="S301" s="524"/>
      <c r="T301" s="524"/>
      <c r="U301" s="524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529" t="s">
        <v>186</v>
      </c>
      <c r="D302" s="108">
        <v>5.03</v>
      </c>
      <c r="E302" s="108"/>
      <c r="F302" s="127"/>
      <c r="G302" s="128"/>
      <c r="H302" s="533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524"/>
      <c r="P302" s="524"/>
      <c r="Q302" s="524"/>
      <c r="R302" s="524"/>
      <c r="S302" s="524"/>
      <c r="T302" s="524"/>
      <c r="U302" s="524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529" t="s">
        <v>228</v>
      </c>
      <c r="D303" s="108">
        <v>5.03</v>
      </c>
      <c r="E303" s="108"/>
      <c r="F303" s="127"/>
      <c r="G303" s="128"/>
      <c r="H303" s="533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524"/>
      <c r="P303" s="524"/>
      <c r="Q303" s="524"/>
      <c r="R303" s="524"/>
      <c r="S303" s="524"/>
      <c r="T303" s="524"/>
      <c r="U303" s="524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529" t="s">
        <v>199</v>
      </c>
      <c r="D304" s="108">
        <v>5.03</v>
      </c>
      <c r="E304" s="108"/>
      <c r="F304" s="127"/>
      <c r="G304" s="128"/>
      <c r="H304" s="533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524"/>
      <c r="P304" s="524"/>
      <c r="Q304" s="524"/>
      <c r="R304" s="524"/>
      <c r="S304" s="524"/>
      <c r="T304" s="524"/>
      <c r="U304" s="524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533">
        <f t="shared" si="132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3"/>
        <v>0</v>
      </c>
      <c r="N305" s="130">
        <f t="shared" si="134"/>
        <v>0</v>
      </c>
      <c r="O305" s="524"/>
      <c r="P305" s="524"/>
      <c r="Q305" s="524"/>
      <c r="R305" s="524"/>
      <c r="S305" s="524"/>
      <c r="T305" s="524"/>
      <c r="U305" s="524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533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524"/>
      <c r="P306" s="524"/>
      <c r="Q306" s="524"/>
      <c r="R306" s="524"/>
      <c r="S306" s="524"/>
      <c r="T306" s="524"/>
      <c r="U306" s="524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customHeight="1">
      <c r="A307" s="630" t="s">
        <v>231</v>
      </c>
      <c r="B307" s="631"/>
      <c r="C307" s="531" t="s">
        <v>202</v>
      </c>
      <c r="D307" s="143"/>
      <c r="E307" s="143"/>
      <c r="F307" s="144"/>
      <c r="G307" s="145">
        <f>SUM(G292:G306)</f>
        <v>479</v>
      </c>
      <c r="H307" s="146">
        <f>SUM(H292:H306)</f>
        <v>2409.3700000000003</v>
      </c>
      <c r="I307" s="146">
        <f>SUM(I292:I306)</f>
        <v>11</v>
      </c>
      <c r="J307" s="130">
        <f t="array" ref="J307">IF(ISERROR(G307/I307),"",G307/I307)</f>
        <v>43.545454545454547</v>
      </c>
      <c r="K307" s="146">
        <f>SUM(K292:K306)</f>
        <v>19.16</v>
      </c>
      <c r="L307" s="146"/>
      <c r="M307" s="150">
        <f>SUM(M292:M306)</f>
        <v>-8.16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>
        <f t="shared" si="130"/>
        <v>0</v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533">
        <f t="shared" ref="H308:H316" si="136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7">IF(ISERROR(I308-K308),"",I308-K308)</f>
        <v>0</v>
      </c>
      <c r="N308" s="130">
        <f t="shared" ref="N308:N312" si="138">SUM(O308:U308)</f>
        <v>0</v>
      </c>
      <c r="O308" s="524"/>
      <c r="P308" s="524"/>
      <c r="Q308" s="524"/>
      <c r="R308" s="524"/>
      <c r="S308" s="524"/>
      <c r="T308" s="524"/>
      <c r="U308" s="524"/>
      <c r="V308" s="132">
        <f t="shared" ref="V308:V312" si="139">SUM(X308:AA308)</f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533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524"/>
      <c r="P309" s="524"/>
      <c r="Q309" s="524"/>
      <c r="R309" s="524"/>
      <c r="S309" s="524"/>
      <c r="T309" s="524"/>
      <c r="U309" s="524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533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524"/>
      <c r="P310" s="524"/>
      <c r="Q310" s="524"/>
      <c r="R310" s="524"/>
      <c r="S310" s="524"/>
      <c r="T310" s="524"/>
      <c r="U310" s="524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533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524"/>
      <c r="P311" s="524"/>
      <c r="Q311" s="524"/>
      <c r="R311" s="524"/>
      <c r="S311" s="524"/>
      <c r="T311" s="524"/>
      <c r="U311" s="524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533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524"/>
      <c r="P312" s="524"/>
      <c r="Q312" s="524"/>
      <c r="R312" s="524"/>
      <c r="S312" s="524"/>
      <c r="T312" s="524"/>
      <c r="U312" s="524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533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524"/>
      <c r="P313" s="524"/>
      <c r="Q313" s="524"/>
      <c r="R313" s="524"/>
      <c r="S313" s="524"/>
      <c r="T313" s="524"/>
      <c r="U313" s="524"/>
      <c r="V313" s="132"/>
      <c r="W313" s="133"/>
      <c r="X313" s="132"/>
      <c r="Y313" s="132"/>
      <c r="Z313" s="132"/>
      <c r="AA313" s="132"/>
    </row>
    <row r="314" spans="1:27" ht="20.100000000000001" hidden="1" customHeight="1">
      <c r="A314" s="300">
        <v>30400020</v>
      </c>
      <c r="B314" s="134" t="s">
        <v>439</v>
      </c>
      <c r="C314" s="187" t="s">
        <v>74</v>
      </c>
      <c r="D314" s="108">
        <v>5.03</v>
      </c>
      <c r="E314" s="108"/>
      <c r="F314" s="127"/>
      <c r="G314" s="128"/>
      <c r="H314" s="533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524"/>
      <c r="P314" s="524"/>
      <c r="Q314" s="524"/>
      <c r="R314" s="524"/>
      <c r="S314" s="524"/>
      <c r="T314" s="524"/>
      <c r="U314" s="524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30400021</v>
      </c>
      <c r="B315" s="134" t="s">
        <v>439</v>
      </c>
      <c r="C315" s="187" t="s">
        <v>53</v>
      </c>
      <c r="D315" s="108">
        <v>5.03</v>
      </c>
      <c r="E315" s="108"/>
      <c r="F315" s="127"/>
      <c r="G315" s="128"/>
      <c r="H315" s="533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524"/>
      <c r="P315" s="524"/>
      <c r="Q315" s="524"/>
      <c r="R315" s="524"/>
      <c r="S315" s="524"/>
      <c r="T315" s="524"/>
      <c r="U315" s="524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533">
        <f t="shared" si="136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0">IF(ISERROR(I316-K316),"",I316-K316)</f>
        <v>0</v>
      </c>
      <c r="N316" s="130">
        <f t="shared" ref="N316" si="141">SUM(O316:U316)</f>
        <v>0</v>
      </c>
      <c r="O316" s="524"/>
      <c r="P316" s="524"/>
      <c r="Q316" s="524"/>
      <c r="R316" s="524"/>
      <c r="S316" s="524"/>
      <c r="T316" s="524"/>
      <c r="U316" s="524"/>
      <c r="V316" s="132">
        <f t="shared" ref="V316" si="142">SUM(X316:AA316)</f>
        <v>0</v>
      </c>
      <c r="W316" s="133" t="str">
        <f t="shared" ref="W316:W321" si="143">IF(ISERROR(V316/G316),"",V316/G316)</f>
        <v/>
      </c>
      <c r="X316" s="132"/>
      <c r="Y316" s="132"/>
      <c r="Z316" s="132"/>
      <c r="AA316" s="132"/>
    </row>
    <row r="317" spans="1:27" ht="20.100000000000001" hidden="1" customHeight="1">
      <c r="A317" s="630" t="s">
        <v>234</v>
      </c>
      <c r="B317" s="631"/>
      <c r="C317" s="531" t="s">
        <v>202</v>
      </c>
      <c r="D317" s="143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3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523"/>
      <c r="D318" s="108">
        <v>3.65</v>
      </c>
      <c r="E318" s="108"/>
      <c r="F318" s="153"/>
      <c r="G318" s="128"/>
      <c r="H318" s="533">
        <f t="shared" ref="H318:H331" si="144">D318*G318</f>
        <v>0</v>
      </c>
      <c r="I318" s="129"/>
      <c r="J318" s="130" t="str">
        <f t="array" ref="J318">IF(ISERROR(G318/I318),"",G318/I318)</f>
        <v/>
      </c>
      <c r="K318" s="533">
        <f t="array" ref="K318">IF(ISERROR(G318/L318),"",G318/L318)</f>
        <v>0</v>
      </c>
      <c r="L318" s="129">
        <v>5</v>
      </c>
      <c r="M318" s="109">
        <f t="shared" ref="M318:M321" si="145">IF(ISERROR(I318-K318),"",I318-K318)</f>
        <v>0</v>
      </c>
      <c r="N318" s="130">
        <f t="shared" ref="N318:N321" si="146">SUM(O318:U318)</f>
        <v>0</v>
      </c>
      <c r="O318" s="524"/>
      <c r="P318" s="524"/>
      <c r="Q318" s="524"/>
      <c r="R318" s="524"/>
      <c r="S318" s="524"/>
      <c r="T318" s="524"/>
      <c r="U318" s="524"/>
      <c r="V318" s="132">
        <f t="shared" ref="V318:V321" si="147">SUM(X318:AA318)</f>
        <v>0</v>
      </c>
      <c r="W318" s="133" t="str">
        <f t="shared" si="143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523"/>
      <c r="D319" s="108">
        <v>6.58</v>
      </c>
      <c r="E319" s="108"/>
      <c r="F319" s="127"/>
      <c r="G319" s="128"/>
      <c r="H319" s="533">
        <f t="shared" si="144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5"/>
        <v>0</v>
      </c>
      <c r="N319" s="130">
        <f t="shared" si="146"/>
        <v>0</v>
      </c>
      <c r="O319" s="524"/>
      <c r="P319" s="524"/>
      <c r="Q319" s="524"/>
      <c r="R319" s="524"/>
      <c r="S319" s="524"/>
      <c r="T319" s="524"/>
      <c r="U319" s="524"/>
      <c r="V319" s="132">
        <f t="shared" si="147"/>
        <v>0</v>
      </c>
      <c r="W319" s="133" t="str">
        <f t="shared" si="143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523"/>
      <c r="D320" s="108">
        <v>7.8</v>
      </c>
      <c r="E320" s="108"/>
      <c r="F320" s="127"/>
      <c r="G320" s="128"/>
      <c r="H320" s="533">
        <f t="shared" si="144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5"/>
        <v>0</v>
      </c>
      <c r="N320" s="130">
        <f t="shared" si="146"/>
        <v>0</v>
      </c>
      <c r="O320" s="524"/>
      <c r="P320" s="524"/>
      <c r="Q320" s="524"/>
      <c r="R320" s="524"/>
      <c r="S320" s="524"/>
      <c r="T320" s="524"/>
      <c r="U320" s="524"/>
      <c r="V320" s="132">
        <f t="shared" si="147"/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523"/>
      <c r="D321" s="108">
        <v>4.4000000000000004</v>
      </c>
      <c r="E321" s="108"/>
      <c r="F321" s="127"/>
      <c r="G321" s="128"/>
      <c r="H321" s="533">
        <f t="shared" si="144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5"/>
        <v>0</v>
      </c>
      <c r="N321" s="130">
        <f t="shared" si="146"/>
        <v>0</v>
      </c>
      <c r="O321" s="524"/>
      <c r="P321" s="524"/>
      <c r="Q321" s="524"/>
      <c r="R321" s="524"/>
      <c r="S321" s="524"/>
      <c r="T321" s="524"/>
      <c r="U321" s="524"/>
      <c r="V321" s="132">
        <f t="shared" si="147"/>
        <v>0</v>
      </c>
      <c r="W321" s="133" t="str">
        <f t="shared" si="143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523"/>
      <c r="D322" s="108"/>
      <c r="E322" s="108"/>
      <c r="F322" s="127"/>
      <c r="G322" s="128"/>
      <c r="H322" s="533">
        <f t="shared" si="144"/>
        <v>0</v>
      </c>
      <c r="I322" s="129"/>
      <c r="J322" s="130"/>
      <c r="K322" s="131"/>
      <c r="L322" s="129">
        <v>6</v>
      </c>
      <c r="M322" s="109"/>
      <c r="N322" s="130"/>
      <c r="O322" s="524"/>
      <c r="P322" s="524"/>
      <c r="Q322" s="524"/>
      <c r="R322" s="524"/>
      <c r="S322" s="524"/>
      <c r="T322" s="524"/>
      <c r="U322" s="524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523" t="s">
        <v>239</v>
      </c>
      <c r="C323" s="523" t="s">
        <v>179</v>
      </c>
      <c r="D323" s="108">
        <v>6.04</v>
      </c>
      <c r="E323" s="108"/>
      <c r="F323" s="127"/>
      <c r="G323" s="128"/>
      <c r="H323" s="533">
        <f t="shared" si="144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6" si="148">IF(ISERROR(I323-K323),"",I323-K323)</f>
        <v>0</v>
      </c>
      <c r="N323" s="130">
        <f t="shared" ref="N323:N324" si="149">SUM(O323:U323)</f>
        <v>0</v>
      </c>
      <c r="O323" s="524"/>
      <c r="P323" s="524"/>
      <c r="Q323" s="524"/>
      <c r="R323" s="524"/>
      <c r="S323" s="524"/>
      <c r="T323" s="524"/>
      <c r="U323" s="524"/>
      <c r="V323" s="132">
        <f t="shared" ref="V323:V324" si="150">SUM(X323:AA323)</f>
        <v>0</v>
      </c>
      <c r="W323" s="133" t="str">
        <f t="shared" ref="W323:W324" si="151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523" t="s">
        <v>239</v>
      </c>
      <c r="C324" s="523" t="s">
        <v>186</v>
      </c>
      <c r="D324" s="108">
        <v>6.04</v>
      </c>
      <c r="E324" s="108"/>
      <c r="F324" s="127"/>
      <c r="G324" s="128"/>
      <c r="H324" s="533">
        <f t="shared" si="144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8"/>
        <v>0</v>
      </c>
      <c r="N324" s="130">
        <f t="shared" si="149"/>
        <v>0</v>
      </c>
      <c r="O324" s="524"/>
      <c r="P324" s="524"/>
      <c r="Q324" s="524"/>
      <c r="R324" s="524"/>
      <c r="S324" s="524"/>
      <c r="T324" s="524"/>
      <c r="U324" s="524"/>
      <c r="V324" s="132">
        <f t="shared" si="150"/>
        <v>0</v>
      </c>
      <c r="W324" s="133" t="str">
        <f t="shared" si="151"/>
        <v/>
      </c>
      <c r="X324" s="132"/>
      <c r="Y324" s="132"/>
      <c r="Z324" s="132"/>
      <c r="AA324" s="132"/>
    </row>
    <row r="325" spans="1:27" ht="20.100000000000001" customHeight="1">
      <c r="A325" s="305">
        <v>30601015</v>
      </c>
      <c r="B325" s="523" t="s">
        <v>443</v>
      </c>
      <c r="C325" s="523" t="s">
        <v>179</v>
      </c>
      <c r="D325" s="108">
        <v>6</v>
      </c>
      <c r="E325" s="108"/>
      <c r="F325" s="127">
        <v>42712</v>
      </c>
      <c r="G325" s="536">
        <f>41+13</f>
        <v>54</v>
      </c>
      <c r="H325" s="533">
        <f t="shared" si="144"/>
        <v>324</v>
      </c>
      <c r="I325" s="129">
        <f>5*5</f>
        <v>25</v>
      </c>
      <c r="J325" s="130">
        <f t="array" ref="J325">IF(ISERROR(G325/I325),"",G325/I325)</f>
        <v>2.16</v>
      </c>
      <c r="K325" s="131">
        <f t="array" ref="K325">IF(ISERROR(G325/L325),"",G325/L325)</f>
        <v>9</v>
      </c>
      <c r="L325" s="129">
        <v>6</v>
      </c>
      <c r="M325" s="109">
        <f t="shared" si="148"/>
        <v>16</v>
      </c>
      <c r="N325" s="130"/>
      <c r="O325" s="524"/>
      <c r="P325" s="524"/>
      <c r="Q325" s="524"/>
      <c r="R325" s="524"/>
      <c r="S325" s="524"/>
      <c r="T325" s="524"/>
      <c r="U325" s="524"/>
      <c r="V325" s="132"/>
      <c r="W325" s="133"/>
      <c r="X325" s="132"/>
      <c r="Y325" s="132"/>
      <c r="Z325" s="132"/>
      <c r="AA325" s="132"/>
    </row>
    <row r="326" spans="1:27" ht="20.100000000000001" customHeight="1">
      <c r="A326" s="305">
        <v>30101016</v>
      </c>
      <c r="B326" s="523" t="s">
        <v>443</v>
      </c>
      <c r="C326" s="523" t="s">
        <v>60</v>
      </c>
      <c r="D326" s="108">
        <v>6</v>
      </c>
      <c r="E326" s="108"/>
      <c r="F326" s="127">
        <v>42712</v>
      </c>
      <c r="G326" s="536">
        <v>30</v>
      </c>
      <c r="H326" s="533">
        <f t="shared" si="144"/>
        <v>180</v>
      </c>
      <c r="I326" s="129">
        <f>4.5*5</f>
        <v>22.5</v>
      </c>
      <c r="J326" s="130">
        <f t="array" ref="J326">IF(ISERROR(G326/I326),"",G326/I326)</f>
        <v>1.3333333333333333</v>
      </c>
      <c r="K326" s="131">
        <f t="array" ref="K326">IF(ISERROR(G326/L326),"",G326/L326)</f>
        <v>5</v>
      </c>
      <c r="L326" s="129">
        <v>6</v>
      </c>
      <c r="M326" s="109">
        <f t="shared" si="148"/>
        <v>17.5</v>
      </c>
      <c r="N326" s="130"/>
      <c r="O326" s="524"/>
      <c r="P326" s="524"/>
      <c r="Q326" s="524"/>
      <c r="R326" s="524"/>
      <c r="S326" s="524"/>
      <c r="T326" s="524"/>
      <c r="U326" s="524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525" t="s">
        <v>240</v>
      </c>
      <c r="C327" s="126"/>
      <c r="D327" s="108">
        <v>7.3</v>
      </c>
      <c r="E327" s="108"/>
      <c r="F327" s="127"/>
      <c r="G327" s="128"/>
      <c r="H327" s="533">
        <f t="shared" si="144"/>
        <v>0</v>
      </c>
      <c r="I327" s="129"/>
      <c r="J327" s="130"/>
      <c r="K327" s="131"/>
      <c r="L327" s="129"/>
      <c r="M327" s="109"/>
      <c r="N327" s="130"/>
      <c r="O327" s="524"/>
      <c r="P327" s="524"/>
      <c r="Q327" s="524"/>
      <c r="R327" s="524"/>
      <c r="S327" s="524"/>
      <c r="T327" s="524"/>
      <c r="U327" s="524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525" t="s">
        <v>241</v>
      </c>
      <c r="C328" s="126"/>
      <c r="D328" s="108">
        <f>78*120/1000</f>
        <v>9.36</v>
      </c>
      <c r="E328" s="108"/>
      <c r="F328" s="127"/>
      <c r="G328" s="128"/>
      <c r="H328" s="533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2">SUM(O328:U328)</f>
        <v>0</v>
      </c>
      <c r="O328" s="524"/>
      <c r="P328" s="524"/>
      <c r="Q328" s="524"/>
      <c r="R328" s="524"/>
      <c r="S328" s="524"/>
      <c r="T328" s="524"/>
      <c r="U328" s="524"/>
      <c r="V328" s="132">
        <f t="shared" ref="V328" si="153">SUM(X328:AA328)</f>
        <v>0</v>
      </c>
      <c r="W328" s="133" t="str">
        <f t="shared" ref="W328" si="154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525" t="s">
        <v>242</v>
      </c>
      <c r="C329" s="126"/>
      <c r="D329" s="108">
        <v>4.5</v>
      </c>
      <c r="E329" s="108"/>
      <c r="F329" s="127"/>
      <c r="G329" s="128"/>
      <c r="H329" s="533">
        <f t="shared" si="144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524"/>
      <c r="P329" s="524"/>
      <c r="Q329" s="524"/>
      <c r="R329" s="524"/>
      <c r="S329" s="524"/>
      <c r="T329" s="524"/>
      <c r="U329" s="524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525" t="s">
        <v>243</v>
      </c>
      <c r="C330" s="126"/>
      <c r="D330" s="108">
        <v>4.5</v>
      </c>
      <c r="E330" s="108"/>
      <c r="F330" s="127"/>
      <c r="G330" s="128"/>
      <c r="H330" s="533">
        <f t="shared" si="144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524"/>
      <c r="P330" s="524"/>
      <c r="Q330" s="524"/>
      <c r="R330" s="524"/>
      <c r="S330" s="524"/>
      <c r="T330" s="524"/>
      <c r="U330" s="524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533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524"/>
      <c r="P331" s="524"/>
      <c r="Q331" s="524"/>
      <c r="R331" s="524"/>
      <c r="S331" s="524"/>
      <c r="T331" s="524"/>
      <c r="U331" s="524"/>
      <c r="V331" s="132"/>
      <c r="W331" s="133"/>
      <c r="X331" s="132"/>
      <c r="Y331" s="132"/>
      <c r="Z331" s="132"/>
      <c r="AA331" s="132"/>
    </row>
    <row r="332" spans="1:27" ht="20.100000000000001" customHeight="1">
      <c r="A332" s="630" t="s">
        <v>244</v>
      </c>
      <c r="B332" s="631"/>
      <c r="C332" s="531" t="s">
        <v>202</v>
      </c>
      <c r="D332" s="143"/>
      <c r="E332" s="143"/>
      <c r="F332" s="144"/>
      <c r="G332" s="145">
        <f>SUM(G318:G331)</f>
        <v>84</v>
      </c>
      <c r="H332" s="146">
        <f>SUM(H318:H328)</f>
        <v>504</v>
      </c>
      <c r="I332" s="146">
        <f>SUM(I318:I331)</f>
        <v>47.5</v>
      </c>
      <c r="J332" s="130">
        <f t="array" ref="J332">IF(ISERROR(G332/I332),"",G332/I332)</f>
        <v>1.7684210526315789</v>
      </c>
      <c r="K332" s="146">
        <f>SUM(K318:K328)</f>
        <v>14</v>
      </c>
      <c r="L332" s="147"/>
      <c r="M332" s="150">
        <f t="shared" ref="M332:AA332" si="155">SUM(M318:M328)</f>
        <v>33.5</v>
      </c>
      <c r="N332" s="146">
        <f t="shared" si="155"/>
        <v>0</v>
      </c>
      <c r="O332" s="148">
        <f t="shared" si="155"/>
        <v>0</v>
      </c>
      <c r="P332" s="148">
        <f t="shared" si="155"/>
        <v>0</v>
      </c>
      <c r="Q332" s="148">
        <f t="shared" si="155"/>
        <v>0</v>
      </c>
      <c r="R332" s="148">
        <f t="shared" si="155"/>
        <v>0</v>
      </c>
      <c r="S332" s="148">
        <f t="shared" si="155"/>
        <v>0</v>
      </c>
      <c r="T332" s="148">
        <f t="shared" si="155"/>
        <v>0</v>
      </c>
      <c r="U332" s="148">
        <f t="shared" si="155"/>
        <v>0</v>
      </c>
      <c r="V332" s="149">
        <f t="shared" si="155"/>
        <v>0</v>
      </c>
      <c r="W332" s="133">
        <f t="shared" si="155"/>
        <v>0</v>
      </c>
      <c r="X332" s="149">
        <f t="shared" si="155"/>
        <v>0</v>
      </c>
      <c r="Y332" s="149">
        <f t="shared" si="155"/>
        <v>0</v>
      </c>
      <c r="Z332" s="149">
        <f t="shared" si="155"/>
        <v>0</v>
      </c>
      <c r="AA332" s="149">
        <f t="shared" si="155"/>
        <v>0</v>
      </c>
    </row>
    <row r="333" spans="1:27" ht="20.100000000000001" customHeight="1">
      <c r="A333" s="632" t="s">
        <v>246</v>
      </c>
      <c r="B333" s="633"/>
      <c r="C333" s="633"/>
      <c r="D333" s="633"/>
      <c r="E333" s="633"/>
      <c r="F333" s="634"/>
      <c r="G333" s="154">
        <f>SUM(G198,G256,G291,G307,G317,G332)</f>
        <v>2818</v>
      </c>
      <c r="H333" s="154">
        <f>SUM(H198,H256,H291,H307,H317,H332)</f>
        <v>14238.17</v>
      </c>
      <c r="I333" s="154">
        <f>SUM(I198,I256,I291,I307,I317,I332)</f>
        <v>232.5</v>
      </c>
      <c r="J333" s="155">
        <f t="array" ref="J333">IF(ISERROR(G333/I333),"",G333/I333)</f>
        <v>12.120430107526882</v>
      </c>
      <c r="K333" s="154">
        <f>SUM(K198,K256,K291,K307,K317,K332)</f>
        <v>211.47569892473118</v>
      </c>
      <c r="L333" s="155">
        <f>IF(ISERROR(G333/K333),"",G333/K333)</f>
        <v>13.325408140644036</v>
      </c>
      <c r="M333" s="154">
        <f t="shared" ref="M333:AA333" si="156">SUM(M198,M256,M291,M307,M317,M332)</f>
        <v>21.024301075268824</v>
      </c>
      <c r="N333" s="154">
        <f t="shared" si="156"/>
        <v>0</v>
      </c>
      <c r="O333" s="154">
        <f t="shared" si="156"/>
        <v>0</v>
      </c>
      <c r="P333" s="154">
        <f t="shared" si="156"/>
        <v>0</v>
      </c>
      <c r="Q333" s="154">
        <f t="shared" si="156"/>
        <v>0</v>
      </c>
      <c r="R333" s="154">
        <f t="shared" si="156"/>
        <v>0</v>
      </c>
      <c r="S333" s="154">
        <f t="shared" si="156"/>
        <v>0</v>
      </c>
      <c r="T333" s="154">
        <f t="shared" si="156"/>
        <v>0</v>
      </c>
      <c r="U333" s="154">
        <f t="shared" si="156"/>
        <v>0</v>
      </c>
      <c r="V333" s="154">
        <f t="shared" si="156"/>
        <v>0</v>
      </c>
      <c r="W333" s="154">
        <f t="shared" si="156"/>
        <v>0</v>
      </c>
      <c r="X333" s="154">
        <f t="shared" si="156"/>
        <v>0</v>
      </c>
      <c r="Y333" s="154">
        <f t="shared" si="156"/>
        <v>0</v>
      </c>
      <c r="Z333" s="154">
        <f t="shared" si="156"/>
        <v>0</v>
      </c>
      <c r="AA333" s="154">
        <f t="shared" si="156"/>
        <v>0</v>
      </c>
    </row>
    <row r="334" spans="1:27" ht="20.100000000000001" customHeight="1">
      <c r="A334" s="635" t="s">
        <v>476</v>
      </c>
      <c r="B334" s="530" t="s">
        <v>247</v>
      </c>
      <c r="C334" s="638" t="s">
        <v>248</v>
      </c>
      <c r="D334" s="639"/>
      <c r="E334" s="640" t="s">
        <v>249</v>
      </c>
      <c r="F334" s="640"/>
      <c r="G334" s="643" t="s">
        <v>250</v>
      </c>
      <c r="H334" s="643"/>
      <c r="I334" s="640" t="s">
        <v>251</v>
      </c>
      <c r="J334" s="640"/>
      <c r="K334" s="640" t="s">
        <v>252</v>
      </c>
      <c r="L334" s="640"/>
      <c r="M334" s="640" t="s">
        <v>253</v>
      </c>
      <c r="N334" s="640"/>
      <c r="O334" s="640" t="s">
        <v>254</v>
      </c>
      <c r="P334" s="643" t="s">
        <v>255</v>
      </c>
      <c r="Q334" s="643"/>
      <c r="R334" s="643" t="s">
        <v>252</v>
      </c>
      <c r="S334" s="643"/>
      <c r="T334" s="643" t="s">
        <v>256</v>
      </c>
      <c r="U334" s="643"/>
      <c r="V334" s="643" t="s">
        <v>257</v>
      </c>
      <c r="W334" s="643"/>
      <c r="X334" s="643" t="s">
        <v>252</v>
      </c>
      <c r="Y334" s="643"/>
      <c r="Z334" s="643" t="s">
        <v>256</v>
      </c>
      <c r="AA334" s="643"/>
    </row>
    <row r="335" spans="1:27" ht="20.100000000000001" customHeight="1">
      <c r="A335" s="636"/>
      <c r="B335" s="530" t="s">
        <v>258</v>
      </c>
      <c r="C335" s="678">
        <v>1</v>
      </c>
      <c r="D335" s="679"/>
      <c r="E335" s="642">
        <f>C335*11</f>
        <v>11</v>
      </c>
      <c r="F335" s="642"/>
      <c r="G335" s="643">
        <v>1</v>
      </c>
      <c r="H335" s="643"/>
      <c r="I335" s="642">
        <f>G335*11</f>
        <v>11</v>
      </c>
      <c r="J335" s="642"/>
      <c r="K335" s="642">
        <f>E335-I335</f>
        <v>0</v>
      </c>
      <c r="L335" s="642"/>
      <c r="M335" s="644">
        <f>IF(ISERROR(K335/E335),"",K335/E335)</f>
        <v>0</v>
      </c>
      <c r="N335" s="644"/>
      <c r="O335" s="640"/>
      <c r="P335" s="643" t="s">
        <v>201</v>
      </c>
      <c r="Q335" s="643"/>
      <c r="R335" s="645">
        <f>SUM(O198:U198)</f>
        <v>0</v>
      </c>
      <c r="S335" s="645"/>
      <c r="T335" s="646" t="str">
        <f t="array" ref="T335">IF(ISERROR(R335/R342),"",R335/R342)</f>
        <v/>
      </c>
      <c r="U335" s="646"/>
      <c r="V335" s="643" t="s">
        <v>259</v>
      </c>
      <c r="W335" s="643"/>
      <c r="X335" s="680">
        <f>SUM(P197,P255,P290,P306,P316,P331)</f>
        <v>0</v>
      </c>
      <c r="Y335" s="681"/>
      <c r="Z335" s="646" t="str">
        <f t="array" ref="Z335">IF(ISERROR(X335/X342),"",X335/X342)</f>
        <v/>
      </c>
      <c r="AA335" s="646"/>
    </row>
    <row r="336" spans="1:27" ht="20.100000000000001" customHeight="1">
      <c r="A336" s="636"/>
      <c r="B336" s="530" t="s">
        <v>260</v>
      </c>
      <c r="C336" s="638">
        <v>0</v>
      </c>
      <c r="D336" s="639"/>
      <c r="E336" s="642">
        <f>C336*11</f>
        <v>0</v>
      </c>
      <c r="F336" s="642"/>
      <c r="G336" s="643">
        <v>0</v>
      </c>
      <c r="H336" s="643"/>
      <c r="I336" s="642">
        <f>G336*11</f>
        <v>0</v>
      </c>
      <c r="J336" s="642"/>
      <c r="K336" s="642">
        <f>E336-I336</f>
        <v>0</v>
      </c>
      <c r="L336" s="642"/>
      <c r="M336" s="644" t="str">
        <f>IF(ISERROR(K336/E336),"",K336/E336)</f>
        <v/>
      </c>
      <c r="N336" s="644"/>
      <c r="O336" s="640"/>
      <c r="P336" s="643" t="s">
        <v>216</v>
      </c>
      <c r="Q336" s="643"/>
      <c r="R336" s="645">
        <f>SUM(O256:U256)</f>
        <v>0</v>
      </c>
      <c r="S336" s="645"/>
      <c r="T336" s="646" t="str">
        <f>IF(ISERROR(R336/R342),"",R336/R342)</f>
        <v/>
      </c>
      <c r="U336" s="646"/>
      <c r="V336" s="643" t="s">
        <v>261</v>
      </c>
      <c r="W336" s="643"/>
      <c r="X336" s="680">
        <f>SUM(P198,P256,P291,P307,P317,P332)</f>
        <v>0</v>
      </c>
      <c r="Y336" s="681"/>
      <c r="Z336" s="646" t="str">
        <f>IF(ISERROR(X336/X342),"",X336/X342)</f>
        <v/>
      </c>
      <c r="AA336" s="646"/>
    </row>
    <row r="337" spans="1:27" ht="20.100000000000001" customHeight="1">
      <c r="A337" s="636"/>
      <c r="B337" s="530" t="s">
        <v>262</v>
      </c>
      <c r="C337" s="638">
        <v>0</v>
      </c>
      <c r="D337" s="639"/>
      <c r="E337" s="642">
        <f>C337*8</f>
        <v>0</v>
      </c>
      <c r="F337" s="642"/>
      <c r="G337" s="643">
        <v>1</v>
      </c>
      <c r="H337" s="643"/>
      <c r="I337" s="642">
        <f>G337*8</f>
        <v>8</v>
      </c>
      <c r="J337" s="642"/>
      <c r="K337" s="642">
        <f>E337-I337</f>
        <v>-8</v>
      </c>
      <c r="L337" s="642"/>
      <c r="M337" s="644" t="str">
        <f>IF(ISERROR(K337/E337),"",K337/E337)</f>
        <v/>
      </c>
      <c r="N337" s="644"/>
      <c r="O337" s="640"/>
      <c r="P337" s="643" t="s">
        <v>224</v>
      </c>
      <c r="Q337" s="643"/>
      <c r="R337" s="645">
        <f>SUM(O291:U291)</f>
        <v>0</v>
      </c>
      <c r="S337" s="645"/>
      <c r="T337" s="646" t="str">
        <f>IF(ISERROR(R337/R342),"",R337/R342)</f>
        <v/>
      </c>
      <c r="U337" s="646"/>
      <c r="V337" s="643" t="s">
        <v>263</v>
      </c>
      <c r="W337" s="643"/>
      <c r="X337" s="680">
        <f>SUM(P199,P257,P292,P308,P318,P333)</f>
        <v>0</v>
      </c>
      <c r="Y337" s="681"/>
      <c r="Z337" s="646" t="str">
        <f>IF(ISERROR(X337/X342),"",X337/X342)</f>
        <v/>
      </c>
      <c r="AA337" s="646"/>
    </row>
    <row r="338" spans="1:27" ht="20.100000000000001" customHeight="1">
      <c r="A338" s="636"/>
      <c r="B338" s="530" t="s">
        <v>264</v>
      </c>
      <c r="C338" s="638">
        <v>1</v>
      </c>
      <c r="D338" s="639"/>
      <c r="E338" s="642">
        <f>C338*11</f>
        <v>11</v>
      </c>
      <c r="F338" s="642"/>
      <c r="G338" s="643">
        <v>1</v>
      </c>
      <c r="H338" s="643"/>
      <c r="I338" s="642">
        <f>G338*11</f>
        <v>11</v>
      </c>
      <c r="J338" s="642"/>
      <c r="K338" s="642">
        <f>E338-I338</f>
        <v>0</v>
      </c>
      <c r="L338" s="642"/>
      <c r="M338" s="644">
        <f>IF(ISERROR(K338/E338),"",K338/E338)</f>
        <v>0</v>
      </c>
      <c r="N338" s="644"/>
      <c r="O338" s="640"/>
      <c r="P338" s="643" t="s">
        <v>231</v>
      </c>
      <c r="Q338" s="643"/>
      <c r="R338" s="645">
        <f>SUM(O307:U307)</f>
        <v>0</v>
      </c>
      <c r="S338" s="645"/>
      <c r="T338" s="646" t="str">
        <f>IF(ISERROR(R338/R342),"",R338/R342)</f>
        <v/>
      </c>
      <c r="U338" s="646"/>
      <c r="V338" s="643" t="s">
        <v>265</v>
      </c>
      <c r="W338" s="643"/>
      <c r="X338" s="680">
        <f>SUM(P201,P258,P293,P309,P319,P334)</f>
        <v>0</v>
      </c>
      <c r="Y338" s="681"/>
      <c r="Z338" s="646" t="str">
        <f>IF(ISERROR(X338/X342),"",X338/X342)</f>
        <v/>
      </c>
      <c r="AA338" s="646"/>
    </row>
    <row r="339" spans="1:27" ht="20.100000000000001" customHeight="1">
      <c r="A339" s="637"/>
      <c r="B339" s="530" t="s">
        <v>266</v>
      </c>
      <c r="C339" s="648">
        <f>SUM(C335:D338)</f>
        <v>2</v>
      </c>
      <c r="D339" s="649"/>
      <c r="E339" s="642">
        <f>SUM(E335:F338)</f>
        <v>22</v>
      </c>
      <c r="F339" s="642"/>
      <c r="G339" s="643">
        <f>SUM(G335:H338)</f>
        <v>3</v>
      </c>
      <c r="H339" s="643"/>
      <c r="I339" s="642">
        <f>SUM(I335:J338)</f>
        <v>30</v>
      </c>
      <c r="J339" s="642"/>
      <c r="K339" s="642">
        <f>SUM(K335:L338)</f>
        <v>-8</v>
      </c>
      <c r="L339" s="642"/>
      <c r="M339" s="644">
        <f>IF(ISERROR(K339/E339),"",K339/E339)</f>
        <v>-0.36363636363636365</v>
      </c>
      <c r="N339" s="644"/>
      <c r="O339" s="640"/>
      <c r="P339" s="643" t="s">
        <v>234</v>
      </c>
      <c r="Q339" s="643"/>
      <c r="R339" s="645">
        <f>SUM(O317:U317)</f>
        <v>0</v>
      </c>
      <c r="S339" s="645"/>
      <c r="T339" s="646" t="str">
        <f>IF(ISERROR(R339/R342),"",R339/R342)</f>
        <v/>
      </c>
      <c r="U339" s="646"/>
      <c r="V339" s="643" t="s">
        <v>267</v>
      </c>
      <c r="W339" s="643"/>
      <c r="X339" s="680">
        <f>SUM(P202,P259,P294,P310,P320,P335)</f>
        <v>0</v>
      </c>
      <c r="Y339" s="681"/>
      <c r="Z339" s="646" t="str">
        <f>IF(ISERROR(X339/X342),"",X339/X342)</f>
        <v/>
      </c>
      <c r="AA339" s="646"/>
    </row>
    <row r="340" spans="1:27" ht="20.100000000000001" customHeight="1">
      <c r="A340" s="309" t="s">
        <v>477</v>
      </c>
      <c r="B340" s="530">
        <f>G333</f>
        <v>2818</v>
      </c>
      <c r="C340" s="650" t="s">
        <v>269</v>
      </c>
      <c r="D340" s="651"/>
      <c r="E340" s="643">
        <f>H333</f>
        <v>14238.17</v>
      </c>
      <c r="F340" s="643"/>
      <c r="G340" s="643" t="s">
        <v>270</v>
      </c>
      <c r="H340" s="643"/>
      <c r="I340" s="652">
        <f>L333</f>
        <v>13.325408140644036</v>
      </c>
      <c r="J340" s="652"/>
      <c r="K340" s="640" t="s">
        <v>271</v>
      </c>
      <c r="L340" s="640"/>
      <c r="M340" s="652">
        <f>J333</f>
        <v>12.120430107526882</v>
      </c>
      <c r="N340" s="652"/>
      <c r="O340" s="640"/>
      <c r="P340" s="643" t="s">
        <v>244</v>
      </c>
      <c r="Q340" s="643"/>
      <c r="R340" s="645">
        <f>SUM(O332:U332)</f>
        <v>0</v>
      </c>
      <c r="S340" s="645"/>
      <c r="T340" s="646" t="str">
        <f>IF(ISERROR(R340/R342),"",R340/R342)</f>
        <v/>
      </c>
      <c r="U340" s="646"/>
      <c r="V340" s="643" t="s">
        <v>272</v>
      </c>
      <c r="W340" s="643"/>
      <c r="X340" s="680">
        <f>SUM(P203,P260,P295,P311,P321,P336)</f>
        <v>0</v>
      </c>
      <c r="Y340" s="681"/>
      <c r="Z340" s="646" t="str">
        <f>IF(ISERROR(X340/X342),"",X340/X342)</f>
        <v/>
      </c>
      <c r="AA340" s="646"/>
    </row>
    <row r="341" spans="1:27" ht="20.100000000000001" customHeight="1">
      <c r="A341" s="310" t="s">
        <v>478</v>
      </c>
      <c r="B341" s="530">
        <f>I333+C339</f>
        <v>234.5</v>
      </c>
      <c r="C341" s="653" t="s">
        <v>251</v>
      </c>
      <c r="D341" s="654"/>
      <c r="E341" s="655">
        <f>K333+I339</f>
        <v>241.47569892473118</v>
      </c>
      <c r="F341" s="655"/>
      <c r="G341" s="643" t="s">
        <v>274</v>
      </c>
      <c r="H341" s="643"/>
      <c r="I341" s="652">
        <f>B341-E341</f>
        <v>-6.9756989247311765</v>
      </c>
      <c r="J341" s="652"/>
      <c r="K341" s="640" t="s">
        <v>275</v>
      </c>
      <c r="L341" s="640"/>
      <c r="M341" s="644">
        <f>IF(ISERROR(I341/E341),"",I341/E341)</f>
        <v>-2.8887788526105587E-2</v>
      </c>
      <c r="N341" s="644"/>
      <c r="O341" s="640"/>
      <c r="P341" s="643" t="s">
        <v>245</v>
      </c>
      <c r="Q341" s="643"/>
      <c r="R341" s="645"/>
      <c r="S341" s="645"/>
      <c r="T341" s="646" t="str">
        <f>IF(ISERROR(R341/R342),"",R341/R342)</f>
        <v/>
      </c>
      <c r="U341" s="646"/>
      <c r="V341" s="643" t="s">
        <v>264</v>
      </c>
      <c r="W341" s="643"/>
      <c r="X341" s="680">
        <f>SUM(P204,P261,P296,P312,P322,P337)</f>
        <v>0</v>
      </c>
      <c r="Y341" s="681"/>
      <c r="Z341" s="646" t="str">
        <f>IF(ISERROR(X341/X342),"",X341/X342)</f>
        <v/>
      </c>
      <c r="AA341" s="646"/>
    </row>
    <row r="342" spans="1:27" ht="20.100000000000001" customHeight="1">
      <c r="A342" s="310" t="s">
        <v>479</v>
      </c>
      <c r="B342" s="530">
        <f>N333</f>
        <v>0</v>
      </c>
      <c r="C342" s="653" t="s">
        <v>277</v>
      </c>
      <c r="D342" s="654"/>
      <c r="E342" s="646">
        <f>IF(ISERROR(B342/B341),"",B342/B341)</f>
        <v>0</v>
      </c>
      <c r="F342" s="646"/>
      <c r="G342" s="643" t="s">
        <v>278</v>
      </c>
      <c r="H342" s="643"/>
      <c r="I342" s="640">
        <f>V333</f>
        <v>0</v>
      </c>
      <c r="J342" s="640"/>
      <c r="K342" s="640" t="s">
        <v>279</v>
      </c>
      <c r="L342" s="640"/>
      <c r="M342" s="644">
        <f t="array" ref="M342">IF(ISERROR(I342/B340),"",I342/B340)</f>
        <v>0</v>
      </c>
      <c r="N342" s="644"/>
      <c r="O342" s="640"/>
      <c r="P342" s="643" t="s">
        <v>266</v>
      </c>
      <c r="Q342" s="643"/>
      <c r="R342" s="645">
        <f>SUM(R335:S341)</f>
        <v>0</v>
      </c>
      <c r="S342" s="645"/>
      <c r="T342" s="646"/>
      <c r="U342" s="646"/>
      <c r="V342" s="643" t="s">
        <v>266</v>
      </c>
      <c r="W342" s="643"/>
      <c r="X342" s="647">
        <f>SUM(X335:Y341)</f>
        <v>0</v>
      </c>
      <c r="Y342" s="647"/>
      <c r="Z342" s="646"/>
      <c r="AA342" s="646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56" t="s">
        <v>480</v>
      </c>
      <c r="B344" s="659" t="s">
        <v>280</v>
      </c>
      <c r="C344" s="659" t="s">
        <v>281</v>
      </c>
      <c r="D344" s="659" t="s">
        <v>282</v>
      </c>
      <c r="E344" s="662" t="s">
        <v>283</v>
      </c>
      <c r="F344" s="675" t="s">
        <v>284</v>
      </c>
      <c r="G344" s="640" t="s">
        <v>285</v>
      </c>
      <c r="H344" s="640"/>
      <c r="I344" s="659" t="s">
        <v>286</v>
      </c>
      <c r="J344" s="665" t="s">
        <v>271</v>
      </c>
      <c r="K344" s="668" t="s">
        <v>287</v>
      </c>
      <c r="L344" s="659" t="s">
        <v>270</v>
      </c>
      <c r="M344" s="671" t="s">
        <v>288</v>
      </c>
      <c r="N344" s="673" t="s">
        <v>252</v>
      </c>
      <c r="O344" s="640" t="s">
        <v>289</v>
      </c>
      <c r="P344" s="640"/>
      <c r="Q344" s="640"/>
      <c r="R344" s="640"/>
      <c r="S344" s="640"/>
      <c r="T344" s="640"/>
      <c r="U344" s="640"/>
      <c r="V344" s="640" t="s">
        <v>290</v>
      </c>
      <c r="W344" s="673" t="s">
        <v>291</v>
      </c>
      <c r="X344" s="640" t="s">
        <v>292</v>
      </c>
      <c r="Y344" s="640"/>
      <c r="Z344" s="640"/>
      <c r="AA344" s="640"/>
    </row>
    <row r="345" spans="1:27" ht="21.95" customHeight="1">
      <c r="A345" s="657"/>
      <c r="B345" s="660"/>
      <c r="C345" s="660"/>
      <c r="D345" s="660"/>
      <c r="E345" s="663"/>
      <c r="F345" s="676"/>
      <c r="G345" s="640"/>
      <c r="H345" s="640"/>
      <c r="I345" s="660"/>
      <c r="J345" s="666"/>
      <c r="K345" s="669"/>
      <c r="L345" s="660"/>
      <c r="M345" s="672"/>
      <c r="N345" s="673"/>
      <c r="O345" s="640" t="s">
        <v>259</v>
      </c>
      <c r="P345" s="640" t="s">
        <v>261</v>
      </c>
      <c r="Q345" s="640" t="s">
        <v>263</v>
      </c>
      <c r="R345" s="674" t="s">
        <v>265</v>
      </c>
      <c r="S345" s="643" t="s">
        <v>267</v>
      </c>
      <c r="T345" s="640" t="s">
        <v>272</v>
      </c>
      <c r="U345" s="640" t="s">
        <v>264</v>
      </c>
      <c r="V345" s="640"/>
      <c r="W345" s="673"/>
      <c r="X345" s="640" t="s">
        <v>293</v>
      </c>
      <c r="Y345" s="640" t="s">
        <v>294</v>
      </c>
      <c r="Z345" s="640" t="s">
        <v>295</v>
      </c>
      <c r="AA345" s="640" t="s">
        <v>264</v>
      </c>
    </row>
    <row r="346" spans="1:27" ht="21.95" customHeight="1">
      <c r="A346" s="658"/>
      <c r="B346" s="661"/>
      <c r="C346" s="661"/>
      <c r="D346" s="661"/>
      <c r="E346" s="664"/>
      <c r="F346" s="677"/>
      <c r="G346" s="348" t="s">
        <v>296</v>
      </c>
      <c r="H346" s="523" t="s">
        <v>297</v>
      </c>
      <c r="I346" s="661"/>
      <c r="J346" s="667"/>
      <c r="K346" s="670"/>
      <c r="L346" s="661"/>
      <c r="M346" s="672"/>
      <c r="N346" s="673"/>
      <c r="O346" s="640"/>
      <c r="P346" s="640"/>
      <c r="Q346" s="640"/>
      <c r="R346" s="674"/>
      <c r="S346" s="643"/>
      <c r="T346" s="640"/>
      <c r="U346" s="640"/>
      <c r="V346" s="640"/>
      <c r="W346" s="673"/>
      <c r="X346" s="640"/>
      <c r="Y346" s="640"/>
      <c r="Z346" s="640"/>
      <c r="AA346" s="640"/>
    </row>
    <row r="347" spans="1:27" ht="20.100000000000001" hidden="1" customHeight="1">
      <c r="A347" s="299">
        <v>30100030</v>
      </c>
      <c r="B347" s="525" t="s">
        <v>178</v>
      </c>
      <c r="C347" s="126" t="s">
        <v>179</v>
      </c>
      <c r="D347" s="108">
        <v>5.03</v>
      </c>
      <c r="E347" s="108"/>
      <c r="F347" s="127"/>
      <c r="G347" s="128"/>
      <c r="H347" s="533">
        <f t="shared" ref="H347:H367" si="157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8">IF(ISERROR(I347-K347),"",I347-K347)</f>
        <v>0</v>
      </c>
      <c r="N347" s="130">
        <f t="shared" ref="N347:N352" si="159">SUM(O347:U347)</f>
        <v>0</v>
      </c>
      <c r="O347" s="524"/>
      <c r="P347" s="524"/>
      <c r="Q347" s="524"/>
      <c r="R347" s="524"/>
      <c r="S347" s="524"/>
      <c r="T347" s="524"/>
      <c r="U347" s="524"/>
      <c r="V347" s="132">
        <f t="shared" ref="V347:V352" si="160">SUM(X347:AA347)</f>
        <v>0</v>
      </c>
      <c r="W347" s="133" t="str">
        <f t="shared" ref="W347:W352" si="161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533">
        <f t="shared" si="157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8"/>
        <v>0</v>
      </c>
      <c r="N348" s="130">
        <f t="shared" si="159"/>
        <v>0</v>
      </c>
      <c r="O348" s="524"/>
      <c r="P348" s="524"/>
      <c r="Q348" s="524"/>
      <c r="R348" s="524"/>
      <c r="S348" s="524"/>
      <c r="T348" s="524"/>
      <c r="U348" s="524"/>
      <c r="V348" s="132">
        <f t="shared" si="160"/>
        <v>0</v>
      </c>
      <c r="W348" s="133" t="str">
        <f t="shared" si="161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533">
        <f t="shared" si="157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8"/>
        <v>0</v>
      </c>
      <c r="N349" s="130">
        <f t="shared" si="159"/>
        <v>0</v>
      </c>
      <c r="O349" s="524"/>
      <c r="P349" s="524"/>
      <c r="Q349" s="524"/>
      <c r="R349" s="524"/>
      <c r="S349" s="524"/>
      <c r="T349" s="524"/>
      <c r="U349" s="524"/>
      <c r="V349" s="132">
        <f t="shared" si="160"/>
        <v>0</v>
      </c>
      <c r="W349" s="133" t="str">
        <f t="shared" si="161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533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524"/>
      <c r="P350" s="524"/>
      <c r="Q350" s="524"/>
      <c r="R350" s="524"/>
      <c r="S350" s="524"/>
      <c r="T350" s="524"/>
      <c r="U350" s="524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533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8"/>
        <v>0</v>
      </c>
      <c r="N351" s="130">
        <f t="shared" si="159"/>
        <v>0</v>
      </c>
      <c r="O351" s="524"/>
      <c r="P351" s="524"/>
      <c r="Q351" s="524"/>
      <c r="R351" s="524"/>
      <c r="S351" s="524"/>
      <c r="T351" s="524"/>
      <c r="U351" s="524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533">
        <f t="shared" si="157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524"/>
      <c r="P352" s="524"/>
      <c r="Q352" s="524"/>
      <c r="R352" s="524"/>
      <c r="S352" s="524"/>
      <c r="T352" s="524"/>
      <c r="U352" s="524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533">
        <f t="shared" si="157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8"/>
        <v>0</v>
      </c>
      <c r="N353" s="130"/>
      <c r="O353" s="524"/>
      <c r="P353" s="524"/>
      <c r="Q353" s="524"/>
      <c r="R353" s="524"/>
      <c r="S353" s="524"/>
      <c r="T353" s="524"/>
      <c r="U353" s="524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533">
        <f t="shared" si="157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8"/>
        <v>0</v>
      </c>
      <c r="N354" s="130"/>
      <c r="O354" s="524"/>
      <c r="P354" s="524"/>
      <c r="Q354" s="524"/>
      <c r="R354" s="524"/>
      <c r="S354" s="524"/>
      <c r="T354" s="524"/>
      <c r="U354" s="524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533">
        <f t="shared" si="157"/>
        <v>0</v>
      </c>
      <c r="I355" s="533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8"/>
        <v>0</v>
      </c>
      <c r="N355" s="130">
        <f>SUM(O355:U355)</f>
        <v>0</v>
      </c>
      <c r="O355" s="524"/>
      <c r="P355" s="524"/>
      <c r="Q355" s="524"/>
      <c r="R355" s="524"/>
      <c r="S355" s="524"/>
      <c r="T355" s="524"/>
      <c r="U355" s="524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533">
        <f t="shared" si="157"/>
        <v>0</v>
      </c>
      <c r="I356" s="533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8"/>
        <v>0</v>
      </c>
      <c r="N356" s="130">
        <f>SUM(O356:U356)</f>
        <v>0</v>
      </c>
      <c r="O356" s="524"/>
      <c r="P356" s="524"/>
      <c r="Q356" s="524"/>
      <c r="R356" s="524"/>
      <c r="S356" s="524"/>
      <c r="T356" s="524"/>
      <c r="U356" s="524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533">
        <f t="shared" si="157"/>
        <v>0</v>
      </c>
      <c r="I357" s="533"/>
      <c r="J357" s="130"/>
      <c r="K357" s="131"/>
      <c r="L357" s="129"/>
      <c r="M357" s="109"/>
      <c r="N357" s="130"/>
      <c r="O357" s="524"/>
      <c r="P357" s="524"/>
      <c r="Q357" s="524"/>
      <c r="R357" s="524"/>
      <c r="S357" s="524"/>
      <c r="T357" s="524"/>
      <c r="U357" s="524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533">
        <f t="shared" si="157"/>
        <v>0</v>
      </c>
      <c r="I358" s="533"/>
      <c r="J358" s="130"/>
      <c r="K358" s="131"/>
      <c r="L358" s="129"/>
      <c r="M358" s="109"/>
      <c r="N358" s="130"/>
      <c r="O358" s="524"/>
      <c r="P358" s="524"/>
      <c r="Q358" s="524"/>
      <c r="R358" s="524"/>
      <c r="S358" s="524"/>
      <c r="T358" s="524"/>
      <c r="U358" s="524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533">
        <f t="shared" si="157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2">IF(ISERROR(I359-K359),"",I359-K359)</f>
        <v>0</v>
      </c>
      <c r="N359" s="130">
        <f t="shared" ref="N359:N361" si="163">SUM(O359:U359)</f>
        <v>0</v>
      </c>
      <c r="O359" s="524"/>
      <c r="P359" s="524"/>
      <c r="Q359" s="524"/>
      <c r="R359" s="524"/>
      <c r="S359" s="524"/>
      <c r="T359" s="524"/>
      <c r="U359" s="524"/>
      <c r="V359" s="132">
        <f t="shared" ref="V359:V361" si="164">SUM(X359:AA359)</f>
        <v>0</v>
      </c>
      <c r="W359" s="133" t="str">
        <f t="shared" ref="W359:W361" si="165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533">
        <f t="shared" si="157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2"/>
        <v>0</v>
      </c>
      <c r="N360" s="130">
        <f t="shared" si="163"/>
        <v>0</v>
      </c>
      <c r="O360" s="524"/>
      <c r="P360" s="524"/>
      <c r="Q360" s="524"/>
      <c r="R360" s="524"/>
      <c r="S360" s="524"/>
      <c r="T360" s="524"/>
      <c r="U360" s="524"/>
      <c r="V360" s="132">
        <f t="shared" si="164"/>
        <v>0</v>
      </c>
      <c r="W360" s="133" t="str">
        <f t="shared" si="165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533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2"/>
        <v>0</v>
      </c>
      <c r="N361" s="130">
        <f t="shared" si="163"/>
        <v>0</v>
      </c>
      <c r="O361" s="524"/>
      <c r="P361" s="524"/>
      <c r="Q361" s="524"/>
      <c r="R361" s="524"/>
      <c r="S361" s="524"/>
      <c r="T361" s="524"/>
      <c r="U361" s="524"/>
      <c r="V361" s="132">
        <f t="shared" si="164"/>
        <v>0</v>
      </c>
      <c r="W361" s="133" t="str">
        <f t="shared" si="165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523" t="s">
        <v>190</v>
      </c>
      <c r="D362" s="108">
        <v>4.8</v>
      </c>
      <c r="E362" s="108"/>
      <c r="F362" s="127"/>
      <c r="G362" s="128"/>
      <c r="H362" s="533">
        <f t="shared" si="157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2"/>
        <v>0</v>
      </c>
      <c r="N362" s="130"/>
      <c r="O362" s="524"/>
      <c r="P362" s="524"/>
      <c r="Q362" s="524"/>
      <c r="R362" s="524"/>
      <c r="S362" s="524"/>
      <c r="T362" s="524"/>
      <c r="U362" s="524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523" t="s">
        <v>187</v>
      </c>
      <c r="D363" s="108">
        <v>4.8</v>
      </c>
      <c r="E363" s="108"/>
      <c r="F363" s="127"/>
      <c r="G363" s="128"/>
      <c r="H363" s="533">
        <f t="shared" si="157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2"/>
        <v>0</v>
      </c>
      <c r="N363" s="130"/>
      <c r="O363" s="524"/>
      <c r="P363" s="524"/>
      <c r="Q363" s="524"/>
      <c r="R363" s="524"/>
      <c r="S363" s="524"/>
      <c r="T363" s="524"/>
      <c r="U363" s="524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523" t="s">
        <v>179</v>
      </c>
      <c r="D364" s="108">
        <v>4.8</v>
      </c>
      <c r="E364" s="108"/>
      <c r="F364" s="127"/>
      <c r="G364" s="128"/>
      <c r="H364" s="533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524"/>
      <c r="P364" s="524"/>
      <c r="Q364" s="524"/>
      <c r="R364" s="524"/>
      <c r="S364" s="524"/>
      <c r="T364" s="524"/>
      <c r="U364" s="524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523" t="s">
        <v>199</v>
      </c>
      <c r="D365" s="108">
        <v>4.8</v>
      </c>
      <c r="E365" s="108"/>
      <c r="F365" s="127"/>
      <c r="G365" s="128"/>
      <c r="H365" s="533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524"/>
      <c r="P365" s="524"/>
      <c r="Q365" s="524"/>
      <c r="R365" s="524"/>
      <c r="S365" s="524"/>
      <c r="T365" s="524"/>
      <c r="U365" s="524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533">
        <f t="shared" si="157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2"/>
        <v>0</v>
      </c>
      <c r="N366" s="130">
        <f t="shared" ref="N366:N367" si="166">SUM(O366:U366)</f>
        <v>0</v>
      </c>
      <c r="O366" s="524"/>
      <c r="P366" s="524"/>
      <c r="Q366" s="524"/>
      <c r="R366" s="524"/>
      <c r="S366" s="524"/>
      <c r="T366" s="524"/>
      <c r="U366" s="524"/>
      <c r="V366" s="132">
        <f t="shared" ref="V366:V367" si="167">SUM(X366:AA366)</f>
        <v>0</v>
      </c>
      <c r="W366" s="133" t="str">
        <f t="shared" ref="W366:W367" si="168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533">
        <f t="shared" si="157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2"/>
        <v>0</v>
      </c>
      <c r="N367" s="130">
        <f t="shared" si="166"/>
        <v>0</v>
      </c>
      <c r="O367" s="524"/>
      <c r="P367" s="524"/>
      <c r="Q367" s="524"/>
      <c r="R367" s="524"/>
      <c r="S367" s="524"/>
      <c r="T367" s="524"/>
      <c r="U367" s="524"/>
      <c r="V367" s="132">
        <f t="shared" si="167"/>
        <v>0</v>
      </c>
      <c r="W367" s="133" t="str">
        <f t="shared" si="168"/>
        <v/>
      </c>
      <c r="X367" s="132"/>
      <c r="Y367" s="132"/>
      <c r="Z367" s="132"/>
      <c r="AA367" s="132"/>
    </row>
    <row r="368" spans="1:27" ht="20.100000000000001" hidden="1" customHeight="1">
      <c r="A368" s="630" t="s">
        <v>201</v>
      </c>
      <c r="B368" s="631"/>
      <c r="C368" s="531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69">SUM(M347:M367)</f>
        <v>0</v>
      </c>
      <c r="N368" s="146">
        <f t="shared" si="169"/>
        <v>0</v>
      </c>
      <c r="O368" s="148">
        <f t="shared" si="169"/>
        <v>0</v>
      </c>
      <c r="P368" s="148">
        <f t="shared" si="169"/>
        <v>0</v>
      </c>
      <c r="Q368" s="148">
        <f t="shared" si="169"/>
        <v>0</v>
      </c>
      <c r="R368" s="148">
        <f t="shared" si="169"/>
        <v>0</v>
      </c>
      <c r="S368" s="148">
        <f t="shared" si="169"/>
        <v>0</v>
      </c>
      <c r="T368" s="148">
        <f t="shared" si="169"/>
        <v>0</v>
      </c>
      <c r="U368" s="148">
        <f t="shared" si="169"/>
        <v>0</v>
      </c>
      <c r="V368" s="149">
        <f t="shared" si="169"/>
        <v>0</v>
      </c>
      <c r="W368" s="133">
        <f t="shared" si="169"/>
        <v>0</v>
      </c>
      <c r="X368" s="149">
        <f t="shared" si="169"/>
        <v>0</v>
      </c>
      <c r="Y368" s="149">
        <f t="shared" si="169"/>
        <v>0</v>
      </c>
      <c r="Z368" s="149">
        <f t="shared" si="169"/>
        <v>0</v>
      </c>
      <c r="AA368" s="149">
        <f t="shared" si="169"/>
        <v>0</v>
      </c>
    </row>
    <row r="369" spans="1:27" ht="20.100000000000001" hidden="1" customHeight="1">
      <c r="A369" s="300">
        <v>30100012</v>
      </c>
      <c r="B369" s="525" t="s">
        <v>206</v>
      </c>
      <c r="C369" s="126" t="s">
        <v>199</v>
      </c>
      <c r="D369" s="108">
        <v>5.03</v>
      </c>
      <c r="E369" s="108"/>
      <c r="F369" s="127"/>
      <c r="G369" s="128"/>
      <c r="H369" s="533">
        <f t="shared" ref="H369:H425" si="170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1">IF(ISERROR(I369-K369),"",I369-K369)</f>
        <v>0</v>
      </c>
      <c r="N369" s="130">
        <f t="shared" ref="N369" si="172">SUM(O369:U369)</f>
        <v>0</v>
      </c>
      <c r="O369" s="528"/>
      <c r="P369" s="528"/>
      <c r="Q369" s="528"/>
      <c r="R369" s="528"/>
      <c r="S369" s="528"/>
      <c r="T369" s="528"/>
      <c r="U369" s="528"/>
      <c r="V369" s="132">
        <f t="shared" ref="V369" si="173">SUM(X369:AA369)</f>
        <v>0</v>
      </c>
      <c r="W369" s="133" t="str">
        <f t="shared" ref="W369" si="174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525" t="s">
        <v>425</v>
      </c>
      <c r="C370" s="187" t="s">
        <v>427</v>
      </c>
      <c r="D370" s="108">
        <v>5.03</v>
      </c>
      <c r="E370" s="108"/>
      <c r="F370" s="127"/>
      <c r="G370" s="128"/>
      <c r="H370" s="533">
        <f t="shared" si="170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528"/>
      <c r="P370" s="528"/>
      <c r="Q370" s="528"/>
      <c r="R370" s="528"/>
      <c r="S370" s="528"/>
      <c r="T370" s="528"/>
      <c r="U370" s="528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525" t="s">
        <v>206</v>
      </c>
      <c r="C371" s="126" t="s">
        <v>186</v>
      </c>
      <c r="D371" s="108">
        <v>5.03</v>
      </c>
      <c r="E371" s="108"/>
      <c r="F371" s="127"/>
      <c r="G371" s="128"/>
      <c r="H371" s="533">
        <f t="shared" si="170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5">IF(ISERROR(I371-K371),"",I371-K371)</f>
        <v>0</v>
      </c>
      <c r="N371" s="130">
        <f t="shared" ref="N371:N373" si="176">SUM(O371:U371)</f>
        <v>0</v>
      </c>
      <c r="O371" s="528"/>
      <c r="P371" s="528"/>
      <c r="Q371" s="528"/>
      <c r="R371" s="528"/>
      <c r="S371" s="528"/>
      <c r="T371" s="528"/>
      <c r="U371" s="528"/>
      <c r="V371" s="132">
        <f t="shared" ref="V371:V373" si="177">SUM(X371:AA371)</f>
        <v>0</v>
      </c>
      <c r="W371" s="133" t="str">
        <f t="shared" ref="W371:W373" si="178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525" t="s">
        <v>206</v>
      </c>
      <c r="C372" s="126" t="s">
        <v>203</v>
      </c>
      <c r="D372" s="108">
        <v>5.03</v>
      </c>
      <c r="E372" s="108"/>
      <c r="F372" s="127"/>
      <c r="G372" s="128"/>
      <c r="H372" s="533">
        <f t="shared" si="170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5"/>
        <v>0</v>
      </c>
      <c r="N372" s="130">
        <f t="shared" si="176"/>
        <v>0</v>
      </c>
      <c r="O372" s="528"/>
      <c r="P372" s="528"/>
      <c r="Q372" s="528"/>
      <c r="R372" s="528"/>
      <c r="S372" s="528"/>
      <c r="T372" s="528"/>
      <c r="U372" s="528"/>
      <c r="V372" s="132">
        <f t="shared" si="177"/>
        <v>0</v>
      </c>
      <c r="W372" s="133" t="str">
        <f t="shared" si="178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525" t="s">
        <v>206</v>
      </c>
      <c r="C373" s="126" t="s">
        <v>207</v>
      </c>
      <c r="D373" s="108">
        <v>5.03</v>
      </c>
      <c r="E373" s="108"/>
      <c r="F373" s="127"/>
      <c r="G373" s="128"/>
      <c r="H373" s="533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5"/>
        <v>0</v>
      </c>
      <c r="N373" s="130">
        <f t="shared" si="176"/>
        <v>0</v>
      </c>
      <c r="O373" s="528"/>
      <c r="P373" s="528"/>
      <c r="Q373" s="528"/>
      <c r="R373" s="528"/>
      <c r="S373" s="528"/>
      <c r="T373" s="528"/>
      <c r="U373" s="528"/>
      <c r="V373" s="132">
        <f t="shared" si="177"/>
        <v>0</v>
      </c>
      <c r="W373" s="133" t="str">
        <f t="shared" si="178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525" t="s">
        <v>414</v>
      </c>
      <c r="C374" s="187" t="s">
        <v>415</v>
      </c>
      <c r="D374" s="108"/>
      <c r="E374" s="108"/>
      <c r="F374" s="127"/>
      <c r="G374" s="128"/>
      <c r="H374" s="533">
        <f t="shared" si="170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/>
      <c r="O374" s="528"/>
      <c r="P374" s="528"/>
      <c r="Q374" s="528"/>
      <c r="R374" s="528"/>
      <c r="S374" s="528"/>
      <c r="T374" s="528"/>
      <c r="U374" s="528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525" t="s">
        <v>414</v>
      </c>
      <c r="C375" s="187" t="s">
        <v>416</v>
      </c>
      <c r="D375" s="108"/>
      <c r="E375" s="108"/>
      <c r="F375" s="127"/>
      <c r="G375" s="128"/>
      <c r="H375" s="533">
        <f t="shared" si="170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/>
      <c r="O375" s="528"/>
      <c r="P375" s="528"/>
      <c r="Q375" s="528"/>
      <c r="R375" s="528"/>
      <c r="S375" s="528"/>
      <c r="T375" s="528"/>
      <c r="U375" s="528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525" t="s">
        <v>414</v>
      </c>
      <c r="C376" s="187" t="s">
        <v>61</v>
      </c>
      <c r="D376" s="108"/>
      <c r="E376" s="108"/>
      <c r="F376" s="127"/>
      <c r="G376" s="128"/>
      <c r="H376" s="533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528"/>
      <c r="P376" s="528"/>
      <c r="Q376" s="528"/>
      <c r="R376" s="528"/>
      <c r="S376" s="528"/>
      <c r="T376" s="528"/>
      <c r="U376" s="528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525" t="s">
        <v>208</v>
      </c>
      <c r="C377" s="126" t="s">
        <v>179</v>
      </c>
      <c r="D377" s="108">
        <v>5.08</v>
      </c>
      <c r="E377" s="108"/>
      <c r="F377" s="127"/>
      <c r="G377" s="128"/>
      <c r="H377" s="533">
        <f t="shared" si="170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5"/>
        <v>0</v>
      </c>
      <c r="N377" s="130">
        <f t="shared" ref="N377:N392" si="179">SUM(O377:U377)</f>
        <v>0</v>
      </c>
      <c r="O377" s="528"/>
      <c r="P377" s="528"/>
      <c r="Q377" s="528"/>
      <c r="R377" s="528"/>
      <c r="S377" s="528"/>
      <c r="T377" s="528"/>
      <c r="U377" s="528"/>
      <c r="V377" s="132">
        <f t="shared" ref="V377:V388" si="180">SUM(X377:AA377)</f>
        <v>0</v>
      </c>
      <c r="W377" s="133" t="str">
        <f t="shared" ref="W377:W388" si="181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525" t="s">
        <v>208</v>
      </c>
      <c r="C378" s="126" t="s">
        <v>204</v>
      </c>
      <c r="D378" s="108">
        <v>5.08</v>
      </c>
      <c r="E378" s="108"/>
      <c r="F378" s="127"/>
      <c r="G378" s="128"/>
      <c r="H378" s="533">
        <f t="shared" si="170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5"/>
        <v>0</v>
      </c>
      <c r="N378" s="130">
        <f t="shared" si="179"/>
        <v>0</v>
      </c>
      <c r="O378" s="528"/>
      <c r="P378" s="528"/>
      <c r="Q378" s="528"/>
      <c r="R378" s="528"/>
      <c r="S378" s="528"/>
      <c r="T378" s="528"/>
      <c r="U378" s="528"/>
      <c r="V378" s="132">
        <f t="shared" si="180"/>
        <v>0</v>
      </c>
      <c r="W378" s="133" t="str">
        <f t="shared" si="181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525" t="s">
        <v>208</v>
      </c>
      <c r="C379" s="126" t="s">
        <v>205</v>
      </c>
      <c r="D379" s="108">
        <v>5.08</v>
      </c>
      <c r="E379" s="108"/>
      <c r="F379" s="127"/>
      <c r="G379" s="128"/>
      <c r="H379" s="533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si="179"/>
        <v>0</v>
      </c>
      <c r="O379" s="528"/>
      <c r="P379" s="528"/>
      <c r="Q379" s="528"/>
      <c r="R379" s="528"/>
      <c r="S379" s="528"/>
      <c r="T379" s="528"/>
      <c r="U379" s="528"/>
      <c r="V379" s="132">
        <f t="shared" si="180"/>
        <v>0</v>
      </c>
      <c r="W379" s="133" t="str">
        <f t="shared" si="181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525" t="s">
        <v>208</v>
      </c>
      <c r="C380" s="126" t="s">
        <v>186</v>
      </c>
      <c r="D380" s="108">
        <v>5.08</v>
      </c>
      <c r="E380" s="108"/>
      <c r="F380" s="127"/>
      <c r="G380" s="128"/>
      <c r="H380" s="533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528"/>
      <c r="P380" s="528"/>
      <c r="Q380" s="528"/>
      <c r="R380" s="528"/>
      <c r="S380" s="528"/>
      <c r="T380" s="528"/>
      <c r="U380" s="528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525" t="s">
        <v>208</v>
      </c>
      <c r="C381" s="126" t="s">
        <v>203</v>
      </c>
      <c r="D381" s="108">
        <v>5.08</v>
      </c>
      <c r="E381" s="108"/>
      <c r="F381" s="127"/>
      <c r="G381" s="128"/>
      <c r="H381" s="533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528"/>
      <c r="P381" s="528"/>
      <c r="Q381" s="528"/>
      <c r="R381" s="528"/>
      <c r="S381" s="528"/>
      <c r="T381" s="528"/>
      <c r="U381" s="528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525" t="s">
        <v>208</v>
      </c>
      <c r="C382" s="126" t="s">
        <v>199</v>
      </c>
      <c r="D382" s="108">
        <v>5.08</v>
      </c>
      <c r="E382" s="108"/>
      <c r="F382" s="127"/>
      <c r="G382" s="128"/>
      <c r="H382" s="533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524"/>
      <c r="P382" s="524"/>
      <c r="Q382" s="524"/>
      <c r="R382" s="524"/>
      <c r="S382" s="524"/>
      <c r="T382" s="524"/>
      <c r="U382" s="524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525" t="s">
        <v>208</v>
      </c>
      <c r="C383" s="126" t="s">
        <v>187</v>
      </c>
      <c r="D383" s="108">
        <v>5.08</v>
      </c>
      <c r="E383" s="108"/>
      <c r="F383" s="127"/>
      <c r="G383" s="128"/>
      <c r="H383" s="533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528"/>
      <c r="P383" s="528"/>
      <c r="Q383" s="528"/>
      <c r="R383" s="528"/>
      <c r="S383" s="528"/>
      <c r="T383" s="528"/>
      <c r="U383" s="528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525" t="s">
        <v>208</v>
      </c>
      <c r="C384" s="126" t="s">
        <v>207</v>
      </c>
      <c r="D384" s="108">
        <v>5.08</v>
      </c>
      <c r="E384" s="108"/>
      <c r="F384" s="127"/>
      <c r="G384" s="128"/>
      <c r="H384" s="533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524"/>
      <c r="P384" s="524"/>
      <c r="Q384" s="524"/>
      <c r="R384" s="524"/>
      <c r="S384" s="524"/>
      <c r="T384" s="524"/>
      <c r="U384" s="524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525" t="s">
        <v>209</v>
      </c>
      <c r="C385" s="126" t="s">
        <v>194</v>
      </c>
      <c r="D385" s="108">
        <v>5.03</v>
      </c>
      <c r="E385" s="108"/>
      <c r="F385" s="127"/>
      <c r="G385" s="128"/>
      <c r="H385" s="533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5"/>
        <v>0</v>
      </c>
      <c r="N385" s="130">
        <f t="shared" si="179"/>
        <v>0</v>
      </c>
      <c r="O385" s="528"/>
      <c r="P385" s="528"/>
      <c r="Q385" s="528"/>
      <c r="R385" s="528"/>
      <c r="S385" s="528"/>
      <c r="T385" s="528"/>
      <c r="U385" s="528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525" t="s">
        <v>209</v>
      </c>
      <c r="C386" s="126" t="s">
        <v>179</v>
      </c>
      <c r="D386" s="108">
        <v>5.03</v>
      </c>
      <c r="E386" s="108"/>
      <c r="F386" s="127"/>
      <c r="G386" s="128"/>
      <c r="H386" s="533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5"/>
        <v>0</v>
      </c>
      <c r="N386" s="130">
        <f t="shared" si="179"/>
        <v>0</v>
      </c>
      <c r="O386" s="528"/>
      <c r="P386" s="528"/>
      <c r="Q386" s="528"/>
      <c r="R386" s="528"/>
      <c r="S386" s="528"/>
      <c r="T386" s="528"/>
      <c r="U386" s="528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525" t="s">
        <v>209</v>
      </c>
      <c r="C387" s="126" t="s">
        <v>195</v>
      </c>
      <c r="D387" s="108">
        <v>5.03</v>
      </c>
      <c r="E387" s="108"/>
      <c r="F387" s="127"/>
      <c r="G387" s="128"/>
      <c r="H387" s="533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528"/>
      <c r="P387" s="528"/>
      <c r="Q387" s="528"/>
      <c r="R387" s="528"/>
      <c r="S387" s="528"/>
      <c r="T387" s="528"/>
      <c r="U387" s="528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525" t="s">
        <v>209</v>
      </c>
      <c r="C388" s="126" t="s">
        <v>204</v>
      </c>
      <c r="D388" s="108">
        <v>5.03</v>
      </c>
      <c r="E388" s="108"/>
      <c r="F388" s="127"/>
      <c r="G388" s="128"/>
      <c r="H388" s="533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528"/>
      <c r="P388" s="528"/>
      <c r="Q388" s="528"/>
      <c r="R388" s="528"/>
      <c r="S388" s="528"/>
      <c r="T388" s="528"/>
      <c r="U388" s="528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525" t="s">
        <v>382</v>
      </c>
      <c r="C389" s="187" t="s">
        <v>383</v>
      </c>
      <c r="D389" s="108">
        <v>5.03</v>
      </c>
      <c r="E389" s="108"/>
      <c r="F389" s="127"/>
      <c r="G389" s="128"/>
      <c r="H389" s="533">
        <f t="shared" si="170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5"/>
        <v>0</v>
      </c>
      <c r="N389" s="130">
        <f t="shared" si="179"/>
        <v>0</v>
      </c>
      <c r="O389" s="528"/>
      <c r="P389" s="528"/>
      <c r="Q389" s="528"/>
      <c r="R389" s="528"/>
      <c r="S389" s="528"/>
      <c r="T389" s="528"/>
      <c r="U389" s="528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525" t="s">
        <v>382</v>
      </c>
      <c r="C390" s="187" t="s">
        <v>384</v>
      </c>
      <c r="D390" s="108">
        <v>5.03</v>
      </c>
      <c r="E390" s="108"/>
      <c r="F390" s="127"/>
      <c r="G390" s="128"/>
      <c r="H390" s="533">
        <f t="shared" si="170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5"/>
        <v>0</v>
      </c>
      <c r="N390" s="130">
        <f t="shared" si="179"/>
        <v>0</v>
      </c>
      <c r="O390" s="528"/>
      <c r="P390" s="528"/>
      <c r="Q390" s="528"/>
      <c r="R390" s="528"/>
      <c r="S390" s="528"/>
      <c r="T390" s="528"/>
      <c r="U390" s="528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525" t="s">
        <v>382</v>
      </c>
      <c r="C391" s="187" t="s">
        <v>389</v>
      </c>
      <c r="D391" s="108">
        <v>5.03</v>
      </c>
      <c r="E391" s="108"/>
      <c r="F391" s="127"/>
      <c r="G391" s="128"/>
      <c r="H391" s="533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528"/>
      <c r="P391" s="528"/>
      <c r="Q391" s="528"/>
      <c r="R391" s="528"/>
      <c r="S391" s="528"/>
      <c r="T391" s="528"/>
      <c r="U391" s="528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525" t="s">
        <v>382</v>
      </c>
      <c r="C392" s="187" t="s">
        <v>391</v>
      </c>
      <c r="D392" s="108">
        <v>5.03</v>
      </c>
      <c r="E392" s="108"/>
      <c r="F392" s="127"/>
      <c r="G392" s="128"/>
      <c r="H392" s="533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528"/>
      <c r="P392" s="528"/>
      <c r="Q392" s="528"/>
      <c r="R392" s="528"/>
      <c r="S392" s="528"/>
      <c r="T392" s="528"/>
      <c r="U392" s="528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525" t="s">
        <v>418</v>
      </c>
      <c r="C393" s="187" t="s">
        <v>364</v>
      </c>
      <c r="D393" s="108">
        <v>5.03</v>
      </c>
      <c r="E393" s="108"/>
      <c r="F393" s="127"/>
      <c r="G393" s="128"/>
      <c r="H393" s="533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5"/>
        <v>0</v>
      </c>
      <c r="N393" s="130"/>
      <c r="O393" s="528"/>
      <c r="P393" s="528"/>
      <c r="Q393" s="528"/>
      <c r="R393" s="528"/>
      <c r="S393" s="528"/>
      <c r="T393" s="528"/>
      <c r="U393" s="528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525" t="s">
        <v>418</v>
      </c>
      <c r="C394" s="187" t="s">
        <v>365</v>
      </c>
      <c r="D394" s="108">
        <v>5.03</v>
      </c>
      <c r="E394" s="108"/>
      <c r="F394" s="127"/>
      <c r="G394" s="128"/>
      <c r="H394" s="533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5"/>
        <v>0</v>
      </c>
      <c r="N394" s="130"/>
      <c r="O394" s="528"/>
      <c r="P394" s="528"/>
      <c r="Q394" s="528"/>
      <c r="R394" s="528"/>
      <c r="S394" s="528"/>
      <c r="T394" s="528"/>
      <c r="U394" s="528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525" t="s">
        <v>418</v>
      </c>
      <c r="C395" s="187" t="s">
        <v>366</v>
      </c>
      <c r="D395" s="108">
        <v>5.03</v>
      </c>
      <c r="E395" s="108"/>
      <c r="F395" s="127"/>
      <c r="G395" s="128"/>
      <c r="H395" s="533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528"/>
      <c r="P395" s="528"/>
      <c r="Q395" s="528"/>
      <c r="R395" s="528"/>
      <c r="S395" s="528"/>
      <c r="T395" s="528"/>
      <c r="U395" s="528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525" t="s">
        <v>418</v>
      </c>
      <c r="C396" s="187" t="s">
        <v>367</v>
      </c>
      <c r="D396" s="108">
        <v>5.03</v>
      </c>
      <c r="E396" s="108"/>
      <c r="F396" s="127"/>
      <c r="G396" s="128"/>
      <c r="H396" s="533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528"/>
      <c r="P396" s="528"/>
      <c r="Q396" s="528"/>
      <c r="R396" s="528"/>
      <c r="S396" s="528"/>
      <c r="T396" s="528"/>
      <c r="U396" s="528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533">
        <f t="shared" si="170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5"/>
        <v>0</v>
      </c>
      <c r="N397" s="130">
        <f t="shared" ref="N397:N406" si="182">SUM(O397:U397)</f>
        <v>0</v>
      </c>
      <c r="O397" s="524"/>
      <c r="P397" s="524"/>
      <c r="Q397" s="524"/>
      <c r="R397" s="524"/>
      <c r="S397" s="524"/>
      <c r="T397" s="524"/>
      <c r="U397" s="524"/>
      <c r="V397" s="132">
        <f t="shared" ref="V397:V406" si="183">SUM(X397:AA397)</f>
        <v>0</v>
      </c>
      <c r="W397" s="133" t="str">
        <f t="shared" ref="W397:W406" si="184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533">
        <f t="shared" si="170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5"/>
        <v>0</v>
      </c>
      <c r="N398" s="130">
        <f t="shared" si="182"/>
        <v>0</v>
      </c>
      <c r="O398" s="524"/>
      <c r="P398" s="524"/>
      <c r="Q398" s="524"/>
      <c r="R398" s="524"/>
      <c r="S398" s="524"/>
      <c r="T398" s="524"/>
      <c r="U398" s="524"/>
      <c r="V398" s="132">
        <f t="shared" si="183"/>
        <v>0</v>
      </c>
      <c r="W398" s="133" t="str">
        <f t="shared" si="184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533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si="182"/>
        <v>0</v>
      </c>
      <c r="O399" s="524"/>
      <c r="P399" s="524"/>
      <c r="Q399" s="524"/>
      <c r="R399" s="524"/>
      <c r="S399" s="524"/>
      <c r="T399" s="524"/>
      <c r="U399" s="524"/>
      <c r="V399" s="132">
        <f t="shared" si="183"/>
        <v>0</v>
      </c>
      <c r="W399" s="133" t="str">
        <f t="shared" si="184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533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5"/>
        <v>0</v>
      </c>
      <c r="N400" s="130">
        <f t="shared" si="182"/>
        <v>0</v>
      </c>
      <c r="O400" s="524"/>
      <c r="P400" s="524"/>
      <c r="Q400" s="524"/>
      <c r="R400" s="524"/>
      <c r="S400" s="524"/>
      <c r="T400" s="524"/>
      <c r="U400" s="524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533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5"/>
        <v>0</v>
      </c>
      <c r="N401" s="130">
        <f t="shared" si="182"/>
        <v>0</v>
      </c>
      <c r="O401" s="524"/>
      <c r="P401" s="524"/>
      <c r="Q401" s="524"/>
      <c r="R401" s="524"/>
      <c r="S401" s="524"/>
      <c r="T401" s="524"/>
      <c r="U401" s="524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533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524"/>
      <c r="P402" s="524"/>
      <c r="Q402" s="524"/>
      <c r="R402" s="524"/>
      <c r="S402" s="524"/>
      <c r="T402" s="524"/>
      <c r="U402" s="524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533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524"/>
      <c r="P403" s="524"/>
      <c r="Q403" s="524"/>
      <c r="R403" s="524"/>
      <c r="S403" s="524"/>
      <c r="T403" s="524"/>
      <c r="U403" s="524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533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524"/>
      <c r="P404" s="524"/>
      <c r="Q404" s="524"/>
      <c r="R404" s="524"/>
      <c r="S404" s="524"/>
      <c r="T404" s="524"/>
      <c r="U404" s="524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533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524"/>
      <c r="P405" s="524"/>
      <c r="Q405" s="524"/>
      <c r="R405" s="524"/>
      <c r="S405" s="524"/>
      <c r="T405" s="524"/>
      <c r="U405" s="524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533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524"/>
      <c r="P406" s="524"/>
      <c r="Q406" s="524"/>
      <c r="R406" s="524"/>
      <c r="S406" s="524"/>
      <c r="T406" s="524"/>
      <c r="U406" s="524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533">
        <f t="shared" si="170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524"/>
      <c r="P407" s="524"/>
      <c r="Q407" s="524"/>
      <c r="R407" s="524"/>
      <c r="S407" s="524"/>
      <c r="T407" s="524"/>
      <c r="U407" s="524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533">
        <f t="shared" si="170"/>
        <v>0</v>
      </c>
      <c r="I408" s="129"/>
      <c r="J408" s="130"/>
      <c r="K408" s="131"/>
      <c r="L408" s="129">
        <v>50</v>
      </c>
      <c r="M408" s="109"/>
      <c r="N408" s="130"/>
      <c r="O408" s="524"/>
      <c r="P408" s="524"/>
      <c r="Q408" s="524"/>
      <c r="R408" s="524"/>
      <c r="S408" s="524"/>
      <c r="T408" s="524"/>
      <c r="U408" s="524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533">
        <f t="shared" si="170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5">IF(ISERROR(I409-K409),"",I409-K409)</f>
        <v>0</v>
      </c>
      <c r="N409" s="130">
        <f t="shared" ref="N409:N410" si="186">SUM(O409:U409)</f>
        <v>0</v>
      </c>
      <c r="O409" s="524"/>
      <c r="P409" s="524"/>
      <c r="Q409" s="524"/>
      <c r="R409" s="524"/>
      <c r="S409" s="524"/>
      <c r="T409" s="524"/>
      <c r="U409" s="524"/>
      <c r="V409" s="132">
        <f t="shared" ref="V409:V410" si="187">SUM(X409:AA409)</f>
        <v>0</v>
      </c>
      <c r="W409" s="133" t="str">
        <f t="shared" ref="W409:W410" si="188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533">
        <f t="shared" si="170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5"/>
        <v>0</v>
      </c>
      <c r="N410" s="130">
        <f t="shared" si="186"/>
        <v>0</v>
      </c>
      <c r="O410" s="524"/>
      <c r="P410" s="524"/>
      <c r="Q410" s="524"/>
      <c r="R410" s="524"/>
      <c r="S410" s="524"/>
      <c r="T410" s="524"/>
      <c r="U410" s="524"/>
      <c r="V410" s="132">
        <f t="shared" si="187"/>
        <v>0</v>
      </c>
      <c r="W410" s="133" t="str">
        <f t="shared" si="188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533">
        <f t="shared" si="170"/>
        <v>0</v>
      </c>
      <c r="I411" s="129"/>
      <c r="J411" s="130"/>
      <c r="K411" s="131"/>
      <c r="L411" s="129"/>
      <c r="M411" s="109"/>
      <c r="N411" s="130"/>
      <c r="O411" s="524"/>
      <c r="P411" s="524"/>
      <c r="Q411" s="524"/>
      <c r="R411" s="524"/>
      <c r="S411" s="524"/>
      <c r="T411" s="524"/>
      <c r="U411" s="524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533">
        <f t="shared" si="170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89">IF(ISERROR(I412-K412),"",I412-K412)</f>
        <v/>
      </c>
      <c r="N412" s="130">
        <f t="shared" ref="N412:N415" si="190">SUM(O412:U412)</f>
        <v>0</v>
      </c>
      <c r="O412" s="524"/>
      <c r="P412" s="524"/>
      <c r="Q412" s="524"/>
      <c r="R412" s="524"/>
      <c r="S412" s="524"/>
      <c r="T412" s="524"/>
      <c r="U412" s="524"/>
      <c r="V412" s="132">
        <f t="shared" ref="V412:V415" si="191">SUM(X412:AA412)</f>
        <v>0</v>
      </c>
      <c r="W412" s="133" t="str">
        <f t="shared" ref="W412:W415" si="192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533">
        <f t="shared" si="170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89"/>
        <v/>
      </c>
      <c r="N413" s="130">
        <f t="shared" si="190"/>
        <v>0</v>
      </c>
      <c r="O413" s="524"/>
      <c r="P413" s="524"/>
      <c r="Q413" s="524"/>
      <c r="R413" s="524"/>
      <c r="S413" s="524"/>
      <c r="T413" s="524"/>
      <c r="U413" s="524"/>
      <c r="V413" s="132">
        <f t="shared" si="191"/>
        <v>0</v>
      </c>
      <c r="W413" s="133" t="str">
        <f t="shared" si="192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533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89"/>
        <v/>
      </c>
      <c r="N414" s="130">
        <f t="shared" si="190"/>
        <v>0</v>
      </c>
      <c r="O414" s="524"/>
      <c r="P414" s="524"/>
      <c r="Q414" s="524"/>
      <c r="R414" s="524"/>
      <c r="S414" s="524"/>
      <c r="T414" s="524"/>
      <c r="U414" s="524"/>
      <c r="V414" s="132">
        <f t="shared" si="191"/>
        <v>0</v>
      </c>
      <c r="W414" s="133" t="str">
        <f t="shared" si="192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533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524"/>
      <c r="P415" s="524"/>
      <c r="Q415" s="524"/>
      <c r="R415" s="524"/>
      <c r="S415" s="524"/>
      <c r="T415" s="524"/>
      <c r="U415" s="524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533">
        <f t="shared" si="170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89"/>
        <v>0</v>
      </c>
      <c r="N416" s="130"/>
      <c r="O416" s="524"/>
      <c r="P416" s="524"/>
      <c r="Q416" s="524"/>
      <c r="R416" s="524"/>
      <c r="S416" s="524"/>
      <c r="T416" s="524"/>
      <c r="U416" s="524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533">
        <f t="shared" si="170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89"/>
        <v>0</v>
      </c>
      <c r="N417" s="130"/>
      <c r="O417" s="524"/>
      <c r="P417" s="524"/>
      <c r="Q417" s="524"/>
      <c r="R417" s="524"/>
      <c r="S417" s="524"/>
      <c r="T417" s="524"/>
      <c r="U417" s="524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533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524"/>
      <c r="P418" s="524"/>
      <c r="Q418" s="524"/>
      <c r="R418" s="524"/>
      <c r="S418" s="524"/>
      <c r="T418" s="524"/>
      <c r="U418" s="524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533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524"/>
      <c r="P419" s="524"/>
      <c r="Q419" s="524"/>
      <c r="R419" s="524"/>
      <c r="S419" s="524"/>
      <c r="T419" s="524"/>
      <c r="U419" s="524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533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89"/>
        <v>0</v>
      </c>
      <c r="N420" s="130"/>
      <c r="O420" s="524"/>
      <c r="P420" s="524"/>
      <c r="Q420" s="524"/>
      <c r="R420" s="524"/>
      <c r="S420" s="524"/>
      <c r="T420" s="524"/>
      <c r="U420" s="524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533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89"/>
        <v>0</v>
      </c>
      <c r="N421" s="130"/>
      <c r="O421" s="524"/>
      <c r="P421" s="524"/>
      <c r="Q421" s="524"/>
      <c r="R421" s="524"/>
      <c r="S421" s="524"/>
      <c r="T421" s="524"/>
      <c r="U421" s="524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533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524"/>
      <c r="P422" s="524"/>
      <c r="Q422" s="524"/>
      <c r="R422" s="524"/>
      <c r="S422" s="524"/>
      <c r="T422" s="524"/>
      <c r="U422" s="524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533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524"/>
      <c r="P423" s="524"/>
      <c r="Q423" s="524"/>
      <c r="R423" s="524"/>
      <c r="S423" s="524"/>
      <c r="T423" s="524"/>
      <c r="U423" s="524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533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524"/>
      <c r="P424" s="524"/>
      <c r="Q424" s="524"/>
      <c r="R424" s="524"/>
      <c r="S424" s="524"/>
      <c r="T424" s="524"/>
      <c r="U424" s="524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533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524"/>
      <c r="P425" s="524"/>
      <c r="Q425" s="524"/>
      <c r="R425" s="524"/>
      <c r="S425" s="524"/>
      <c r="T425" s="524"/>
      <c r="U425" s="524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41" t="s">
        <v>216</v>
      </c>
      <c r="B426" s="641"/>
      <c r="C426" s="531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3">SUM(M369:M425)</f>
        <v>0</v>
      </c>
      <c r="N426" s="146">
        <f t="shared" si="193"/>
        <v>0</v>
      </c>
      <c r="O426" s="148">
        <f t="shared" si="193"/>
        <v>0</v>
      </c>
      <c r="P426" s="148">
        <f t="shared" si="193"/>
        <v>0</v>
      </c>
      <c r="Q426" s="148">
        <f t="shared" si="193"/>
        <v>0</v>
      </c>
      <c r="R426" s="148">
        <f t="shared" si="193"/>
        <v>0</v>
      </c>
      <c r="S426" s="148">
        <f t="shared" si="193"/>
        <v>0</v>
      </c>
      <c r="T426" s="148">
        <f t="shared" si="193"/>
        <v>0</v>
      </c>
      <c r="U426" s="148">
        <f t="shared" si="193"/>
        <v>0</v>
      </c>
      <c r="V426" s="149">
        <f t="shared" si="193"/>
        <v>0</v>
      </c>
      <c r="W426" s="133" t="str">
        <f t="shared" ref="W426:W433" si="194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525" t="s">
        <v>217</v>
      </c>
      <c r="C427" s="126" t="s">
        <v>179</v>
      </c>
      <c r="D427" s="108">
        <v>5.03</v>
      </c>
      <c r="E427" s="108"/>
      <c r="F427" s="127"/>
      <c r="G427" s="128"/>
      <c r="H427" s="533">
        <f t="shared" ref="H427:H460" si="195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6">IF(ISERROR(I427-K427),"",I427-K427)</f>
        <v>0</v>
      </c>
      <c r="N427" s="130">
        <f t="shared" ref="N427:N434" si="197">SUM(O427:U427)</f>
        <v>0</v>
      </c>
      <c r="O427" s="524"/>
      <c r="P427" s="524"/>
      <c r="Q427" s="524"/>
      <c r="R427" s="524"/>
      <c r="S427" s="524"/>
      <c r="T427" s="524"/>
      <c r="U427" s="524"/>
      <c r="V427" s="132">
        <f t="shared" ref="V427:V433" si="198">SUM(X427:AA427)</f>
        <v>0</v>
      </c>
      <c r="W427" s="133" t="str">
        <f t="shared" si="194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525" t="s">
        <v>217</v>
      </c>
      <c r="C428" s="126" t="s">
        <v>186</v>
      </c>
      <c r="D428" s="108">
        <v>5.03</v>
      </c>
      <c r="E428" s="108"/>
      <c r="F428" s="127"/>
      <c r="G428" s="128"/>
      <c r="H428" s="533">
        <f t="shared" si="195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6"/>
        <v>0</v>
      </c>
      <c r="N428" s="130">
        <f t="shared" si="197"/>
        <v>0</v>
      </c>
      <c r="O428" s="524"/>
      <c r="P428" s="524"/>
      <c r="Q428" s="524"/>
      <c r="R428" s="524"/>
      <c r="S428" s="524"/>
      <c r="T428" s="524"/>
      <c r="U428" s="524"/>
      <c r="V428" s="132">
        <f t="shared" si="198"/>
        <v>0</v>
      </c>
      <c r="W428" s="133" t="str">
        <f t="shared" si="194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525" t="s">
        <v>217</v>
      </c>
      <c r="C429" s="126" t="s">
        <v>204</v>
      </c>
      <c r="D429" s="108">
        <v>5.03</v>
      </c>
      <c r="E429" s="108"/>
      <c r="F429" s="127"/>
      <c r="G429" s="128"/>
      <c r="H429" s="533">
        <f t="shared" si="195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6"/>
        <v>0</v>
      </c>
      <c r="N429" s="130">
        <f t="shared" si="197"/>
        <v>0</v>
      </c>
      <c r="O429" s="524"/>
      <c r="P429" s="524"/>
      <c r="Q429" s="524"/>
      <c r="R429" s="524"/>
      <c r="S429" s="524"/>
      <c r="T429" s="524"/>
      <c r="U429" s="524"/>
      <c r="V429" s="132">
        <f t="shared" si="198"/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533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6"/>
        <v>0</v>
      </c>
      <c r="N430" s="130">
        <f t="shared" si="197"/>
        <v>0</v>
      </c>
      <c r="O430" s="524"/>
      <c r="P430" s="524"/>
      <c r="Q430" s="524"/>
      <c r="R430" s="524"/>
      <c r="S430" s="524"/>
      <c r="T430" s="524"/>
      <c r="U430" s="524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533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6"/>
        <v>0</v>
      </c>
      <c r="N431" s="130">
        <f t="shared" si="197"/>
        <v>0</v>
      </c>
      <c r="O431" s="524"/>
      <c r="P431" s="524"/>
      <c r="Q431" s="524"/>
      <c r="R431" s="524"/>
      <c r="S431" s="524"/>
      <c r="T431" s="524"/>
      <c r="U431" s="524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533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524"/>
      <c r="P432" s="524"/>
      <c r="Q432" s="524"/>
      <c r="R432" s="524"/>
      <c r="S432" s="524"/>
      <c r="T432" s="524"/>
      <c r="U432" s="524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533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524"/>
      <c r="P433" s="524"/>
      <c r="Q433" s="524"/>
      <c r="R433" s="524"/>
      <c r="S433" s="524"/>
      <c r="T433" s="524"/>
      <c r="U433" s="524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533">
        <f t="shared" si="195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524"/>
      <c r="P434" s="524"/>
      <c r="Q434" s="524"/>
      <c r="R434" s="524"/>
      <c r="S434" s="524"/>
      <c r="T434" s="524"/>
      <c r="U434" s="524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533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524"/>
      <c r="P435" s="524"/>
      <c r="Q435" s="524"/>
      <c r="R435" s="524"/>
      <c r="S435" s="524"/>
      <c r="T435" s="524"/>
      <c r="U435" s="524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533">
        <f t="shared" si="195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524"/>
      <c r="P436" s="524"/>
      <c r="Q436" s="524"/>
      <c r="R436" s="524"/>
      <c r="S436" s="524"/>
      <c r="T436" s="524"/>
      <c r="U436" s="524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533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524"/>
      <c r="P437" s="524"/>
      <c r="Q437" s="524"/>
      <c r="R437" s="524"/>
      <c r="S437" s="524"/>
      <c r="T437" s="524"/>
      <c r="U437" s="524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533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524"/>
      <c r="P438" s="524"/>
      <c r="Q438" s="524"/>
      <c r="R438" s="524"/>
      <c r="S438" s="524"/>
      <c r="T438" s="524"/>
      <c r="U438" s="524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533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199">IF(ISERROR(I439-K439),"",I439-K439)</f>
        <v>0</v>
      </c>
      <c r="N439" s="130">
        <f t="shared" ref="N439:N454" si="200">SUM(O439:U439)</f>
        <v>0</v>
      </c>
      <c r="O439" s="524"/>
      <c r="P439" s="524"/>
      <c r="Q439" s="524"/>
      <c r="R439" s="524"/>
      <c r="S439" s="524"/>
      <c r="T439" s="524"/>
      <c r="U439" s="524"/>
      <c r="V439" s="132">
        <f t="shared" ref="V439:V442" si="201">SUM(X439:AA439)</f>
        <v>0</v>
      </c>
      <c r="W439" s="133" t="str">
        <f t="shared" ref="W439:W446" si="202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533">
        <f t="shared" si="195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199"/>
        <v/>
      </c>
      <c r="N440" s="130">
        <f t="shared" si="200"/>
        <v>0</v>
      </c>
      <c r="O440" s="524"/>
      <c r="P440" s="524"/>
      <c r="Q440" s="524"/>
      <c r="R440" s="524"/>
      <c r="S440" s="524"/>
      <c r="T440" s="524"/>
      <c r="U440" s="524"/>
      <c r="V440" s="132">
        <f t="shared" si="201"/>
        <v>0</v>
      </c>
      <c r="W440" s="133" t="str">
        <f t="shared" si="202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533">
        <f t="shared" si="195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199"/>
        <v/>
      </c>
      <c r="N441" s="130">
        <f t="shared" si="200"/>
        <v>0</v>
      </c>
      <c r="O441" s="524"/>
      <c r="P441" s="524"/>
      <c r="Q441" s="524"/>
      <c r="R441" s="524"/>
      <c r="S441" s="524"/>
      <c r="T441" s="524"/>
      <c r="U441" s="524"/>
      <c r="V441" s="132">
        <f t="shared" si="201"/>
        <v>0</v>
      </c>
      <c r="W441" s="133" t="str">
        <f t="shared" si="202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533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524"/>
      <c r="P442" s="524"/>
      <c r="Q442" s="524"/>
      <c r="R442" s="524"/>
      <c r="S442" s="524"/>
      <c r="T442" s="524"/>
      <c r="U442" s="524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525" t="s">
        <v>222</v>
      </c>
      <c r="C443" s="126" t="s">
        <v>181</v>
      </c>
      <c r="D443" s="108">
        <v>9.36</v>
      </c>
      <c r="E443" s="108"/>
      <c r="F443" s="127"/>
      <c r="G443" s="128"/>
      <c r="H443" s="533">
        <f t="shared" si="195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199"/>
        <v>0</v>
      </c>
      <c r="N443" s="130">
        <f t="shared" si="200"/>
        <v>0</v>
      </c>
      <c r="O443" s="524"/>
      <c r="P443" s="524"/>
      <c r="Q443" s="524"/>
      <c r="R443" s="524"/>
      <c r="S443" s="524"/>
      <c r="T443" s="524"/>
      <c r="U443" s="524"/>
      <c r="V443" s="132">
        <f t="shared" ref="V443:V446" si="203">SUM(X443:AA443)</f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525" t="s">
        <v>222</v>
      </c>
      <c r="C444" s="126" t="s">
        <v>179</v>
      </c>
      <c r="D444" s="108">
        <v>9.36</v>
      </c>
      <c r="E444" s="108"/>
      <c r="F444" s="127"/>
      <c r="G444" s="128"/>
      <c r="H444" s="533">
        <f t="shared" si="195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199"/>
        <v>0</v>
      </c>
      <c r="N444" s="130">
        <f t="shared" si="200"/>
        <v>0</v>
      </c>
      <c r="O444" s="524"/>
      <c r="P444" s="524"/>
      <c r="Q444" s="524"/>
      <c r="R444" s="524"/>
      <c r="S444" s="524"/>
      <c r="T444" s="524"/>
      <c r="U444" s="524"/>
      <c r="V444" s="132">
        <f t="shared" si="203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525" t="s">
        <v>222</v>
      </c>
      <c r="C445" s="126" t="s">
        <v>221</v>
      </c>
      <c r="D445" s="108">
        <v>9.36</v>
      </c>
      <c r="E445" s="108"/>
      <c r="F445" s="127"/>
      <c r="G445" s="128"/>
      <c r="H445" s="533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524"/>
      <c r="P445" s="524"/>
      <c r="Q445" s="524"/>
      <c r="R445" s="524"/>
      <c r="S445" s="524"/>
      <c r="T445" s="524"/>
      <c r="U445" s="524"/>
      <c r="V445" s="132">
        <f t="shared" si="203"/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525" t="s">
        <v>222</v>
      </c>
      <c r="C446" s="126" t="s">
        <v>186</v>
      </c>
      <c r="D446" s="108">
        <v>9.36</v>
      </c>
      <c r="E446" s="108"/>
      <c r="F446" s="127"/>
      <c r="G446" s="128"/>
      <c r="H446" s="533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524"/>
      <c r="P446" s="524"/>
      <c r="Q446" s="524"/>
      <c r="R446" s="524"/>
      <c r="S446" s="524"/>
      <c r="T446" s="524"/>
      <c r="U446" s="524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525" t="s">
        <v>393</v>
      </c>
      <c r="C447" s="187" t="s">
        <v>395</v>
      </c>
      <c r="D447" s="108">
        <v>5</v>
      </c>
      <c r="E447" s="108"/>
      <c r="F447" s="127"/>
      <c r="G447" s="128"/>
      <c r="H447" s="533">
        <f t="shared" si="195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199"/>
        <v>0</v>
      </c>
      <c r="N447" s="130">
        <f t="shared" si="200"/>
        <v>0</v>
      </c>
      <c r="O447" s="524"/>
      <c r="P447" s="524"/>
      <c r="Q447" s="524"/>
      <c r="R447" s="524"/>
      <c r="S447" s="524"/>
      <c r="T447" s="524"/>
      <c r="U447" s="524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525" t="s">
        <v>393</v>
      </c>
      <c r="C448" s="187" t="s">
        <v>402</v>
      </c>
      <c r="D448" s="108">
        <v>5</v>
      </c>
      <c r="E448" s="108"/>
      <c r="F448" s="127"/>
      <c r="G448" s="128"/>
      <c r="H448" s="533">
        <f t="shared" si="195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199"/>
        <v>0</v>
      </c>
      <c r="N448" s="130">
        <f t="shared" si="200"/>
        <v>0</v>
      </c>
      <c r="O448" s="524"/>
      <c r="P448" s="524"/>
      <c r="Q448" s="524"/>
      <c r="R448" s="524"/>
      <c r="S448" s="524"/>
      <c r="T448" s="524"/>
      <c r="U448" s="524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525" t="s">
        <v>404</v>
      </c>
      <c r="C449" s="187" t="s">
        <v>405</v>
      </c>
      <c r="D449" s="108">
        <v>5</v>
      </c>
      <c r="E449" s="108"/>
      <c r="F449" s="127"/>
      <c r="G449" s="128"/>
      <c r="H449" s="533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524"/>
      <c r="P449" s="524"/>
      <c r="Q449" s="524"/>
      <c r="R449" s="524"/>
      <c r="S449" s="524"/>
      <c r="T449" s="524"/>
      <c r="U449" s="524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525" t="s">
        <v>342</v>
      </c>
      <c r="C450" s="187" t="s">
        <v>372</v>
      </c>
      <c r="D450" s="108">
        <v>5</v>
      </c>
      <c r="E450" s="108"/>
      <c r="F450" s="127"/>
      <c r="G450" s="128"/>
      <c r="H450" s="533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524"/>
      <c r="P450" s="524"/>
      <c r="Q450" s="524"/>
      <c r="R450" s="524"/>
      <c r="S450" s="524"/>
      <c r="T450" s="524"/>
      <c r="U450" s="524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525" t="s">
        <v>343</v>
      </c>
      <c r="C451" s="126" t="s">
        <v>345</v>
      </c>
      <c r="D451" s="108">
        <v>5</v>
      </c>
      <c r="E451" s="108"/>
      <c r="F451" s="127"/>
      <c r="G451" s="128"/>
      <c r="H451" s="533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524"/>
      <c r="P451" s="524"/>
      <c r="Q451" s="524"/>
      <c r="R451" s="524"/>
      <c r="S451" s="524"/>
      <c r="T451" s="524"/>
      <c r="U451" s="524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525" t="s">
        <v>343</v>
      </c>
      <c r="C452" s="126" t="s">
        <v>347</v>
      </c>
      <c r="D452" s="108">
        <v>5</v>
      </c>
      <c r="E452" s="108"/>
      <c r="F452" s="127"/>
      <c r="G452" s="128"/>
      <c r="H452" s="533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524"/>
      <c r="P452" s="524"/>
      <c r="Q452" s="524"/>
      <c r="R452" s="524"/>
      <c r="S452" s="524"/>
      <c r="T452" s="524"/>
      <c r="U452" s="524"/>
      <c r="V452" s="132"/>
      <c r="W452" s="133"/>
      <c r="X452" s="132"/>
      <c r="Y452" s="132"/>
      <c r="Z452" s="132"/>
      <c r="AA452" s="132"/>
    </row>
    <row r="453" spans="1:27" ht="20.10000000000000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>
        <v>42720</v>
      </c>
      <c r="G453" s="536">
        <f>81+84+102+100*4</f>
        <v>667</v>
      </c>
      <c r="H453" s="533">
        <f t="shared" si="195"/>
        <v>3375.0199999999995</v>
      </c>
      <c r="I453" s="129">
        <f>5.5*2</f>
        <v>11</v>
      </c>
      <c r="J453" s="130">
        <f t="array" ref="J453">IF(ISERROR(G453/I453),"",G453/I453)</f>
        <v>60.636363636363633</v>
      </c>
      <c r="K453" s="131">
        <f t="array" ref="K453">IF(ISERROR(G453/L453),"",G453/L453)</f>
        <v>43.032258064516128</v>
      </c>
      <c r="L453" s="129">
        <v>15.5</v>
      </c>
      <c r="M453" s="109">
        <f t="shared" si="199"/>
        <v>-32.032258064516128</v>
      </c>
      <c r="N453" s="130">
        <f t="shared" si="200"/>
        <v>0</v>
      </c>
      <c r="O453" s="524"/>
      <c r="P453" s="524"/>
      <c r="Q453" s="524"/>
      <c r="R453" s="524"/>
      <c r="S453" s="524"/>
      <c r="T453" s="524"/>
      <c r="U453" s="524"/>
      <c r="V453" s="132">
        <f t="shared" ref="V453:V454" si="204">SUM(X453:AA453)</f>
        <v>0</v>
      </c>
      <c r="W453" s="133">
        <f t="shared" ref="W453:W454" si="205">IF(ISERROR(V453/G453),"",V453/G453)</f>
        <v>0</v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533">
        <f t="shared" si="195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199"/>
        <v>0</v>
      </c>
      <c r="N454" s="130">
        <f t="shared" si="200"/>
        <v>0</v>
      </c>
      <c r="O454" s="524"/>
      <c r="P454" s="524"/>
      <c r="Q454" s="524"/>
      <c r="R454" s="524"/>
      <c r="S454" s="524"/>
      <c r="T454" s="524"/>
      <c r="U454" s="524"/>
      <c r="V454" s="132">
        <f t="shared" si="204"/>
        <v>0</v>
      </c>
      <c r="W454" s="133" t="str">
        <f t="shared" si="205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533">
        <f t="shared" si="195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199"/>
        <v>0</v>
      </c>
      <c r="N455" s="130"/>
      <c r="O455" s="524"/>
      <c r="P455" s="524"/>
      <c r="Q455" s="524"/>
      <c r="R455" s="524"/>
      <c r="S455" s="524"/>
      <c r="T455" s="524"/>
      <c r="U455" s="524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533">
        <f t="shared" si="195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199"/>
        <v>0</v>
      </c>
      <c r="N456" s="130"/>
      <c r="O456" s="524"/>
      <c r="P456" s="524"/>
      <c r="Q456" s="524"/>
      <c r="R456" s="524"/>
      <c r="S456" s="524"/>
      <c r="T456" s="524"/>
      <c r="U456" s="524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533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524"/>
      <c r="P457" s="524"/>
      <c r="Q457" s="524"/>
      <c r="R457" s="524"/>
      <c r="S457" s="524"/>
      <c r="T457" s="524"/>
      <c r="U457" s="524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533">
        <f t="shared" si="195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199"/>
        <v>0</v>
      </c>
      <c r="N458" s="130">
        <f t="shared" ref="N458:N460" si="206">SUM(O458:U458)</f>
        <v>0</v>
      </c>
      <c r="O458" s="524"/>
      <c r="P458" s="524"/>
      <c r="Q458" s="524"/>
      <c r="R458" s="524"/>
      <c r="S458" s="524"/>
      <c r="T458" s="524"/>
      <c r="U458" s="524"/>
      <c r="V458" s="132">
        <f t="shared" ref="V458:V460" si="207">SUM(X458:AA458)</f>
        <v>0</v>
      </c>
      <c r="W458" s="133" t="str">
        <f t="shared" ref="W458:W482" si="208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533">
        <f t="shared" si="195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199"/>
        <v>0</v>
      </c>
      <c r="N459" s="130">
        <f t="shared" si="206"/>
        <v>0</v>
      </c>
      <c r="O459" s="524"/>
      <c r="P459" s="524"/>
      <c r="Q459" s="524"/>
      <c r="R459" s="524"/>
      <c r="S459" s="524"/>
      <c r="T459" s="524"/>
      <c r="U459" s="524"/>
      <c r="V459" s="132">
        <f t="shared" si="207"/>
        <v>0</v>
      </c>
      <c r="W459" s="133" t="str">
        <f t="shared" si="208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533">
        <f t="shared" si="195"/>
        <v>0</v>
      </c>
      <c r="I460" s="129"/>
      <c r="J460" s="130" t="str">
        <f t="array" ref="J460">IF(ISERROR(G460/I460),"",G460/I460)</f>
        <v/>
      </c>
      <c r="K460" s="533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si="206"/>
        <v>0</v>
      </c>
      <c r="O460" s="524"/>
      <c r="P460" s="524"/>
      <c r="Q460" s="524"/>
      <c r="R460" s="524"/>
      <c r="S460" s="524"/>
      <c r="T460" s="524"/>
      <c r="U460" s="524"/>
      <c r="V460" s="132">
        <f t="shared" si="207"/>
        <v>0</v>
      </c>
      <c r="W460" s="133" t="str">
        <f t="shared" si="208"/>
        <v/>
      </c>
      <c r="X460" s="132"/>
      <c r="Y460" s="132"/>
      <c r="Z460" s="132"/>
      <c r="AA460" s="132"/>
    </row>
    <row r="461" spans="1:27" ht="20.100000000000001" customHeight="1">
      <c r="A461" s="630" t="s">
        <v>224</v>
      </c>
      <c r="B461" s="631"/>
      <c r="C461" s="531" t="s">
        <v>202</v>
      </c>
      <c r="D461" s="143"/>
      <c r="E461" s="143"/>
      <c r="F461" s="144"/>
      <c r="G461" s="145">
        <f>SUM(G427:G460)</f>
        <v>667</v>
      </c>
      <c r="H461" s="146">
        <f>SUM(H427:H460)</f>
        <v>3375.0199999999995</v>
      </c>
      <c r="I461" s="146">
        <f>SUM(I427:I460)</f>
        <v>11</v>
      </c>
      <c r="J461" s="130">
        <f t="array" ref="J461">IF(ISERROR(G461/I461),"",G461/I461)</f>
        <v>60.636363636363633</v>
      </c>
      <c r="K461" s="146">
        <f>SUM(K427:K460)</f>
        <v>43.032258064516128</v>
      </c>
      <c r="L461" s="147"/>
      <c r="M461" s="150">
        <f t="shared" ref="M461:V461" si="209">SUM(M427:M460)</f>
        <v>-32.032258064516128</v>
      </c>
      <c r="N461" s="146">
        <f t="shared" si="209"/>
        <v>0</v>
      </c>
      <c r="O461" s="148">
        <f t="shared" si="209"/>
        <v>0</v>
      </c>
      <c r="P461" s="148">
        <f t="shared" si="209"/>
        <v>0</v>
      </c>
      <c r="Q461" s="148">
        <f t="shared" si="209"/>
        <v>0</v>
      </c>
      <c r="R461" s="148">
        <f t="shared" si="209"/>
        <v>0</v>
      </c>
      <c r="S461" s="148">
        <f t="shared" si="209"/>
        <v>0</v>
      </c>
      <c r="T461" s="148">
        <f t="shared" si="209"/>
        <v>0</v>
      </c>
      <c r="U461" s="148">
        <f t="shared" si="209"/>
        <v>0</v>
      </c>
      <c r="V461" s="149">
        <f t="shared" si="209"/>
        <v>0</v>
      </c>
      <c r="W461" s="133">
        <f t="shared" si="208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533">
        <f t="shared" ref="H462:H476" si="210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1">IF(ISERROR(I462-K462),"",I462-K462)</f>
        <v>0</v>
      </c>
      <c r="N462" s="130">
        <f t="shared" ref="N462:N476" si="212">SUM(O462:U462)</f>
        <v>0</v>
      </c>
      <c r="O462" s="524"/>
      <c r="P462" s="524"/>
      <c r="Q462" s="524"/>
      <c r="R462" s="524"/>
      <c r="S462" s="524"/>
      <c r="T462" s="524"/>
      <c r="U462" s="524"/>
      <c r="V462" s="132">
        <f t="shared" ref="V462:V476" si="213">SUM(X462:AA462)</f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533">
        <f t="shared" si="210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1"/>
        <v>0</v>
      </c>
      <c r="N463" s="130">
        <f t="shared" si="212"/>
        <v>0</v>
      </c>
      <c r="O463" s="524"/>
      <c r="P463" s="524"/>
      <c r="Q463" s="524"/>
      <c r="R463" s="524"/>
      <c r="S463" s="524"/>
      <c r="T463" s="524"/>
      <c r="U463" s="524"/>
      <c r="V463" s="132">
        <f t="shared" si="213"/>
        <v>0</v>
      </c>
      <c r="W463" s="133" t="str">
        <f t="shared" si="208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533">
        <f t="shared" si="210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1"/>
        <v>0</v>
      </c>
      <c r="N464" s="130">
        <f t="shared" si="212"/>
        <v>0</v>
      </c>
      <c r="O464" s="524"/>
      <c r="P464" s="524"/>
      <c r="Q464" s="524"/>
      <c r="R464" s="524"/>
      <c r="S464" s="524"/>
      <c r="T464" s="524"/>
      <c r="U464" s="524"/>
      <c r="V464" s="132">
        <f t="shared" si="213"/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533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1"/>
        <v>0</v>
      </c>
      <c r="N465" s="130">
        <f t="shared" si="212"/>
        <v>0</v>
      </c>
      <c r="O465" s="524"/>
      <c r="P465" s="524"/>
      <c r="Q465" s="524"/>
      <c r="R465" s="524"/>
      <c r="S465" s="524"/>
      <c r="T465" s="524"/>
      <c r="U465" s="524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529" t="s">
        <v>203</v>
      </c>
      <c r="D466" s="108">
        <v>5.03</v>
      </c>
      <c r="E466" s="108"/>
      <c r="F466" s="127"/>
      <c r="G466" s="128"/>
      <c r="H466" s="533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1"/>
        <v>0</v>
      </c>
      <c r="N466" s="130">
        <f t="shared" si="212"/>
        <v>0</v>
      </c>
      <c r="O466" s="524"/>
      <c r="P466" s="524"/>
      <c r="Q466" s="524"/>
      <c r="R466" s="524"/>
      <c r="S466" s="524"/>
      <c r="T466" s="524"/>
      <c r="U466" s="524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533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524"/>
      <c r="P467" s="524"/>
      <c r="Q467" s="524"/>
      <c r="R467" s="524"/>
      <c r="S467" s="524"/>
      <c r="T467" s="524"/>
      <c r="U467" s="524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533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524"/>
      <c r="P468" s="524"/>
      <c r="Q468" s="524"/>
      <c r="R468" s="524"/>
      <c r="S468" s="524"/>
      <c r="T468" s="524"/>
      <c r="U468" s="524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529" t="s">
        <v>228</v>
      </c>
      <c r="D469" s="108">
        <v>5.03</v>
      </c>
      <c r="E469" s="108"/>
      <c r="F469" s="127"/>
      <c r="G469" s="128"/>
      <c r="H469" s="533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524"/>
      <c r="P469" s="524"/>
      <c r="Q469" s="524"/>
      <c r="R469" s="524"/>
      <c r="S469" s="524"/>
      <c r="T469" s="524"/>
      <c r="U469" s="524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529" t="s">
        <v>212</v>
      </c>
      <c r="D470" s="108">
        <v>5.03</v>
      </c>
      <c r="E470" s="108"/>
      <c r="F470" s="127"/>
      <c r="G470" s="128"/>
      <c r="H470" s="533">
        <f t="shared" si="210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1"/>
        <v/>
      </c>
      <c r="N470" s="130">
        <f t="shared" si="212"/>
        <v>0</v>
      </c>
      <c r="O470" s="524"/>
      <c r="P470" s="524"/>
      <c r="Q470" s="524"/>
      <c r="R470" s="524"/>
      <c r="S470" s="524"/>
      <c r="T470" s="524"/>
      <c r="U470" s="524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529" t="s">
        <v>203</v>
      </c>
      <c r="D471" s="108">
        <v>5.03</v>
      </c>
      <c r="E471" s="108"/>
      <c r="F471" s="127"/>
      <c r="G471" s="128"/>
      <c r="H471" s="533">
        <f t="shared" si="210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1"/>
        <v/>
      </c>
      <c r="N471" s="130">
        <f t="shared" si="212"/>
        <v>0</v>
      </c>
      <c r="O471" s="524"/>
      <c r="P471" s="524"/>
      <c r="Q471" s="524"/>
      <c r="R471" s="524"/>
      <c r="S471" s="524"/>
      <c r="T471" s="524"/>
      <c r="U471" s="524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529" t="s">
        <v>186</v>
      </c>
      <c r="D472" s="108">
        <v>5.03</v>
      </c>
      <c r="E472" s="108"/>
      <c r="F472" s="127"/>
      <c r="G472" s="128"/>
      <c r="H472" s="533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524"/>
      <c r="P472" s="524"/>
      <c r="Q472" s="524"/>
      <c r="R472" s="524"/>
      <c r="S472" s="524"/>
      <c r="T472" s="524"/>
      <c r="U472" s="524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529" t="s">
        <v>228</v>
      </c>
      <c r="D473" s="108">
        <v>5.03</v>
      </c>
      <c r="E473" s="108"/>
      <c r="F473" s="127"/>
      <c r="G473" s="128"/>
      <c r="H473" s="533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524"/>
      <c r="P473" s="524"/>
      <c r="Q473" s="524"/>
      <c r="R473" s="524"/>
      <c r="S473" s="524"/>
      <c r="T473" s="524"/>
      <c r="U473" s="524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529" t="s">
        <v>199</v>
      </c>
      <c r="D474" s="108">
        <v>5.03</v>
      </c>
      <c r="E474" s="108"/>
      <c r="F474" s="127"/>
      <c r="G474" s="128"/>
      <c r="H474" s="533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524"/>
      <c r="P474" s="524"/>
      <c r="Q474" s="524"/>
      <c r="R474" s="524"/>
      <c r="S474" s="524"/>
      <c r="T474" s="524"/>
      <c r="U474" s="524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533">
        <f t="shared" si="210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1"/>
        <v>0</v>
      </c>
      <c r="N475" s="130">
        <f t="shared" si="212"/>
        <v>0</v>
      </c>
      <c r="O475" s="524"/>
      <c r="P475" s="524"/>
      <c r="Q475" s="524"/>
      <c r="R475" s="524"/>
      <c r="S475" s="524"/>
      <c r="T475" s="524"/>
      <c r="U475" s="524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533">
        <f t="shared" si="210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1"/>
        <v>0</v>
      </c>
      <c r="N476" s="130">
        <f t="shared" si="212"/>
        <v>0</v>
      </c>
      <c r="O476" s="524"/>
      <c r="P476" s="524"/>
      <c r="Q476" s="524"/>
      <c r="R476" s="524"/>
      <c r="S476" s="524"/>
      <c r="T476" s="524"/>
      <c r="U476" s="524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630" t="s">
        <v>231</v>
      </c>
      <c r="B477" s="631"/>
      <c r="C477" s="531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8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533">
        <f t="shared" ref="H478:H486" si="214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5">IF(ISERROR(I478-K478),"",I478-K478)</f>
        <v>0</v>
      </c>
      <c r="N478" s="130">
        <f t="shared" ref="N478:N482" si="216">SUM(O478:U478)</f>
        <v>0</v>
      </c>
      <c r="O478" s="524"/>
      <c r="P478" s="524"/>
      <c r="Q478" s="524"/>
      <c r="R478" s="524"/>
      <c r="S478" s="524"/>
      <c r="T478" s="524"/>
      <c r="U478" s="524"/>
      <c r="V478" s="132">
        <f t="shared" ref="V478:V482" si="217">SUM(X478:AA478)</f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533">
        <f t="shared" si="214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5"/>
        <v>0</v>
      </c>
      <c r="N479" s="130">
        <f t="shared" si="216"/>
        <v>0</v>
      </c>
      <c r="O479" s="524"/>
      <c r="P479" s="524"/>
      <c r="Q479" s="524"/>
      <c r="R479" s="524"/>
      <c r="S479" s="524"/>
      <c r="T479" s="524"/>
      <c r="U479" s="524"/>
      <c r="V479" s="132">
        <f t="shared" si="217"/>
        <v>0</v>
      </c>
      <c r="W479" s="133" t="str">
        <f t="shared" si="208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533">
        <f t="shared" si="214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5"/>
        <v>0</v>
      </c>
      <c r="N480" s="130">
        <f t="shared" si="216"/>
        <v>0</v>
      </c>
      <c r="O480" s="524"/>
      <c r="P480" s="524"/>
      <c r="Q480" s="524"/>
      <c r="R480" s="524"/>
      <c r="S480" s="524"/>
      <c r="T480" s="524"/>
      <c r="U480" s="524"/>
      <c r="V480" s="132">
        <f t="shared" si="217"/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533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524"/>
      <c r="P481" s="524"/>
      <c r="Q481" s="524"/>
      <c r="R481" s="524"/>
      <c r="S481" s="524"/>
      <c r="T481" s="524"/>
      <c r="U481" s="524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533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524"/>
      <c r="P482" s="524"/>
      <c r="Q482" s="524"/>
      <c r="R482" s="524"/>
      <c r="S482" s="524"/>
      <c r="T482" s="524"/>
      <c r="U482" s="524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533">
        <f t="shared" si="214"/>
        <v>0</v>
      </c>
      <c r="I483" s="129"/>
      <c r="J483" s="130"/>
      <c r="K483" s="131"/>
      <c r="L483" s="129">
        <v>13.5</v>
      </c>
      <c r="M483" s="109"/>
      <c r="N483" s="130"/>
      <c r="O483" s="524"/>
      <c r="P483" s="524"/>
      <c r="Q483" s="524"/>
      <c r="R483" s="524"/>
      <c r="S483" s="524"/>
      <c r="T483" s="524"/>
      <c r="U483" s="524"/>
      <c r="V483" s="132"/>
      <c r="W483" s="133"/>
      <c r="X483" s="132"/>
      <c r="Y483" s="132"/>
      <c r="Z483" s="132"/>
      <c r="AA483" s="132"/>
    </row>
    <row r="484" spans="1:27" ht="20.100000000000001" hidden="1" customHeight="1">
      <c r="A484" s="300">
        <v>30400020</v>
      </c>
      <c r="B484" s="134" t="s">
        <v>439</v>
      </c>
      <c r="C484" s="187" t="s">
        <v>74</v>
      </c>
      <c r="D484" s="108">
        <v>5.04</v>
      </c>
      <c r="E484" s="108"/>
      <c r="F484" s="127"/>
      <c r="G484" s="128"/>
      <c r="H484" s="533">
        <f t="shared" si="214"/>
        <v>0</v>
      </c>
      <c r="I484" s="129"/>
      <c r="J484" s="130"/>
      <c r="K484" s="131"/>
      <c r="L484" s="129">
        <v>13.5</v>
      </c>
      <c r="M484" s="109"/>
      <c r="N484" s="130"/>
      <c r="O484" s="524"/>
      <c r="P484" s="524"/>
      <c r="Q484" s="524"/>
      <c r="R484" s="524"/>
      <c r="S484" s="524"/>
      <c r="T484" s="524"/>
      <c r="U484" s="524"/>
      <c r="V484" s="132"/>
      <c r="W484" s="133"/>
      <c r="X484" s="132"/>
      <c r="Y484" s="132"/>
      <c r="Z484" s="132"/>
      <c r="AA484" s="132"/>
    </row>
    <row r="485" spans="1:27" ht="20.100000000000001" hidden="1" customHeight="1">
      <c r="A485" s="300">
        <v>30400021</v>
      </c>
      <c r="B485" s="134" t="s">
        <v>439</v>
      </c>
      <c r="C485" s="187" t="s">
        <v>53</v>
      </c>
      <c r="D485" s="108">
        <v>5.04</v>
      </c>
      <c r="E485" s="108"/>
      <c r="F485" s="127"/>
      <c r="G485" s="128"/>
      <c r="H485" s="533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524"/>
      <c r="P485" s="524"/>
      <c r="Q485" s="524"/>
      <c r="R485" s="524"/>
      <c r="S485" s="524"/>
      <c r="T485" s="524"/>
      <c r="U485" s="524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533">
        <f t="shared" si="214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8">IF(ISERROR(I486-K486),"",I486-K486)</f>
        <v>0</v>
      </c>
      <c r="N486" s="130">
        <f t="shared" ref="N486" si="219">SUM(O486:U486)</f>
        <v>0</v>
      </c>
      <c r="O486" s="524"/>
      <c r="P486" s="524"/>
      <c r="Q486" s="524"/>
      <c r="R486" s="524"/>
      <c r="S486" s="524"/>
      <c r="T486" s="524"/>
      <c r="U486" s="524"/>
      <c r="V486" s="132">
        <f t="shared" ref="V486" si="220">SUM(X486:AA486)</f>
        <v>0</v>
      </c>
      <c r="W486" s="133" t="str">
        <f t="shared" ref="W486:W491" si="221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30" t="s">
        <v>234</v>
      </c>
      <c r="B487" s="631"/>
      <c r="C487" s="531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1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523"/>
      <c r="D488" s="108">
        <v>3.65</v>
      </c>
      <c r="E488" s="108"/>
      <c r="F488" s="153"/>
      <c r="G488" s="128"/>
      <c r="H488" s="533">
        <f t="shared" ref="H488:H502" si="222">D488*G488</f>
        <v>0</v>
      </c>
      <c r="I488" s="129"/>
      <c r="J488" s="130" t="str">
        <f t="array" ref="J488">IF(ISERROR(G488/I488),"",G488/I488)</f>
        <v/>
      </c>
      <c r="K488" s="533">
        <f t="array" ref="K488">IF(ISERROR(G488/L488),"",G488/L488)</f>
        <v>0</v>
      </c>
      <c r="L488" s="129">
        <v>5</v>
      </c>
      <c r="M488" s="109">
        <f t="shared" ref="M488:M491" si="223">IF(ISERROR(I488-K488),"",I488-K488)</f>
        <v>0</v>
      </c>
      <c r="N488" s="130">
        <f t="shared" ref="N488:N491" si="224">SUM(O488:U488)</f>
        <v>0</v>
      </c>
      <c r="O488" s="524"/>
      <c r="P488" s="524"/>
      <c r="Q488" s="524"/>
      <c r="R488" s="524"/>
      <c r="S488" s="524"/>
      <c r="T488" s="524"/>
      <c r="U488" s="524"/>
      <c r="V488" s="132">
        <f t="shared" ref="V488:V491" si="225">SUM(X488:AA488)</f>
        <v>0</v>
      </c>
      <c r="W488" s="133" t="str">
        <f t="shared" si="221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523"/>
      <c r="D489" s="108">
        <v>6.58</v>
      </c>
      <c r="E489" s="108"/>
      <c r="F489" s="127"/>
      <c r="G489" s="128"/>
      <c r="H489" s="533">
        <f t="shared" si="222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3"/>
        <v>0</v>
      </c>
      <c r="N489" s="130">
        <f t="shared" si="224"/>
        <v>0</v>
      </c>
      <c r="O489" s="524"/>
      <c r="P489" s="524"/>
      <c r="Q489" s="524"/>
      <c r="R489" s="524"/>
      <c r="S489" s="524"/>
      <c r="T489" s="524"/>
      <c r="U489" s="524"/>
      <c r="V489" s="132">
        <f t="shared" si="225"/>
        <v>0</v>
      </c>
      <c r="W489" s="133" t="str">
        <f t="shared" si="221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523"/>
      <c r="D490" s="108">
        <v>7.8</v>
      </c>
      <c r="E490" s="108"/>
      <c r="F490" s="127"/>
      <c r="G490" s="128"/>
      <c r="H490" s="533">
        <f t="shared" si="222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3"/>
        <v>0</v>
      </c>
      <c r="N490" s="130">
        <f t="shared" si="224"/>
        <v>0</v>
      </c>
      <c r="O490" s="524"/>
      <c r="P490" s="524"/>
      <c r="Q490" s="524"/>
      <c r="R490" s="524"/>
      <c r="S490" s="524"/>
      <c r="T490" s="524"/>
      <c r="U490" s="524"/>
      <c r="V490" s="132">
        <f t="shared" si="225"/>
        <v>0</v>
      </c>
      <c r="W490" s="133" t="str">
        <f t="shared" si="221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523"/>
      <c r="D491" s="108">
        <v>4.4000000000000004</v>
      </c>
      <c r="E491" s="108"/>
      <c r="F491" s="127"/>
      <c r="G491" s="128"/>
      <c r="H491" s="533">
        <f t="shared" si="222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3"/>
        <v>0</v>
      </c>
      <c r="N491" s="130">
        <f t="shared" si="224"/>
        <v>0</v>
      </c>
      <c r="O491" s="524"/>
      <c r="P491" s="524"/>
      <c r="Q491" s="524"/>
      <c r="R491" s="524"/>
      <c r="S491" s="524"/>
      <c r="T491" s="524"/>
      <c r="U491" s="524"/>
      <c r="V491" s="132">
        <f t="shared" si="225"/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533">
        <f t="shared" si="222"/>
        <v>0</v>
      </c>
      <c r="I492" s="129"/>
      <c r="J492" s="130"/>
      <c r="K492" s="131"/>
      <c r="L492" s="129"/>
      <c r="M492" s="109"/>
      <c r="N492" s="130"/>
      <c r="O492" s="524"/>
      <c r="P492" s="524"/>
      <c r="Q492" s="524"/>
      <c r="R492" s="524"/>
      <c r="S492" s="524"/>
      <c r="T492" s="524"/>
      <c r="U492" s="524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523"/>
      <c r="D493" s="108"/>
      <c r="E493" s="108"/>
      <c r="F493" s="127"/>
      <c r="G493" s="128"/>
      <c r="H493" s="533">
        <f t="shared" si="222"/>
        <v>0</v>
      </c>
      <c r="I493" s="129"/>
      <c r="J493" s="130"/>
      <c r="K493" s="131"/>
      <c r="L493" s="129">
        <v>6</v>
      </c>
      <c r="M493" s="109"/>
      <c r="N493" s="130"/>
      <c r="O493" s="524"/>
      <c r="P493" s="524"/>
      <c r="Q493" s="524"/>
      <c r="R493" s="524"/>
      <c r="S493" s="524"/>
      <c r="T493" s="524"/>
      <c r="U493" s="524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523" t="s">
        <v>239</v>
      </c>
      <c r="C494" s="523" t="s">
        <v>179</v>
      </c>
      <c r="D494" s="108">
        <v>6.04</v>
      </c>
      <c r="E494" s="108"/>
      <c r="F494" s="127"/>
      <c r="G494" s="128"/>
      <c r="H494" s="533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6">IF(ISERROR(I494-K494),"",I494-K494)</f>
        <v>0</v>
      </c>
      <c r="N494" s="130">
        <f t="shared" ref="N494:N495" si="227">SUM(O494:U494)</f>
        <v>0</v>
      </c>
      <c r="O494" s="524"/>
      <c r="P494" s="524"/>
      <c r="Q494" s="524"/>
      <c r="R494" s="524"/>
      <c r="S494" s="524"/>
      <c r="T494" s="524"/>
      <c r="U494" s="524"/>
      <c r="V494" s="132">
        <f t="shared" ref="V494:V495" si="228">SUM(X494:AA494)</f>
        <v>0</v>
      </c>
      <c r="W494" s="133" t="str">
        <f t="shared" ref="W494:W495" si="229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523" t="s">
        <v>239</v>
      </c>
      <c r="C495" s="523" t="s">
        <v>186</v>
      </c>
      <c r="D495" s="108">
        <v>6.04</v>
      </c>
      <c r="E495" s="108"/>
      <c r="F495" s="127"/>
      <c r="G495" s="128"/>
      <c r="H495" s="533">
        <f t="shared" si="222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6"/>
        <v>0</v>
      </c>
      <c r="N495" s="130">
        <f t="shared" si="227"/>
        <v>0</v>
      </c>
      <c r="O495" s="524"/>
      <c r="P495" s="524"/>
      <c r="Q495" s="524"/>
      <c r="R495" s="524"/>
      <c r="S495" s="524"/>
      <c r="T495" s="524"/>
      <c r="U495" s="524"/>
      <c r="V495" s="132">
        <f t="shared" si="228"/>
        <v>0</v>
      </c>
      <c r="W495" s="133" t="str">
        <f t="shared" si="229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523" t="s">
        <v>443</v>
      </c>
      <c r="C496" s="523" t="s">
        <v>179</v>
      </c>
      <c r="D496" s="108"/>
      <c r="E496" s="108"/>
      <c r="F496" s="127"/>
      <c r="G496" s="128"/>
      <c r="H496" s="533">
        <f t="shared" si="222"/>
        <v>0</v>
      </c>
      <c r="I496" s="129"/>
      <c r="J496" s="130"/>
      <c r="K496" s="131"/>
      <c r="L496" s="129"/>
      <c r="M496" s="109"/>
      <c r="N496" s="130"/>
      <c r="O496" s="524"/>
      <c r="P496" s="524"/>
      <c r="Q496" s="524"/>
      <c r="R496" s="524"/>
      <c r="S496" s="524"/>
      <c r="T496" s="524"/>
      <c r="U496" s="524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523" t="s">
        <v>443</v>
      </c>
      <c r="C497" s="523" t="s">
        <v>186</v>
      </c>
      <c r="D497" s="108"/>
      <c r="E497" s="108"/>
      <c r="F497" s="127"/>
      <c r="G497" s="128"/>
      <c r="H497" s="533">
        <f t="shared" si="222"/>
        <v>0</v>
      </c>
      <c r="I497" s="129"/>
      <c r="J497" s="130"/>
      <c r="K497" s="131"/>
      <c r="L497" s="129"/>
      <c r="M497" s="109"/>
      <c r="N497" s="130"/>
      <c r="O497" s="524"/>
      <c r="P497" s="524"/>
      <c r="Q497" s="524"/>
      <c r="R497" s="524"/>
      <c r="S497" s="524"/>
      <c r="T497" s="524"/>
      <c r="U497" s="524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525" t="s">
        <v>240</v>
      </c>
      <c r="C498" s="126"/>
      <c r="D498" s="108">
        <v>7.3</v>
      </c>
      <c r="E498" s="108"/>
      <c r="F498" s="127"/>
      <c r="G498" s="128"/>
      <c r="H498" s="533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0">IF(ISERROR(I498-K498),"",I498-K498)</f>
        <v>0</v>
      </c>
      <c r="N498" s="130">
        <f t="shared" ref="N498" si="231">SUM(O498:U498)</f>
        <v>0</v>
      </c>
      <c r="O498" s="524"/>
      <c r="P498" s="524"/>
      <c r="Q498" s="524"/>
      <c r="R498" s="524"/>
      <c r="S498" s="524"/>
      <c r="T498" s="524"/>
      <c r="U498" s="524"/>
      <c r="V498" s="132">
        <f t="shared" ref="V498" si="232">SUM(X498:AA498)</f>
        <v>0</v>
      </c>
      <c r="W498" s="133" t="str">
        <f t="shared" ref="W498" si="233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525" t="s">
        <v>241</v>
      </c>
      <c r="C499" s="126"/>
      <c r="D499" s="108">
        <f>78*120/1000</f>
        <v>9.36</v>
      </c>
      <c r="E499" s="108"/>
      <c r="F499" s="127"/>
      <c r="G499" s="128"/>
      <c r="H499" s="533">
        <f t="shared" si="222"/>
        <v>0</v>
      </c>
      <c r="I499" s="129"/>
      <c r="J499" s="130"/>
      <c r="K499" s="131"/>
      <c r="L499" s="129"/>
      <c r="M499" s="109"/>
      <c r="N499" s="130"/>
      <c r="O499" s="524"/>
      <c r="P499" s="524"/>
      <c r="Q499" s="524"/>
      <c r="R499" s="524"/>
      <c r="S499" s="524"/>
      <c r="T499" s="524"/>
      <c r="U499" s="524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525" t="s">
        <v>242</v>
      </c>
      <c r="C500" s="126"/>
      <c r="D500" s="108">
        <v>4.5</v>
      </c>
      <c r="E500" s="108"/>
      <c r="F500" s="127"/>
      <c r="G500" s="128"/>
      <c r="H500" s="533">
        <f t="shared" si="222"/>
        <v>0</v>
      </c>
      <c r="I500" s="129"/>
      <c r="J500" s="130"/>
      <c r="K500" s="131"/>
      <c r="L500" s="129"/>
      <c r="M500" s="109"/>
      <c r="N500" s="130"/>
      <c r="O500" s="524"/>
      <c r="P500" s="524"/>
      <c r="Q500" s="524"/>
      <c r="R500" s="524"/>
      <c r="S500" s="524"/>
      <c r="T500" s="524"/>
      <c r="U500" s="524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525" t="s">
        <v>243</v>
      </c>
      <c r="C501" s="126"/>
      <c r="D501" s="108">
        <v>4.5</v>
      </c>
      <c r="E501" s="108"/>
      <c r="F501" s="127"/>
      <c r="G501" s="128"/>
      <c r="H501" s="533">
        <f t="shared" si="222"/>
        <v>0</v>
      </c>
      <c r="I501" s="129"/>
      <c r="J501" s="130"/>
      <c r="K501" s="131"/>
      <c r="L501" s="129"/>
      <c r="M501" s="109"/>
      <c r="N501" s="130"/>
      <c r="O501" s="524"/>
      <c r="P501" s="524"/>
      <c r="Q501" s="524"/>
      <c r="R501" s="524"/>
      <c r="S501" s="524"/>
      <c r="T501" s="524"/>
      <c r="U501" s="524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525"/>
      <c r="C502" s="126"/>
      <c r="D502" s="108"/>
      <c r="E502" s="108"/>
      <c r="F502" s="127"/>
      <c r="G502" s="128"/>
      <c r="H502" s="533">
        <f t="shared" si="222"/>
        <v>0</v>
      </c>
      <c r="I502" s="129"/>
      <c r="J502" s="130"/>
      <c r="K502" s="131"/>
      <c r="L502" s="129"/>
      <c r="M502" s="109"/>
      <c r="N502" s="130"/>
      <c r="O502" s="524"/>
      <c r="P502" s="524"/>
      <c r="Q502" s="524"/>
      <c r="R502" s="524"/>
      <c r="S502" s="524"/>
      <c r="T502" s="524"/>
      <c r="U502" s="524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30" t="s">
        <v>244</v>
      </c>
      <c r="B503" s="631"/>
      <c r="C503" s="531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4">SUM(M488:M498)</f>
        <v>0</v>
      </c>
      <c r="N503" s="146">
        <f t="shared" si="234"/>
        <v>0</v>
      </c>
      <c r="O503" s="148">
        <f t="shared" si="234"/>
        <v>0</v>
      </c>
      <c r="P503" s="148">
        <f t="shared" si="234"/>
        <v>0</v>
      </c>
      <c r="Q503" s="148">
        <f t="shared" si="234"/>
        <v>0</v>
      </c>
      <c r="R503" s="148">
        <f t="shared" si="234"/>
        <v>0</v>
      </c>
      <c r="S503" s="148">
        <f t="shared" si="234"/>
        <v>0</v>
      </c>
      <c r="T503" s="148">
        <f t="shared" si="234"/>
        <v>0</v>
      </c>
      <c r="U503" s="148">
        <f t="shared" si="234"/>
        <v>0</v>
      </c>
      <c r="V503" s="149">
        <f t="shared" si="234"/>
        <v>0</v>
      </c>
      <c r="W503" s="133">
        <f t="shared" si="234"/>
        <v>0</v>
      </c>
      <c r="X503" s="149">
        <f t="shared" si="234"/>
        <v>0</v>
      </c>
      <c r="Y503" s="149">
        <f t="shared" si="234"/>
        <v>0</v>
      </c>
      <c r="Z503" s="149">
        <f t="shared" si="234"/>
        <v>0</v>
      </c>
      <c r="AA503" s="149">
        <f t="shared" si="234"/>
        <v>0</v>
      </c>
    </row>
    <row r="504" spans="1:27" ht="20.100000000000001" customHeight="1">
      <c r="A504" s="632" t="s">
        <v>246</v>
      </c>
      <c r="B504" s="633"/>
      <c r="C504" s="633"/>
      <c r="D504" s="633"/>
      <c r="E504" s="633"/>
      <c r="F504" s="634"/>
      <c r="G504" s="154">
        <f>SUM(G368,G426,G461,G477,G487,G503)</f>
        <v>667</v>
      </c>
      <c r="H504" s="154">
        <f>SUM(H368,H426,H461,H477,H487,H503)</f>
        <v>3375.0199999999995</v>
      </c>
      <c r="I504" s="154">
        <f>SUM(I368,I426,I461,I477,I487,I503)</f>
        <v>11</v>
      </c>
      <c r="J504" s="155">
        <f t="array" ref="J504">IF(ISERROR(G504/I504),"",G504/I504)</f>
        <v>60.636363636363633</v>
      </c>
      <c r="K504" s="154">
        <f>SUM(K368,K426,K461,K477,K487,K503)</f>
        <v>43.032258064516128</v>
      </c>
      <c r="L504" s="155">
        <f>IF(ISERROR(G504/K504),"",G504/K504)</f>
        <v>15.5</v>
      </c>
      <c r="M504" s="154">
        <f t="shared" ref="M504:V504" si="235">SUM(M368,M426,M461,M477,M487,M503)</f>
        <v>-32.032258064516128</v>
      </c>
      <c r="N504" s="154">
        <f t="shared" si="235"/>
        <v>0</v>
      </c>
      <c r="O504" s="154">
        <f t="shared" si="235"/>
        <v>0</v>
      </c>
      <c r="P504" s="154">
        <f t="shared" si="235"/>
        <v>0</v>
      </c>
      <c r="Q504" s="154">
        <f t="shared" si="235"/>
        <v>0</v>
      </c>
      <c r="R504" s="154">
        <f t="shared" si="235"/>
        <v>0</v>
      </c>
      <c r="S504" s="154">
        <f t="shared" si="235"/>
        <v>0</v>
      </c>
      <c r="T504" s="154">
        <f t="shared" si="235"/>
        <v>0</v>
      </c>
      <c r="U504" s="154">
        <f t="shared" si="235"/>
        <v>0</v>
      </c>
      <c r="V504" s="154">
        <f t="shared" si="235"/>
        <v>0</v>
      </c>
      <c r="W504" s="156">
        <f t="shared" ref="W504" si="236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35" t="s">
        <v>476</v>
      </c>
      <c r="B505" s="530" t="s">
        <v>247</v>
      </c>
      <c r="C505" s="638" t="s">
        <v>248</v>
      </c>
      <c r="D505" s="639"/>
      <c r="E505" s="640" t="s">
        <v>249</v>
      </c>
      <c r="F505" s="640"/>
      <c r="G505" s="643" t="s">
        <v>250</v>
      </c>
      <c r="H505" s="643"/>
      <c r="I505" s="640" t="s">
        <v>251</v>
      </c>
      <c r="J505" s="640"/>
      <c r="K505" s="640" t="s">
        <v>252</v>
      </c>
      <c r="L505" s="640"/>
      <c r="M505" s="640" t="s">
        <v>253</v>
      </c>
      <c r="N505" s="640"/>
      <c r="O505" s="640" t="s">
        <v>254</v>
      </c>
      <c r="P505" s="643" t="s">
        <v>255</v>
      </c>
      <c r="Q505" s="643"/>
      <c r="R505" s="643" t="s">
        <v>252</v>
      </c>
      <c r="S505" s="643"/>
      <c r="T505" s="643" t="s">
        <v>256</v>
      </c>
      <c r="U505" s="643"/>
      <c r="V505" s="643" t="s">
        <v>257</v>
      </c>
      <c r="W505" s="643"/>
      <c r="X505" s="643" t="s">
        <v>252</v>
      </c>
      <c r="Y505" s="643"/>
      <c r="Z505" s="643" t="s">
        <v>256</v>
      </c>
      <c r="AA505" s="643"/>
    </row>
    <row r="506" spans="1:27" ht="20.100000000000001" customHeight="1">
      <c r="A506" s="636"/>
      <c r="B506" s="530" t="s">
        <v>258</v>
      </c>
      <c r="C506" s="638">
        <v>0</v>
      </c>
      <c r="D506" s="639"/>
      <c r="E506" s="642">
        <f>C506*11</f>
        <v>0</v>
      </c>
      <c r="F506" s="642"/>
      <c r="G506" s="643">
        <v>0</v>
      </c>
      <c r="H506" s="643"/>
      <c r="I506" s="642">
        <f>G506*11</f>
        <v>0</v>
      </c>
      <c r="J506" s="642"/>
      <c r="K506" s="642">
        <f>E506-I506</f>
        <v>0</v>
      </c>
      <c r="L506" s="642"/>
      <c r="M506" s="644" t="str">
        <f>IF(ISERROR(K506/E506),"",K506/E506)</f>
        <v/>
      </c>
      <c r="N506" s="644"/>
      <c r="O506" s="640"/>
      <c r="P506" s="643" t="s">
        <v>201</v>
      </c>
      <c r="Q506" s="643"/>
      <c r="R506" s="645">
        <f>SUM(O368:U368)</f>
        <v>0</v>
      </c>
      <c r="S506" s="645"/>
      <c r="T506" s="646" t="str">
        <f t="array" ref="T506">IF(ISERROR(R506/R513),"",R506/R513)</f>
        <v/>
      </c>
      <c r="U506" s="646"/>
      <c r="V506" s="643" t="s">
        <v>259</v>
      </c>
      <c r="W506" s="643"/>
      <c r="X506" s="647">
        <f>SUM(O368,O426,O461,O477,O487,O503)</f>
        <v>0</v>
      </c>
      <c r="Y506" s="647"/>
      <c r="Z506" s="646" t="str">
        <f t="array" ref="Z506">IF(ISERROR(X506/X513),"",X506/X513)</f>
        <v/>
      </c>
      <c r="AA506" s="646"/>
    </row>
    <row r="507" spans="1:27" ht="20.100000000000001" customHeight="1">
      <c r="A507" s="636"/>
      <c r="B507" s="530" t="s">
        <v>260</v>
      </c>
      <c r="C507" s="638">
        <v>0</v>
      </c>
      <c r="D507" s="639"/>
      <c r="E507" s="642">
        <f>C507*11</f>
        <v>0</v>
      </c>
      <c r="F507" s="642"/>
      <c r="G507" s="643">
        <v>0</v>
      </c>
      <c r="H507" s="643"/>
      <c r="I507" s="642">
        <f>G507*11</f>
        <v>0</v>
      </c>
      <c r="J507" s="642"/>
      <c r="K507" s="642">
        <f>E507-I507</f>
        <v>0</v>
      </c>
      <c r="L507" s="642"/>
      <c r="M507" s="644" t="str">
        <f>IF(ISERROR(K507/E507),"",K507/E507)</f>
        <v/>
      </c>
      <c r="N507" s="644"/>
      <c r="O507" s="640"/>
      <c r="P507" s="643" t="s">
        <v>216</v>
      </c>
      <c r="Q507" s="643"/>
      <c r="R507" s="645">
        <f>SUM(O426:U426)</f>
        <v>0</v>
      </c>
      <c r="S507" s="645"/>
      <c r="T507" s="646" t="str">
        <f>IF(ISERROR(R507/R513),"",R507/R513)</f>
        <v/>
      </c>
      <c r="U507" s="646"/>
      <c r="V507" s="643" t="s">
        <v>261</v>
      </c>
      <c r="W507" s="643"/>
      <c r="X507" s="647">
        <f>SUM(O369,O427,O462,O478,O488,O504)</f>
        <v>0</v>
      </c>
      <c r="Y507" s="647"/>
      <c r="Z507" s="646" t="str">
        <f>IF(ISERROR(X507/X513),"",X507/X513)</f>
        <v/>
      </c>
      <c r="AA507" s="646"/>
    </row>
    <row r="508" spans="1:27" ht="20.100000000000001" customHeight="1">
      <c r="A508" s="636"/>
      <c r="B508" s="530" t="s">
        <v>262</v>
      </c>
      <c r="C508" s="638">
        <v>0</v>
      </c>
      <c r="D508" s="639"/>
      <c r="E508" s="642">
        <f>C508*11</f>
        <v>0</v>
      </c>
      <c r="F508" s="642"/>
      <c r="G508" s="643">
        <v>0</v>
      </c>
      <c r="H508" s="643"/>
      <c r="I508" s="642">
        <f>G508*11</f>
        <v>0</v>
      </c>
      <c r="J508" s="642"/>
      <c r="K508" s="642">
        <f>E508-I508</f>
        <v>0</v>
      </c>
      <c r="L508" s="642"/>
      <c r="M508" s="644" t="str">
        <f>IF(ISERROR(K508/E508),"",K508/E508)</f>
        <v/>
      </c>
      <c r="N508" s="644"/>
      <c r="O508" s="640"/>
      <c r="P508" s="643" t="s">
        <v>224</v>
      </c>
      <c r="Q508" s="643"/>
      <c r="R508" s="645">
        <f>SUM(O461:U461)</f>
        <v>0</v>
      </c>
      <c r="S508" s="645"/>
      <c r="T508" s="646" t="str">
        <f>IF(ISERROR(R508/R513),"",R508/R513)</f>
        <v/>
      </c>
      <c r="U508" s="646"/>
      <c r="V508" s="643" t="s">
        <v>263</v>
      </c>
      <c r="W508" s="643"/>
      <c r="X508" s="647">
        <f>SUM(O371,O428,O463,O479,O489,O505)</f>
        <v>0</v>
      </c>
      <c r="Y508" s="647"/>
      <c r="Z508" s="646" t="str">
        <f>IF(ISERROR(X508/X513),"",X508/X513)</f>
        <v/>
      </c>
      <c r="AA508" s="646"/>
    </row>
    <row r="509" spans="1:27" ht="20.100000000000001" customHeight="1">
      <c r="A509" s="636"/>
      <c r="B509" s="530" t="s">
        <v>264</v>
      </c>
      <c r="C509" s="638">
        <v>1</v>
      </c>
      <c r="D509" s="639"/>
      <c r="E509" s="642">
        <f>C509*11</f>
        <v>11</v>
      </c>
      <c r="F509" s="642"/>
      <c r="G509" s="643">
        <v>1</v>
      </c>
      <c r="H509" s="643"/>
      <c r="I509" s="642">
        <f>G509*11</f>
        <v>11</v>
      </c>
      <c r="J509" s="642"/>
      <c r="K509" s="642">
        <f>E509-I509</f>
        <v>0</v>
      </c>
      <c r="L509" s="642"/>
      <c r="M509" s="644">
        <f>IF(ISERROR(K509/E509),"",K509/E509)</f>
        <v>0</v>
      </c>
      <c r="N509" s="644"/>
      <c r="O509" s="640"/>
      <c r="P509" s="643" t="s">
        <v>231</v>
      </c>
      <c r="Q509" s="643"/>
      <c r="R509" s="645">
        <f>SUM(O477:U477)</f>
        <v>0</v>
      </c>
      <c r="S509" s="645"/>
      <c r="T509" s="646" t="str">
        <f>IF(ISERROR(R509/R513),"",R509/R513)</f>
        <v/>
      </c>
      <c r="U509" s="646"/>
      <c r="V509" s="643" t="s">
        <v>265</v>
      </c>
      <c r="W509" s="643"/>
      <c r="X509" s="647">
        <f>SUM(O372,O429,O464,O480,O490,O506)</f>
        <v>0</v>
      </c>
      <c r="Y509" s="647"/>
      <c r="Z509" s="646" t="str">
        <f>IF(ISERROR(X509/X513),"",X509/X513)</f>
        <v/>
      </c>
      <c r="AA509" s="646"/>
    </row>
    <row r="510" spans="1:27" ht="20.100000000000001" customHeight="1">
      <c r="A510" s="637"/>
      <c r="B510" s="530" t="s">
        <v>266</v>
      </c>
      <c r="C510" s="648">
        <f>SUM(C506:D509)</f>
        <v>1</v>
      </c>
      <c r="D510" s="649"/>
      <c r="E510" s="642">
        <f>SUM(E506:F509)</f>
        <v>11</v>
      </c>
      <c r="F510" s="642"/>
      <c r="G510" s="643">
        <f>SUM(G506:H509)</f>
        <v>1</v>
      </c>
      <c r="H510" s="643"/>
      <c r="I510" s="642">
        <f>SUM(I506:J509)</f>
        <v>11</v>
      </c>
      <c r="J510" s="642"/>
      <c r="K510" s="642">
        <f>SUM(K506:L509)</f>
        <v>0</v>
      </c>
      <c r="L510" s="642"/>
      <c r="M510" s="644">
        <f>IF(ISERROR(K510/E510),"",K510/E510)</f>
        <v>0</v>
      </c>
      <c r="N510" s="644"/>
      <c r="O510" s="640"/>
      <c r="P510" s="643" t="s">
        <v>234</v>
      </c>
      <c r="Q510" s="643"/>
      <c r="R510" s="645">
        <f>SUM(O487:U487)</f>
        <v>0</v>
      </c>
      <c r="S510" s="645"/>
      <c r="T510" s="646" t="str">
        <f>IF(ISERROR(R510/R513),"",R510/R513)</f>
        <v/>
      </c>
      <c r="U510" s="646"/>
      <c r="V510" s="643" t="s">
        <v>267</v>
      </c>
      <c r="W510" s="643"/>
      <c r="X510" s="647">
        <f>SUM(O373,O430,O465,O481,O491,O507)</f>
        <v>0</v>
      </c>
      <c r="Y510" s="647"/>
      <c r="Z510" s="646" t="str">
        <f>IF(ISERROR(X510/X513),"",X510/X513)</f>
        <v/>
      </c>
      <c r="AA510" s="646"/>
    </row>
    <row r="511" spans="1:27" ht="20.100000000000001" customHeight="1">
      <c r="A511" s="307" t="s">
        <v>477</v>
      </c>
      <c r="B511" s="530">
        <f>G504</f>
        <v>667</v>
      </c>
      <c r="C511" s="650" t="s">
        <v>269</v>
      </c>
      <c r="D511" s="651"/>
      <c r="E511" s="643">
        <f>H504</f>
        <v>3375.0199999999995</v>
      </c>
      <c r="F511" s="643"/>
      <c r="G511" s="643" t="s">
        <v>270</v>
      </c>
      <c r="H511" s="643"/>
      <c r="I511" s="652">
        <f>L504</f>
        <v>15.5</v>
      </c>
      <c r="J511" s="652"/>
      <c r="K511" s="640" t="s">
        <v>271</v>
      </c>
      <c r="L511" s="640"/>
      <c r="M511" s="652">
        <f>J504</f>
        <v>60.636363636363633</v>
      </c>
      <c r="N511" s="652"/>
      <c r="O511" s="640"/>
      <c r="P511" s="643" t="s">
        <v>244</v>
      </c>
      <c r="Q511" s="643"/>
      <c r="R511" s="645">
        <f>SUM(O503:U503)</f>
        <v>0</v>
      </c>
      <c r="S511" s="645"/>
      <c r="T511" s="646" t="str">
        <f>IF(ISERROR(R511/R513),"",R511/R513)</f>
        <v/>
      </c>
      <c r="U511" s="646"/>
      <c r="V511" s="643" t="s">
        <v>272</v>
      </c>
      <c r="W511" s="643"/>
      <c r="X511" s="647">
        <f>SUM(O374,O431,O466,O482,O492,O508)</f>
        <v>0</v>
      </c>
      <c r="Y511" s="647"/>
      <c r="Z511" s="646" t="str">
        <f>IF(ISERROR(X511/X513),"",X511/X513)</f>
        <v/>
      </c>
      <c r="AA511" s="646"/>
    </row>
    <row r="512" spans="1:27" ht="20.100000000000001" customHeight="1">
      <c r="A512" s="308" t="s">
        <v>478</v>
      </c>
      <c r="B512" s="530">
        <f>I504+C510</f>
        <v>12</v>
      </c>
      <c r="C512" s="653" t="s">
        <v>251</v>
      </c>
      <c r="D512" s="654"/>
      <c r="E512" s="655">
        <f>K504+I510</f>
        <v>54.032258064516128</v>
      </c>
      <c r="F512" s="655"/>
      <c r="G512" s="643" t="s">
        <v>274</v>
      </c>
      <c r="H512" s="643"/>
      <c r="I512" s="652">
        <f>B512-E512</f>
        <v>-42.032258064516128</v>
      </c>
      <c r="J512" s="652"/>
      <c r="K512" s="640" t="s">
        <v>275</v>
      </c>
      <c r="L512" s="640"/>
      <c r="M512" s="644">
        <f>IF(ISERROR(I512/E512),"",I512/E512)</f>
        <v>-0.777910447761194</v>
      </c>
      <c r="N512" s="644"/>
      <c r="O512" s="640"/>
      <c r="P512" s="643" t="s">
        <v>245</v>
      </c>
      <c r="Q512" s="643"/>
      <c r="R512" s="645"/>
      <c r="S512" s="645"/>
      <c r="T512" s="646" t="str">
        <f>IF(ISERROR(R512/R513),"",R512/R513)</f>
        <v/>
      </c>
      <c r="U512" s="646"/>
      <c r="V512" s="643" t="s">
        <v>264</v>
      </c>
      <c r="W512" s="643"/>
      <c r="X512" s="647">
        <f>SUM(O375,O432,O467,O486,O493,O509)</f>
        <v>0</v>
      </c>
      <c r="Y512" s="647"/>
      <c r="Z512" s="646" t="str">
        <f>IF(ISERROR(X512/X513),"",X512/X513)</f>
        <v/>
      </c>
      <c r="AA512" s="646"/>
    </row>
    <row r="513" spans="1:27" ht="20.100000000000001" customHeight="1">
      <c r="A513" s="308" t="s">
        <v>479</v>
      </c>
      <c r="B513" s="530">
        <f>N504</f>
        <v>0</v>
      </c>
      <c r="C513" s="653" t="s">
        <v>277</v>
      </c>
      <c r="D513" s="654"/>
      <c r="E513" s="646">
        <f>IF(ISERROR(B513/B512),"",B513/B512)</f>
        <v>0</v>
      </c>
      <c r="F513" s="646"/>
      <c r="G513" s="643" t="s">
        <v>278</v>
      </c>
      <c r="H513" s="643"/>
      <c r="I513" s="640">
        <f>V504</f>
        <v>0</v>
      </c>
      <c r="J513" s="640"/>
      <c r="K513" s="640" t="s">
        <v>279</v>
      </c>
      <c r="L513" s="640"/>
      <c r="M513" s="644">
        <f t="array" ref="M513">IF(ISERROR(I513/B511),"",I513/B511)</f>
        <v>0</v>
      </c>
      <c r="N513" s="644"/>
      <c r="O513" s="640"/>
      <c r="P513" s="643" t="s">
        <v>266</v>
      </c>
      <c r="Q513" s="643"/>
      <c r="R513" s="645">
        <f>SUM(R506:S512)</f>
        <v>0</v>
      </c>
      <c r="S513" s="645"/>
      <c r="T513" s="646"/>
      <c r="U513" s="646"/>
      <c r="V513" s="643" t="s">
        <v>266</v>
      </c>
      <c r="W513" s="643"/>
      <c r="X513" s="647">
        <f>SUM(X506:Y512)</f>
        <v>0</v>
      </c>
      <c r="Y513" s="647"/>
      <c r="Z513" s="646"/>
      <c r="AA513" s="646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682" t="str">
        <f>IF(ISERROR(#REF!/#REF!),"",#REF!/#REF!)</f>
        <v/>
      </c>
      <c r="H514" s="682"/>
      <c r="I514" s="682"/>
      <c r="J514" s="125"/>
      <c r="K514" s="160"/>
      <c r="L514" s="122"/>
      <c r="M514" s="122"/>
      <c r="N514" s="682" t="str">
        <f>IF(ISERROR(G514/#REF!),"",G514/#REF!)</f>
        <v/>
      </c>
      <c r="O514" s="682"/>
      <c r="P514" s="682"/>
      <c r="Q514" s="682"/>
      <c r="R514" s="682"/>
      <c r="S514" s="532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685" t="s">
        <v>268</v>
      </c>
      <c r="B516" s="685"/>
      <c r="C516" s="638">
        <f>SUM(B170,B340,B511)</f>
        <v>6912</v>
      </c>
      <c r="D516" s="639"/>
      <c r="E516" s="685" t="s">
        <v>269</v>
      </c>
      <c r="F516" s="685"/>
      <c r="G516" s="655">
        <f>SUM(E170,E340,E511)</f>
        <v>34912.080000000002</v>
      </c>
      <c r="H516" s="655"/>
      <c r="I516" s="643" t="s">
        <v>270</v>
      </c>
      <c r="J516" s="685"/>
      <c r="K516" s="638">
        <f>IF(ISERROR(C516/G517),"",C516/G517)</f>
        <v>14.085819477393265</v>
      </c>
      <c r="L516" s="639"/>
      <c r="M516" s="643" t="s">
        <v>271</v>
      </c>
      <c r="N516" s="643"/>
      <c r="O516" s="680">
        <f t="array" ref="O516">IF(ISERROR(C516/C517),"",C516/C517)</f>
        <v>18.309933774834438</v>
      </c>
      <c r="P516" s="681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643" t="s">
        <v>273</v>
      </c>
      <c r="B517" s="643"/>
      <c r="C517" s="638">
        <f>SUM(B171,B341,B512)</f>
        <v>377.5</v>
      </c>
      <c r="D517" s="639"/>
      <c r="E517" s="643" t="s">
        <v>251</v>
      </c>
      <c r="F517" s="643"/>
      <c r="G517" s="655">
        <f>SUM(E171,E341,E512)</f>
        <v>490.70627456877935</v>
      </c>
      <c r="H517" s="655"/>
      <c r="I517" s="653" t="s">
        <v>274</v>
      </c>
      <c r="J517" s="654"/>
      <c r="K517" s="650">
        <f>C517-G517</f>
        <v>-113.20627456877935</v>
      </c>
      <c r="L517" s="651"/>
      <c r="M517" s="650" t="s">
        <v>275</v>
      </c>
      <c r="N517" s="651"/>
      <c r="O517" s="683">
        <f>IF(ISERROR(K517/C517),"",K517/C517)</f>
        <v>-0.29988417104312409</v>
      </c>
      <c r="P517" s="684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653" t="s">
        <v>276</v>
      </c>
      <c r="B518" s="654"/>
      <c r="C518" s="638">
        <f>SUM(B172,B342,B513)</f>
        <v>0</v>
      </c>
      <c r="D518" s="639"/>
      <c r="E518" s="653" t="s">
        <v>277</v>
      </c>
      <c r="F518" s="654"/>
      <c r="G518" s="646">
        <f>IF(ISERROR(C518/C517),"",C518/C517)</f>
        <v>0</v>
      </c>
      <c r="H518" s="646"/>
      <c r="I518" s="643" t="s">
        <v>278</v>
      </c>
      <c r="J518" s="685"/>
      <c r="K518" s="655">
        <f>SUM(I172,I342,I513)</f>
        <v>0</v>
      </c>
      <c r="L518" s="655"/>
      <c r="M518" s="685" t="s">
        <v>279</v>
      </c>
      <c r="N518" s="685"/>
      <c r="O518" s="683">
        <f t="array" ref="O518">IF(ISERROR(K518/C516),"",K518/C516)</f>
        <v>0</v>
      </c>
      <c r="P518" s="684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532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653" t="s">
        <v>298</v>
      </c>
      <c r="B520" s="654"/>
      <c r="C520" s="653" t="s">
        <v>299</v>
      </c>
      <c r="D520" s="654"/>
      <c r="E520" s="653" t="s">
        <v>256</v>
      </c>
      <c r="F520" s="654"/>
      <c r="G520" s="686" t="s">
        <v>254</v>
      </c>
      <c r="H520" s="687"/>
      <c r="I520" s="653" t="s">
        <v>255</v>
      </c>
      <c r="J520" s="651"/>
      <c r="K520" s="653" t="s">
        <v>300</v>
      </c>
      <c r="L520" s="654"/>
      <c r="M520" s="653" t="s">
        <v>256</v>
      </c>
      <c r="N520" s="654"/>
      <c r="O520" s="643" t="s">
        <v>257</v>
      </c>
      <c r="P520" s="643"/>
      <c r="Q520" s="653" t="s">
        <v>300</v>
      </c>
      <c r="R520" s="654"/>
      <c r="S520" s="653" t="s">
        <v>256</v>
      </c>
      <c r="T520" s="654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692" t="s">
        <v>201</v>
      </c>
      <c r="B521" s="654"/>
      <c r="C521" s="653">
        <f>SUM(G28,G198,G368)</f>
        <v>466</v>
      </c>
      <c r="D521" s="654"/>
      <c r="E521" s="693">
        <f>IF(ISERROR(C521/C527),"",C521/C527)</f>
        <v>6.7418981481481483E-2</v>
      </c>
      <c r="F521" s="694"/>
      <c r="G521" s="688"/>
      <c r="H521" s="689"/>
      <c r="I521" s="695" t="s">
        <v>301</v>
      </c>
      <c r="J521" s="696"/>
      <c r="K521" s="650">
        <f t="shared" ref="K521:K526" si="237">SUM(R165,U335,U506)</f>
        <v>0</v>
      </c>
      <c r="L521" s="651"/>
      <c r="M521" s="693" t="str">
        <f t="array" ref="M521">IF(ISERROR(K521/K527),"",K521/K527)</f>
        <v/>
      </c>
      <c r="N521" s="694"/>
      <c r="O521" s="643" t="s">
        <v>259</v>
      </c>
      <c r="P521" s="643"/>
      <c r="Q521" s="680">
        <f t="shared" ref="Q521:Q526" si="238">SUM(X165,AA335,AA506)</f>
        <v>0</v>
      </c>
      <c r="R521" s="681"/>
      <c r="S521" s="693" t="str">
        <f t="array" ref="S521">IF(ISERROR(Q521/Q527),"",Q521/Q527)</f>
        <v/>
      </c>
      <c r="T521" s="694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692" t="s">
        <v>216</v>
      </c>
      <c r="B522" s="654"/>
      <c r="C522" s="653">
        <f>SUM(G86,G256,G426)</f>
        <v>3148</v>
      </c>
      <c r="D522" s="654"/>
      <c r="E522" s="693">
        <f>IF(ISERROR(C522/C527),"",C522/C527)</f>
        <v>0.45543981481481483</v>
      </c>
      <c r="F522" s="694"/>
      <c r="G522" s="688"/>
      <c r="H522" s="689"/>
      <c r="I522" s="695" t="s">
        <v>302</v>
      </c>
      <c r="J522" s="696"/>
      <c r="K522" s="650">
        <f t="shared" si="237"/>
        <v>0</v>
      </c>
      <c r="L522" s="651"/>
      <c r="M522" s="693" t="str">
        <f>IF(ISERROR(K522/K527),"",K522/K527)</f>
        <v/>
      </c>
      <c r="N522" s="694"/>
      <c r="O522" s="643" t="s">
        <v>261</v>
      </c>
      <c r="P522" s="643"/>
      <c r="Q522" s="680">
        <f t="shared" si="238"/>
        <v>0</v>
      </c>
      <c r="R522" s="681"/>
      <c r="S522" s="693" t="str">
        <f>IF(ISERROR(Q522/Q527),"",Q522/Q527)</f>
        <v/>
      </c>
      <c r="T522" s="694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692" t="s">
        <v>224</v>
      </c>
      <c r="B523" s="654"/>
      <c r="C523" s="653">
        <f>SUM(G121,G291,G461)</f>
        <v>2063</v>
      </c>
      <c r="D523" s="654"/>
      <c r="E523" s="693">
        <f>IF(ISERROR(C523/C527),"",C523/C527)</f>
        <v>0.29846643518518517</v>
      </c>
      <c r="F523" s="694"/>
      <c r="G523" s="688"/>
      <c r="H523" s="689"/>
      <c r="I523" s="695" t="s">
        <v>303</v>
      </c>
      <c r="J523" s="696"/>
      <c r="K523" s="650">
        <f t="shared" si="237"/>
        <v>0</v>
      </c>
      <c r="L523" s="651"/>
      <c r="M523" s="693" t="str">
        <f>IF(ISERROR(K523/K527),"",K523/K527)</f>
        <v/>
      </c>
      <c r="N523" s="694"/>
      <c r="O523" s="643" t="s">
        <v>263</v>
      </c>
      <c r="P523" s="643"/>
      <c r="Q523" s="680">
        <f t="shared" si="238"/>
        <v>0</v>
      </c>
      <c r="R523" s="681"/>
      <c r="S523" s="693" t="str">
        <f>IF(ISERROR(Q523/Q527),"",Q523/Q527)</f>
        <v/>
      </c>
      <c r="T523" s="694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692" t="s">
        <v>231</v>
      </c>
      <c r="B524" s="654"/>
      <c r="C524" s="653">
        <f>SUM(G137,G307,G477)</f>
        <v>1056</v>
      </c>
      <c r="D524" s="654"/>
      <c r="E524" s="693">
        <f>IF(ISERROR(C524/C527),"",C524/C527)</f>
        <v>0.15277777777777779</v>
      </c>
      <c r="F524" s="694"/>
      <c r="G524" s="688"/>
      <c r="H524" s="689"/>
      <c r="I524" s="695" t="s">
        <v>304</v>
      </c>
      <c r="J524" s="696"/>
      <c r="K524" s="650">
        <f t="shared" si="237"/>
        <v>0</v>
      </c>
      <c r="L524" s="651"/>
      <c r="M524" s="693" t="str">
        <f>IF(ISERROR(K524/K527),"",K524/K527)</f>
        <v/>
      </c>
      <c r="N524" s="694"/>
      <c r="O524" s="643" t="s">
        <v>305</v>
      </c>
      <c r="P524" s="643"/>
      <c r="Q524" s="680">
        <f t="shared" si="238"/>
        <v>0</v>
      </c>
      <c r="R524" s="681"/>
      <c r="S524" s="693" t="str">
        <f>IF(ISERROR(Q524/Q527),"",Q524/Q527)</f>
        <v/>
      </c>
      <c r="T524" s="694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92" t="s">
        <v>234</v>
      </c>
      <c r="B525" s="654"/>
      <c r="C525" s="653">
        <f>SUM(G147,G317,G487)</f>
        <v>35</v>
      </c>
      <c r="D525" s="654"/>
      <c r="E525" s="693">
        <f>IF(ISERROR(C525/C527),"",C525/C527)</f>
        <v>5.0636574074074073E-3</v>
      </c>
      <c r="F525" s="694"/>
      <c r="G525" s="688"/>
      <c r="H525" s="689"/>
      <c r="I525" s="695" t="s">
        <v>306</v>
      </c>
      <c r="J525" s="696"/>
      <c r="K525" s="650">
        <f t="shared" si="237"/>
        <v>0</v>
      </c>
      <c r="L525" s="651"/>
      <c r="M525" s="693" t="str">
        <f>IF(ISERROR(K525/K527),"",K525/K527)</f>
        <v/>
      </c>
      <c r="N525" s="694"/>
      <c r="O525" s="643" t="s">
        <v>267</v>
      </c>
      <c r="P525" s="643"/>
      <c r="Q525" s="680">
        <f t="shared" si="238"/>
        <v>0</v>
      </c>
      <c r="R525" s="681"/>
      <c r="S525" s="693" t="str">
        <f>IF(ISERROR(Q525/Q527),"",Q525/Q527)</f>
        <v/>
      </c>
      <c r="T525" s="694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92" t="s">
        <v>244</v>
      </c>
      <c r="B526" s="654"/>
      <c r="C526" s="653">
        <f>SUM(G162,G332,G503)</f>
        <v>144</v>
      </c>
      <c r="D526" s="654"/>
      <c r="E526" s="693">
        <f>IF(ISERROR(C526/C527),"",C526/C527)</f>
        <v>2.0833333333333332E-2</v>
      </c>
      <c r="F526" s="694"/>
      <c r="G526" s="688"/>
      <c r="H526" s="689"/>
      <c r="I526" s="695" t="s">
        <v>307</v>
      </c>
      <c r="J526" s="696"/>
      <c r="K526" s="650">
        <f t="shared" si="237"/>
        <v>0</v>
      </c>
      <c r="L526" s="651"/>
      <c r="M526" s="693" t="str">
        <f>IF(ISERROR(K526/K527),"",K526/K527)</f>
        <v/>
      </c>
      <c r="N526" s="694"/>
      <c r="O526" s="643" t="s">
        <v>272</v>
      </c>
      <c r="P526" s="643"/>
      <c r="Q526" s="680">
        <f t="shared" si="238"/>
        <v>0</v>
      </c>
      <c r="R526" s="681"/>
      <c r="S526" s="693" t="str">
        <f>IF(ISERROR(Q526/Q527),"",Q526/Q527)</f>
        <v/>
      </c>
      <c r="T526" s="694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53" t="s">
        <v>266</v>
      </c>
      <c r="B527" s="654"/>
      <c r="C527" s="653">
        <f>SUM(C521:C526)</f>
        <v>6912</v>
      </c>
      <c r="D527" s="654"/>
      <c r="E527" s="693">
        <f>SUM(E521:F526)</f>
        <v>1</v>
      </c>
      <c r="F527" s="694"/>
      <c r="G527" s="690"/>
      <c r="H527" s="691"/>
      <c r="I527" s="653" t="s">
        <v>266</v>
      </c>
      <c r="J527" s="651"/>
      <c r="K527" s="650">
        <f>SUM(R172,U342,U513)</f>
        <v>0</v>
      </c>
      <c r="L527" s="651"/>
      <c r="M527" s="693"/>
      <c r="N527" s="694"/>
      <c r="O527" s="643" t="s">
        <v>266</v>
      </c>
      <c r="P527" s="643"/>
      <c r="Q527" s="680">
        <f>SUM(Q521:R526)</f>
        <v>0</v>
      </c>
      <c r="R527" s="681"/>
      <c r="S527" s="693">
        <f>SUM(S521:T526)</f>
        <v>0</v>
      </c>
      <c r="T527" s="694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695" t="s">
        <v>308</v>
      </c>
      <c r="B529" s="649"/>
      <c r="C529" s="523" t="s">
        <v>309</v>
      </c>
      <c r="D529" s="523" t="s">
        <v>310</v>
      </c>
      <c r="E529" s="523" t="s">
        <v>311</v>
      </c>
      <c r="F529" s="523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524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533" t="s">
        <v>322</v>
      </c>
      <c r="Q529" s="129" t="s">
        <v>323</v>
      </c>
      <c r="R529" s="109" t="s">
        <v>324</v>
      </c>
      <c r="S529" s="523" t="s">
        <v>325</v>
      </c>
      <c r="T529" s="523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697" t="s">
        <v>327</v>
      </c>
      <c r="B530" s="698"/>
      <c r="C530" s="106">
        <f>D530+E530+F530-G530-O530-P530</f>
        <v>33</v>
      </c>
      <c r="D530" s="106">
        <f>+'16'!C530</f>
        <v>33</v>
      </c>
      <c r="E530" s="106"/>
      <c r="F530" s="106"/>
      <c r="G530" s="107"/>
      <c r="H530" s="106"/>
      <c r="I530" s="106"/>
      <c r="J530" s="106">
        <f>C530-H530-I530</f>
        <v>33</v>
      </c>
      <c r="K530" s="106"/>
      <c r="L530" s="106"/>
      <c r="M530" s="106"/>
      <c r="N530" s="106"/>
      <c r="O530" s="106"/>
      <c r="P530" s="108"/>
      <c r="Q530" s="106">
        <f>J530-K530-L530</f>
        <v>33</v>
      </c>
      <c r="R530" s="109">
        <f>Q530*11-M530-N530</f>
        <v>363</v>
      </c>
      <c r="S530" s="526">
        <f t="array" ref="S530">IF(ISERROR(Q530/J530),"",Q530/J530)</f>
        <v>1</v>
      </c>
      <c r="T530" s="526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697" t="s">
        <v>328</v>
      </c>
      <c r="B531" s="698"/>
      <c r="C531" s="106">
        <f>D531+E531+F531-G531-O531-P531</f>
        <v>31</v>
      </c>
      <c r="D531" s="106">
        <f>+'16'!C531</f>
        <v>31</v>
      </c>
      <c r="E531" s="110"/>
      <c r="F531" s="110"/>
      <c r="G531" s="107"/>
      <c r="H531" s="106"/>
      <c r="I531" s="106"/>
      <c r="J531" s="106">
        <f>C531-H531-I531</f>
        <v>31</v>
      </c>
      <c r="K531" s="106"/>
      <c r="L531" s="106"/>
      <c r="M531" s="106"/>
      <c r="N531" s="106"/>
      <c r="O531" s="110"/>
      <c r="P531" s="111"/>
      <c r="Q531" s="106">
        <f>J531-K531-L531</f>
        <v>31</v>
      </c>
      <c r="R531" s="109">
        <f>Q531*11-M531-N531</f>
        <v>341</v>
      </c>
      <c r="S531" s="526">
        <f t="array" ref="S531">IF(ISERROR(Q531/J531),"",Q531/J531)</f>
        <v>1</v>
      </c>
      <c r="T531" s="526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697" t="s">
        <v>329</v>
      </c>
      <c r="B532" s="698"/>
      <c r="C532" s="106">
        <f>D532+E532+F532-G532-O532-P532</f>
        <v>10</v>
      </c>
      <c r="D532" s="106">
        <f>+'16'!C532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526">
        <f t="array" ref="S532">IF(ISERROR(Q532/J532),"",Q532/J532)</f>
        <v>1</v>
      </c>
      <c r="T532" s="526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699" t="s">
        <v>330</v>
      </c>
      <c r="B533" s="700"/>
      <c r="C533" s="112">
        <f>SUM(C530:C532)</f>
        <v>74</v>
      </c>
      <c r="D533" s="112">
        <f t="shared" ref="D533:N533" si="239">SUM(D530:D532)</f>
        <v>74</v>
      </c>
      <c r="E533" s="112">
        <f t="shared" si="239"/>
        <v>0</v>
      </c>
      <c r="F533" s="112">
        <f t="shared" si="239"/>
        <v>0</v>
      </c>
      <c r="G533" s="113">
        <f t="shared" si="239"/>
        <v>0</v>
      </c>
      <c r="H533" s="112">
        <f t="shared" si="239"/>
        <v>0</v>
      </c>
      <c r="I533" s="112">
        <f t="shared" si="239"/>
        <v>0</v>
      </c>
      <c r="J533" s="112">
        <f t="shared" si="239"/>
        <v>74</v>
      </c>
      <c r="K533" s="112">
        <f t="shared" si="239"/>
        <v>0</v>
      </c>
      <c r="L533" s="112">
        <f t="shared" si="239"/>
        <v>0</v>
      </c>
      <c r="M533" s="112">
        <f t="shared" si="239"/>
        <v>0</v>
      </c>
      <c r="N533" s="112">
        <f t="shared" si="239"/>
        <v>0</v>
      </c>
      <c r="O533" s="112">
        <f>SUM(O530:O532)</f>
        <v>0</v>
      </c>
      <c r="P533" s="112">
        <f>SUM(P530:P532)</f>
        <v>0</v>
      </c>
      <c r="Q533" s="112">
        <f>SUM(Q530:Q532)</f>
        <v>74</v>
      </c>
      <c r="R533" s="114">
        <f>SUM(R530:R532)</f>
        <v>814</v>
      </c>
      <c r="S533" s="115">
        <f t="array" ref="S533">IF(ISERROR(Q533/J533),"",Q533/J533)</f>
        <v>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525" activePane="bottomRight" state="frozen"/>
      <selection activeCell="F484" sqref="F484"/>
      <selection pane="topRight" activeCell="F484" sqref="F484"/>
      <selection pane="bottomLeft" activeCell="F484" sqref="F484"/>
      <selection pane="bottomRight" activeCell="E335" sqref="E335:F335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84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07" t="s">
        <v>413</v>
      </c>
      <c r="B1" s="607"/>
      <c r="C1" s="607"/>
      <c r="D1" s="607"/>
      <c r="E1" s="607"/>
      <c r="F1" s="607"/>
      <c r="G1" s="607"/>
      <c r="H1" s="607"/>
      <c r="I1" s="607"/>
      <c r="J1" s="607"/>
      <c r="K1" s="607"/>
      <c r="L1" s="607"/>
      <c r="M1" s="607"/>
      <c r="N1" s="607"/>
      <c r="O1" s="607"/>
      <c r="P1" s="607"/>
      <c r="Q1" s="607"/>
      <c r="R1" s="607"/>
      <c r="S1" s="607"/>
      <c r="T1" s="607"/>
      <c r="U1" s="607"/>
      <c r="V1" s="607"/>
      <c r="W1" s="607"/>
      <c r="X1" s="607"/>
      <c r="Y1" s="607"/>
      <c r="Z1" s="607"/>
      <c r="AA1" s="607"/>
    </row>
    <row r="2" spans="1:27" ht="18.75">
      <c r="A2" s="608"/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</row>
    <row r="3" spans="1:27" ht="30.75" customHeight="1">
      <c r="A3" s="185" t="s">
        <v>506</v>
      </c>
      <c r="B3" s="186"/>
      <c r="C3" s="122"/>
      <c r="D3" s="124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09" t="s">
        <v>12</v>
      </c>
      <c r="B4" s="609" t="s">
        <v>25</v>
      </c>
      <c r="C4" s="609" t="s">
        <v>26</v>
      </c>
      <c r="D4" s="704" t="s">
        <v>27</v>
      </c>
      <c r="E4" s="612" t="s">
        <v>28</v>
      </c>
      <c r="F4" s="615" t="s">
        <v>29</v>
      </c>
      <c r="G4" s="618" t="s">
        <v>30</v>
      </c>
      <c r="H4" s="618"/>
      <c r="I4" s="609" t="s">
        <v>31</v>
      </c>
      <c r="J4" s="621" t="s">
        <v>32</v>
      </c>
      <c r="K4" s="624" t="s">
        <v>33</v>
      </c>
      <c r="L4" s="609" t="s">
        <v>34</v>
      </c>
      <c r="M4" s="627" t="s">
        <v>35</v>
      </c>
      <c r="N4" s="629" t="s">
        <v>36</v>
      </c>
      <c r="O4" s="618" t="s">
        <v>37</v>
      </c>
      <c r="P4" s="618"/>
      <c r="Q4" s="618"/>
      <c r="R4" s="618"/>
      <c r="S4" s="618"/>
      <c r="T4" s="618"/>
      <c r="U4" s="618"/>
      <c r="V4" s="618" t="s">
        <v>38</v>
      </c>
      <c r="W4" s="629" t="s">
        <v>39</v>
      </c>
      <c r="X4" s="618" t="s">
        <v>40</v>
      </c>
      <c r="Y4" s="618"/>
      <c r="Z4" s="618"/>
      <c r="AA4" s="618"/>
    </row>
    <row r="5" spans="1:27" s="104" customFormat="1" ht="15" customHeight="1">
      <c r="A5" s="610"/>
      <c r="B5" s="610"/>
      <c r="C5" s="610"/>
      <c r="D5" s="705"/>
      <c r="E5" s="613"/>
      <c r="F5" s="616"/>
      <c r="G5" s="618"/>
      <c r="H5" s="618"/>
      <c r="I5" s="610"/>
      <c r="J5" s="622"/>
      <c r="K5" s="625"/>
      <c r="L5" s="610"/>
      <c r="M5" s="628"/>
      <c r="N5" s="629"/>
      <c r="O5" s="618" t="s">
        <v>41</v>
      </c>
      <c r="P5" s="618" t="s">
        <v>42</v>
      </c>
      <c r="Q5" s="618" t="s">
        <v>43</v>
      </c>
      <c r="R5" s="619" t="s">
        <v>44</v>
      </c>
      <c r="S5" s="620" t="s">
        <v>45</v>
      </c>
      <c r="T5" s="618" t="s">
        <v>46</v>
      </c>
      <c r="U5" s="618" t="s">
        <v>47</v>
      </c>
      <c r="V5" s="618"/>
      <c r="W5" s="629"/>
      <c r="X5" s="618" t="s">
        <v>13</v>
      </c>
      <c r="Y5" s="618" t="s">
        <v>48</v>
      </c>
      <c r="Z5" s="618" t="s">
        <v>49</v>
      </c>
      <c r="AA5" s="618" t="s">
        <v>47</v>
      </c>
    </row>
    <row r="6" spans="1:27" s="104" customFormat="1" ht="27.75" customHeight="1">
      <c r="A6" s="611"/>
      <c r="B6" s="611"/>
      <c r="C6" s="611"/>
      <c r="D6" s="706"/>
      <c r="E6" s="614"/>
      <c r="F6" s="617"/>
      <c r="G6" s="350" t="s">
        <v>50</v>
      </c>
      <c r="H6" s="522" t="s">
        <v>51</v>
      </c>
      <c r="I6" s="611"/>
      <c r="J6" s="623"/>
      <c r="K6" s="626"/>
      <c r="L6" s="611"/>
      <c r="M6" s="628"/>
      <c r="N6" s="629"/>
      <c r="O6" s="618"/>
      <c r="P6" s="618"/>
      <c r="Q6" s="618"/>
      <c r="R6" s="619"/>
      <c r="S6" s="620"/>
      <c r="T6" s="618"/>
      <c r="U6" s="618"/>
      <c r="V6" s="618"/>
      <c r="W6" s="629"/>
      <c r="X6" s="618"/>
      <c r="Y6" s="618"/>
      <c r="Z6" s="618"/>
      <c r="AA6" s="618"/>
    </row>
    <row r="7" spans="1:27" ht="20.100000000000001" hidden="1" customHeight="1">
      <c r="A7" s="299">
        <v>30100030</v>
      </c>
      <c r="B7" s="525" t="s">
        <v>178</v>
      </c>
      <c r="C7" s="126" t="s">
        <v>179</v>
      </c>
      <c r="D7" s="128">
        <v>5.03</v>
      </c>
      <c r="E7" s="108"/>
      <c r="F7" s="127"/>
      <c r="G7" s="128"/>
      <c r="H7" s="533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524"/>
      <c r="P7" s="524"/>
      <c r="Q7" s="524"/>
      <c r="R7" s="524"/>
      <c r="S7" s="524"/>
      <c r="T7" s="524"/>
      <c r="U7" s="524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28">
        <v>5.03</v>
      </c>
      <c r="E8" s="108"/>
      <c r="F8" s="127"/>
      <c r="G8" s="128"/>
      <c r="H8" s="533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524"/>
      <c r="Q8" s="524"/>
      <c r="R8" s="524"/>
      <c r="S8" s="524"/>
      <c r="T8" s="524"/>
      <c r="U8" s="524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28">
        <v>5.03</v>
      </c>
      <c r="E9" s="108"/>
      <c r="F9" s="127"/>
      <c r="G9" s="128"/>
      <c r="H9" s="533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524"/>
      <c r="P9" s="524"/>
      <c r="Q9" s="524"/>
      <c r="R9" s="524"/>
      <c r="S9" s="524"/>
      <c r="T9" s="524"/>
      <c r="U9" s="524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28">
        <v>5.03</v>
      </c>
      <c r="E10" s="108"/>
      <c r="F10" s="127"/>
      <c r="G10" s="128"/>
      <c r="H10" s="533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524"/>
      <c r="P10" s="524"/>
      <c r="Q10" s="524"/>
      <c r="R10" s="524"/>
      <c r="S10" s="524"/>
      <c r="T10" s="524"/>
      <c r="U10" s="524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28">
        <v>5.03</v>
      </c>
      <c r="E11" s="108"/>
      <c r="F11" s="127"/>
      <c r="G11" s="128"/>
      <c r="H11" s="533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524"/>
      <c r="P11" s="524"/>
      <c r="Q11" s="524"/>
      <c r="R11" s="524"/>
      <c r="S11" s="524"/>
      <c r="T11" s="524"/>
      <c r="U11" s="524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customHeight="1">
      <c r="A12" s="299">
        <v>30100052</v>
      </c>
      <c r="B12" s="134" t="s">
        <v>184</v>
      </c>
      <c r="C12" s="126" t="s">
        <v>179</v>
      </c>
      <c r="D12" s="128">
        <v>5.04</v>
      </c>
      <c r="E12" s="108"/>
      <c r="F12" s="136">
        <v>42715</v>
      </c>
      <c r="G12" s="537">
        <v>9</v>
      </c>
      <c r="H12" s="533">
        <f t="shared" si="0"/>
        <v>45.36</v>
      </c>
      <c r="I12" s="129">
        <v>0.5</v>
      </c>
      <c r="J12" s="130">
        <f t="array" ref="J12">IF(ISERROR(G12/I12),"",G12/I12)</f>
        <v>18</v>
      </c>
      <c r="K12" s="131">
        <f t="array" ref="K12">IF(ISERROR(G12/L12),"",G12/L12)</f>
        <v>0.47368421052631576</v>
      </c>
      <c r="L12" s="129">
        <v>19</v>
      </c>
      <c r="M12" s="109">
        <f t="shared" si="1"/>
        <v>2.6315789473684237E-2</v>
      </c>
      <c r="N12" s="130">
        <f t="shared" si="4"/>
        <v>0</v>
      </c>
      <c r="O12" s="524"/>
      <c r="P12" s="524"/>
      <c r="Q12" s="524"/>
      <c r="R12" s="524"/>
      <c r="S12" s="524"/>
      <c r="T12" s="524"/>
      <c r="U12" s="524"/>
      <c r="V12" s="132">
        <f t="shared" si="2"/>
        <v>0</v>
      </c>
      <c r="W12" s="133">
        <f t="shared" si="3"/>
        <v>0</v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28">
        <v>5.03</v>
      </c>
      <c r="E13" s="108"/>
      <c r="F13" s="127"/>
      <c r="G13" s="536"/>
      <c r="H13" s="533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524"/>
      <c r="P13" s="524"/>
      <c r="Q13" s="524"/>
      <c r="R13" s="524"/>
      <c r="S13" s="524"/>
      <c r="T13" s="524"/>
      <c r="U13" s="524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28">
        <v>5.03</v>
      </c>
      <c r="E14" s="108"/>
      <c r="F14" s="127"/>
      <c r="G14" s="536"/>
      <c r="H14" s="533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524"/>
      <c r="P14" s="524"/>
      <c r="Q14" s="524"/>
      <c r="R14" s="524"/>
      <c r="S14" s="524"/>
      <c r="T14" s="524"/>
      <c r="U14" s="524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28">
        <v>5.04</v>
      </c>
      <c r="E15" s="108"/>
      <c r="F15" s="139"/>
      <c r="G15" s="536"/>
      <c r="H15" s="533">
        <f t="shared" si="0"/>
        <v>0</v>
      </c>
      <c r="I15" s="533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524"/>
      <c r="P15" s="524"/>
      <c r="Q15" s="524"/>
      <c r="R15" s="524"/>
      <c r="S15" s="524"/>
      <c r="T15" s="524"/>
      <c r="U15" s="524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28">
        <v>5.04</v>
      </c>
      <c r="E16" s="108"/>
      <c r="F16" s="126"/>
      <c r="G16" s="536"/>
      <c r="H16" s="533">
        <f t="shared" si="0"/>
        <v>0</v>
      </c>
      <c r="I16" s="533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524"/>
      <c r="P16" s="524"/>
      <c r="Q16" s="524"/>
      <c r="R16" s="524"/>
      <c r="S16" s="524"/>
      <c r="T16" s="524"/>
      <c r="U16" s="524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28">
        <v>5.03</v>
      </c>
      <c r="E17" s="108"/>
      <c r="F17" s="127"/>
      <c r="G17" s="536"/>
      <c r="H17" s="533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524"/>
      <c r="P17" s="524"/>
      <c r="Q17" s="524"/>
      <c r="R17" s="524"/>
      <c r="S17" s="524"/>
      <c r="T17" s="524"/>
      <c r="U17" s="524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28">
        <v>5.03</v>
      </c>
      <c r="E18" s="108"/>
      <c r="F18" s="127"/>
      <c r="G18" s="536"/>
      <c r="H18" s="533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524"/>
      <c r="P18" s="524"/>
      <c r="Q18" s="524"/>
      <c r="R18" s="524"/>
      <c r="S18" s="524"/>
      <c r="T18" s="524"/>
      <c r="U18" s="524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28">
        <v>5.0599999999999996</v>
      </c>
      <c r="E19" s="108"/>
      <c r="F19" s="127"/>
      <c r="G19" s="536"/>
      <c r="H19" s="533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524"/>
      <c r="P19" s="524"/>
      <c r="Q19" s="524"/>
      <c r="R19" s="524"/>
      <c r="S19" s="524"/>
      <c r="T19" s="524"/>
      <c r="U19" s="524"/>
      <c r="V19" s="132">
        <f t="shared" ref="V19:V21" si="5">SUM(X19:AA19)</f>
        <v>0</v>
      </c>
      <c r="W19" s="527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197</v>
      </c>
      <c r="C20" s="126" t="s">
        <v>189</v>
      </c>
      <c r="D20" s="128">
        <v>5.09</v>
      </c>
      <c r="E20" s="108"/>
      <c r="F20" s="127">
        <v>42718</v>
      </c>
      <c r="G20" s="536">
        <v>98</v>
      </c>
      <c r="H20" s="533">
        <f t="shared" si="0"/>
        <v>498.82</v>
      </c>
      <c r="I20" s="129">
        <v>4.5</v>
      </c>
      <c r="J20" s="130">
        <f t="array" ref="J20">IF(ISERROR(G20/I20),"",G20/I20)</f>
        <v>21.777777777777779</v>
      </c>
      <c r="K20" s="131">
        <f t="array" ref="K20">IF(ISERROR(G20/L20),"",G20/L20)</f>
        <v>4.2608695652173916</v>
      </c>
      <c r="L20" s="129">
        <v>23</v>
      </c>
      <c r="M20" s="109">
        <f t="shared" si="1"/>
        <v>0.23913043478260843</v>
      </c>
      <c r="N20" s="130">
        <f t="shared" si="4"/>
        <v>0</v>
      </c>
      <c r="O20" s="524"/>
      <c r="P20" s="524"/>
      <c r="Q20" s="524"/>
      <c r="R20" s="524"/>
      <c r="S20" s="524"/>
      <c r="T20" s="524"/>
      <c r="U20" s="524"/>
      <c r="V20" s="132">
        <f t="shared" si="5"/>
        <v>0</v>
      </c>
      <c r="W20" s="133">
        <f t="shared" si="6"/>
        <v>0</v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28">
        <v>5.09</v>
      </c>
      <c r="E21" s="108"/>
      <c r="F21" s="127"/>
      <c r="G21" s="128"/>
      <c r="H21" s="533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524"/>
      <c r="P21" s="524"/>
      <c r="Q21" s="524"/>
      <c r="R21" s="524"/>
      <c r="S21" s="524"/>
      <c r="T21" s="524"/>
      <c r="U21" s="524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523" t="s">
        <v>190</v>
      </c>
      <c r="D22" s="128">
        <v>4.8</v>
      </c>
      <c r="E22" s="108"/>
      <c r="F22" s="127"/>
      <c r="G22" s="128"/>
      <c r="H22" s="533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524"/>
      <c r="P22" s="524"/>
      <c r="Q22" s="524"/>
      <c r="R22" s="524"/>
      <c r="S22" s="524"/>
      <c r="T22" s="524"/>
      <c r="U22" s="524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523" t="s">
        <v>187</v>
      </c>
      <c r="D23" s="128">
        <v>4.8</v>
      </c>
      <c r="E23" s="108"/>
      <c r="F23" s="127"/>
      <c r="G23" s="128"/>
      <c r="H23" s="533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524"/>
      <c r="P23" s="524"/>
      <c r="Q23" s="524"/>
      <c r="R23" s="524"/>
      <c r="S23" s="524"/>
      <c r="T23" s="524"/>
      <c r="U23" s="524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523" t="s">
        <v>179</v>
      </c>
      <c r="D24" s="128">
        <v>4.8</v>
      </c>
      <c r="E24" s="108"/>
      <c r="F24" s="127"/>
      <c r="G24" s="128"/>
      <c r="H24" s="533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524"/>
      <c r="P24" s="524"/>
      <c r="Q24" s="524"/>
      <c r="R24" s="524"/>
      <c r="S24" s="524"/>
      <c r="T24" s="524"/>
      <c r="U24" s="524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523" t="s">
        <v>199</v>
      </c>
      <c r="D25" s="128">
        <v>4.8</v>
      </c>
      <c r="E25" s="108"/>
      <c r="F25" s="127"/>
      <c r="G25" s="128"/>
      <c r="H25" s="533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524"/>
      <c r="P25" s="524"/>
      <c r="Q25" s="524"/>
      <c r="R25" s="524"/>
      <c r="S25" s="524"/>
      <c r="T25" s="524"/>
      <c r="U25" s="524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28">
        <v>4.99</v>
      </c>
      <c r="E26" s="108"/>
      <c r="F26" s="127"/>
      <c r="G26" s="128"/>
      <c r="H26" s="533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524"/>
      <c r="P26" s="524"/>
      <c r="Q26" s="524"/>
      <c r="R26" s="524"/>
      <c r="S26" s="524"/>
      <c r="T26" s="524"/>
      <c r="U26" s="524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28">
        <v>4.99</v>
      </c>
      <c r="E27" s="108"/>
      <c r="F27" s="142"/>
      <c r="G27" s="128"/>
      <c r="H27" s="533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524"/>
      <c r="P27" s="524"/>
      <c r="Q27" s="524"/>
      <c r="R27" s="524"/>
      <c r="S27" s="524"/>
      <c r="T27" s="524"/>
      <c r="U27" s="524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30" t="s">
        <v>201</v>
      </c>
      <c r="B28" s="631"/>
      <c r="C28" s="531" t="s">
        <v>202</v>
      </c>
      <c r="D28" s="145"/>
      <c r="E28" s="143"/>
      <c r="F28" s="144"/>
      <c r="G28" s="145">
        <f>SUM(G7:G27)</f>
        <v>107</v>
      </c>
      <c r="H28" s="146">
        <f>SUM(H7:H27)</f>
        <v>544.17999999999995</v>
      </c>
      <c r="I28" s="146">
        <f>SUM(I7:I27)</f>
        <v>5</v>
      </c>
      <c r="J28" s="130">
        <f t="array" ref="J28">IF(ISERROR(G28/I28),"",G28/I28)</f>
        <v>21.4</v>
      </c>
      <c r="K28" s="146">
        <f>SUM(K7:K27)</f>
        <v>4.7345537757437075</v>
      </c>
      <c r="L28" s="147"/>
      <c r="M28" s="146">
        <f t="shared" ref="M28:V28" si="10">SUM(M7:M27)</f>
        <v>0.26544622425629266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525" t="s">
        <v>206</v>
      </c>
      <c r="C29" s="126" t="s">
        <v>199</v>
      </c>
      <c r="D29" s="128">
        <v>5.03</v>
      </c>
      <c r="E29" s="108"/>
      <c r="F29" s="127"/>
      <c r="G29" s="128"/>
      <c r="H29" s="533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528"/>
      <c r="P29" s="528"/>
      <c r="Q29" s="528"/>
      <c r="R29" s="528"/>
      <c r="S29" s="528"/>
      <c r="T29" s="528"/>
      <c r="U29" s="528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525" t="s">
        <v>425</v>
      </c>
      <c r="C30" s="187" t="s">
        <v>427</v>
      </c>
      <c r="D30" s="128">
        <v>5.03</v>
      </c>
      <c r="E30" s="108"/>
      <c r="F30" s="127"/>
      <c r="G30" s="128"/>
      <c r="H30" s="533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528"/>
      <c r="P30" s="528"/>
      <c r="Q30" s="528"/>
      <c r="R30" s="528"/>
      <c r="S30" s="528"/>
      <c r="T30" s="528"/>
      <c r="U30" s="528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525" t="s">
        <v>206</v>
      </c>
      <c r="C31" s="126" t="s">
        <v>186</v>
      </c>
      <c r="D31" s="128">
        <v>5.03</v>
      </c>
      <c r="E31" s="108"/>
      <c r="F31" s="127"/>
      <c r="G31" s="128"/>
      <c r="H31" s="533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528"/>
      <c r="P31" s="528"/>
      <c r="Q31" s="528"/>
      <c r="R31" s="528"/>
      <c r="S31" s="528"/>
      <c r="T31" s="528"/>
      <c r="U31" s="528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525" t="s">
        <v>206</v>
      </c>
      <c r="C32" s="126" t="s">
        <v>203</v>
      </c>
      <c r="D32" s="128">
        <v>5.03</v>
      </c>
      <c r="E32" s="108"/>
      <c r="F32" s="127"/>
      <c r="G32" s="128"/>
      <c r="H32" s="533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528"/>
      <c r="P32" s="528"/>
      <c r="Q32" s="528"/>
      <c r="R32" s="528"/>
      <c r="S32" s="528"/>
      <c r="T32" s="528"/>
      <c r="U32" s="528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525" t="s">
        <v>206</v>
      </c>
      <c r="C33" s="126" t="s">
        <v>207</v>
      </c>
      <c r="D33" s="128">
        <v>5.03</v>
      </c>
      <c r="E33" s="108"/>
      <c r="F33" s="127"/>
      <c r="G33" s="128"/>
      <c r="H33" s="533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528"/>
      <c r="P33" s="528"/>
      <c r="Q33" s="528"/>
      <c r="R33" s="528"/>
      <c r="S33" s="528"/>
      <c r="T33" s="528"/>
      <c r="U33" s="528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525" t="s">
        <v>414</v>
      </c>
      <c r="C34" s="187" t="s">
        <v>415</v>
      </c>
      <c r="D34" s="128">
        <v>5.03</v>
      </c>
      <c r="E34" s="108"/>
      <c r="F34" s="127"/>
      <c r="G34" s="128"/>
      <c r="H34" s="533">
        <f t="shared" si="11"/>
        <v>0</v>
      </c>
      <c r="I34" s="129"/>
      <c r="J34" s="130"/>
      <c r="K34" s="131"/>
      <c r="L34" s="129">
        <v>52</v>
      </c>
      <c r="M34" s="109"/>
      <c r="N34" s="130"/>
      <c r="O34" s="528"/>
      <c r="P34" s="528"/>
      <c r="Q34" s="528"/>
      <c r="R34" s="528"/>
      <c r="S34" s="528"/>
      <c r="T34" s="528"/>
      <c r="U34" s="528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525" t="s">
        <v>414</v>
      </c>
      <c r="C35" s="187" t="s">
        <v>416</v>
      </c>
      <c r="D35" s="128">
        <v>5.03</v>
      </c>
      <c r="E35" s="108"/>
      <c r="F35" s="127"/>
      <c r="G35" s="128"/>
      <c r="H35" s="533">
        <f t="shared" si="11"/>
        <v>0</v>
      </c>
      <c r="I35" s="129"/>
      <c r="J35" s="130"/>
      <c r="K35" s="131"/>
      <c r="L35" s="129">
        <v>52</v>
      </c>
      <c r="M35" s="109"/>
      <c r="N35" s="130"/>
      <c r="O35" s="528"/>
      <c r="P35" s="528"/>
      <c r="Q35" s="528"/>
      <c r="R35" s="528"/>
      <c r="S35" s="528"/>
      <c r="T35" s="528"/>
      <c r="U35" s="528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525" t="s">
        <v>414</v>
      </c>
      <c r="C36" s="187" t="s">
        <v>61</v>
      </c>
      <c r="D36" s="128">
        <v>5.03</v>
      </c>
      <c r="E36" s="108"/>
      <c r="F36" s="127"/>
      <c r="G36" s="128"/>
      <c r="H36" s="533">
        <f t="shared" si="11"/>
        <v>0</v>
      </c>
      <c r="I36" s="129"/>
      <c r="J36" s="130"/>
      <c r="K36" s="131"/>
      <c r="L36" s="129">
        <v>52</v>
      </c>
      <c r="M36" s="109"/>
      <c r="N36" s="130"/>
      <c r="O36" s="528"/>
      <c r="P36" s="528"/>
      <c r="Q36" s="528"/>
      <c r="R36" s="528"/>
      <c r="S36" s="528"/>
      <c r="T36" s="528"/>
      <c r="U36" s="528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525" t="s">
        <v>208</v>
      </c>
      <c r="C37" s="126" t="s">
        <v>179</v>
      </c>
      <c r="D37" s="128">
        <v>5.08</v>
      </c>
      <c r="E37" s="108"/>
      <c r="F37" s="127"/>
      <c r="G37" s="128"/>
      <c r="H37" s="533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528"/>
      <c r="P37" s="528"/>
      <c r="Q37" s="528"/>
      <c r="R37" s="528"/>
      <c r="S37" s="528"/>
      <c r="T37" s="528"/>
      <c r="U37" s="528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525" t="s">
        <v>208</v>
      </c>
      <c r="C38" s="126" t="s">
        <v>204</v>
      </c>
      <c r="D38" s="128">
        <v>5.08</v>
      </c>
      <c r="E38" s="108"/>
      <c r="F38" s="127"/>
      <c r="G38" s="128"/>
      <c r="H38" s="533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528"/>
      <c r="P38" s="528"/>
      <c r="Q38" s="528"/>
      <c r="R38" s="528"/>
      <c r="S38" s="528"/>
      <c r="T38" s="528"/>
      <c r="U38" s="528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525" t="s">
        <v>208</v>
      </c>
      <c r="C39" s="126" t="s">
        <v>205</v>
      </c>
      <c r="D39" s="128">
        <v>5.08</v>
      </c>
      <c r="E39" s="108"/>
      <c r="F39" s="127"/>
      <c r="G39" s="128"/>
      <c r="H39" s="533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528"/>
      <c r="P39" s="528"/>
      <c r="Q39" s="528"/>
      <c r="R39" s="528"/>
      <c r="S39" s="528"/>
      <c r="T39" s="528"/>
      <c r="U39" s="528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525" t="s">
        <v>208</v>
      </c>
      <c r="C40" s="126" t="s">
        <v>186</v>
      </c>
      <c r="D40" s="128">
        <v>5.08</v>
      </c>
      <c r="E40" s="108"/>
      <c r="F40" s="127"/>
      <c r="G40" s="128"/>
      <c r="H40" s="533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528"/>
      <c r="P40" s="528"/>
      <c r="Q40" s="528"/>
      <c r="R40" s="528"/>
      <c r="S40" s="528"/>
      <c r="T40" s="528"/>
      <c r="U40" s="528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525" t="s">
        <v>208</v>
      </c>
      <c r="C41" s="126" t="s">
        <v>203</v>
      </c>
      <c r="D41" s="128">
        <v>5.08</v>
      </c>
      <c r="E41" s="108"/>
      <c r="F41" s="127"/>
      <c r="G41" s="128"/>
      <c r="H41" s="533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528"/>
      <c r="P41" s="528"/>
      <c r="Q41" s="528"/>
      <c r="R41" s="528"/>
      <c r="S41" s="528"/>
      <c r="T41" s="528"/>
      <c r="U41" s="528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525" t="s">
        <v>208</v>
      </c>
      <c r="C42" s="126" t="s">
        <v>199</v>
      </c>
      <c r="D42" s="128">
        <v>5.08</v>
      </c>
      <c r="E42" s="108"/>
      <c r="F42" s="127"/>
      <c r="G42" s="128"/>
      <c r="H42" s="533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524"/>
      <c r="P42" s="524"/>
      <c r="Q42" s="524"/>
      <c r="R42" s="524"/>
      <c r="S42" s="524"/>
      <c r="T42" s="524"/>
      <c r="U42" s="524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525" t="s">
        <v>208</v>
      </c>
      <c r="C43" s="126" t="s">
        <v>187</v>
      </c>
      <c r="D43" s="128">
        <v>5.08</v>
      </c>
      <c r="E43" s="108"/>
      <c r="F43" s="127"/>
      <c r="G43" s="128"/>
      <c r="H43" s="533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528"/>
      <c r="P43" s="528"/>
      <c r="Q43" s="528"/>
      <c r="R43" s="528"/>
      <c r="S43" s="528"/>
      <c r="T43" s="528"/>
      <c r="U43" s="528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525" t="s">
        <v>208</v>
      </c>
      <c r="C44" s="126" t="s">
        <v>207</v>
      </c>
      <c r="D44" s="128">
        <v>5.08</v>
      </c>
      <c r="E44" s="108"/>
      <c r="F44" s="127"/>
      <c r="G44" s="128"/>
      <c r="H44" s="533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524"/>
      <c r="P44" s="524"/>
      <c r="Q44" s="524"/>
      <c r="R44" s="524"/>
      <c r="S44" s="524"/>
      <c r="T44" s="524"/>
      <c r="U44" s="524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525" t="s">
        <v>209</v>
      </c>
      <c r="C45" s="126" t="s">
        <v>194</v>
      </c>
      <c r="D45" s="128">
        <v>5.03</v>
      </c>
      <c r="E45" s="108"/>
      <c r="F45" s="127"/>
      <c r="G45" s="128"/>
      <c r="H45" s="533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528"/>
      <c r="P45" s="528"/>
      <c r="Q45" s="528"/>
      <c r="R45" s="528"/>
      <c r="S45" s="528"/>
      <c r="T45" s="528"/>
      <c r="U45" s="528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525" t="s">
        <v>209</v>
      </c>
      <c r="C46" s="126" t="s">
        <v>179</v>
      </c>
      <c r="D46" s="128">
        <v>5.03</v>
      </c>
      <c r="E46" s="108"/>
      <c r="F46" s="127"/>
      <c r="G46" s="128"/>
      <c r="H46" s="533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528"/>
      <c r="P46" s="528"/>
      <c r="Q46" s="528"/>
      <c r="R46" s="528"/>
      <c r="S46" s="528"/>
      <c r="T46" s="528"/>
      <c r="U46" s="528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525" t="s">
        <v>209</v>
      </c>
      <c r="C47" s="126" t="s">
        <v>195</v>
      </c>
      <c r="D47" s="128">
        <v>5.03</v>
      </c>
      <c r="E47" s="108"/>
      <c r="F47" s="127"/>
      <c r="G47" s="128"/>
      <c r="H47" s="533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528"/>
      <c r="P47" s="528"/>
      <c r="Q47" s="528"/>
      <c r="R47" s="528"/>
      <c r="S47" s="528"/>
      <c r="T47" s="528"/>
      <c r="U47" s="528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525" t="s">
        <v>209</v>
      </c>
      <c r="C48" s="126" t="s">
        <v>204</v>
      </c>
      <c r="D48" s="128">
        <v>5.03</v>
      </c>
      <c r="E48" s="108"/>
      <c r="F48" s="127"/>
      <c r="G48" s="128"/>
      <c r="H48" s="533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528"/>
      <c r="P48" s="528"/>
      <c r="Q48" s="528"/>
      <c r="R48" s="528"/>
      <c r="S48" s="528"/>
      <c r="T48" s="528"/>
      <c r="U48" s="528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525" t="s">
        <v>382</v>
      </c>
      <c r="C49" s="187" t="s">
        <v>383</v>
      </c>
      <c r="D49" s="128">
        <v>5.03</v>
      </c>
      <c r="E49" s="108"/>
      <c r="F49" s="127"/>
      <c r="G49" s="128"/>
      <c r="H49" s="533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528"/>
      <c r="P49" s="528"/>
      <c r="Q49" s="528"/>
      <c r="R49" s="528"/>
      <c r="S49" s="528"/>
      <c r="T49" s="528"/>
      <c r="U49" s="528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525" t="s">
        <v>382</v>
      </c>
      <c r="C50" s="187" t="s">
        <v>384</v>
      </c>
      <c r="D50" s="128">
        <v>5.03</v>
      </c>
      <c r="E50" s="108"/>
      <c r="F50" s="127"/>
      <c r="G50" s="128"/>
      <c r="H50" s="533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528"/>
      <c r="P50" s="528"/>
      <c r="Q50" s="528"/>
      <c r="R50" s="528"/>
      <c r="S50" s="528"/>
      <c r="T50" s="528"/>
      <c r="U50" s="528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525" t="s">
        <v>382</v>
      </c>
      <c r="C51" s="187" t="s">
        <v>389</v>
      </c>
      <c r="D51" s="128">
        <v>5.03</v>
      </c>
      <c r="E51" s="108"/>
      <c r="F51" s="127"/>
      <c r="G51" s="128"/>
      <c r="H51" s="533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528"/>
      <c r="P51" s="528"/>
      <c r="Q51" s="528"/>
      <c r="R51" s="528"/>
      <c r="S51" s="528"/>
      <c r="T51" s="528"/>
      <c r="U51" s="528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525" t="s">
        <v>382</v>
      </c>
      <c r="C52" s="187" t="s">
        <v>391</v>
      </c>
      <c r="D52" s="128">
        <v>5.03</v>
      </c>
      <c r="E52" s="108"/>
      <c r="F52" s="127"/>
      <c r="G52" s="128"/>
      <c r="H52" s="533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528"/>
      <c r="P52" s="528"/>
      <c r="Q52" s="528"/>
      <c r="R52" s="528"/>
      <c r="S52" s="528"/>
      <c r="T52" s="528"/>
      <c r="U52" s="528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525" t="s">
        <v>418</v>
      </c>
      <c r="C53" s="187" t="s">
        <v>364</v>
      </c>
      <c r="D53" s="128">
        <v>5.03</v>
      </c>
      <c r="E53" s="108"/>
      <c r="F53" s="127"/>
      <c r="G53" s="128"/>
      <c r="H53" s="533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528"/>
      <c r="P53" s="528"/>
      <c r="Q53" s="528"/>
      <c r="R53" s="528"/>
      <c r="S53" s="528"/>
      <c r="T53" s="528"/>
      <c r="U53" s="528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525" t="s">
        <v>418</v>
      </c>
      <c r="C54" s="187" t="s">
        <v>365</v>
      </c>
      <c r="D54" s="128">
        <v>5.03</v>
      </c>
      <c r="E54" s="108"/>
      <c r="F54" s="127"/>
      <c r="G54" s="128"/>
      <c r="H54" s="533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528"/>
      <c r="P54" s="528"/>
      <c r="Q54" s="528"/>
      <c r="R54" s="528"/>
      <c r="S54" s="528"/>
      <c r="T54" s="528"/>
      <c r="U54" s="528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525" t="s">
        <v>418</v>
      </c>
      <c r="C55" s="187" t="s">
        <v>366</v>
      </c>
      <c r="D55" s="128">
        <v>5.03</v>
      </c>
      <c r="E55" s="108"/>
      <c r="F55" s="127"/>
      <c r="G55" s="128"/>
      <c r="H55" s="533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528"/>
      <c r="P55" s="528"/>
      <c r="Q55" s="528"/>
      <c r="R55" s="528"/>
      <c r="S55" s="528"/>
      <c r="T55" s="528"/>
      <c r="U55" s="528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525" t="s">
        <v>418</v>
      </c>
      <c r="C56" s="187" t="s">
        <v>367</v>
      </c>
      <c r="D56" s="128">
        <v>5.03</v>
      </c>
      <c r="E56" s="108"/>
      <c r="F56" s="127"/>
      <c r="G56" s="128"/>
      <c r="H56" s="533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528"/>
      <c r="P56" s="528"/>
      <c r="Q56" s="528"/>
      <c r="R56" s="528"/>
      <c r="S56" s="528"/>
      <c r="T56" s="528"/>
      <c r="U56" s="528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28">
        <v>5.03</v>
      </c>
      <c r="E57" s="108"/>
      <c r="F57" s="127"/>
      <c r="G57" s="128"/>
      <c r="H57" s="533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524"/>
      <c r="P57" s="524"/>
      <c r="Q57" s="524"/>
      <c r="R57" s="524"/>
      <c r="S57" s="524"/>
      <c r="T57" s="524"/>
      <c r="U57" s="524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28">
        <v>5.03</v>
      </c>
      <c r="E58" s="108"/>
      <c r="F58" s="127"/>
      <c r="G58" s="128"/>
      <c r="H58" s="533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524"/>
      <c r="P58" s="524"/>
      <c r="Q58" s="524"/>
      <c r="R58" s="524"/>
      <c r="S58" s="524"/>
      <c r="T58" s="524"/>
      <c r="U58" s="524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28">
        <v>5.03</v>
      </c>
      <c r="E59" s="108"/>
      <c r="F59" s="127"/>
      <c r="G59" s="128"/>
      <c r="H59" s="533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524"/>
      <c r="P59" s="524"/>
      <c r="Q59" s="524"/>
      <c r="R59" s="524"/>
      <c r="S59" s="524"/>
      <c r="T59" s="524"/>
      <c r="U59" s="524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28">
        <v>5.03</v>
      </c>
      <c r="E60" s="108"/>
      <c r="F60" s="127"/>
      <c r="G60" s="128"/>
      <c r="H60" s="533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524"/>
      <c r="P60" s="524"/>
      <c r="Q60" s="524"/>
      <c r="R60" s="524"/>
      <c r="S60" s="524"/>
      <c r="T60" s="524"/>
      <c r="U60" s="524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28">
        <v>5.03</v>
      </c>
      <c r="E61" s="108"/>
      <c r="F61" s="127"/>
      <c r="G61" s="128"/>
      <c r="H61" s="533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524"/>
      <c r="P61" s="524"/>
      <c r="Q61" s="524"/>
      <c r="R61" s="524"/>
      <c r="S61" s="524"/>
      <c r="T61" s="524"/>
      <c r="U61" s="524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28">
        <v>5.03</v>
      </c>
      <c r="E62" s="108"/>
      <c r="F62" s="127"/>
      <c r="G62" s="128"/>
      <c r="H62" s="533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524"/>
      <c r="P62" s="524"/>
      <c r="Q62" s="524"/>
      <c r="R62" s="524"/>
      <c r="S62" s="524"/>
      <c r="T62" s="524"/>
      <c r="U62" s="524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28">
        <v>5.03</v>
      </c>
      <c r="E63" s="108"/>
      <c r="F63" s="127"/>
      <c r="G63" s="128"/>
      <c r="H63" s="533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524"/>
      <c r="P63" s="524"/>
      <c r="Q63" s="524"/>
      <c r="R63" s="524"/>
      <c r="S63" s="524"/>
      <c r="T63" s="524"/>
      <c r="U63" s="524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28">
        <v>5.03</v>
      </c>
      <c r="E64" s="108"/>
      <c r="F64" s="127"/>
      <c r="G64" s="128"/>
      <c r="H64" s="533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524"/>
      <c r="P64" s="524"/>
      <c r="Q64" s="524"/>
      <c r="R64" s="524"/>
      <c r="S64" s="524"/>
      <c r="T64" s="524"/>
      <c r="U64" s="524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28">
        <v>5.03</v>
      </c>
      <c r="E65" s="108"/>
      <c r="F65" s="127"/>
      <c r="G65" s="128"/>
      <c r="H65" s="533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524"/>
      <c r="P65" s="524"/>
      <c r="Q65" s="524"/>
      <c r="R65" s="524"/>
      <c r="S65" s="524"/>
      <c r="T65" s="524"/>
      <c r="U65" s="524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28">
        <v>5.03</v>
      </c>
      <c r="E66" s="108"/>
      <c r="F66" s="127"/>
      <c r="G66" s="128"/>
      <c r="H66" s="533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524"/>
      <c r="P66" s="524"/>
      <c r="Q66" s="524"/>
      <c r="R66" s="524"/>
      <c r="S66" s="524"/>
      <c r="T66" s="524"/>
      <c r="U66" s="524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28">
        <v>5.03</v>
      </c>
      <c r="E67" s="108"/>
      <c r="F67" s="127"/>
      <c r="G67" s="128"/>
      <c r="H67" s="533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524"/>
      <c r="P67" s="524"/>
      <c r="Q67" s="524"/>
      <c r="R67" s="524"/>
      <c r="S67" s="524"/>
      <c r="T67" s="524"/>
      <c r="U67" s="524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28">
        <v>5</v>
      </c>
      <c r="E68" s="108"/>
      <c r="F68" s="127"/>
      <c r="G68" s="128"/>
      <c r="H68" s="533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524"/>
      <c r="P68" s="524"/>
      <c r="Q68" s="524"/>
      <c r="R68" s="524"/>
      <c r="S68" s="524"/>
      <c r="T68" s="524"/>
      <c r="U68" s="524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28">
        <v>5.03</v>
      </c>
      <c r="E69" s="108"/>
      <c r="F69" s="127"/>
      <c r="G69" s="128"/>
      <c r="H69" s="533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524"/>
      <c r="P69" s="524"/>
      <c r="Q69" s="524"/>
      <c r="R69" s="524"/>
      <c r="S69" s="524"/>
      <c r="T69" s="524"/>
      <c r="U69" s="524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28">
        <v>5.03</v>
      </c>
      <c r="E70" s="108"/>
      <c r="F70" s="127"/>
      <c r="G70" s="128"/>
      <c r="H70" s="533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524"/>
      <c r="P70" s="524"/>
      <c r="Q70" s="524"/>
      <c r="R70" s="524"/>
      <c r="S70" s="524"/>
      <c r="T70" s="524"/>
      <c r="U70" s="524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28">
        <v>5.03</v>
      </c>
      <c r="E71" s="108"/>
      <c r="F71" s="127"/>
      <c r="G71" s="128"/>
      <c r="H71" s="533">
        <f t="shared" si="11"/>
        <v>0</v>
      </c>
      <c r="I71" s="129"/>
      <c r="J71" s="130"/>
      <c r="K71" s="131"/>
      <c r="L71" s="129"/>
      <c r="M71" s="109"/>
      <c r="N71" s="130"/>
      <c r="O71" s="524"/>
      <c r="P71" s="524"/>
      <c r="Q71" s="524"/>
      <c r="R71" s="524"/>
      <c r="S71" s="524"/>
      <c r="T71" s="524"/>
      <c r="U71" s="524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28">
        <v>5.0599999999999996</v>
      </c>
      <c r="E72" s="108"/>
      <c r="F72" s="127"/>
      <c r="G72" s="128"/>
      <c r="H72" s="533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524"/>
      <c r="P72" s="524"/>
      <c r="Q72" s="524"/>
      <c r="R72" s="524"/>
      <c r="S72" s="524"/>
      <c r="T72" s="524"/>
      <c r="U72" s="524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28">
        <v>5.0599999999999996</v>
      </c>
      <c r="E73" s="108"/>
      <c r="F73" s="127"/>
      <c r="G73" s="128"/>
      <c r="H73" s="533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524"/>
      <c r="P73" s="524"/>
      <c r="Q73" s="524"/>
      <c r="R73" s="524"/>
      <c r="S73" s="524"/>
      <c r="T73" s="524"/>
      <c r="U73" s="524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28">
        <v>5.0599999999999996</v>
      </c>
      <c r="E74" s="108"/>
      <c r="F74" s="127"/>
      <c r="G74" s="128"/>
      <c r="H74" s="533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524"/>
      <c r="P74" s="524"/>
      <c r="Q74" s="524"/>
      <c r="R74" s="524"/>
      <c r="S74" s="524"/>
      <c r="T74" s="524"/>
      <c r="U74" s="524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28">
        <v>5.0599999999999996</v>
      </c>
      <c r="E75" s="108"/>
      <c r="F75" s="127"/>
      <c r="G75" s="128"/>
      <c r="H75" s="533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524"/>
      <c r="P75" s="524"/>
      <c r="Q75" s="524"/>
      <c r="R75" s="524"/>
      <c r="S75" s="524"/>
      <c r="T75" s="524"/>
      <c r="U75" s="524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28">
        <v>5.5</v>
      </c>
      <c r="E76" s="108"/>
      <c r="F76" s="127"/>
      <c r="G76" s="128"/>
      <c r="H76" s="533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524"/>
      <c r="P76" s="524"/>
      <c r="Q76" s="524"/>
      <c r="R76" s="524"/>
      <c r="S76" s="524"/>
      <c r="T76" s="524"/>
      <c r="U76" s="524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28">
        <v>5.5</v>
      </c>
      <c r="E77" s="108"/>
      <c r="F77" s="127"/>
      <c r="G77" s="128"/>
      <c r="H77" s="533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524"/>
      <c r="P77" s="524"/>
      <c r="Q77" s="524"/>
      <c r="R77" s="524"/>
      <c r="S77" s="524"/>
      <c r="T77" s="524"/>
      <c r="U77" s="524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28">
        <v>5.5</v>
      </c>
      <c r="E78" s="108"/>
      <c r="F78" s="127"/>
      <c r="G78" s="128"/>
      <c r="H78" s="533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524"/>
      <c r="P78" s="524"/>
      <c r="Q78" s="524"/>
      <c r="R78" s="524"/>
      <c r="S78" s="524"/>
      <c r="T78" s="524"/>
      <c r="U78" s="524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28">
        <v>5.5</v>
      </c>
      <c r="E79" s="108"/>
      <c r="F79" s="127"/>
      <c r="G79" s="128"/>
      <c r="H79" s="533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524"/>
      <c r="P79" s="524"/>
      <c r="Q79" s="524"/>
      <c r="R79" s="524"/>
      <c r="S79" s="524"/>
      <c r="T79" s="524"/>
      <c r="U79" s="524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28">
        <v>5.03</v>
      </c>
      <c r="E80" s="108"/>
      <c r="F80" s="127"/>
      <c r="G80" s="128"/>
      <c r="H80" s="533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524"/>
      <c r="P80" s="524"/>
      <c r="Q80" s="524"/>
      <c r="R80" s="524"/>
      <c r="S80" s="524"/>
      <c r="T80" s="524"/>
      <c r="U80" s="524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28">
        <v>5.03</v>
      </c>
      <c r="E81" s="108"/>
      <c r="F81" s="127"/>
      <c r="G81" s="128"/>
      <c r="H81" s="533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524"/>
      <c r="P81" s="524"/>
      <c r="Q81" s="524"/>
      <c r="R81" s="524"/>
      <c r="S81" s="524"/>
      <c r="T81" s="524"/>
      <c r="U81" s="524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28">
        <v>5.03</v>
      </c>
      <c r="E82" s="108"/>
      <c r="F82" s="127"/>
      <c r="G82" s="128"/>
      <c r="H82" s="533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524"/>
      <c r="P82" s="524"/>
      <c r="Q82" s="524"/>
      <c r="R82" s="524"/>
      <c r="S82" s="524"/>
      <c r="T82" s="524"/>
      <c r="U82" s="524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28">
        <v>5.03</v>
      </c>
      <c r="E83" s="108"/>
      <c r="F83" s="127"/>
      <c r="G83" s="128"/>
      <c r="H83" s="533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524"/>
      <c r="P83" s="524"/>
      <c r="Q83" s="524"/>
      <c r="R83" s="524"/>
      <c r="S83" s="524"/>
      <c r="T83" s="524"/>
      <c r="U83" s="524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28">
        <v>5.03</v>
      </c>
      <c r="E84" s="108"/>
      <c r="F84" s="127"/>
      <c r="G84" s="128"/>
      <c r="H84" s="533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524"/>
      <c r="P84" s="524"/>
      <c r="Q84" s="524"/>
      <c r="R84" s="524"/>
      <c r="S84" s="524"/>
      <c r="T84" s="524"/>
      <c r="U84" s="524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28">
        <v>5.03</v>
      </c>
      <c r="E85" s="108"/>
      <c r="F85" s="127"/>
      <c r="G85" s="128"/>
      <c r="H85" s="533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524"/>
      <c r="P85" s="524"/>
      <c r="Q85" s="524"/>
      <c r="R85" s="524"/>
      <c r="S85" s="524"/>
      <c r="T85" s="524"/>
      <c r="U85" s="524"/>
      <c r="V85" s="132"/>
      <c r="W85" s="133"/>
      <c r="X85" s="132"/>
      <c r="Y85" s="132"/>
      <c r="Z85" s="132"/>
      <c r="AA85" s="132"/>
    </row>
    <row r="86" spans="1:27" ht="20.100000000000001" hidden="1" customHeight="1">
      <c r="A86" s="641" t="s">
        <v>216</v>
      </c>
      <c r="B86" s="641"/>
      <c r="C86" s="531" t="s">
        <v>202</v>
      </c>
      <c r="D86" s="145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4">SUM(M29:M85)</f>
        <v>0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 t="str">
        <f t="shared" ref="W86:W93" si="35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525" t="s">
        <v>217</v>
      </c>
      <c r="C87" s="126" t="s">
        <v>179</v>
      </c>
      <c r="D87" s="128">
        <v>5.03</v>
      </c>
      <c r="E87" s="108"/>
      <c r="F87" s="127"/>
      <c r="G87" s="128"/>
      <c r="H87" s="533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524"/>
      <c r="P87" s="524"/>
      <c r="Q87" s="524"/>
      <c r="R87" s="524"/>
      <c r="S87" s="524"/>
      <c r="T87" s="524"/>
      <c r="U87" s="524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525" t="s">
        <v>217</v>
      </c>
      <c r="C88" s="126" t="s">
        <v>186</v>
      </c>
      <c r="D88" s="128">
        <v>5.03</v>
      </c>
      <c r="E88" s="108"/>
      <c r="F88" s="127"/>
      <c r="G88" s="128"/>
      <c r="H88" s="533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524"/>
      <c r="P88" s="524"/>
      <c r="Q88" s="524"/>
      <c r="R88" s="524"/>
      <c r="S88" s="524"/>
      <c r="T88" s="524"/>
      <c r="U88" s="524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525" t="s">
        <v>217</v>
      </c>
      <c r="C89" s="126" t="s">
        <v>204</v>
      </c>
      <c r="D89" s="128">
        <v>5.03</v>
      </c>
      <c r="E89" s="108"/>
      <c r="F89" s="127"/>
      <c r="G89" s="128"/>
      <c r="H89" s="533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524"/>
      <c r="P89" s="524"/>
      <c r="Q89" s="524"/>
      <c r="R89" s="524"/>
      <c r="S89" s="524"/>
      <c r="T89" s="524"/>
      <c r="U89" s="524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28">
        <v>5.03</v>
      </c>
      <c r="E90" s="108"/>
      <c r="F90" s="127"/>
      <c r="G90" s="128"/>
      <c r="H90" s="533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524"/>
      <c r="P90" s="524"/>
      <c r="Q90" s="524"/>
      <c r="R90" s="524"/>
      <c r="S90" s="524"/>
      <c r="T90" s="524"/>
      <c r="U90" s="524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28">
        <v>5.03</v>
      </c>
      <c r="E91" s="108"/>
      <c r="F91" s="127"/>
      <c r="G91" s="128"/>
      <c r="H91" s="533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524"/>
      <c r="P91" s="524"/>
      <c r="Q91" s="524"/>
      <c r="R91" s="524"/>
      <c r="S91" s="524"/>
      <c r="T91" s="524"/>
      <c r="U91" s="524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28">
        <v>5.03</v>
      </c>
      <c r="E92" s="108"/>
      <c r="F92" s="127"/>
      <c r="G92" s="128"/>
      <c r="H92" s="533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524"/>
      <c r="P92" s="524"/>
      <c r="Q92" s="524"/>
      <c r="R92" s="524"/>
      <c r="S92" s="524"/>
      <c r="T92" s="524"/>
      <c r="U92" s="524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customHeight="1">
      <c r="A93" s="299">
        <v>30400017</v>
      </c>
      <c r="B93" s="151" t="s">
        <v>513</v>
      </c>
      <c r="C93" s="126" t="s">
        <v>195</v>
      </c>
      <c r="D93" s="128">
        <v>5.03</v>
      </c>
      <c r="E93" s="108"/>
      <c r="F93" s="127">
        <v>42720</v>
      </c>
      <c r="G93" s="536">
        <v>110</v>
      </c>
      <c r="H93" s="533">
        <f t="shared" si="36"/>
        <v>553.30000000000007</v>
      </c>
      <c r="I93" s="129">
        <f>3*8</f>
        <v>24</v>
      </c>
      <c r="J93" s="130">
        <f t="array" ref="J93">IF(ISERROR(G93/I93),"",G93/I93)</f>
        <v>4.583333333333333</v>
      </c>
      <c r="K93" s="131">
        <f t="array" ref="K93">IF(ISERROR(G93/L93),"",G93/L93)</f>
        <v>11.82795698924731</v>
      </c>
      <c r="L93" s="129">
        <v>9.3000000000000007</v>
      </c>
      <c r="M93" s="109">
        <f t="shared" si="37"/>
        <v>12.17204301075269</v>
      </c>
      <c r="N93" s="130">
        <f t="shared" si="38"/>
        <v>0</v>
      </c>
      <c r="O93" s="524"/>
      <c r="P93" s="524"/>
      <c r="Q93" s="524"/>
      <c r="R93" s="524"/>
      <c r="S93" s="524"/>
      <c r="T93" s="524"/>
      <c r="U93" s="524"/>
      <c r="V93" s="132">
        <f t="shared" si="39"/>
        <v>0</v>
      </c>
      <c r="W93" s="133">
        <f t="shared" si="35"/>
        <v>0</v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28">
        <v>5.03</v>
      </c>
      <c r="E94" s="108"/>
      <c r="F94" s="127">
        <v>42718</v>
      </c>
      <c r="G94" s="536">
        <f>108+18</f>
        <v>126</v>
      </c>
      <c r="H94" s="533">
        <f t="shared" si="36"/>
        <v>633.78000000000009</v>
      </c>
      <c r="I94" s="129">
        <f>2*8</f>
        <v>16</v>
      </c>
      <c r="J94" s="130">
        <f t="array" ref="J94">IF(ISERROR(G94/I94),"",G94/I94)</f>
        <v>7.875</v>
      </c>
      <c r="K94" s="131">
        <f t="array" ref="K94">IF(ISERROR(G94/L94),"",G94/L94)</f>
        <v>13.548387096774192</v>
      </c>
      <c r="L94" s="129">
        <v>9.3000000000000007</v>
      </c>
      <c r="M94" s="109">
        <f t="shared" si="37"/>
        <v>2.4516129032258078</v>
      </c>
      <c r="N94" s="130"/>
      <c r="O94" s="524"/>
      <c r="P94" s="524"/>
      <c r="Q94" s="524"/>
      <c r="R94" s="524"/>
      <c r="S94" s="524"/>
      <c r="T94" s="524"/>
      <c r="U94" s="524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28">
        <v>5.03</v>
      </c>
      <c r="E95" s="108"/>
      <c r="F95" s="127"/>
      <c r="G95" s="536"/>
      <c r="H95" s="533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524"/>
      <c r="P95" s="524"/>
      <c r="Q95" s="524"/>
      <c r="R95" s="524"/>
      <c r="S95" s="524"/>
      <c r="T95" s="524"/>
      <c r="U95" s="524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28">
        <v>5.03</v>
      </c>
      <c r="E96" s="108"/>
      <c r="F96" s="127"/>
      <c r="G96" s="536"/>
      <c r="H96" s="533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524"/>
      <c r="P96" s="524"/>
      <c r="Q96" s="524"/>
      <c r="R96" s="524"/>
      <c r="S96" s="524"/>
      <c r="T96" s="524"/>
      <c r="U96" s="524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28">
        <v>5.03</v>
      </c>
      <c r="E97" s="108"/>
      <c r="F97" s="127"/>
      <c r="G97" s="536"/>
      <c r="H97" s="533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524"/>
      <c r="P97" s="524"/>
      <c r="Q97" s="524"/>
      <c r="R97" s="524"/>
      <c r="S97" s="524"/>
      <c r="T97" s="524"/>
      <c r="U97" s="524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28">
        <v>5.03</v>
      </c>
      <c r="E98" s="108"/>
      <c r="F98" s="127"/>
      <c r="G98" s="536"/>
      <c r="H98" s="533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524"/>
      <c r="P98" s="524"/>
      <c r="Q98" s="524"/>
      <c r="R98" s="524"/>
      <c r="S98" s="524"/>
      <c r="T98" s="524"/>
      <c r="U98" s="524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28">
        <v>5.03</v>
      </c>
      <c r="E99" s="108"/>
      <c r="F99" s="127"/>
      <c r="G99" s="536"/>
      <c r="H99" s="533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524"/>
      <c r="P99" s="524"/>
      <c r="Q99" s="524"/>
      <c r="R99" s="524"/>
      <c r="S99" s="524"/>
      <c r="T99" s="524"/>
      <c r="U99" s="524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28">
        <v>5.03</v>
      </c>
      <c r="E100" s="108"/>
      <c r="F100" s="127"/>
      <c r="G100" s="536"/>
      <c r="H100" s="533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524"/>
      <c r="P100" s="524"/>
      <c r="Q100" s="524"/>
      <c r="R100" s="524"/>
      <c r="S100" s="524"/>
      <c r="T100" s="524"/>
      <c r="U100" s="524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28">
        <v>5.03</v>
      </c>
      <c r="E101" s="108"/>
      <c r="F101" s="127"/>
      <c r="G101" s="536"/>
      <c r="H101" s="533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524"/>
      <c r="P101" s="524"/>
      <c r="Q101" s="524"/>
      <c r="R101" s="524"/>
      <c r="S101" s="524"/>
      <c r="T101" s="524"/>
      <c r="U101" s="524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28">
        <v>5.03</v>
      </c>
      <c r="E102" s="108"/>
      <c r="F102" s="127"/>
      <c r="G102" s="536"/>
      <c r="H102" s="533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524"/>
      <c r="P102" s="524"/>
      <c r="Q102" s="524"/>
      <c r="R102" s="524"/>
      <c r="S102" s="524"/>
      <c r="T102" s="524"/>
      <c r="U102" s="524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525" t="s">
        <v>222</v>
      </c>
      <c r="C103" s="126" t="s">
        <v>181</v>
      </c>
      <c r="D103" s="128">
        <v>10.199999999999999</v>
      </c>
      <c r="E103" s="108"/>
      <c r="F103" s="127"/>
      <c r="G103" s="536"/>
      <c r="H103" s="533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524"/>
      <c r="P103" s="524"/>
      <c r="Q103" s="524"/>
      <c r="R103" s="524"/>
      <c r="S103" s="524"/>
      <c r="T103" s="524"/>
      <c r="U103" s="524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525" t="s">
        <v>222</v>
      </c>
      <c r="C104" s="126" t="s">
        <v>179</v>
      </c>
      <c r="D104" s="128">
        <v>10.199999999999999</v>
      </c>
      <c r="E104" s="108"/>
      <c r="F104" s="127"/>
      <c r="G104" s="536"/>
      <c r="H104" s="533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524"/>
      <c r="P104" s="524"/>
      <c r="Q104" s="524"/>
      <c r="R104" s="524"/>
      <c r="S104" s="524"/>
      <c r="T104" s="524"/>
      <c r="U104" s="524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525" t="s">
        <v>222</v>
      </c>
      <c r="C105" s="126" t="s">
        <v>221</v>
      </c>
      <c r="D105" s="128">
        <v>10.199999999999999</v>
      </c>
      <c r="E105" s="108"/>
      <c r="F105" s="127"/>
      <c r="G105" s="536"/>
      <c r="H105" s="533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524"/>
      <c r="P105" s="524"/>
      <c r="Q105" s="524"/>
      <c r="R105" s="524"/>
      <c r="S105" s="524"/>
      <c r="T105" s="524"/>
      <c r="U105" s="524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525" t="s">
        <v>222</v>
      </c>
      <c r="C106" s="126" t="s">
        <v>186</v>
      </c>
      <c r="D106" s="128">
        <v>10.199999999999999</v>
      </c>
      <c r="E106" s="108"/>
      <c r="F106" s="127"/>
      <c r="G106" s="536"/>
      <c r="H106" s="533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524"/>
      <c r="P106" s="524"/>
      <c r="Q106" s="524"/>
      <c r="R106" s="524"/>
      <c r="S106" s="524"/>
      <c r="T106" s="524"/>
      <c r="U106" s="524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customHeight="1">
      <c r="A107" s="299">
        <v>30400026</v>
      </c>
      <c r="B107" s="525" t="s">
        <v>393</v>
      </c>
      <c r="C107" s="187" t="s">
        <v>395</v>
      </c>
      <c r="D107" s="128">
        <v>5</v>
      </c>
      <c r="E107" s="108"/>
      <c r="F107" s="127">
        <v>42715</v>
      </c>
      <c r="G107" s="536">
        <f>53+90+90</f>
        <v>233</v>
      </c>
      <c r="H107" s="533">
        <f t="shared" si="36"/>
        <v>1165</v>
      </c>
      <c r="I107" s="129">
        <f>4*2</f>
        <v>8</v>
      </c>
      <c r="J107" s="130">
        <f t="array" ref="J107">IF(ISERROR(G107/I107),"",G107/I107)</f>
        <v>29.125</v>
      </c>
      <c r="K107" s="131">
        <f t="array" ref="K107">IF(ISERROR(G107/L107),"",G107/L107)</f>
        <v>46.6</v>
      </c>
      <c r="L107" s="129">
        <v>5</v>
      </c>
      <c r="M107" s="109">
        <f t="shared" si="37"/>
        <v>-38.6</v>
      </c>
      <c r="N107" s="130">
        <f t="shared" si="40"/>
        <v>0</v>
      </c>
      <c r="O107" s="524"/>
      <c r="P107" s="524"/>
      <c r="Q107" s="524"/>
      <c r="R107" s="524"/>
      <c r="S107" s="524"/>
      <c r="T107" s="524"/>
      <c r="U107" s="524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525" t="s">
        <v>393</v>
      </c>
      <c r="C108" s="187" t="s">
        <v>402</v>
      </c>
      <c r="D108" s="128">
        <v>5</v>
      </c>
      <c r="E108" s="108"/>
      <c r="F108" s="127"/>
      <c r="G108" s="536"/>
      <c r="H108" s="533">
        <f t="shared" si="36"/>
        <v>0</v>
      </c>
      <c r="I108" s="129"/>
      <c r="J108" s="130" t="str">
        <f t="array" ref="J108">IF(ISERROR(G108/I108),"",G108/I108)</f>
        <v/>
      </c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524"/>
      <c r="P108" s="524"/>
      <c r="Q108" s="524"/>
      <c r="R108" s="524"/>
      <c r="S108" s="524"/>
      <c r="T108" s="524"/>
      <c r="U108" s="524"/>
      <c r="V108" s="132"/>
      <c r="W108" s="133"/>
      <c r="X108" s="132"/>
      <c r="Y108" s="132"/>
      <c r="Z108" s="132"/>
      <c r="AA108" s="132"/>
    </row>
    <row r="109" spans="1:27" ht="20.100000000000001" customHeight="1">
      <c r="A109" s="299">
        <v>30400027</v>
      </c>
      <c r="B109" s="525" t="s">
        <v>404</v>
      </c>
      <c r="C109" s="187" t="s">
        <v>405</v>
      </c>
      <c r="D109" s="128">
        <v>5</v>
      </c>
      <c r="E109" s="108"/>
      <c r="F109" s="127">
        <v>42715</v>
      </c>
      <c r="G109" s="536">
        <f>27</f>
        <v>27</v>
      </c>
      <c r="H109" s="533">
        <f t="shared" si="36"/>
        <v>135</v>
      </c>
      <c r="I109" s="129">
        <f>1*2</f>
        <v>2</v>
      </c>
      <c r="J109" s="130">
        <f t="array" ref="J109">IF(ISERROR(G109/I109),"",G109/I109)</f>
        <v>13.5</v>
      </c>
      <c r="K109" s="131">
        <f t="array" ref="K109">IF(ISERROR(G109/L109),"",G109/L109)</f>
        <v>5.4</v>
      </c>
      <c r="L109" s="129">
        <v>5</v>
      </c>
      <c r="M109" s="109">
        <f t="shared" si="37"/>
        <v>-3.4000000000000004</v>
      </c>
      <c r="N109" s="130">
        <f t="shared" si="40"/>
        <v>0</v>
      </c>
      <c r="O109" s="524"/>
      <c r="P109" s="524"/>
      <c r="Q109" s="524"/>
      <c r="R109" s="524"/>
      <c r="S109" s="524"/>
      <c r="T109" s="524"/>
      <c r="U109" s="524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525" t="s">
        <v>492</v>
      </c>
      <c r="C110" s="187" t="s">
        <v>372</v>
      </c>
      <c r="D110" s="128">
        <v>5</v>
      </c>
      <c r="E110" s="108"/>
      <c r="F110" s="127"/>
      <c r="G110" s="536"/>
      <c r="H110" s="533">
        <f t="shared" si="36"/>
        <v>0</v>
      </c>
      <c r="I110" s="129"/>
      <c r="J110" s="130" t="str">
        <f t="array" ref="J110">IF(ISERROR(G110/I110),"",G110/I110)</f>
        <v/>
      </c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524"/>
      <c r="P110" s="524"/>
      <c r="Q110" s="524"/>
      <c r="R110" s="524"/>
      <c r="S110" s="524"/>
      <c r="T110" s="524"/>
      <c r="U110" s="524"/>
      <c r="V110" s="132"/>
      <c r="W110" s="133"/>
      <c r="X110" s="132"/>
      <c r="Y110" s="132"/>
      <c r="Z110" s="132"/>
      <c r="AA110" s="132"/>
    </row>
    <row r="111" spans="1:27" ht="20.100000000000001" customHeight="1">
      <c r="A111" s="299">
        <v>30600009</v>
      </c>
      <c r="B111" s="525" t="s">
        <v>343</v>
      </c>
      <c r="C111" s="126" t="s">
        <v>345</v>
      </c>
      <c r="D111" s="128">
        <v>5</v>
      </c>
      <c r="E111" s="108"/>
      <c r="F111" s="127">
        <v>42717</v>
      </c>
      <c r="G111" s="536">
        <f>30+90*3</f>
        <v>300</v>
      </c>
      <c r="H111" s="533">
        <f t="shared" si="36"/>
        <v>1500</v>
      </c>
      <c r="I111" s="129">
        <f>4.5*2+3*2</f>
        <v>15</v>
      </c>
      <c r="J111" s="130">
        <f t="array" ref="J111">IF(ISERROR(G111/I111),"",G111/I111)</f>
        <v>20</v>
      </c>
      <c r="K111" s="131">
        <f t="array" ref="K111">IF(ISERROR(G111/L111),"",G111/L111)</f>
        <v>60</v>
      </c>
      <c r="L111" s="129">
        <v>5</v>
      </c>
      <c r="M111" s="109">
        <f t="shared" si="37"/>
        <v>-45</v>
      </c>
      <c r="N111" s="130">
        <f t="shared" si="40"/>
        <v>0</v>
      </c>
      <c r="O111" s="524"/>
      <c r="P111" s="524"/>
      <c r="Q111" s="524"/>
      <c r="R111" s="524"/>
      <c r="S111" s="524"/>
      <c r="T111" s="524"/>
      <c r="U111" s="524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525" t="s">
        <v>343</v>
      </c>
      <c r="C112" s="126" t="s">
        <v>347</v>
      </c>
      <c r="D112" s="128">
        <v>5</v>
      </c>
      <c r="E112" s="108"/>
      <c r="F112" s="127">
        <v>42717</v>
      </c>
      <c r="G112" s="536">
        <f>20+90</f>
        <v>110</v>
      </c>
      <c r="H112" s="533">
        <f t="shared" si="36"/>
        <v>550</v>
      </c>
      <c r="I112" s="129">
        <f>3.5*2</f>
        <v>7</v>
      </c>
      <c r="J112" s="130">
        <f t="array" ref="J112">IF(ISERROR(G112/I112),"",G112/I112)</f>
        <v>15.714285714285714</v>
      </c>
      <c r="K112" s="131">
        <f t="array" ref="K112">IF(ISERROR(G112/L112),"",G112/L112)</f>
        <v>22</v>
      </c>
      <c r="L112" s="129">
        <v>5</v>
      </c>
      <c r="M112" s="109">
        <f t="shared" si="37"/>
        <v>-15</v>
      </c>
      <c r="N112" s="130">
        <f t="shared" si="40"/>
        <v>0</v>
      </c>
      <c r="O112" s="524"/>
      <c r="P112" s="524"/>
      <c r="Q112" s="524"/>
      <c r="R112" s="524"/>
      <c r="S112" s="524"/>
      <c r="T112" s="524"/>
      <c r="U112" s="524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28">
        <v>5.0599999999999996</v>
      </c>
      <c r="E113" s="108"/>
      <c r="F113" s="127"/>
      <c r="G113" s="128"/>
      <c r="H113" s="533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524"/>
      <c r="P113" s="524"/>
      <c r="Q113" s="524"/>
      <c r="R113" s="524"/>
      <c r="S113" s="524"/>
      <c r="T113" s="524"/>
      <c r="U113" s="524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28">
        <v>5.0599999999999996</v>
      </c>
      <c r="E114" s="108"/>
      <c r="F114" s="127"/>
      <c r="G114" s="128"/>
      <c r="H114" s="533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524"/>
      <c r="P114" s="524"/>
      <c r="Q114" s="524"/>
      <c r="R114" s="524"/>
      <c r="S114" s="524"/>
      <c r="T114" s="524"/>
      <c r="U114" s="524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28">
        <v>5</v>
      </c>
      <c r="E115" s="108"/>
      <c r="F115" s="127"/>
      <c r="G115" s="128"/>
      <c r="H115" s="533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524"/>
      <c r="P115" s="524"/>
      <c r="Q115" s="524"/>
      <c r="R115" s="524"/>
      <c r="S115" s="524"/>
      <c r="T115" s="524"/>
      <c r="U115" s="524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28">
        <v>5</v>
      </c>
      <c r="E116" s="108"/>
      <c r="F116" s="127"/>
      <c r="G116" s="128"/>
      <c r="H116" s="533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524"/>
      <c r="P116" s="524"/>
      <c r="Q116" s="524"/>
      <c r="R116" s="524"/>
      <c r="S116" s="524"/>
      <c r="T116" s="524"/>
      <c r="U116" s="524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28">
        <v>5</v>
      </c>
      <c r="E117" s="108"/>
      <c r="F117" s="127"/>
      <c r="G117" s="128"/>
      <c r="H117" s="533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524"/>
      <c r="P117" s="524"/>
      <c r="Q117" s="524"/>
      <c r="R117" s="524"/>
      <c r="S117" s="524"/>
      <c r="T117" s="524"/>
      <c r="U117" s="524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28">
        <v>5.07</v>
      </c>
      <c r="E118" s="108"/>
      <c r="F118" s="127"/>
      <c r="G118" s="128"/>
      <c r="H118" s="533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524"/>
      <c r="P118" s="524"/>
      <c r="Q118" s="524"/>
      <c r="R118" s="524"/>
      <c r="S118" s="524"/>
      <c r="T118" s="524"/>
      <c r="U118" s="524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28">
        <v>5.07</v>
      </c>
      <c r="E119" s="108"/>
      <c r="F119" s="127"/>
      <c r="G119" s="128"/>
      <c r="H119" s="533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524"/>
      <c r="P119" s="524"/>
      <c r="Q119" s="524"/>
      <c r="R119" s="524"/>
      <c r="S119" s="524"/>
      <c r="T119" s="524"/>
      <c r="U119" s="524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28">
        <v>5.0599999999999996</v>
      </c>
      <c r="E120" s="108"/>
      <c r="F120" s="153"/>
      <c r="G120" s="128"/>
      <c r="H120" s="533">
        <f t="shared" si="36"/>
        <v>0</v>
      </c>
      <c r="I120" s="129"/>
      <c r="J120" s="130" t="str">
        <f t="array" ref="J120">IF(ISERROR(G120/I120),"",G120/I120)</f>
        <v/>
      </c>
      <c r="K120" s="533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524"/>
      <c r="P120" s="524"/>
      <c r="Q120" s="524"/>
      <c r="R120" s="524"/>
      <c r="S120" s="524"/>
      <c r="T120" s="524"/>
      <c r="U120" s="524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30" t="s">
        <v>224</v>
      </c>
      <c r="B121" s="631"/>
      <c r="C121" s="531" t="s">
        <v>202</v>
      </c>
      <c r="D121" s="145"/>
      <c r="E121" s="143"/>
      <c r="F121" s="144"/>
      <c r="G121" s="145">
        <f>SUM(G87:G120)</f>
        <v>906</v>
      </c>
      <c r="H121" s="146">
        <f>SUM(H87:H120)</f>
        <v>4537.08</v>
      </c>
      <c r="I121" s="146">
        <f>SUM(I87:I120)</f>
        <v>72</v>
      </c>
      <c r="J121" s="130">
        <f t="array" ref="J121">IF(ISERROR(G121/I121),"",G121/I121)</f>
        <v>12.583333333333334</v>
      </c>
      <c r="K121" s="146">
        <f>SUM(K87:K120)</f>
        <v>159.3763440860215</v>
      </c>
      <c r="L121" s="147"/>
      <c r="M121" s="150">
        <f t="shared" ref="M121:V121" si="50">SUM(M87:M120)</f>
        <v>-87.376344086021504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28">
        <v>5.03</v>
      </c>
      <c r="E122" s="108"/>
      <c r="F122" s="127"/>
      <c r="G122" s="128"/>
      <c r="H122" s="533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524"/>
      <c r="P122" s="524"/>
      <c r="Q122" s="524"/>
      <c r="R122" s="524"/>
      <c r="S122" s="524"/>
      <c r="T122" s="524"/>
      <c r="U122" s="524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28">
        <v>5.03</v>
      </c>
      <c r="E123" s="108"/>
      <c r="F123" s="127"/>
      <c r="G123" s="128"/>
      <c r="H123" s="533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524"/>
      <c r="P123" s="524"/>
      <c r="Q123" s="524"/>
      <c r="R123" s="524"/>
      <c r="S123" s="524"/>
      <c r="T123" s="524"/>
      <c r="U123" s="524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28">
        <v>5.04</v>
      </c>
      <c r="E124" s="108"/>
      <c r="F124" s="127"/>
      <c r="G124" s="128"/>
      <c r="H124" s="533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524"/>
      <c r="P124" s="524"/>
      <c r="Q124" s="524"/>
      <c r="R124" s="524"/>
      <c r="S124" s="524"/>
      <c r="T124" s="524"/>
      <c r="U124" s="524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28">
        <v>5.03</v>
      </c>
      <c r="E125" s="108"/>
      <c r="F125" s="127"/>
      <c r="G125" s="128"/>
      <c r="H125" s="533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524"/>
      <c r="P125" s="524"/>
      <c r="Q125" s="524"/>
      <c r="R125" s="524"/>
      <c r="S125" s="524"/>
      <c r="T125" s="524"/>
      <c r="U125" s="524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529" t="s">
        <v>203</v>
      </c>
      <c r="D126" s="128">
        <v>5.03</v>
      </c>
      <c r="E126" s="108"/>
      <c r="F126" s="127"/>
      <c r="G126" s="128"/>
      <c r="H126" s="533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524"/>
      <c r="P126" s="524"/>
      <c r="Q126" s="524"/>
      <c r="R126" s="524"/>
      <c r="S126" s="524"/>
      <c r="T126" s="524"/>
      <c r="U126" s="524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28">
        <v>5.03</v>
      </c>
      <c r="E127" s="108"/>
      <c r="F127" s="127"/>
      <c r="G127" s="128"/>
      <c r="H127" s="533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524"/>
      <c r="P127" s="524"/>
      <c r="Q127" s="524"/>
      <c r="R127" s="524"/>
      <c r="S127" s="524"/>
      <c r="T127" s="524"/>
      <c r="U127" s="524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28">
        <v>5.03</v>
      </c>
      <c r="E128" s="108"/>
      <c r="F128" s="127"/>
      <c r="G128" s="128"/>
      <c r="H128" s="533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524"/>
      <c r="P128" s="524"/>
      <c r="Q128" s="524"/>
      <c r="R128" s="524"/>
      <c r="S128" s="524"/>
      <c r="T128" s="524"/>
      <c r="U128" s="524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529" t="s">
        <v>228</v>
      </c>
      <c r="D129" s="128">
        <v>5.03</v>
      </c>
      <c r="E129" s="108"/>
      <c r="F129" s="127"/>
      <c r="G129" s="128"/>
      <c r="H129" s="533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524"/>
      <c r="P129" s="524"/>
      <c r="Q129" s="524"/>
      <c r="R129" s="524"/>
      <c r="S129" s="524"/>
      <c r="T129" s="524"/>
      <c r="U129" s="524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529" t="s">
        <v>212</v>
      </c>
      <c r="D130" s="128">
        <v>5.03</v>
      </c>
      <c r="E130" s="108"/>
      <c r="F130" s="127"/>
      <c r="G130" s="128"/>
      <c r="H130" s="533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524"/>
      <c r="P130" s="524"/>
      <c r="Q130" s="524"/>
      <c r="R130" s="524"/>
      <c r="S130" s="524"/>
      <c r="T130" s="524"/>
      <c r="U130" s="524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529" t="s">
        <v>203</v>
      </c>
      <c r="D131" s="128">
        <v>5.03</v>
      </c>
      <c r="E131" s="108"/>
      <c r="F131" s="127"/>
      <c r="G131" s="128"/>
      <c r="H131" s="533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524"/>
      <c r="P131" s="524"/>
      <c r="Q131" s="524"/>
      <c r="R131" s="524"/>
      <c r="S131" s="524"/>
      <c r="T131" s="524"/>
      <c r="U131" s="524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529" t="s">
        <v>186</v>
      </c>
      <c r="D132" s="128">
        <v>5.03</v>
      </c>
      <c r="E132" s="108"/>
      <c r="F132" s="127"/>
      <c r="G132" s="128"/>
      <c r="H132" s="533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524"/>
      <c r="P132" s="524"/>
      <c r="Q132" s="524"/>
      <c r="R132" s="524"/>
      <c r="S132" s="524"/>
      <c r="T132" s="524"/>
      <c r="U132" s="524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529" t="s">
        <v>228</v>
      </c>
      <c r="D133" s="128">
        <v>5.03</v>
      </c>
      <c r="E133" s="108"/>
      <c r="F133" s="127"/>
      <c r="G133" s="128"/>
      <c r="H133" s="533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524"/>
      <c r="P133" s="524"/>
      <c r="Q133" s="524"/>
      <c r="R133" s="524"/>
      <c r="S133" s="524"/>
      <c r="T133" s="524"/>
      <c r="U133" s="524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529" t="s">
        <v>199</v>
      </c>
      <c r="D134" s="128">
        <v>5.03</v>
      </c>
      <c r="E134" s="108"/>
      <c r="F134" s="127"/>
      <c r="G134" s="128"/>
      <c r="H134" s="533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524"/>
      <c r="P134" s="524"/>
      <c r="Q134" s="524"/>
      <c r="R134" s="524"/>
      <c r="S134" s="524"/>
      <c r="T134" s="524"/>
      <c r="U134" s="524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28">
        <v>5.0599999999999996</v>
      </c>
      <c r="E135" s="108"/>
      <c r="F135" s="127"/>
      <c r="G135" s="128"/>
      <c r="H135" s="533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524"/>
      <c r="P135" s="524"/>
      <c r="Q135" s="524"/>
      <c r="R135" s="524"/>
      <c r="S135" s="524"/>
      <c r="T135" s="524"/>
      <c r="U135" s="524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28">
        <v>5.0599999999999996</v>
      </c>
      <c r="E136" s="108"/>
      <c r="F136" s="127"/>
      <c r="G136" s="128"/>
      <c r="H136" s="533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524"/>
      <c r="P136" s="524"/>
      <c r="Q136" s="524"/>
      <c r="R136" s="524"/>
      <c r="S136" s="524"/>
      <c r="T136" s="524"/>
      <c r="U136" s="524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630" t="s">
        <v>231</v>
      </c>
      <c r="B137" s="631"/>
      <c r="C137" s="531" t="s">
        <v>202</v>
      </c>
      <c r="D137" s="145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28">
        <v>5.04</v>
      </c>
      <c r="E138" s="108"/>
      <c r="F138" s="127"/>
      <c r="G138" s="128"/>
      <c r="H138" s="533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524"/>
      <c r="P138" s="524"/>
      <c r="Q138" s="524"/>
      <c r="R138" s="524"/>
      <c r="S138" s="524"/>
      <c r="T138" s="524"/>
      <c r="U138" s="524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28">
        <v>5.04</v>
      </c>
      <c r="E139" s="108"/>
      <c r="F139" s="127"/>
      <c r="G139" s="128"/>
      <c r="H139" s="533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524"/>
      <c r="P139" s="524"/>
      <c r="Q139" s="524"/>
      <c r="R139" s="524"/>
      <c r="S139" s="524"/>
      <c r="T139" s="524"/>
      <c r="U139" s="524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28">
        <v>5.04</v>
      </c>
      <c r="E140" s="108"/>
      <c r="F140" s="127"/>
      <c r="G140" s="128"/>
      <c r="H140" s="533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524"/>
      <c r="P140" s="524"/>
      <c r="Q140" s="524"/>
      <c r="R140" s="524"/>
      <c r="S140" s="524"/>
      <c r="T140" s="524"/>
      <c r="U140" s="524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28">
        <v>5.04</v>
      </c>
      <c r="E141" s="108"/>
      <c r="F141" s="127"/>
      <c r="G141" s="128"/>
      <c r="H141" s="533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524"/>
      <c r="P141" s="524"/>
      <c r="Q141" s="524"/>
      <c r="R141" s="524"/>
      <c r="S141" s="524"/>
      <c r="T141" s="524"/>
      <c r="U141" s="524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28">
        <v>5.04</v>
      </c>
      <c r="E142" s="108"/>
      <c r="F142" s="127"/>
      <c r="G142" s="128"/>
      <c r="H142" s="533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524"/>
      <c r="P142" s="524"/>
      <c r="Q142" s="524"/>
      <c r="R142" s="524"/>
      <c r="S142" s="524"/>
      <c r="T142" s="524"/>
      <c r="U142" s="524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28">
        <v>5.04</v>
      </c>
      <c r="E143" s="108"/>
      <c r="F143" s="127"/>
      <c r="G143" s="128"/>
      <c r="H143" s="533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524"/>
      <c r="P143" s="524"/>
      <c r="Q143" s="524"/>
      <c r="R143" s="524"/>
      <c r="S143" s="524"/>
      <c r="T143" s="524"/>
      <c r="U143" s="524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74</v>
      </c>
      <c r="D144" s="128">
        <v>5.04</v>
      </c>
      <c r="E144" s="108"/>
      <c r="F144" s="127">
        <v>42712</v>
      </c>
      <c r="G144" s="536">
        <v>1</v>
      </c>
      <c r="H144" s="533">
        <f t="shared" si="55"/>
        <v>5.04</v>
      </c>
      <c r="I144" s="129">
        <v>7.0000000000000007E-2</v>
      </c>
      <c r="J144" s="130">
        <f t="array" ref="J144">IF(ISERROR(G144/I144),"",G144/I144)</f>
        <v>14.285714285714285</v>
      </c>
      <c r="K144" s="131">
        <f t="array" ref="K144">IF(ISERROR(G144/L144),"",G144/L144)</f>
        <v>7.407407407407407E-2</v>
      </c>
      <c r="L144" s="129">
        <v>13.5</v>
      </c>
      <c r="M144" s="109">
        <f t="shared" ref="M144:M145" si="59">IF(ISERROR(I144-K144),"",I144-K144)</f>
        <v>-4.0740740740740633E-3</v>
      </c>
      <c r="N144" s="130"/>
      <c r="O144" s="524"/>
      <c r="P144" s="524"/>
      <c r="Q144" s="524"/>
      <c r="R144" s="524"/>
      <c r="S144" s="524"/>
      <c r="T144" s="524"/>
      <c r="U144" s="524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53</v>
      </c>
      <c r="D145" s="128">
        <v>5.04</v>
      </c>
      <c r="E145" s="108"/>
      <c r="F145" s="127">
        <v>42719</v>
      </c>
      <c r="G145" s="536">
        <v>6</v>
      </c>
      <c r="H145" s="533">
        <f t="shared" si="55"/>
        <v>30.240000000000002</v>
      </c>
      <c r="I145" s="129">
        <f>0.5*5</f>
        <v>2.5</v>
      </c>
      <c r="J145" s="130">
        <f t="array" ref="J145">IF(ISERROR(G145/I145),"",G145/I145)</f>
        <v>2.4</v>
      </c>
      <c r="K145" s="131">
        <f t="array" ref="K145">IF(ISERROR(G145/L145),"",G145/L145)</f>
        <v>0.44444444444444442</v>
      </c>
      <c r="L145" s="129">
        <v>13.5</v>
      </c>
      <c r="M145" s="109">
        <f t="shared" si="59"/>
        <v>2.0555555555555554</v>
      </c>
      <c r="N145" s="130"/>
      <c r="O145" s="524"/>
      <c r="P145" s="524"/>
      <c r="Q145" s="524"/>
      <c r="R145" s="524"/>
      <c r="S145" s="524"/>
      <c r="T145" s="524"/>
      <c r="U145" s="524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30400022</v>
      </c>
      <c r="B146" s="134" t="s">
        <v>232</v>
      </c>
      <c r="C146" s="126" t="s">
        <v>181</v>
      </c>
      <c r="D146" s="128">
        <v>5.04</v>
      </c>
      <c r="E146" s="108"/>
      <c r="F146" s="127">
        <v>42705</v>
      </c>
      <c r="G146" s="536">
        <v>11</v>
      </c>
      <c r="H146" s="533">
        <f t="shared" si="55"/>
        <v>55.44</v>
      </c>
      <c r="I146" s="129">
        <f>1*5</f>
        <v>5</v>
      </c>
      <c r="J146" s="130">
        <f t="array" ref="J146">IF(ISERROR(G146/I146),"",G146/I146)</f>
        <v>2.2000000000000002</v>
      </c>
      <c r="K146" s="131">
        <f t="array" ref="K146">IF(ISERROR(G146/L146),"",G146/L146)</f>
        <v>0.5</v>
      </c>
      <c r="L146" s="129">
        <v>22</v>
      </c>
      <c r="M146" s="109">
        <f t="shared" ref="M146" si="60">IF(ISERROR(I146-K146),"",I146-K146)</f>
        <v>4.5</v>
      </c>
      <c r="N146" s="130">
        <f t="shared" ref="N146" si="61">SUM(O146:U146)</f>
        <v>0</v>
      </c>
      <c r="O146" s="524"/>
      <c r="P146" s="524"/>
      <c r="Q146" s="524"/>
      <c r="R146" s="524"/>
      <c r="S146" s="524"/>
      <c r="T146" s="524"/>
      <c r="U146" s="524"/>
      <c r="V146" s="132">
        <f t="shared" ref="V146" si="62">SUM(X146:AA146)</f>
        <v>0</v>
      </c>
      <c r="W146" s="133">
        <f t="shared" ref="W146:W151" si="63">IF(ISERROR(V146/G146),"",V146/G146)</f>
        <v>0</v>
      </c>
      <c r="X146" s="132"/>
      <c r="Y146" s="132"/>
      <c r="Z146" s="132"/>
      <c r="AA146" s="132"/>
    </row>
    <row r="147" spans="1:27" ht="20.100000000000001" customHeight="1">
      <c r="A147" s="630" t="s">
        <v>234</v>
      </c>
      <c r="B147" s="631"/>
      <c r="C147" s="531" t="s">
        <v>202</v>
      </c>
      <c r="D147" s="145"/>
      <c r="E147" s="143"/>
      <c r="F147" s="144"/>
      <c r="G147" s="145">
        <f>SUM(G138:G146)</f>
        <v>18</v>
      </c>
      <c r="H147" s="146">
        <f>SUM(H138:H146)</f>
        <v>90.72</v>
      </c>
      <c r="I147" s="146">
        <f>SUM(I138:I146)</f>
        <v>7.57</v>
      </c>
      <c r="J147" s="130">
        <f t="array" ref="J147">IF(ISERROR(G147/I147),"",G147/I147)</f>
        <v>2.3778071334214004</v>
      </c>
      <c r="K147" s="146">
        <f>SUM(K138:K146)</f>
        <v>1.0185185185185186</v>
      </c>
      <c r="L147" s="147"/>
      <c r="M147" s="150">
        <f>SUM(M138:M146)</f>
        <v>6.5514814814814812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>
        <f t="shared" si="63"/>
        <v>0</v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523"/>
      <c r="D148" s="128">
        <v>3.65</v>
      </c>
      <c r="E148" s="108"/>
      <c r="F148" s="153"/>
      <c r="G148" s="128"/>
      <c r="H148" s="533">
        <f t="shared" ref="H148:H161" si="64">D148*G148</f>
        <v>0</v>
      </c>
      <c r="I148" s="129"/>
      <c r="J148" s="130" t="str">
        <f t="array" ref="J148">IF(ISERROR(G148/I148),"",G148/I148)</f>
        <v/>
      </c>
      <c r="K148" s="533">
        <f t="array" ref="K148">IF(ISERROR(G148/L148),"",G148/L148)</f>
        <v>0</v>
      </c>
      <c r="L148" s="129">
        <v>5</v>
      </c>
      <c r="M148" s="109">
        <f t="shared" ref="M148:M151" si="65">IF(ISERROR(I148-K148),"",I148-K148)</f>
        <v>0</v>
      </c>
      <c r="N148" s="130">
        <f t="shared" ref="N148:N151" si="66">SUM(O148:U148)</f>
        <v>0</v>
      </c>
      <c r="O148" s="524"/>
      <c r="P148" s="524"/>
      <c r="Q148" s="524"/>
      <c r="R148" s="524"/>
      <c r="S148" s="524"/>
      <c r="T148" s="524"/>
      <c r="U148" s="524"/>
      <c r="V148" s="132">
        <f t="shared" ref="V148:V151" si="67">SUM(X148:AA148)</f>
        <v>0</v>
      </c>
      <c r="W148" s="133" t="str">
        <f t="shared" si="63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523"/>
      <c r="D149" s="128">
        <v>6.58</v>
      </c>
      <c r="E149" s="108"/>
      <c r="F149" s="127"/>
      <c r="G149" s="128"/>
      <c r="H149" s="533">
        <f t="shared" si="64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5"/>
        <v>0</v>
      </c>
      <c r="N149" s="130">
        <f t="shared" si="66"/>
        <v>0</v>
      </c>
      <c r="O149" s="524"/>
      <c r="P149" s="524"/>
      <c r="Q149" s="524"/>
      <c r="R149" s="524"/>
      <c r="S149" s="524"/>
      <c r="T149" s="524"/>
      <c r="U149" s="524"/>
      <c r="V149" s="132">
        <f t="shared" si="67"/>
        <v>0</v>
      </c>
      <c r="W149" s="133" t="str">
        <f t="shared" si="63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523"/>
      <c r="D150" s="128">
        <v>7.8</v>
      </c>
      <c r="E150" s="108"/>
      <c r="F150" s="127"/>
      <c r="G150" s="128"/>
      <c r="H150" s="533">
        <f t="shared" si="64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5"/>
        <v>0</v>
      </c>
      <c r="N150" s="130">
        <f t="shared" si="66"/>
        <v>0</v>
      </c>
      <c r="O150" s="524"/>
      <c r="P150" s="524"/>
      <c r="Q150" s="524"/>
      <c r="R150" s="524"/>
      <c r="S150" s="524"/>
      <c r="T150" s="524"/>
      <c r="U150" s="524"/>
      <c r="V150" s="132">
        <f t="shared" si="67"/>
        <v>0</v>
      </c>
      <c r="W150" s="133" t="str">
        <f t="shared" si="63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523"/>
      <c r="D151" s="128">
        <v>4.4000000000000004</v>
      </c>
      <c r="E151" s="108"/>
      <c r="F151" s="127"/>
      <c r="G151" s="128"/>
      <c r="H151" s="533">
        <f t="shared" si="64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5"/>
        <v>0</v>
      </c>
      <c r="N151" s="130">
        <f t="shared" si="66"/>
        <v>0</v>
      </c>
      <c r="O151" s="524"/>
      <c r="P151" s="524"/>
      <c r="Q151" s="524"/>
      <c r="R151" s="524"/>
      <c r="S151" s="524"/>
      <c r="T151" s="524"/>
      <c r="U151" s="524"/>
      <c r="V151" s="132">
        <f t="shared" si="67"/>
        <v>0</v>
      </c>
      <c r="W151" s="133" t="str">
        <f t="shared" si="63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28"/>
      <c r="E152" s="108"/>
      <c r="F152" s="127"/>
      <c r="G152" s="128"/>
      <c r="H152" s="533">
        <f t="shared" si="64"/>
        <v>0</v>
      </c>
      <c r="I152" s="129"/>
      <c r="J152" s="130"/>
      <c r="K152" s="131"/>
      <c r="L152" s="129">
        <v>6</v>
      </c>
      <c r="M152" s="109"/>
      <c r="N152" s="130"/>
      <c r="O152" s="524"/>
      <c r="P152" s="524"/>
      <c r="Q152" s="524"/>
      <c r="R152" s="524"/>
      <c r="S152" s="524"/>
      <c r="T152" s="524"/>
      <c r="U152" s="524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523" t="s">
        <v>239</v>
      </c>
      <c r="C153" s="523" t="s">
        <v>179</v>
      </c>
      <c r="D153" s="128">
        <v>6.04</v>
      </c>
      <c r="E153" s="108"/>
      <c r="F153" s="127"/>
      <c r="G153" s="128"/>
      <c r="H153" s="533">
        <f t="shared" si="64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8">IF(ISERROR(I153-K153),"",I153-K153)</f>
        <v>0</v>
      </c>
      <c r="N153" s="130">
        <f t="shared" ref="N153:N154" si="69">SUM(O153:U153)</f>
        <v>0</v>
      </c>
      <c r="O153" s="524"/>
      <c r="P153" s="524"/>
      <c r="Q153" s="524"/>
      <c r="R153" s="524"/>
      <c r="S153" s="524"/>
      <c r="T153" s="524"/>
      <c r="U153" s="524"/>
      <c r="V153" s="132">
        <f t="shared" ref="V153:V154" si="70">SUM(X153:AA153)</f>
        <v>0</v>
      </c>
      <c r="W153" s="133" t="str">
        <f t="shared" ref="W153:W154" si="71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523" t="s">
        <v>239</v>
      </c>
      <c r="C154" s="523" t="s">
        <v>186</v>
      </c>
      <c r="D154" s="128">
        <v>6.04</v>
      </c>
      <c r="E154" s="108"/>
      <c r="F154" s="127"/>
      <c r="G154" s="128"/>
      <c r="H154" s="533">
        <f t="shared" si="64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8"/>
        <v>0</v>
      </c>
      <c r="N154" s="130">
        <f t="shared" si="69"/>
        <v>0</v>
      </c>
      <c r="O154" s="524"/>
      <c r="P154" s="524"/>
      <c r="Q154" s="524"/>
      <c r="R154" s="524"/>
      <c r="S154" s="524"/>
      <c r="T154" s="524"/>
      <c r="U154" s="524"/>
      <c r="V154" s="132">
        <f t="shared" si="70"/>
        <v>0</v>
      </c>
      <c r="W154" s="133" t="str">
        <f t="shared" si="71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523" t="s">
        <v>443</v>
      </c>
      <c r="C155" s="523" t="s">
        <v>179</v>
      </c>
      <c r="D155" s="128">
        <v>6</v>
      </c>
      <c r="E155" s="108"/>
      <c r="F155" s="127"/>
      <c r="G155" s="128"/>
      <c r="H155" s="533">
        <f t="shared" si="64"/>
        <v>0</v>
      </c>
      <c r="I155" s="129"/>
      <c r="J155" s="130"/>
      <c r="K155" s="131"/>
      <c r="L155" s="129"/>
      <c r="M155" s="109"/>
      <c r="N155" s="130"/>
      <c r="O155" s="524"/>
      <c r="P155" s="524"/>
      <c r="Q155" s="524"/>
      <c r="R155" s="524"/>
      <c r="S155" s="524"/>
      <c r="T155" s="524"/>
      <c r="U155" s="524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523" t="s">
        <v>443</v>
      </c>
      <c r="C156" s="523" t="s">
        <v>60</v>
      </c>
      <c r="D156" s="128">
        <v>6</v>
      </c>
      <c r="E156" s="108"/>
      <c r="F156" s="127"/>
      <c r="G156" s="128"/>
      <c r="H156" s="533">
        <f t="shared" si="64"/>
        <v>0</v>
      </c>
      <c r="I156" s="129"/>
      <c r="J156" s="130"/>
      <c r="K156" s="131"/>
      <c r="L156" s="129">
        <v>6</v>
      </c>
      <c r="M156" s="109"/>
      <c r="N156" s="130"/>
      <c r="O156" s="524"/>
      <c r="P156" s="524"/>
      <c r="Q156" s="524"/>
      <c r="R156" s="524"/>
      <c r="S156" s="524"/>
      <c r="T156" s="524"/>
      <c r="U156" s="524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525" t="s">
        <v>240</v>
      </c>
      <c r="C157" s="126"/>
      <c r="D157" s="128">
        <v>7.3</v>
      </c>
      <c r="E157" s="108"/>
      <c r="F157" s="127"/>
      <c r="G157" s="128"/>
      <c r="H157" s="533">
        <f t="shared" si="64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2">IF(ISERROR(I157-K157),"",I157-K157)</f>
        <v/>
      </c>
      <c r="N157" s="130">
        <f t="shared" ref="N157:N158" si="73">SUM(O157:U157)</f>
        <v>0</v>
      </c>
      <c r="O157" s="524"/>
      <c r="P157" s="524"/>
      <c r="Q157" s="524"/>
      <c r="R157" s="524"/>
      <c r="S157" s="524"/>
      <c r="T157" s="524"/>
      <c r="U157" s="524"/>
      <c r="V157" s="132">
        <f t="shared" ref="V157:V158" si="74">SUM(X157:AA157)</f>
        <v>0</v>
      </c>
      <c r="W157" s="133" t="str">
        <f t="shared" ref="W157:W158" si="75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525" t="s">
        <v>241</v>
      </c>
      <c r="C158" s="126"/>
      <c r="D158" s="128">
        <f>78*120/1000</f>
        <v>9.36</v>
      </c>
      <c r="E158" s="108"/>
      <c r="F158" s="127"/>
      <c r="G158" s="128"/>
      <c r="H158" s="533">
        <f t="shared" si="64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3"/>
        <v>0</v>
      </c>
      <c r="O158" s="524"/>
      <c r="P158" s="524"/>
      <c r="Q158" s="524"/>
      <c r="R158" s="524"/>
      <c r="S158" s="524"/>
      <c r="T158" s="524"/>
      <c r="U158" s="524"/>
      <c r="V158" s="132">
        <f t="shared" si="74"/>
        <v>0</v>
      </c>
      <c r="W158" s="133" t="str">
        <f t="shared" si="75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525" t="s">
        <v>242</v>
      </c>
      <c r="C159" s="126"/>
      <c r="D159" s="128">
        <v>4.5</v>
      </c>
      <c r="E159" s="108"/>
      <c r="F159" s="127"/>
      <c r="G159" s="128"/>
      <c r="H159" s="533">
        <f t="shared" si="64"/>
        <v>0</v>
      </c>
      <c r="I159" s="129"/>
      <c r="J159" s="130"/>
      <c r="K159" s="131"/>
      <c r="L159" s="129"/>
      <c r="M159" s="109"/>
      <c r="N159" s="130"/>
      <c r="O159" s="524"/>
      <c r="P159" s="524"/>
      <c r="Q159" s="524"/>
      <c r="R159" s="524"/>
      <c r="S159" s="524"/>
      <c r="T159" s="524"/>
      <c r="U159" s="524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525" t="s">
        <v>243</v>
      </c>
      <c r="C160" s="126"/>
      <c r="D160" s="128">
        <v>4.5</v>
      </c>
      <c r="E160" s="108"/>
      <c r="F160" s="127"/>
      <c r="G160" s="128"/>
      <c r="H160" s="533">
        <f t="shared" si="64"/>
        <v>0</v>
      </c>
      <c r="I160" s="129"/>
      <c r="J160" s="130"/>
      <c r="K160" s="131"/>
      <c r="L160" s="129"/>
      <c r="M160" s="109"/>
      <c r="N160" s="130"/>
      <c r="O160" s="524"/>
      <c r="P160" s="524"/>
      <c r="Q160" s="524"/>
      <c r="R160" s="524"/>
      <c r="S160" s="524"/>
      <c r="T160" s="524"/>
      <c r="U160" s="524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28">
        <v>5.03</v>
      </c>
      <c r="E161" s="108"/>
      <c r="F161" s="127"/>
      <c r="G161" s="128"/>
      <c r="H161" s="533">
        <f t="shared" si="64"/>
        <v>0</v>
      </c>
      <c r="I161" s="129"/>
      <c r="J161" s="130"/>
      <c r="K161" s="131"/>
      <c r="L161" s="129"/>
      <c r="M161" s="109"/>
      <c r="N161" s="130"/>
      <c r="O161" s="524"/>
      <c r="P161" s="524"/>
      <c r="Q161" s="524"/>
      <c r="R161" s="524"/>
      <c r="S161" s="524"/>
      <c r="T161" s="524"/>
      <c r="U161" s="524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630" t="s">
        <v>244</v>
      </c>
      <c r="B162" s="631"/>
      <c r="C162" s="531" t="s">
        <v>202</v>
      </c>
      <c r="D162" s="145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6">SUM(M148:M158)</f>
        <v>0</v>
      </c>
      <c r="N162" s="146">
        <f t="shared" si="76"/>
        <v>0</v>
      </c>
      <c r="O162" s="148">
        <f t="shared" si="76"/>
        <v>0</v>
      </c>
      <c r="P162" s="148">
        <f t="shared" si="76"/>
        <v>0</v>
      </c>
      <c r="Q162" s="148">
        <f t="shared" si="76"/>
        <v>0</v>
      </c>
      <c r="R162" s="148">
        <f t="shared" si="76"/>
        <v>0</v>
      </c>
      <c r="S162" s="148">
        <f t="shared" si="76"/>
        <v>0</v>
      </c>
      <c r="T162" s="148">
        <f t="shared" si="76"/>
        <v>0</v>
      </c>
      <c r="U162" s="148">
        <f t="shared" si="76"/>
        <v>0</v>
      </c>
      <c r="V162" s="149">
        <f t="shared" si="76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32" t="s">
        <v>246</v>
      </c>
      <c r="B163" s="633"/>
      <c r="C163" s="633"/>
      <c r="D163" s="633"/>
      <c r="E163" s="633"/>
      <c r="F163" s="634"/>
      <c r="G163" s="154">
        <f>SUM(G28,G86,G121,G137,G147,G162)</f>
        <v>1031</v>
      </c>
      <c r="H163" s="154">
        <f>SUM(H28,H86,H121,H137,H147,H162)</f>
        <v>5171.9800000000005</v>
      </c>
      <c r="I163" s="154">
        <f>SUM(I28,I86,I121,I137,I147,I162)</f>
        <v>84.57</v>
      </c>
      <c r="J163" s="155">
        <f t="array" ref="J163">IF(ISERROR(G163/I163),"",G163/I163)</f>
        <v>12.191084308856569</v>
      </c>
      <c r="K163" s="154">
        <f>SUM(K28,K86,K121,K137,K147,K162)</f>
        <v>165.12941638028371</v>
      </c>
      <c r="L163" s="155">
        <f>IF(ISERROR(G163/K163),"",G163/K163)</f>
        <v>6.2435877422691624</v>
      </c>
      <c r="M163" s="154">
        <f t="shared" ref="M163:AA163" si="77">SUM(M28,M86,M121,M137,M147,M162)</f>
        <v>-80.559416380283722</v>
      </c>
      <c r="N163" s="154">
        <f t="shared" si="77"/>
        <v>0</v>
      </c>
      <c r="O163" s="154">
        <f t="shared" si="77"/>
        <v>0</v>
      </c>
      <c r="P163" s="154">
        <f t="shared" si="77"/>
        <v>0</v>
      </c>
      <c r="Q163" s="154">
        <f t="shared" si="77"/>
        <v>0</v>
      </c>
      <c r="R163" s="154">
        <f t="shared" si="77"/>
        <v>0</v>
      </c>
      <c r="S163" s="154">
        <f t="shared" si="77"/>
        <v>0</v>
      </c>
      <c r="T163" s="154">
        <f t="shared" si="77"/>
        <v>0</v>
      </c>
      <c r="U163" s="154">
        <f t="shared" si="77"/>
        <v>0</v>
      </c>
      <c r="V163" s="154">
        <f t="shared" si="77"/>
        <v>0</v>
      </c>
      <c r="W163" s="154">
        <f t="shared" si="77"/>
        <v>0</v>
      </c>
      <c r="X163" s="154">
        <f t="shared" si="77"/>
        <v>0</v>
      </c>
      <c r="Y163" s="154">
        <f t="shared" si="77"/>
        <v>0</v>
      </c>
      <c r="Z163" s="154">
        <f t="shared" si="77"/>
        <v>0</v>
      </c>
      <c r="AA163" s="154">
        <f t="shared" si="77"/>
        <v>0</v>
      </c>
    </row>
    <row r="164" spans="1:27" ht="20.100000000000001" customHeight="1">
      <c r="A164" s="635" t="s">
        <v>476</v>
      </c>
      <c r="B164" s="530" t="s">
        <v>247</v>
      </c>
      <c r="C164" s="638" t="s">
        <v>248</v>
      </c>
      <c r="D164" s="639"/>
      <c r="E164" s="640" t="s">
        <v>249</v>
      </c>
      <c r="F164" s="640"/>
      <c r="G164" s="643" t="s">
        <v>250</v>
      </c>
      <c r="H164" s="643"/>
      <c r="I164" s="640" t="s">
        <v>251</v>
      </c>
      <c r="J164" s="640"/>
      <c r="K164" s="640" t="s">
        <v>252</v>
      </c>
      <c r="L164" s="640"/>
      <c r="M164" s="640" t="s">
        <v>253</v>
      </c>
      <c r="N164" s="640"/>
      <c r="O164" s="640" t="s">
        <v>254</v>
      </c>
      <c r="P164" s="643" t="s">
        <v>255</v>
      </c>
      <c r="Q164" s="643"/>
      <c r="R164" s="643" t="s">
        <v>252</v>
      </c>
      <c r="S164" s="643"/>
      <c r="T164" s="643" t="s">
        <v>256</v>
      </c>
      <c r="U164" s="643"/>
      <c r="V164" s="643" t="s">
        <v>257</v>
      </c>
      <c r="W164" s="643"/>
      <c r="X164" s="643" t="s">
        <v>252</v>
      </c>
      <c r="Y164" s="643"/>
      <c r="Z164" s="643" t="s">
        <v>256</v>
      </c>
      <c r="AA164" s="643"/>
    </row>
    <row r="165" spans="1:27" ht="20.100000000000001" customHeight="1">
      <c r="A165" s="636"/>
      <c r="B165" s="530" t="s">
        <v>258</v>
      </c>
      <c r="C165" s="638">
        <v>1</v>
      </c>
      <c r="D165" s="639"/>
      <c r="E165" s="642">
        <f>C165*11</f>
        <v>11</v>
      </c>
      <c r="F165" s="642"/>
      <c r="G165" s="643">
        <v>1</v>
      </c>
      <c r="H165" s="643"/>
      <c r="I165" s="642">
        <f>G165*11</f>
        <v>11</v>
      </c>
      <c r="J165" s="642"/>
      <c r="K165" s="642">
        <f>E165-I165</f>
        <v>0</v>
      </c>
      <c r="L165" s="642"/>
      <c r="M165" s="644">
        <f>IF(ISERROR(K165/E165),"",K165/E165)</f>
        <v>0</v>
      </c>
      <c r="N165" s="644"/>
      <c r="O165" s="640"/>
      <c r="P165" s="643" t="s">
        <v>201</v>
      </c>
      <c r="Q165" s="643"/>
      <c r="R165" s="645">
        <f>SUM(O28:U28)</f>
        <v>0</v>
      </c>
      <c r="S165" s="645"/>
      <c r="T165" s="646" t="str">
        <f t="array" ref="T165">IF(ISERROR(R165/R172),"",R165/R172)</f>
        <v/>
      </c>
      <c r="U165" s="646"/>
      <c r="V165" s="643" t="s">
        <v>259</v>
      </c>
      <c r="W165" s="643"/>
      <c r="X165" s="647">
        <f>SUM(P27,P85,P120,P136,P146,P160)</f>
        <v>0</v>
      </c>
      <c r="Y165" s="647"/>
      <c r="Z165" s="646" t="str">
        <f t="array" ref="Z165">IF(ISERROR(X165/X172),"",X165/X172)</f>
        <v/>
      </c>
      <c r="AA165" s="646"/>
    </row>
    <row r="166" spans="1:27" ht="20.100000000000001" customHeight="1">
      <c r="A166" s="636"/>
      <c r="B166" s="530" t="s">
        <v>260</v>
      </c>
      <c r="C166" s="638">
        <v>1</v>
      </c>
      <c r="D166" s="639"/>
      <c r="E166" s="642">
        <f>C166*11</f>
        <v>11</v>
      </c>
      <c r="F166" s="642"/>
      <c r="G166" s="643">
        <v>1</v>
      </c>
      <c r="H166" s="643"/>
      <c r="I166" s="642">
        <f>G166*11</f>
        <v>11</v>
      </c>
      <c r="J166" s="642"/>
      <c r="K166" s="642">
        <f>E166-I166</f>
        <v>0</v>
      </c>
      <c r="L166" s="642"/>
      <c r="M166" s="644">
        <f>IF(ISERROR(K166/E166),"",K166/E166)</f>
        <v>0</v>
      </c>
      <c r="N166" s="644"/>
      <c r="O166" s="640"/>
      <c r="P166" s="643" t="s">
        <v>216</v>
      </c>
      <c r="Q166" s="643"/>
      <c r="R166" s="645">
        <f>SUM(O86:U86)</f>
        <v>0</v>
      </c>
      <c r="S166" s="645"/>
      <c r="T166" s="646" t="str">
        <f>IF(ISERROR(R166/R172),"",R166/R172)</f>
        <v/>
      </c>
      <c r="U166" s="646"/>
      <c r="V166" s="643" t="s">
        <v>261</v>
      </c>
      <c r="W166" s="643"/>
      <c r="X166" s="647">
        <f>SUM(P28,P86,P121,P137,P147,P162)</f>
        <v>0</v>
      </c>
      <c r="Y166" s="647"/>
      <c r="Z166" s="646" t="str">
        <f>IF(ISERROR(X166/X172),"",X166/X172)</f>
        <v/>
      </c>
      <c r="AA166" s="646"/>
    </row>
    <row r="167" spans="1:27" ht="20.100000000000001" customHeight="1">
      <c r="A167" s="636"/>
      <c r="B167" s="530" t="s">
        <v>262</v>
      </c>
      <c r="C167" s="638">
        <v>1</v>
      </c>
      <c r="D167" s="639"/>
      <c r="E167" s="642">
        <f>C167*8</f>
        <v>8</v>
      </c>
      <c r="F167" s="642"/>
      <c r="G167" s="643">
        <v>1</v>
      </c>
      <c r="H167" s="643"/>
      <c r="I167" s="642">
        <f>G167*8</f>
        <v>8</v>
      </c>
      <c r="J167" s="642"/>
      <c r="K167" s="642">
        <f>E167-I167</f>
        <v>0</v>
      </c>
      <c r="L167" s="642"/>
      <c r="M167" s="644">
        <f>IF(ISERROR(K167/E167),"",K167/E167)</f>
        <v>0</v>
      </c>
      <c r="N167" s="644"/>
      <c r="O167" s="640"/>
      <c r="P167" s="643" t="s">
        <v>224</v>
      </c>
      <c r="Q167" s="643"/>
      <c r="R167" s="645">
        <f>SUM(O121:U121)</f>
        <v>0</v>
      </c>
      <c r="S167" s="645"/>
      <c r="T167" s="646" t="str">
        <f>IF(ISERROR(R167/R172),"",R167/R172)</f>
        <v/>
      </c>
      <c r="U167" s="646"/>
      <c r="V167" s="643" t="s">
        <v>263</v>
      </c>
      <c r="W167" s="643"/>
      <c r="X167" s="647">
        <f>SUM(P29,P87,P122,P138,P148,P163)</f>
        <v>0</v>
      </c>
      <c r="Y167" s="647"/>
      <c r="Z167" s="646" t="str">
        <f>IF(ISERROR(X167/X172),"",X167/X172)</f>
        <v/>
      </c>
      <c r="AA167" s="646"/>
    </row>
    <row r="168" spans="1:27" ht="20.100000000000001" customHeight="1">
      <c r="A168" s="636"/>
      <c r="B168" s="530" t="s">
        <v>264</v>
      </c>
      <c r="C168" s="638">
        <v>1</v>
      </c>
      <c r="D168" s="639"/>
      <c r="E168" s="642">
        <f>C168*11</f>
        <v>11</v>
      </c>
      <c r="F168" s="642"/>
      <c r="G168" s="643">
        <v>1</v>
      </c>
      <c r="H168" s="643"/>
      <c r="I168" s="642">
        <f>G168*11</f>
        <v>11</v>
      </c>
      <c r="J168" s="642"/>
      <c r="K168" s="642">
        <f>E168-I168</f>
        <v>0</v>
      </c>
      <c r="L168" s="642"/>
      <c r="M168" s="644">
        <f>IF(ISERROR(K168/E168),"",K168/E168)</f>
        <v>0</v>
      </c>
      <c r="N168" s="644"/>
      <c r="O168" s="640"/>
      <c r="P168" s="643" t="s">
        <v>231</v>
      </c>
      <c r="Q168" s="643"/>
      <c r="R168" s="645">
        <f>SUM(O137:U137)</f>
        <v>0</v>
      </c>
      <c r="S168" s="645"/>
      <c r="T168" s="646" t="str">
        <f>IF(ISERROR(R168/R172),"",R168/R172)</f>
        <v/>
      </c>
      <c r="U168" s="646"/>
      <c r="V168" s="643" t="s">
        <v>265</v>
      </c>
      <c r="W168" s="643"/>
      <c r="X168" s="647">
        <f>SUM(P31,P88,P123,P139,P149,P164)</f>
        <v>0</v>
      </c>
      <c r="Y168" s="647"/>
      <c r="Z168" s="646" t="str">
        <f>IF(ISERROR(X168/X172),"",X168/X172)</f>
        <v/>
      </c>
      <c r="AA168" s="646"/>
    </row>
    <row r="169" spans="1:27" ht="20.100000000000001" customHeight="1">
      <c r="A169" s="637"/>
      <c r="B169" s="530" t="s">
        <v>266</v>
      </c>
      <c r="C169" s="648">
        <f>SUM(C165:D168)</f>
        <v>4</v>
      </c>
      <c r="D169" s="649"/>
      <c r="E169" s="642">
        <f>SUM(E165:F168)</f>
        <v>41</v>
      </c>
      <c r="F169" s="642"/>
      <c r="G169" s="643">
        <f>SUM(G165:H168)</f>
        <v>4</v>
      </c>
      <c r="H169" s="643"/>
      <c r="I169" s="642">
        <f>SUM(I165:J168)</f>
        <v>41</v>
      </c>
      <c r="J169" s="642"/>
      <c r="K169" s="642">
        <f>SUM(K165:L168)</f>
        <v>0</v>
      </c>
      <c r="L169" s="642"/>
      <c r="M169" s="644">
        <f>IF(ISERROR(K169/E169),"",K169/E169)</f>
        <v>0</v>
      </c>
      <c r="N169" s="644"/>
      <c r="O169" s="640"/>
      <c r="P169" s="643" t="s">
        <v>234</v>
      </c>
      <c r="Q169" s="643"/>
      <c r="R169" s="645">
        <f>SUM(O147:U147)</f>
        <v>0</v>
      </c>
      <c r="S169" s="645"/>
      <c r="T169" s="646" t="str">
        <f>IF(ISERROR(R169/R172),"",R169/R172)</f>
        <v/>
      </c>
      <c r="U169" s="646"/>
      <c r="V169" s="643" t="s">
        <v>267</v>
      </c>
      <c r="W169" s="643"/>
      <c r="X169" s="647">
        <f>SUM(P32,P89,P124,P140,P150,P165)</f>
        <v>0</v>
      </c>
      <c r="Y169" s="647"/>
      <c r="Z169" s="646" t="str">
        <f>IF(ISERROR(X169/X172),"",X169/X172)</f>
        <v/>
      </c>
      <c r="AA169" s="646"/>
    </row>
    <row r="170" spans="1:27" ht="20.100000000000001" customHeight="1">
      <c r="A170" s="307" t="s">
        <v>477</v>
      </c>
      <c r="B170" s="530">
        <f>G163</f>
        <v>1031</v>
      </c>
      <c r="C170" s="650" t="s">
        <v>269</v>
      </c>
      <c r="D170" s="651"/>
      <c r="E170" s="643">
        <f>H163</f>
        <v>5171.9800000000005</v>
      </c>
      <c r="F170" s="643"/>
      <c r="G170" s="643" t="s">
        <v>270</v>
      </c>
      <c r="H170" s="643"/>
      <c r="I170" s="652">
        <f>L163</f>
        <v>6.2435877422691624</v>
      </c>
      <c r="J170" s="652"/>
      <c r="K170" s="640" t="s">
        <v>271</v>
      </c>
      <c r="L170" s="640"/>
      <c r="M170" s="652">
        <f>J163</f>
        <v>12.191084308856569</v>
      </c>
      <c r="N170" s="652"/>
      <c r="O170" s="640"/>
      <c r="P170" s="643" t="s">
        <v>244</v>
      </c>
      <c r="Q170" s="643"/>
      <c r="R170" s="645">
        <f>SUM(O162:U162)</f>
        <v>0</v>
      </c>
      <c r="S170" s="645"/>
      <c r="T170" s="646" t="str">
        <f>IF(ISERROR(R170/R172),"",R170/R172)</f>
        <v/>
      </c>
      <c r="U170" s="646"/>
      <c r="V170" s="643" t="s">
        <v>272</v>
      </c>
      <c r="W170" s="643"/>
      <c r="X170" s="647">
        <f>SUM(P33,P90,P125,P141,P151,P166)</f>
        <v>0</v>
      </c>
      <c r="Y170" s="647"/>
      <c r="Z170" s="646" t="str">
        <f>IF(ISERROR(X170/X172),"",X170/X172)</f>
        <v/>
      </c>
      <c r="AA170" s="646"/>
    </row>
    <row r="171" spans="1:27" ht="20.100000000000001" customHeight="1">
      <c r="A171" s="308" t="s">
        <v>478</v>
      </c>
      <c r="B171" s="530">
        <f>I163+C169</f>
        <v>88.57</v>
      </c>
      <c r="C171" s="653" t="s">
        <v>251</v>
      </c>
      <c r="D171" s="654"/>
      <c r="E171" s="655">
        <f>K163+I169</f>
        <v>206.12941638028371</v>
      </c>
      <c r="F171" s="655"/>
      <c r="G171" s="643" t="s">
        <v>274</v>
      </c>
      <c r="H171" s="643"/>
      <c r="I171" s="652">
        <f>B171-E171</f>
        <v>-117.55941638028372</v>
      </c>
      <c r="J171" s="652"/>
      <c r="K171" s="640" t="s">
        <v>275</v>
      </c>
      <c r="L171" s="640"/>
      <c r="M171" s="644">
        <f>IF(ISERROR(I171/E171),"",I171/E171)</f>
        <v>-0.57031848459416823</v>
      </c>
      <c r="N171" s="644"/>
      <c r="O171" s="640"/>
      <c r="P171" s="643" t="s">
        <v>245</v>
      </c>
      <c r="Q171" s="643"/>
      <c r="R171" s="645"/>
      <c r="S171" s="645"/>
      <c r="T171" s="646" t="str">
        <f>IF(ISERROR(R171/R172),"",R171/R172)</f>
        <v/>
      </c>
      <c r="U171" s="646"/>
      <c r="V171" s="643" t="s">
        <v>264</v>
      </c>
      <c r="W171" s="643"/>
      <c r="X171" s="647"/>
      <c r="Y171" s="647"/>
      <c r="Z171" s="646" t="str">
        <f>IF(ISERROR(X171/X172),"",X171/X172)</f>
        <v/>
      </c>
      <c r="AA171" s="646"/>
    </row>
    <row r="172" spans="1:27" ht="20.100000000000001" customHeight="1">
      <c r="A172" s="308" t="s">
        <v>479</v>
      </c>
      <c r="B172" s="530">
        <f>N163</f>
        <v>0</v>
      </c>
      <c r="C172" s="653" t="s">
        <v>277</v>
      </c>
      <c r="D172" s="654"/>
      <c r="E172" s="646">
        <f>IF(ISERROR(B172/B171),"",B172/B171)</f>
        <v>0</v>
      </c>
      <c r="F172" s="646"/>
      <c r="G172" s="643" t="s">
        <v>278</v>
      </c>
      <c r="H172" s="643"/>
      <c r="I172" s="640">
        <f>V163</f>
        <v>0</v>
      </c>
      <c r="J172" s="640"/>
      <c r="K172" s="640" t="s">
        <v>279</v>
      </c>
      <c r="L172" s="640"/>
      <c r="M172" s="644">
        <f t="array" ref="M172">IF(ISERROR(I172/B170),"",I172/B170)</f>
        <v>0</v>
      </c>
      <c r="N172" s="644"/>
      <c r="O172" s="640"/>
      <c r="P172" s="643" t="s">
        <v>266</v>
      </c>
      <c r="Q172" s="643"/>
      <c r="R172" s="645">
        <f>SUM(R165:S171)</f>
        <v>0</v>
      </c>
      <c r="S172" s="645"/>
      <c r="T172" s="646"/>
      <c r="U172" s="646"/>
      <c r="V172" s="643" t="s">
        <v>266</v>
      </c>
      <c r="W172" s="643"/>
      <c r="X172" s="647">
        <f>SUM(X165:Y171)</f>
        <v>0</v>
      </c>
      <c r="Y172" s="647"/>
      <c r="Z172" s="646"/>
      <c r="AA172" s="646"/>
    </row>
    <row r="173" spans="1:27" ht="34.5" customHeight="1">
      <c r="A173" s="185" t="s">
        <v>336</v>
      </c>
      <c r="B173" s="186"/>
      <c r="C173" s="122"/>
      <c r="D173" s="124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56" t="s">
        <v>480</v>
      </c>
      <c r="B174" s="659" t="s">
        <v>280</v>
      </c>
      <c r="C174" s="659" t="s">
        <v>281</v>
      </c>
      <c r="D174" s="701" t="s">
        <v>529</v>
      </c>
      <c r="E174" s="662" t="s">
        <v>283</v>
      </c>
      <c r="F174" s="675" t="s">
        <v>284</v>
      </c>
      <c r="G174" s="640" t="s">
        <v>285</v>
      </c>
      <c r="H174" s="640"/>
      <c r="I174" s="659" t="s">
        <v>286</v>
      </c>
      <c r="J174" s="665" t="s">
        <v>271</v>
      </c>
      <c r="K174" s="668" t="s">
        <v>287</v>
      </c>
      <c r="L174" s="659" t="s">
        <v>270</v>
      </c>
      <c r="M174" s="671" t="s">
        <v>288</v>
      </c>
      <c r="N174" s="673" t="s">
        <v>252</v>
      </c>
      <c r="O174" s="640" t="s">
        <v>289</v>
      </c>
      <c r="P174" s="640"/>
      <c r="Q174" s="640"/>
      <c r="R174" s="640"/>
      <c r="S174" s="640"/>
      <c r="T174" s="640"/>
      <c r="U174" s="640"/>
      <c r="V174" s="640" t="s">
        <v>290</v>
      </c>
      <c r="W174" s="673" t="s">
        <v>291</v>
      </c>
      <c r="X174" s="640" t="s">
        <v>292</v>
      </c>
      <c r="Y174" s="640"/>
      <c r="Z174" s="640"/>
      <c r="AA174" s="640"/>
    </row>
    <row r="175" spans="1:27" ht="21.95" customHeight="1">
      <c r="A175" s="657"/>
      <c r="B175" s="660"/>
      <c r="C175" s="660"/>
      <c r="D175" s="702"/>
      <c r="E175" s="663"/>
      <c r="F175" s="676"/>
      <c r="G175" s="640"/>
      <c r="H175" s="640"/>
      <c r="I175" s="660"/>
      <c r="J175" s="666"/>
      <c r="K175" s="669"/>
      <c r="L175" s="660"/>
      <c r="M175" s="672"/>
      <c r="N175" s="673"/>
      <c r="O175" s="640" t="s">
        <v>259</v>
      </c>
      <c r="P175" s="640" t="s">
        <v>261</v>
      </c>
      <c r="Q175" s="640" t="s">
        <v>263</v>
      </c>
      <c r="R175" s="674" t="s">
        <v>265</v>
      </c>
      <c r="S175" s="643" t="s">
        <v>267</v>
      </c>
      <c r="T175" s="640" t="s">
        <v>272</v>
      </c>
      <c r="U175" s="640" t="s">
        <v>264</v>
      </c>
      <c r="V175" s="640"/>
      <c r="W175" s="673"/>
      <c r="X175" s="640" t="s">
        <v>293</v>
      </c>
      <c r="Y175" s="640" t="s">
        <v>294</v>
      </c>
      <c r="Z175" s="640" t="s">
        <v>295</v>
      </c>
      <c r="AA175" s="640" t="s">
        <v>264</v>
      </c>
    </row>
    <row r="176" spans="1:27" ht="21.95" customHeight="1">
      <c r="A176" s="658"/>
      <c r="B176" s="661"/>
      <c r="C176" s="661"/>
      <c r="D176" s="703"/>
      <c r="E176" s="664"/>
      <c r="F176" s="677"/>
      <c r="G176" s="348" t="s">
        <v>296</v>
      </c>
      <c r="H176" s="523" t="s">
        <v>297</v>
      </c>
      <c r="I176" s="661"/>
      <c r="J176" s="667"/>
      <c r="K176" s="670"/>
      <c r="L176" s="661"/>
      <c r="M176" s="672"/>
      <c r="N176" s="673"/>
      <c r="O176" s="640"/>
      <c r="P176" s="640"/>
      <c r="Q176" s="640"/>
      <c r="R176" s="674"/>
      <c r="S176" s="643"/>
      <c r="T176" s="640"/>
      <c r="U176" s="640"/>
      <c r="V176" s="640"/>
      <c r="W176" s="673"/>
      <c r="X176" s="640"/>
      <c r="Y176" s="640"/>
      <c r="Z176" s="640"/>
      <c r="AA176" s="640"/>
    </row>
    <row r="177" spans="1:27" ht="20.100000000000001" hidden="1" customHeight="1">
      <c r="A177" s="299">
        <v>30100030</v>
      </c>
      <c r="B177" s="525" t="s">
        <v>178</v>
      </c>
      <c r="C177" s="126" t="s">
        <v>179</v>
      </c>
      <c r="D177" s="128">
        <v>5.03</v>
      </c>
      <c r="E177" s="108"/>
      <c r="F177" s="127"/>
      <c r="G177" s="152"/>
      <c r="H177" s="533">
        <f t="shared" ref="H177:H186" si="78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9">IF(ISERROR(I177-K177),"",I177-K177)</f>
        <v>0</v>
      </c>
      <c r="N177" s="130">
        <f>SUM(O177:U177)</f>
        <v>0</v>
      </c>
      <c r="O177" s="524"/>
      <c r="P177" s="524"/>
      <c r="Q177" s="524"/>
      <c r="R177" s="524"/>
      <c r="S177" s="524"/>
      <c r="T177" s="524"/>
      <c r="U177" s="524"/>
      <c r="V177" s="132">
        <f t="shared" ref="V177:V182" si="80">SUM(X177:AA177)</f>
        <v>0</v>
      </c>
      <c r="W177" s="133" t="str">
        <f t="shared" ref="W177:W182" si="81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28">
        <v>5.03</v>
      </c>
      <c r="E178" s="108"/>
      <c r="F178" s="127"/>
      <c r="G178" s="128"/>
      <c r="H178" s="533">
        <f t="shared" si="78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9"/>
        <v>0</v>
      </c>
      <c r="N178" s="130">
        <f t="shared" ref="N178:N186" si="82">SUM(O178:U178)</f>
        <v>0</v>
      </c>
      <c r="O178" s="524"/>
      <c r="P178" s="524"/>
      <c r="Q178" s="524"/>
      <c r="R178" s="524"/>
      <c r="S178" s="524"/>
      <c r="T178" s="524"/>
      <c r="U178" s="524"/>
      <c r="V178" s="132">
        <f t="shared" si="80"/>
        <v>0</v>
      </c>
      <c r="W178" s="133" t="str">
        <f t="shared" si="81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28">
        <v>5.03</v>
      </c>
      <c r="E179" s="108"/>
      <c r="F179" s="127"/>
      <c r="G179" s="128"/>
      <c r="H179" s="533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9"/>
        <v>0</v>
      </c>
      <c r="N179" s="130">
        <f t="shared" si="82"/>
        <v>0</v>
      </c>
      <c r="O179" s="524"/>
      <c r="P179" s="524"/>
      <c r="Q179" s="524"/>
      <c r="R179" s="524"/>
      <c r="S179" s="524"/>
      <c r="T179" s="524"/>
      <c r="U179" s="524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28">
        <v>5.03</v>
      </c>
      <c r="E180" s="108"/>
      <c r="F180" s="127"/>
      <c r="G180" s="128"/>
      <c r="H180" s="533">
        <f t="shared" si="78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9"/>
        <v>0</v>
      </c>
      <c r="N180" s="130">
        <f t="shared" si="82"/>
        <v>0</v>
      </c>
      <c r="O180" s="524"/>
      <c r="P180" s="524"/>
      <c r="Q180" s="524"/>
      <c r="R180" s="524"/>
      <c r="S180" s="524"/>
      <c r="T180" s="524"/>
      <c r="U180" s="524"/>
      <c r="V180" s="132">
        <f t="shared" si="80"/>
        <v>0</v>
      </c>
      <c r="W180" s="133" t="str">
        <f t="shared" si="81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28">
        <v>5.03</v>
      </c>
      <c r="E181" s="108"/>
      <c r="F181" s="127"/>
      <c r="G181" s="128"/>
      <c r="H181" s="533">
        <f t="shared" si="78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9"/>
        <v>0</v>
      </c>
      <c r="N181" s="130">
        <f t="shared" si="82"/>
        <v>0</v>
      </c>
      <c r="O181" s="524"/>
      <c r="P181" s="524"/>
      <c r="Q181" s="524"/>
      <c r="R181" s="524"/>
      <c r="S181" s="524"/>
      <c r="T181" s="524"/>
      <c r="U181" s="524"/>
      <c r="V181" s="132">
        <f t="shared" si="80"/>
        <v>0</v>
      </c>
      <c r="W181" s="133" t="str">
        <f t="shared" si="81"/>
        <v/>
      </c>
      <c r="X181" s="132"/>
      <c r="Y181" s="132"/>
      <c r="Z181" s="132"/>
      <c r="AA181" s="132"/>
    </row>
    <row r="182" spans="1:27" ht="20.100000000000001" customHeight="1">
      <c r="A182" s="299">
        <v>30100052</v>
      </c>
      <c r="B182" s="134" t="s">
        <v>184</v>
      </c>
      <c r="C182" s="126" t="s">
        <v>179</v>
      </c>
      <c r="D182" s="128">
        <v>5.04</v>
      </c>
      <c r="E182" s="108"/>
      <c r="F182" s="127">
        <v>42715</v>
      </c>
      <c r="G182" s="536">
        <v>10</v>
      </c>
      <c r="H182" s="533">
        <f t="shared" si="78"/>
        <v>50.4</v>
      </c>
      <c r="I182" s="129">
        <v>0.5</v>
      </c>
      <c r="J182" s="130">
        <f t="array" ref="J182">IF(ISERROR(G182/I182),"",G182/I182)</f>
        <v>20</v>
      </c>
      <c r="K182" s="131">
        <f t="array" ref="K182">IF(ISERROR(G182/L182),"",G182/L182)</f>
        <v>0.52631578947368418</v>
      </c>
      <c r="L182" s="129">
        <v>19</v>
      </c>
      <c r="M182" s="109">
        <f t="shared" si="79"/>
        <v>-2.6315789473684181E-2</v>
      </c>
      <c r="N182" s="130">
        <f t="shared" si="82"/>
        <v>0</v>
      </c>
      <c r="O182" s="524"/>
      <c r="P182" s="524"/>
      <c r="Q182" s="524"/>
      <c r="R182" s="524"/>
      <c r="S182" s="524"/>
      <c r="T182" s="524"/>
      <c r="U182" s="524"/>
      <c r="V182" s="132">
        <f t="shared" si="80"/>
        <v>0</v>
      </c>
      <c r="W182" s="133">
        <f t="shared" si="81"/>
        <v>0</v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28">
        <v>5.03</v>
      </c>
      <c r="E183" s="108"/>
      <c r="F183" s="127"/>
      <c r="G183" s="128"/>
      <c r="H183" s="533">
        <f t="shared" si="78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9"/>
        <v>0</v>
      </c>
      <c r="N183" s="130">
        <f t="shared" si="82"/>
        <v>0</v>
      </c>
      <c r="O183" s="524"/>
      <c r="P183" s="524"/>
      <c r="Q183" s="524"/>
      <c r="R183" s="524"/>
      <c r="S183" s="524"/>
      <c r="T183" s="524"/>
      <c r="U183" s="524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28">
        <v>5.03</v>
      </c>
      <c r="E184" s="108"/>
      <c r="F184" s="127"/>
      <c r="G184" s="128"/>
      <c r="H184" s="533">
        <f t="shared" si="78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9"/>
        <v>0</v>
      </c>
      <c r="N184" s="130">
        <f t="shared" si="82"/>
        <v>0</v>
      </c>
      <c r="O184" s="524"/>
      <c r="P184" s="524"/>
      <c r="Q184" s="524"/>
      <c r="R184" s="524"/>
      <c r="S184" s="524"/>
      <c r="T184" s="524"/>
      <c r="U184" s="524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28">
        <v>5.04</v>
      </c>
      <c r="E185" s="108"/>
      <c r="F185" s="139"/>
      <c r="G185" s="128"/>
      <c r="H185" s="533">
        <f t="shared" si="78"/>
        <v>0</v>
      </c>
      <c r="I185" s="533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9"/>
        <v>0</v>
      </c>
      <c r="N185" s="130">
        <f t="shared" si="82"/>
        <v>0</v>
      </c>
      <c r="O185" s="524"/>
      <c r="P185" s="524"/>
      <c r="Q185" s="524"/>
      <c r="R185" s="524"/>
      <c r="S185" s="524"/>
      <c r="T185" s="524"/>
      <c r="U185" s="524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28">
        <v>5.04</v>
      </c>
      <c r="E186" s="108"/>
      <c r="F186" s="139"/>
      <c r="G186" s="128"/>
      <c r="H186" s="533">
        <f t="shared" si="78"/>
        <v>0</v>
      </c>
      <c r="I186" s="533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9"/>
        <v>0</v>
      </c>
      <c r="N186" s="130">
        <f t="shared" si="82"/>
        <v>0</v>
      </c>
      <c r="O186" s="524"/>
      <c r="P186" s="524"/>
      <c r="Q186" s="524"/>
      <c r="R186" s="524"/>
      <c r="S186" s="524"/>
      <c r="T186" s="524"/>
      <c r="U186" s="524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28"/>
      <c r="E187" s="108"/>
      <c r="F187" s="127"/>
      <c r="G187" s="128"/>
      <c r="H187" s="533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524"/>
      <c r="P187" s="524"/>
      <c r="Q187" s="524"/>
      <c r="R187" s="524"/>
      <c r="S187" s="524"/>
      <c r="T187" s="524"/>
      <c r="U187" s="524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28"/>
      <c r="E188" s="108"/>
      <c r="F188" s="127"/>
      <c r="G188" s="128"/>
      <c r="H188" s="533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524"/>
      <c r="P188" s="524"/>
      <c r="Q188" s="524"/>
      <c r="R188" s="524"/>
      <c r="S188" s="524"/>
      <c r="T188" s="524"/>
      <c r="U188" s="524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28">
        <v>5.0599999999999996</v>
      </c>
      <c r="E189" s="108"/>
      <c r="F189" s="127"/>
      <c r="G189" s="128"/>
      <c r="H189" s="533">
        <f t="shared" ref="H189:H197" si="83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4">IF(ISERROR(I189-K189),"",I189-K189)</f>
        <v>0</v>
      </c>
      <c r="N189" s="130">
        <f t="shared" ref="N189:N191" si="85">SUM(O189:U189)</f>
        <v>0</v>
      </c>
      <c r="O189" s="524"/>
      <c r="P189" s="524"/>
      <c r="Q189" s="524"/>
      <c r="R189" s="524"/>
      <c r="S189" s="524"/>
      <c r="T189" s="524"/>
      <c r="U189" s="524"/>
      <c r="V189" s="132">
        <f t="shared" ref="V189:V191" si="86">SUM(X189:AA189)</f>
        <v>0</v>
      </c>
      <c r="W189" s="133" t="str">
        <f t="shared" ref="W189:W191" si="87">IF(ISERROR(V189/G189),"",V189/G189)</f>
        <v/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28">
        <v>5.09</v>
      </c>
      <c r="E190" s="108"/>
      <c r="F190" s="127"/>
      <c r="G190" s="128"/>
      <c r="H190" s="533">
        <f t="shared" si="83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4"/>
        <v>0</v>
      </c>
      <c r="N190" s="130">
        <f t="shared" si="85"/>
        <v>0</v>
      </c>
      <c r="O190" s="524"/>
      <c r="P190" s="524"/>
      <c r="Q190" s="524"/>
      <c r="R190" s="524"/>
      <c r="S190" s="524"/>
      <c r="T190" s="524"/>
      <c r="U190" s="524"/>
      <c r="V190" s="132">
        <f t="shared" si="86"/>
        <v>0</v>
      </c>
      <c r="W190" s="133" t="str">
        <f t="shared" si="87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28">
        <v>5.09</v>
      </c>
      <c r="E191" s="108"/>
      <c r="F191" s="127"/>
      <c r="G191" s="128"/>
      <c r="H191" s="533">
        <f t="shared" si="83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4"/>
        <v>0</v>
      </c>
      <c r="N191" s="130">
        <f t="shared" si="85"/>
        <v>0</v>
      </c>
      <c r="O191" s="524"/>
      <c r="P191" s="524"/>
      <c r="Q191" s="524"/>
      <c r="R191" s="524"/>
      <c r="S191" s="524"/>
      <c r="T191" s="524"/>
      <c r="U191" s="524"/>
      <c r="V191" s="132">
        <f t="shared" si="86"/>
        <v>0</v>
      </c>
      <c r="W191" s="133" t="str">
        <f t="shared" si="87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523" t="s">
        <v>190</v>
      </c>
      <c r="D192" s="128">
        <v>4.8</v>
      </c>
      <c r="E192" s="108"/>
      <c r="F192" s="127"/>
      <c r="G192" s="128"/>
      <c r="H192" s="533">
        <f t="shared" si="83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4"/>
        <v>0</v>
      </c>
      <c r="N192" s="130"/>
      <c r="O192" s="524"/>
      <c r="P192" s="524"/>
      <c r="Q192" s="524"/>
      <c r="R192" s="524"/>
      <c r="S192" s="524"/>
      <c r="T192" s="524"/>
      <c r="U192" s="524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523" t="s">
        <v>187</v>
      </c>
      <c r="D193" s="128">
        <v>4.8</v>
      </c>
      <c r="E193" s="108"/>
      <c r="F193" s="127"/>
      <c r="G193" s="128"/>
      <c r="H193" s="533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524"/>
      <c r="P193" s="524"/>
      <c r="Q193" s="524"/>
      <c r="R193" s="524"/>
      <c r="S193" s="524"/>
      <c r="T193" s="524"/>
      <c r="U193" s="524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523" t="s">
        <v>179</v>
      </c>
      <c r="D194" s="128">
        <v>4.8</v>
      </c>
      <c r="E194" s="108"/>
      <c r="F194" s="127"/>
      <c r="G194" s="128"/>
      <c r="H194" s="533">
        <f t="shared" si="83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4"/>
        <v>0</v>
      </c>
      <c r="N194" s="130"/>
      <c r="O194" s="524"/>
      <c r="P194" s="524"/>
      <c r="Q194" s="524"/>
      <c r="R194" s="524"/>
      <c r="S194" s="524"/>
      <c r="T194" s="524"/>
      <c r="U194" s="524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523" t="s">
        <v>199</v>
      </c>
      <c r="D195" s="128">
        <v>4.8</v>
      </c>
      <c r="E195" s="108"/>
      <c r="F195" s="127"/>
      <c r="G195" s="128"/>
      <c r="H195" s="533">
        <f t="shared" si="83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4"/>
        <v>0</v>
      </c>
      <c r="N195" s="130"/>
      <c r="O195" s="524"/>
      <c r="P195" s="524"/>
      <c r="Q195" s="524"/>
      <c r="R195" s="524"/>
      <c r="S195" s="524"/>
      <c r="T195" s="524"/>
      <c r="U195" s="524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28">
        <v>4.99</v>
      </c>
      <c r="E196" s="108"/>
      <c r="F196" s="127"/>
      <c r="G196" s="128"/>
      <c r="H196" s="533">
        <f t="shared" si="83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4"/>
        <v>0</v>
      </c>
      <c r="N196" s="130">
        <f t="shared" ref="N196:N197" si="88">SUM(O196:U196)</f>
        <v>0</v>
      </c>
      <c r="O196" s="524"/>
      <c r="P196" s="524"/>
      <c r="Q196" s="524"/>
      <c r="R196" s="524"/>
      <c r="S196" s="524"/>
      <c r="T196" s="524"/>
      <c r="U196" s="524"/>
      <c r="V196" s="132">
        <f t="shared" ref="V196:V197" si="89">SUM(X196:AA196)</f>
        <v>0</v>
      </c>
      <c r="W196" s="133" t="str">
        <f t="shared" ref="W196:W197" si="90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28">
        <v>4.99</v>
      </c>
      <c r="E197" s="108"/>
      <c r="F197" s="142"/>
      <c r="G197" s="128"/>
      <c r="H197" s="533">
        <f t="shared" si="83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4"/>
        <v>0</v>
      </c>
      <c r="N197" s="130">
        <f t="shared" si="88"/>
        <v>0</v>
      </c>
      <c r="O197" s="524"/>
      <c r="P197" s="524"/>
      <c r="Q197" s="524"/>
      <c r="R197" s="524"/>
      <c r="S197" s="524"/>
      <c r="T197" s="524"/>
      <c r="U197" s="524"/>
      <c r="V197" s="132">
        <f t="shared" si="89"/>
        <v>0</v>
      </c>
      <c r="W197" s="133" t="str">
        <f t="shared" si="90"/>
        <v/>
      </c>
      <c r="X197" s="132"/>
      <c r="Y197" s="132"/>
      <c r="Z197" s="132"/>
      <c r="AA197" s="132"/>
    </row>
    <row r="198" spans="1:27" ht="20.100000000000001" customHeight="1">
      <c r="A198" s="630" t="s">
        <v>201</v>
      </c>
      <c r="B198" s="631"/>
      <c r="C198" s="531" t="s">
        <v>202</v>
      </c>
      <c r="D198" s="145"/>
      <c r="E198" s="143"/>
      <c r="F198" s="144"/>
      <c r="G198" s="145">
        <f>SUM(G177:G197)</f>
        <v>10</v>
      </c>
      <c r="H198" s="146">
        <f>SUM(H177:H197)</f>
        <v>50.4</v>
      </c>
      <c r="I198" s="146">
        <f>SUM(I177:I197)</f>
        <v>0.5</v>
      </c>
      <c r="J198" s="130">
        <f t="array" ref="J198">IF(ISERROR(G198/I198),"",G198/I198)</f>
        <v>20</v>
      </c>
      <c r="K198" s="146">
        <f>SUM(K177:K197)</f>
        <v>0.52631578947368418</v>
      </c>
      <c r="L198" s="147"/>
      <c r="M198" s="150">
        <f t="shared" ref="M198:AA198" si="91">SUM(M177:M197)</f>
        <v>-2.6315789473684181E-2</v>
      </c>
      <c r="N198" s="146">
        <f t="shared" si="91"/>
        <v>0</v>
      </c>
      <c r="O198" s="148">
        <f t="shared" si="91"/>
        <v>0</v>
      </c>
      <c r="P198" s="148">
        <f t="shared" si="91"/>
        <v>0</v>
      </c>
      <c r="Q198" s="148">
        <f t="shared" si="91"/>
        <v>0</v>
      </c>
      <c r="R198" s="148">
        <f t="shared" si="91"/>
        <v>0</v>
      </c>
      <c r="S198" s="148">
        <f t="shared" si="91"/>
        <v>0</v>
      </c>
      <c r="T198" s="148">
        <f t="shared" si="91"/>
        <v>0</v>
      </c>
      <c r="U198" s="148">
        <f t="shared" si="91"/>
        <v>0</v>
      </c>
      <c r="V198" s="149">
        <f t="shared" si="91"/>
        <v>0</v>
      </c>
      <c r="W198" s="133">
        <f t="shared" si="91"/>
        <v>0</v>
      </c>
      <c r="X198" s="149">
        <f t="shared" si="91"/>
        <v>0</v>
      </c>
      <c r="Y198" s="149">
        <f t="shared" si="91"/>
        <v>0</v>
      </c>
      <c r="Z198" s="149">
        <f t="shared" si="91"/>
        <v>0</v>
      </c>
      <c r="AA198" s="149">
        <f t="shared" si="91"/>
        <v>0</v>
      </c>
    </row>
    <row r="199" spans="1:27" ht="20.100000000000001" hidden="1" customHeight="1">
      <c r="A199" s="300">
        <v>30100012</v>
      </c>
      <c r="B199" s="525" t="s">
        <v>206</v>
      </c>
      <c r="C199" s="126" t="s">
        <v>199</v>
      </c>
      <c r="D199" s="128">
        <v>5.03</v>
      </c>
      <c r="E199" s="108"/>
      <c r="F199" s="127"/>
      <c r="G199" s="128"/>
      <c r="H199" s="533">
        <f t="shared" ref="H199:H255" si="92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3">IF(ISERROR(I199-K199),"",I199-K199)</f>
        <v>0</v>
      </c>
      <c r="N199" s="130">
        <f t="shared" ref="N199" si="94">SUM(O199:U199)</f>
        <v>0</v>
      </c>
      <c r="O199" s="528"/>
      <c r="P199" s="528"/>
      <c r="Q199" s="528"/>
      <c r="R199" s="528"/>
      <c r="S199" s="528"/>
      <c r="T199" s="528"/>
      <c r="U199" s="528"/>
      <c r="V199" s="132">
        <f t="shared" ref="V199" si="95">SUM(X199:AA199)</f>
        <v>0</v>
      </c>
      <c r="W199" s="133" t="str">
        <f t="shared" ref="W199" si="96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525" t="s">
        <v>425</v>
      </c>
      <c r="C200" s="187" t="s">
        <v>427</v>
      </c>
      <c r="D200" s="128">
        <v>5.03</v>
      </c>
      <c r="E200" s="108"/>
      <c r="F200" s="127"/>
      <c r="G200" s="128"/>
      <c r="H200" s="533">
        <f t="shared" si="92"/>
        <v>0</v>
      </c>
      <c r="I200" s="129"/>
      <c r="J200" s="130"/>
      <c r="K200" s="131"/>
      <c r="L200" s="129">
        <v>52</v>
      </c>
      <c r="M200" s="109"/>
      <c r="N200" s="130"/>
      <c r="O200" s="528"/>
      <c r="P200" s="528"/>
      <c r="Q200" s="528"/>
      <c r="R200" s="528"/>
      <c r="S200" s="528"/>
      <c r="T200" s="528"/>
      <c r="U200" s="528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525" t="s">
        <v>206</v>
      </c>
      <c r="C201" s="126" t="s">
        <v>186</v>
      </c>
      <c r="D201" s="128">
        <v>5.03</v>
      </c>
      <c r="E201" s="108"/>
      <c r="F201" s="127"/>
      <c r="G201" s="128"/>
      <c r="H201" s="533">
        <f t="shared" si="92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7">IF(ISERROR(I201-K201),"",I201-K201)</f>
        <v>0</v>
      </c>
      <c r="N201" s="130">
        <f t="shared" ref="N201:N203" si="98">SUM(O201:U201)</f>
        <v>0</v>
      </c>
      <c r="O201" s="528"/>
      <c r="P201" s="528"/>
      <c r="Q201" s="528"/>
      <c r="R201" s="528"/>
      <c r="S201" s="528"/>
      <c r="T201" s="528"/>
      <c r="U201" s="528"/>
      <c r="V201" s="132">
        <f t="shared" ref="V201:V203" si="99">SUM(X201:AA201)</f>
        <v>0</v>
      </c>
      <c r="W201" s="133" t="str">
        <f t="shared" ref="W201:W203" si="100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525" t="s">
        <v>206</v>
      </c>
      <c r="C202" s="126" t="s">
        <v>203</v>
      </c>
      <c r="D202" s="128">
        <v>5.03</v>
      </c>
      <c r="E202" s="108"/>
      <c r="F202" s="127"/>
      <c r="G202" s="128"/>
      <c r="H202" s="533">
        <f t="shared" si="92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8"/>
        <v>0</v>
      </c>
      <c r="O202" s="528"/>
      <c r="P202" s="528"/>
      <c r="Q202" s="528"/>
      <c r="R202" s="528"/>
      <c r="S202" s="528"/>
      <c r="T202" s="528"/>
      <c r="U202" s="528"/>
      <c r="V202" s="132">
        <f t="shared" si="99"/>
        <v>0</v>
      </c>
      <c r="W202" s="133" t="str">
        <f t="shared" si="100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525" t="s">
        <v>206</v>
      </c>
      <c r="C203" s="126" t="s">
        <v>207</v>
      </c>
      <c r="D203" s="128">
        <v>5.03</v>
      </c>
      <c r="E203" s="108"/>
      <c r="F203" s="127"/>
      <c r="G203" s="128"/>
      <c r="H203" s="533">
        <f t="shared" si="92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1">IF(ISERROR(I203-K203),"",I203-K203)</f>
        <v>0</v>
      </c>
      <c r="N203" s="130">
        <f t="shared" si="98"/>
        <v>0</v>
      </c>
      <c r="O203" s="528"/>
      <c r="P203" s="528"/>
      <c r="Q203" s="528"/>
      <c r="R203" s="528"/>
      <c r="S203" s="528"/>
      <c r="T203" s="528"/>
      <c r="U203" s="528"/>
      <c r="V203" s="132">
        <f t="shared" si="99"/>
        <v>0</v>
      </c>
      <c r="W203" s="133" t="str">
        <f t="shared" si="100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525" t="s">
        <v>414</v>
      </c>
      <c r="C204" s="187" t="s">
        <v>415</v>
      </c>
      <c r="D204" s="128">
        <v>5.03</v>
      </c>
      <c r="E204" s="108"/>
      <c r="F204" s="127"/>
      <c r="G204" s="128"/>
      <c r="H204" s="533">
        <f t="shared" si="92"/>
        <v>0</v>
      </c>
      <c r="I204" s="129"/>
      <c r="J204" s="130"/>
      <c r="K204" s="131"/>
      <c r="L204" s="129">
        <v>52</v>
      </c>
      <c r="M204" s="109"/>
      <c r="N204" s="130"/>
      <c r="O204" s="528"/>
      <c r="P204" s="528"/>
      <c r="Q204" s="528"/>
      <c r="R204" s="528"/>
      <c r="S204" s="528"/>
      <c r="T204" s="528"/>
      <c r="U204" s="528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525" t="s">
        <v>414</v>
      </c>
      <c r="C205" s="187" t="s">
        <v>416</v>
      </c>
      <c r="D205" s="128">
        <v>5.03</v>
      </c>
      <c r="E205" s="108"/>
      <c r="F205" s="127"/>
      <c r="G205" s="128"/>
      <c r="H205" s="533">
        <f t="shared" si="92"/>
        <v>0</v>
      </c>
      <c r="I205" s="129"/>
      <c r="J205" s="130"/>
      <c r="K205" s="131"/>
      <c r="L205" s="129">
        <v>52</v>
      </c>
      <c r="M205" s="109"/>
      <c r="N205" s="130"/>
      <c r="O205" s="528"/>
      <c r="P205" s="528"/>
      <c r="Q205" s="528"/>
      <c r="R205" s="528"/>
      <c r="S205" s="528"/>
      <c r="T205" s="528"/>
      <c r="U205" s="528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525" t="s">
        <v>414</v>
      </c>
      <c r="C206" s="187" t="s">
        <v>61</v>
      </c>
      <c r="D206" s="128">
        <v>5.03</v>
      </c>
      <c r="E206" s="108"/>
      <c r="F206" s="127"/>
      <c r="G206" s="128"/>
      <c r="H206" s="533">
        <f t="shared" si="92"/>
        <v>0</v>
      </c>
      <c r="I206" s="129"/>
      <c r="J206" s="130"/>
      <c r="K206" s="131"/>
      <c r="L206" s="129">
        <v>52</v>
      </c>
      <c r="M206" s="109"/>
      <c r="N206" s="130"/>
      <c r="O206" s="528"/>
      <c r="P206" s="528"/>
      <c r="Q206" s="528"/>
      <c r="R206" s="528"/>
      <c r="S206" s="528"/>
      <c r="T206" s="528"/>
      <c r="U206" s="528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525" t="s">
        <v>208</v>
      </c>
      <c r="C207" s="126" t="s">
        <v>179</v>
      </c>
      <c r="D207" s="128">
        <v>5.08</v>
      </c>
      <c r="E207" s="108"/>
      <c r="F207" s="127"/>
      <c r="G207" s="128"/>
      <c r="H207" s="533">
        <f t="shared" si="92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2">IF(ISERROR(I207-K207),"",I207-K207)</f>
        <v>0</v>
      </c>
      <c r="N207" s="130">
        <f t="shared" ref="N207:N236" si="103">SUM(O207:U207)</f>
        <v>0</v>
      </c>
      <c r="O207" s="528"/>
      <c r="P207" s="528"/>
      <c r="Q207" s="528"/>
      <c r="R207" s="528"/>
      <c r="S207" s="528"/>
      <c r="T207" s="528"/>
      <c r="U207" s="528"/>
      <c r="V207" s="132">
        <f t="shared" ref="V207:V218" si="104">SUM(X207:AA207)</f>
        <v>0</v>
      </c>
      <c r="W207" s="133" t="str">
        <f t="shared" ref="W207:W218" si="105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525" t="s">
        <v>208</v>
      </c>
      <c r="C208" s="126" t="s">
        <v>204</v>
      </c>
      <c r="D208" s="128">
        <v>5.08</v>
      </c>
      <c r="E208" s="108"/>
      <c r="F208" s="127"/>
      <c r="G208" s="128"/>
      <c r="H208" s="533">
        <f t="shared" si="92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2"/>
        <v>0</v>
      </c>
      <c r="N208" s="130">
        <f t="shared" si="103"/>
        <v>0</v>
      </c>
      <c r="O208" s="528"/>
      <c r="P208" s="528"/>
      <c r="Q208" s="528"/>
      <c r="R208" s="528"/>
      <c r="S208" s="528"/>
      <c r="T208" s="528"/>
      <c r="U208" s="528"/>
      <c r="V208" s="132">
        <f t="shared" si="104"/>
        <v>0</v>
      </c>
      <c r="W208" s="133" t="str">
        <f t="shared" si="105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525" t="s">
        <v>208</v>
      </c>
      <c r="C209" s="126" t="s">
        <v>205</v>
      </c>
      <c r="D209" s="128">
        <v>5.08</v>
      </c>
      <c r="E209" s="108"/>
      <c r="F209" s="127"/>
      <c r="G209" s="128"/>
      <c r="H209" s="533">
        <f t="shared" si="92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528"/>
      <c r="P209" s="528"/>
      <c r="Q209" s="528"/>
      <c r="R209" s="528"/>
      <c r="S209" s="528"/>
      <c r="T209" s="528"/>
      <c r="U209" s="528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525" t="s">
        <v>208</v>
      </c>
      <c r="C210" s="126" t="s">
        <v>186</v>
      </c>
      <c r="D210" s="128">
        <v>5.08</v>
      </c>
      <c r="E210" s="108"/>
      <c r="F210" s="127"/>
      <c r="G210" s="128"/>
      <c r="H210" s="533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528"/>
      <c r="P210" s="528"/>
      <c r="Q210" s="528"/>
      <c r="R210" s="528"/>
      <c r="S210" s="528"/>
      <c r="T210" s="528"/>
      <c r="U210" s="528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525" t="s">
        <v>208</v>
      </c>
      <c r="C211" s="126" t="s">
        <v>203</v>
      </c>
      <c r="D211" s="128">
        <v>5.08</v>
      </c>
      <c r="E211" s="108"/>
      <c r="F211" s="127"/>
      <c r="G211" s="128"/>
      <c r="H211" s="533">
        <f t="shared" si="92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2"/>
        <v>0</v>
      </c>
      <c r="N211" s="130">
        <f t="shared" si="103"/>
        <v>0</v>
      </c>
      <c r="O211" s="528"/>
      <c r="P211" s="528"/>
      <c r="Q211" s="528"/>
      <c r="R211" s="528"/>
      <c r="S211" s="528"/>
      <c r="T211" s="528"/>
      <c r="U211" s="528"/>
      <c r="V211" s="132">
        <f t="shared" si="104"/>
        <v>0</v>
      </c>
      <c r="W211" s="133" t="str">
        <f t="shared" si="105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525" t="s">
        <v>208</v>
      </c>
      <c r="C212" s="126" t="s">
        <v>199</v>
      </c>
      <c r="D212" s="128">
        <v>5.08</v>
      </c>
      <c r="E212" s="108"/>
      <c r="F212" s="127"/>
      <c r="G212" s="128"/>
      <c r="H212" s="533">
        <f t="shared" si="92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2"/>
        <v>0</v>
      </c>
      <c r="N212" s="130">
        <f t="shared" si="103"/>
        <v>0</v>
      </c>
      <c r="O212" s="524"/>
      <c r="P212" s="524"/>
      <c r="Q212" s="524"/>
      <c r="R212" s="524"/>
      <c r="S212" s="524"/>
      <c r="T212" s="524"/>
      <c r="U212" s="524"/>
      <c r="V212" s="132">
        <f t="shared" si="104"/>
        <v>0</v>
      </c>
      <c r="W212" s="133" t="str">
        <f t="shared" si="105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525" t="s">
        <v>208</v>
      </c>
      <c r="C213" s="126" t="s">
        <v>187</v>
      </c>
      <c r="D213" s="128">
        <v>5.08</v>
      </c>
      <c r="E213" s="108"/>
      <c r="F213" s="127"/>
      <c r="G213" s="128"/>
      <c r="H213" s="533">
        <f t="shared" si="92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2"/>
        <v>0</v>
      </c>
      <c r="N213" s="130">
        <f t="shared" si="103"/>
        <v>0</v>
      </c>
      <c r="O213" s="528"/>
      <c r="P213" s="528"/>
      <c r="Q213" s="528"/>
      <c r="R213" s="528"/>
      <c r="S213" s="528"/>
      <c r="T213" s="528"/>
      <c r="U213" s="528"/>
      <c r="V213" s="132">
        <f t="shared" si="104"/>
        <v>0</v>
      </c>
      <c r="W213" s="133" t="str">
        <f t="shared" si="105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525" t="s">
        <v>208</v>
      </c>
      <c r="C214" s="126" t="s">
        <v>207</v>
      </c>
      <c r="D214" s="128">
        <v>5.08</v>
      </c>
      <c r="E214" s="108"/>
      <c r="F214" s="127"/>
      <c r="G214" s="128"/>
      <c r="H214" s="533">
        <f t="shared" si="92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2"/>
        <v>0</v>
      </c>
      <c r="N214" s="130">
        <f t="shared" si="103"/>
        <v>0</v>
      </c>
      <c r="O214" s="524"/>
      <c r="P214" s="524"/>
      <c r="Q214" s="524"/>
      <c r="R214" s="524"/>
      <c r="S214" s="524"/>
      <c r="T214" s="524"/>
      <c r="U214" s="524"/>
      <c r="V214" s="132">
        <f t="shared" si="104"/>
        <v>0</v>
      </c>
      <c r="W214" s="133" t="str">
        <f t="shared" si="105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525" t="s">
        <v>209</v>
      </c>
      <c r="C215" s="126" t="s">
        <v>194</v>
      </c>
      <c r="D215" s="128">
        <v>5.03</v>
      </c>
      <c r="E215" s="108"/>
      <c r="F215" s="127"/>
      <c r="G215" s="128"/>
      <c r="H215" s="533">
        <f t="shared" si="92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2"/>
        <v>0</v>
      </c>
      <c r="N215" s="130">
        <f t="shared" si="103"/>
        <v>0</v>
      </c>
      <c r="O215" s="528"/>
      <c r="P215" s="528"/>
      <c r="Q215" s="528"/>
      <c r="R215" s="528"/>
      <c r="S215" s="528"/>
      <c r="T215" s="528"/>
      <c r="U215" s="528"/>
      <c r="V215" s="132">
        <f t="shared" si="104"/>
        <v>0</v>
      </c>
      <c r="W215" s="133" t="str">
        <f t="shared" si="105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525" t="s">
        <v>209</v>
      </c>
      <c r="C216" s="126" t="s">
        <v>179</v>
      </c>
      <c r="D216" s="128">
        <v>5.03</v>
      </c>
      <c r="E216" s="108"/>
      <c r="F216" s="127"/>
      <c r="G216" s="128"/>
      <c r="H216" s="533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528"/>
      <c r="P216" s="528"/>
      <c r="Q216" s="528"/>
      <c r="R216" s="528"/>
      <c r="S216" s="528"/>
      <c r="T216" s="528"/>
      <c r="U216" s="528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525" t="s">
        <v>209</v>
      </c>
      <c r="C217" s="126" t="s">
        <v>195</v>
      </c>
      <c r="D217" s="128">
        <v>5.03</v>
      </c>
      <c r="E217" s="108"/>
      <c r="F217" s="127"/>
      <c r="G217" s="128"/>
      <c r="H217" s="533">
        <f t="shared" si="92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528"/>
      <c r="P217" s="528"/>
      <c r="Q217" s="528"/>
      <c r="R217" s="528"/>
      <c r="S217" s="528"/>
      <c r="T217" s="528"/>
      <c r="U217" s="528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525" t="s">
        <v>209</v>
      </c>
      <c r="C218" s="126" t="s">
        <v>204</v>
      </c>
      <c r="D218" s="128">
        <v>5.03</v>
      </c>
      <c r="E218" s="108"/>
      <c r="F218" s="127"/>
      <c r="G218" s="128"/>
      <c r="H218" s="533">
        <f t="shared" si="92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2"/>
        <v>0</v>
      </c>
      <c r="N218" s="130">
        <f t="shared" si="103"/>
        <v>0</v>
      </c>
      <c r="O218" s="528"/>
      <c r="P218" s="528"/>
      <c r="Q218" s="528"/>
      <c r="R218" s="528"/>
      <c r="S218" s="528"/>
      <c r="T218" s="528"/>
      <c r="U218" s="528"/>
      <c r="V218" s="132">
        <f t="shared" si="104"/>
        <v>0</v>
      </c>
      <c r="W218" s="133" t="str">
        <f t="shared" si="105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525" t="s">
        <v>382</v>
      </c>
      <c r="C219" s="187" t="s">
        <v>383</v>
      </c>
      <c r="D219" s="128">
        <v>5.03</v>
      </c>
      <c r="E219" s="108"/>
      <c r="F219" s="127"/>
      <c r="G219" s="128"/>
      <c r="H219" s="533">
        <f t="shared" si="92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2"/>
        <v>0</v>
      </c>
      <c r="N219" s="130">
        <f t="shared" si="103"/>
        <v>0</v>
      </c>
      <c r="O219" s="528"/>
      <c r="P219" s="528"/>
      <c r="Q219" s="528"/>
      <c r="R219" s="528"/>
      <c r="S219" s="528"/>
      <c r="T219" s="528"/>
      <c r="U219" s="528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525" t="s">
        <v>382</v>
      </c>
      <c r="C220" s="187" t="s">
        <v>384</v>
      </c>
      <c r="D220" s="128">
        <v>5.03</v>
      </c>
      <c r="E220" s="108"/>
      <c r="F220" s="127"/>
      <c r="G220" s="128"/>
      <c r="H220" s="533">
        <f t="shared" si="92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528"/>
      <c r="P220" s="528"/>
      <c r="Q220" s="528"/>
      <c r="R220" s="528"/>
      <c r="S220" s="528"/>
      <c r="T220" s="528"/>
      <c r="U220" s="528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525" t="s">
        <v>382</v>
      </c>
      <c r="C221" s="187" t="s">
        <v>389</v>
      </c>
      <c r="D221" s="128">
        <v>5.03</v>
      </c>
      <c r="E221" s="108"/>
      <c r="F221" s="127"/>
      <c r="G221" s="128"/>
      <c r="H221" s="533">
        <f t="shared" si="92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2"/>
        <v>0</v>
      </c>
      <c r="N221" s="130">
        <f t="shared" si="103"/>
        <v>0</v>
      </c>
      <c r="O221" s="528"/>
      <c r="P221" s="528"/>
      <c r="Q221" s="528"/>
      <c r="R221" s="528"/>
      <c r="S221" s="528"/>
      <c r="T221" s="528"/>
      <c r="U221" s="528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525" t="s">
        <v>382</v>
      </c>
      <c r="C222" s="187" t="s">
        <v>391</v>
      </c>
      <c r="D222" s="128">
        <v>5.03</v>
      </c>
      <c r="E222" s="108"/>
      <c r="F222" s="127"/>
      <c r="G222" s="128"/>
      <c r="H222" s="533">
        <f t="shared" si="92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2"/>
        <v>0</v>
      </c>
      <c r="N222" s="130">
        <f t="shared" si="103"/>
        <v>0</v>
      </c>
      <c r="O222" s="528"/>
      <c r="P222" s="528"/>
      <c r="Q222" s="528"/>
      <c r="R222" s="528"/>
      <c r="S222" s="528"/>
      <c r="T222" s="528"/>
      <c r="U222" s="528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525" t="s">
        <v>418</v>
      </c>
      <c r="C223" s="187" t="s">
        <v>364</v>
      </c>
      <c r="D223" s="128">
        <v>5.03</v>
      </c>
      <c r="E223" s="108"/>
      <c r="F223" s="127"/>
      <c r="G223" s="128"/>
      <c r="H223" s="533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2"/>
        <v>0</v>
      </c>
      <c r="N223" s="130">
        <f t="shared" si="103"/>
        <v>0</v>
      </c>
      <c r="O223" s="528"/>
      <c r="P223" s="528"/>
      <c r="Q223" s="528"/>
      <c r="R223" s="528"/>
      <c r="S223" s="528"/>
      <c r="T223" s="528"/>
      <c r="U223" s="528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525" t="s">
        <v>418</v>
      </c>
      <c r="C224" s="187" t="s">
        <v>365</v>
      </c>
      <c r="D224" s="128">
        <v>5.03</v>
      </c>
      <c r="E224" s="108"/>
      <c r="F224" s="127"/>
      <c r="G224" s="128"/>
      <c r="H224" s="533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528"/>
      <c r="P224" s="528"/>
      <c r="Q224" s="528"/>
      <c r="R224" s="528"/>
      <c r="S224" s="528"/>
      <c r="T224" s="528"/>
      <c r="U224" s="528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525" t="s">
        <v>418</v>
      </c>
      <c r="C225" s="187" t="s">
        <v>366</v>
      </c>
      <c r="D225" s="128">
        <v>5.03</v>
      </c>
      <c r="E225" s="108"/>
      <c r="F225" s="127"/>
      <c r="G225" s="128"/>
      <c r="H225" s="533">
        <f t="shared" si="92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528"/>
      <c r="P225" s="528"/>
      <c r="Q225" s="528"/>
      <c r="R225" s="528"/>
      <c r="S225" s="528"/>
      <c r="T225" s="528"/>
      <c r="U225" s="528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525" t="s">
        <v>418</v>
      </c>
      <c r="C226" s="187" t="s">
        <v>367</v>
      </c>
      <c r="D226" s="128">
        <v>5.03</v>
      </c>
      <c r="E226" s="108"/>
      <c r="F226" s="127"/>
      <c r="G226" s="128"/>
      <c r="H226" s="533">
        <f t="shared" si="92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528"/>
      <c r="P226" s="528"/>
      <c r="Q226" s="528"/>
      <c r="R226" s="528"/>
      <c r="S226" s="528"/>
      <c r="T226" s="528"/>
      <c r="U226" s="528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28">
        <v>5.03</v>
      </c>
      <c r="E227" s="108"/>
      <c r="F227" s="127"/>
      <c r="G227" s="152"/>
      <c r="H227" s="533">
        <f t="shared" si="92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2"/>
        <v>0</v>
      </c>
      <c r="N227" s="130">
        <f t="shared" si="103"/>
        <v>0</v>
      </c>
      <c r="O227" s="524"/>
      <c r="P227" s="524"/>
      <c r="Q227" s="524"/>
      <c r="R227" s="524"/>
      <c r="S227" s="524"/>
      <c r="T227" s="524"/>
      <c r="U227" s="524"/>
      <c r="V227" s="132">
        <f t="shared" ref="V227:V236" si="106">SUM(X227:AA227)</f>
        <v>0</v>
      </c>
      <c r="W227" s="133" t="str">
        <f t="shared" ref="W227:W236" si="107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28">
        <v>5.03</v>
      </c>
      <c r="E228" s="108"/>
      <c r="F228" s="127"/>
      <c r="G228" s="152"/>
      <c r="H228" s="533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524"/>
      <c r="P228" s="524"/>
      <c r="Q228" s="524"/>
      <c r="R228" s="524"/>
      <c r="S228" s="524"/>
      <c r="T228" s="524"/>
      <c r="U228" s="524"/>
      <c r="V228" s="132">
        <f t="shared" si="106"/>
        <v>0</v>
      </c>
      <c r="W228" s="133" t="str">
        <f t="shared" si="107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28">
        <v>5.03</v>
      </c>
      <c r="E229" s="108"/>
      <c r="F229" s="127"/>
      <c r="G229" s="152"/>
      <c r="H229" s="533">
        <f t="shared" si="92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2"/>
        <v>0</v>
      </c>
      <c r="N229" s="130">
        <f t="shared" si="103"/>
        <v>0</v>
      </c>
      <c r="O229" s="524"/>
      <c r="P229" s="524"/>
      <c r="Q229" s="524"/>
      <c r="R229" s="524"/>
      <c r="S229" s="524"/>
      <c r="T229" s="524"/>
      <c r="U229" s="524"/>
      <c r="V229" s="132">
        <f t="shared" si="106"/>
        <v>0</v>
      </c>
      <c r="W229" s="133" t="str">
        <f t="shared" si="107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28">
        <v>5.03</v>
      </c>
      <c r="E230" s="108"/>
      <c r="F230" s="127"/>
      <c r="G230" s="128"/>
      <c r="H230" s="533">
        <f t="shared" si="92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2"/>
        <v>0</v>
      </c>
      <c r="N230" s="130">
        <f t="shared" si="103"/>
        <v>0</v>
      </c>
      <c r="O230" s="524"/>
      <c r="P230" s="524"/>
      <c r="Q230" s="524"/>
      <c r="R230" s="524"/>
      <c r="S230" s="524"/>
      <c r="T230" s="524"/>
      <c r="U230" s="524"/>
      <c r="V230" s="132">
        <f t="shared" si="106"/>
        <v>0</v>
      </c>
      <c r="W230" s="133" t="str">
        <f t="shared" si="107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28">
        <v>5.03</v>
      </c>
      <c r="E231" s="108"/>
      <c r="F231" s="127"/>
      <c r="G231" s="128"/>
      <c r="H231" s="533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524"/>
      <c r="P231" s="524"/>
      <c r="Q231" s="524"/>
      <c r="R231" s="524"/>
      <c r="S231" s="524"/>
      <c r="T231" s="524"/>
      <c r="U231" s="524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28">
        <v>5.03</v>
      </c>
      <c r="E232" s="108"/>
      <c r="F232" s="127"/>
      <c r="G232" s="128"/>
      <c r="H232" s="533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524"/>
      <c r="P232" s="524"/>
      <c r="Q232" s="524"/>
      <c r="R232" s="524"/>
      <c r="S232" s="524"/>
      <c r="T232" s="524"/>
      <c r="U232" s="524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28">
        <v>5.03</v>
      </c>
      <c r="E233" s="108"/>
      <c r="F233" s="127"/>
      <c r="G233" s="128"/>
      <c r="H233" s="533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524"/>
      <c r="P233" s="524"/>
      <c r="Q233" s="524"/>
      <c r="R233" s="524"/>
      <c r="S233" s="524"/>
      <c r="T233" s="524"/>
      <c r="U233" s="524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28">
        <v>5.03</v>
      </c>
      <c r="E234" s="108"/>
      <c r="F234" s="127"/>
      <c r="G234" s="128"/>
      <c r="H234" s="533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524"/>
      <c r="P234" s="524"/>
      <c r="Q234" s="524"/>
      <c r="R234" s="524"/>
      <c r="S234" s="524"/>
      <c r="T234" s="524"/>
      <c r="U234" s="524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28">
        <v>5.03</v>
      </c>
      <c r="E235" s="108"/>
      <c r="F235" s="127"/>
      <c r="G235" s="128"/>
      <c r="H235" s="533">
        <f t="shared" si="92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2"/>
        <v>0</v>
      </c>
      <c r="N235" s="130">
        <f t="shared" si="103"/>
        <v>0</v>
      </c>
      <c r="O235" s="524"/>
      <c r="P235" s="524"/>
      <c r="Q235" s="524"/>
      <c r="R235" s="524"/>
      <c r="S235" s="524"/>
      <c r="T235" s="524"/>
      <c r="U235" s="524"/>
      <c r="V235" s="132">
        <f t="shared" si="106"/>
        <v>0</v>
      </c>
      <c r="W235" s="133" t="str">
        <f t="shared" si="107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28">
        <v>5.03</v>
      </c>
      <c r="E236" s="108"/>
      <c r="F236" s="127"/>
      <c r="G236" s="128"/>
      <c r="H236" s="533">
        <f t="shared" si="92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2"/>
        <v>0</v>
      </c>
      <c r="N236" s="130">
        <f t="shared" si="103"/>
        <v>0</v>
      </c>
      <c r="O236" s="524"/>
      <c r="P236" s="524"/>
      <c r="Q236" s="524"/>
      <c r="R236" s="524"/>
      <c r="S236" s="524"/>
      <c r="T236" s="524"/>
      <c r="U236" s="524"/>
      <c r="V236" s="132">
        <f t="shared" si="106"/>
        <v>0</v>
      </c>
      <c r="W236" s="133" t="str">
        <f t="shared" si="107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28">
        <v>5.03</v>
      </c>
      <c r="E237" s="108"/>
      <c r="F237" s="127"/>
      <c r="G237" s="128"/>
      <c r="H237" s="533">
        <f t="shared" si="92"/>
        <v>0</v>
      </c>
      <c r="I237" s="129"/>
      <c r="J237" s="130"/>
      <c r="K237" s="131"/>
      <c r="L237" s="129">
        <v>50</v>
      </c>
      <c r="M237" s="109"/>
      <c r="N237" s="130"/>
      <c r="O237" s="524"/>
      <c r="P237" s="524"/>
      <c r="Q237" s="524"/>
      <c r="R237" s="524"/>
      <c r="S237" s="524"/>
      <c r="T237" s="524"/>
      <c r="U237" s="524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28">
        <v>5</v>
      </c>
      <c r="E238" s="108"/>
      <c r="F238" s="127"/>
      <c r="G238" s="128"/>
      <c r="H238" s="533">
        <f t="shared" si="92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8">IF(ISERROR(I238-K238),"",I238-K238)</f>
        <v>0</v>
      </c>
      <c r="N238" s="130"/>
      <c r="O238" s="524"/>
      <c r="P238" s="524"/>
      <c r="Q238" s="524"/>
      <c r="R238" s="524"/>
      <c r="S238" s="524"/>
      <c r="T238" s="524"/>
      <c r="U238" s="524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28">
        <v>5.03</v>
      </c>
      <c r="E239" s="108"/>
      <c r="F239" s="127"/>
      <c r="G239" s="128"/>
      <c r="H239" s="533">
        <f t="shared" si="92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8"/>
        <v>0</v>
      </c>
      <c r="N239" s="130">
        <f t="shared" ref="N239:N240" si="109">SUM(O239:U239)</f>
        <v>0</v>
      </c>
      <c r="O239" s="524"/>
      <c r="P239" s="524"/>
      <c r="Q239" s="524"/>
      <c r="R239" s="524"/>
      <c r="S239" s="524"/>
      <c r="T239" s="524"/>
      <c r="U239" s="524"/>
      <c r="V239" s="132">
        <f t="shared" ref="V239:V240" si="110">SUM(X239:AA239)</f>
        <v>0</v>
      </c>
      <c r="W239" s="133" t="str">
        <f t="shared" ref="W239:W240" si="111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28">
        <v>5.03</v>
      </c>
      <c r="E240" s="108"/>
      <c r="F240" s="127"/>
      <c r="G240" s="128"/>
      <c r="H240" s="533">
        <f t="shared" si="92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si="109"/>
        <v>0</v>
      </c>
      <c r="O240" s="524"/>
      <c r="P240" s="524"/>
      <c r="Q240" s="524"/>
      <c r="R240" s="524"/>
      <c r="S240" s="524"/>
      <c r="T240" s="524"/>
      <c r="U240" s="524"/>
      <c r="V240" s="132">
        <f t="shared" si="110"/>
        <v>0</v>
      </c>
      <c r="W240" s="133" t="str">
        <f t="shared" si="111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28"/>
      <c r="E241" s="108"/>
      <c r="F241" s="127"/>
      <c r="G241" s="128"/>
      <c r="H241" s="533">
        <f t="shared" si="92"/>
        <v>0</v>
      </c>
      <c r="I241" s="129"/>
      <c r="J241" s="130"/>
      <c r="K241" s="131"/>
      <c r="L241" s="129"/>
      <c r="M241" s="109">
        <f t="shared" si="108"/>
        <v>0</v>
      </c>
      <c r="N241" s="130"/>
      <c r="O241" s="524"/>
      <c r="P241" s="524"/>
      <c r="Q241" s="524"/>
      <c r="R241" s="524"/>
      <c r="S241" s="524"/>
      <c r="T241" s="524"/>
      <c r="U241" s="524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28">
        <v>5.0599999999999996</v>
      </c>
      <c r="E242" s="108"/>
      <c r="F242" s="127"/>
      <c r="G242" s="128"/>
      <c r="H242" s="533">
        <f t="shared" si="92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8"/>
        <v/>
      </c>
      <c r="N242" s="130">
        <f t="shared" ref="N242:N245" si="112">SUM(O242:U242)</f>
        <v>0</v>
      </c>
      <c r="O242" s="524"/>
      <c r="P242" s="524"/>
      <c r="Q242" s="524"/>
      <c r="R242" s="524"/>
      <c r="S242" s="524"/>
      <c r="T242" s="524"/>
      <c r="U242" s="524"/>
      <c r="V242" s="132">
        <f t="shared" ref="V242:V245" si="113">SUM(X242:AA242)</f>
        <v>0</v>
      </c>
      <c r="W242" s="133" t="str">
        <f t="shared" ref="W242:W245" si="114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28">
        <v>5.0599999999999996</v>
      </c>
      <c r="E243" s="108"/>
      <c r="F243" s="127"/>
      <c r="G243" s="128"/>
      <c r="H243" s="533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si="112"/>
        <v>0</v>
      </c>
      <c r="O243" s="524"/>
      <c r="P243" s="524"/>
      <c r="Q243" s="524"/>
      <c r="R243" s="524"/>
      <c r="S243" s="524"/>
      <c r="T243" s="524"/>
      <c r="U243" s="524"/>
      <c r="V243" s="132">
        <f t="shared" si="113"/>
        <v>0</v>
      </c>
      <c r="W243" s="133" t="str">
        <f t="shared" si="114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28">
        <v>5.0599999999999996</v>
      </c>
      <c r="E244" s="108"/>
      <c r="F244" s="127"/>
      <c r="G244" s="128"/>
      <c r="H244" s="533">
        <f t="shared" si="92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524"/>
      <c r="P244" s="524"/>
      <c r="Q244" s="524"/>
      <c r="R244" s="524"/>
      <c r="S244" s="524"/>
      <c r="T244" s="524"/>
      <c r="U244" s="524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28">
        <v>5.0599999999999996</v>
      </c>
      <c r="E245" s="108"/>
      <c r="F245" s="127"/>
      <c r="G245" s="128"/>
      <c r="H245" s="533">
        <f t="shared" si="92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524"/>
      <c r="P245" s="524"/>
      <c r="Q245" s="524"/>
      <c r="R245" s="524"/>
      <c r="S245" s="524"/>
      <c r="T245" s="524"/>
      <c r="U245" s="524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28"/>
      <c r="E246" s="108"/>
      <c r="F246" s="127"/>
      <c r="G246" s="128"/>
      <c r="H246" s="533">
        <f t="shared" si="92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8"/>
        <v>0</v>
      </c>
      <c r="N246" s="130"/>
      <c r="O246" s="524"/>
      <c r="P246" s="524"/>
      <c r="Q246" s="524"/>
      <c r="R246" s="524"/>
      <c r="S246" s="524"/>
      <c r="T246" s="524"/>
      <c r="U246" s="524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28"/>
      <c r="E247" s="108"/>
      <c r="F247" s="127"/>
      <c r="G247" s="128"/>
      <c r="H247" s="533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524"/>
      <c r="P247" s="524"/>
      <c r="Q247" s="524"/>
      <c r="R247" s="524"/>
      <c r="S247" s="524"/>
      <c r="T247" s="524"/>
      <c r="U247" s="524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28"/>
      <c r="E248" s="108"/>
      <c r="F248" s="127"/>
      <c r="G248" s="128"/>
      <c r="H248" s="533">
        <f t="shared" si="92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524"/>
      <c r="P248" s="524"/>
      <c r="Q248" s="524"/>
      <c r="R248" s="524"/>
      <c r="S248" s="524"/>
      <c r="T248" s="524"/>
      <c r="U248" s="524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28"/>
      <c r="E249" s="108"/>
      <c r="F249" s="127"/>
      <c r="G249" s="128"/>
      <c r="H249" s="533">
        <f t="shared" si="92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524"/>
      <c r="P249" s="524"/>
      <c r="Q249" s="524"/>
      <c r="R249" s="524"/>
      <c r="S249" s="524"/>
      <c r="T249" s="524"/>
      <c r="U249" s="524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28"/>
      <c r="E250" s="108"/>
      <c r="F250" s="127"/>
      <c r="G250" s="128"/>
      <c r="H250" s="533">
        <f t="shared" si="92"/>
        <v>0</v>
      </c>
      <c r="I250" s="129"/>
      <c r="J250" s="130"/>
      <c r="K250" s="131"/>
      <c r="L250" s="129">
        <v>4</v>
      </c>
      <c r="M250" s="109"/>
      <c r="N250" s="130"/>
      <c r="O250" s="524"/>
      <c r="P250" s="524"/>
      <c r="Q250" s="524"/>
      <c r="R250" s="524"/>
      <c r="S250" s="524"/>
      <c r="T250" s="524"/>
      <c r="U250" s="524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28"/>
      <c r="E251" s="108"/>
      <c r="F251" s="127"/>
      <c r="G251" s="128"/>
      <c r="H251" s="533">
        <f t="shared" si="92"/>
        <v>0</v>
      </c>
      <c r="I251" s="129"/>
      <c r="J251" s="130"/>
      <c r="K251" s="131"/>
      <c r="L251" s="129">
        <v>4</v>
      </c>
      <c r="M251" s="109"/>
      <c r="N251" s="130"/>
      <c r="O251" s="524"/>
      <c r="P251" s="524"/>
      <c r="Q251" s="524"/>
      <c r="R251" s="524"/>
      <c r="S251" s="524"/>
      <c r="T251" s="524"/>
      <c r="U251" s="524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28"/>
      <c r="E252" s="108"/>
      <c r="F252" s="127"/>
      <c r="G252" s="128"/>
      <c r="H252" s="533">
        <f t="shared" si="92"/>
        <v>0</v>
      </c>
      <c r="I252" s="129"/>
      <c r="J252" s="130"/>
      <c r="K252" s="131"/>
      <c r="L252" s="129">
        <v>4</v>
      </c>
      <c r="M252" s="109"/>
      <c r="N252" s="130"/>
      <c r="O252" s="524"/>
      <c r="P252" s="524"/>
      <c r="Q252" s="524"/>
      <c r="R252" s="524"/>
      <c r="S252" s="524"/>
      <c r="T252" s="524"/>
      <c r="U252" s="524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28"/>
      <c r="E253" s="108"/>
      <c r="F253" s="127"/>
      <c r="G253" s="128"/>
      <c r="H253" s="533">
        <f t="shared" si="92"/>
        <v>0</v>
      </c>
      <c r="I253" s="129"/>
      <c r="J253" s="130"/>
      <c r="K253" s="131"/>
      <c r="L253" s="129">
        <v>4</v>
      </c>
      <c r="M253" s="109"/>
      <c r="N253" s="130"/>
      <c r="O253" s="524"/>
      <c r="P253" s="524"/>
      <c r="Q253" s="524"/>
      <c r="R253" s="524"/>
      <c r="S253" s="524"/>
      <c r="T253" s="524"/>
      <c r="U253" s="524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28"/>
      <c r="E254" s="108"/>
      <c r="F254" s="127"/>
      <c r="G254" s="128"/>
      <c r="H254" s="533">
        <f t="shared" si="92"/>
        <v>0</v>
      </c>
      <c r="I254" s="129"/>
      <c r="J254" s="130"/>
      <c r="K254" s="131"/>
      <c r="L254" s="129">
        <v>4</v>
      </c>
      <c r="M254" s="109"/>
      <c r="N254" s="130"/>
      <c r="O254" s="524"/>
      <c r="P254" s="524"/>
      <c r="Q254" s="524"/>
      <c r="R254" s="524"/>
      <c r="S254" s="524"/>
      <c r="T254" s="524"/>
      <c r="U254" s="524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28"/>
      <c r="E255" s="108"/>
      <c r="F255" s="127"/>
      <c r="G255" s="128"/>
      <c r="H255" s="533">
        <f t="shared" si="92"/>
        <v>0</v>
      </c>
      <c r="I255" s="129"/>
      <c r="J255" s="130"/>
      <c r="K255" s="131"/>
      <c r="L255" s="129">
        <v>4</v>
      </c>
      <c r="M255" s="109"/>
      <c r="N255" s="130"/>
      <c r="O255" s="524"/>
      <c r="P255" s="524"/>
      <c r="Q255" s="524"/>
      <c r="R255" s="524"/>
      <c r="S255" s="524"/>
      <c r="T255" s="524"/>
      <c r="U255" s="524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641" t="s">
        <v>216</v>
      </c>
      <c r="B256" s="641"/>
      <c r="C256" s="531" t="s">
        <v>202</v>
      </c>
      <c r="D256" s="145"/>
      <c r="E256" s="143"/>
      <c r="F256" s="144"/>
      <c r="G256" s="145">
        <f>SUM(G199:G255)</f>
        <v>0</v>
      </c>
      <c r="H256" s="146">
        <f>SUM(H199:H255)</f>
        <v>0</v>
      </c>
      <c r="I256" s="146">
        <f>SUM(I199:I255)</f>
        <v>0</v>
      </c>
      <c r="J256" s="130" t="str">
        <f t="array" ref="J256">IF(ISERROR(G256/I256),"",G256/I256)</f>
        <v/>
      </c>
      <c r="K256" s="146">
        <f>SUM(K199:K255)</f>
        <v>0</v>
      </c>
      <c r="L256" s="147"/>
      <c r="M256" s="150">
        <f t="shared" ref="M256:V256" si="115">SUM(M199:M255)</f>
        <v>0</v>
      </c>
      <c r="N256" s="146">
        <f t="shared" si="115"/>
        <v>0</v>
      </c>
      <c r="O256" s="148">
        <f t="shared" si="115"/>
        <v>0</v>
      </c>
      <c r="P256" s="148">
        <f t="shared" si="115"/>
        <v>0</v>
      </c>
      <c r="Q256" s="148">
        <f t="shared" si="115"/>
        <v>0</v>
      </c>
      <c r="R256" s="148">
        <f t="shared" si="115"/>
        <v>0</v>
      </c>
      <c r="S256" s="148">
        <f t="shared" si="115"/>
        <v>0</v>
      </c>
      <c r="T256" s="148">
        <f t="shared" si="115"/>
        <v>0</v>
      </c>
      <c r="U256" s="148">
        <f t="shared" si="115"/>
        <v>0</v>
      </c>
      <c r="V256" s="149">
        <f t="shared" si="115"/>
        <v>0</v>
      </c>
      <c r="W256" s="133" t="str">
        <f t="shared" ref="W256:W263" si="116">IF(ISERROR(V256/G256),"",V256/G256)</f>
        <v/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525" t="s">
        <v>217</v>
      </c>
      <c r="C257" s="126" t="s">
        <v>179</v>
      </c>
      <c r="D257" s="128">
        <v>5.03</v>
      </c>
      <c r="E257" s="108"/>
      <c r="F257" s="127"/>
      <c r="G257" s="128"/>
      <c r="H257" s="533">
        <f t="shared" ref="H257:H290" si="117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8">IF(ISERROR(I257-K257),"",I257-K257)</f>
        <v>0</v>
      </c>
      <c r="N257" s="130">
        <f t="shared" ref="N257:N264" si="119">SUM(O257:U257)</f>
        <v>0</v>
      </c>
      <c r="O257" s="524"/>
      <c r="P257" s="524"/>
      <c r="Q257" s="524"/>
      <c r="R257" s="524"/>
      <c r="S257" s="524"/>
      <c r="T257" s="524"/>
      <c r="U257" s="524"/>
      <c r="V257" s="132">
        <f t="shared" ref="V257:V263" si="120">SUM(X257:AA257)</f>
        <v>0</v>
      </c>
      <c r="W257" s="133" t="str">
        <f t="shared" si="116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525" t="s">
        <v>217</v>
      </c>
      <c r="C258" s="126" t="s">
        <v>186</v>
      </c>
      <c r="D258" s="128">
        <v>5.03</v>
      </c>
      <c r="E258" s="108"/>
      <c r="F258" s="127"/>
      <c r="G258" s="128"/>
      <c r="H258" s="533">
        <f t="shared" si="117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8"/>
        <v>0</v>
      </c>
      <c r="N258" s="130">
        <f t="shared" si="119"/>
        <v>0</v>
      </c>
      <c r="O258" s="524"/>
      <c r="P258" s="524"/>
      <c r="Q258" s="524"/>
      <c r="R258" s="524"/>
      <c r="S258" s="524"/>
      <c r="T258" s="524"/>
      <c r="U258" s="524"/>
      <c r="V258" s="132">
        <f t="shared" si="120"/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525" t="s">
        <v>217</v>
      </c>
      <c r="C259" s="126" t="s">
        <v>204</v>
      </c>
      <c r="D259" s="128">
        <v>5.03</v>
      </c>
      <c r="E259" s="108"/>
      <c r="F259" s="127"/>
      <c r="G259" s="128"/>
      <c r="H259" s="533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524"/>
      <c r="P259" s="524"/>
      <c r="Q259" s="524"/>
      <c r="R259" s="524"/>
      <c r="S259" s="524"/>
      <c r="T259" s="524"/>
      <c r="U259" s="524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28">
        <v>5.03</v>
      </c>
      <c r="E260" s="108"/>
      <c r="F260" s="127"/>
      <c r="G260" s="128"/>
      <c r="H260" s="533">
        <f t="shared" si="117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8"/>
        <v>0</v>
      </c>
      <c r="N260" s="130">
        <f t="shared" si="119"/>
        <v>0</v>
      </c>
      <c r="O260" s="524"/>
      <c r="P260" s="524"/>
      <c r="Q260" s="524"/>
      <c r="R260" s="524"/>
      <c r="S260" s="524"/>
      <c r="T260" s="524"/>
      <c r="U260" s="524"/>
      <c r="V260" s="132">
        <f t="shared" si="120"/>
        <v>0</v>
      </c>
      <c r="W260" s="133" t="str">
        <f t="shared" si="116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28">
        <v>5.03</v>
      </c>
      <c r="E261" s="108"/>
      <c r="F261" s="127"/>
      <c r="G261" s="128"/>
      <c r="H261" s="533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524"/>
      <c r="P261" s="524"/>
      <c r="Q261" s="524"/>
      <c r="R261" s="524"/>
      <c r="S261" s="524"/>
      <c r="T261" s="524"/>
      <c r="U261" s="524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28">
        <v>5.03</v>
      </c>
      <c r="E262" s="108"/>
      <c r="F262" s="127"/>
      <c r="G262" s="128"/>
      <c r="H262" s="533">
        <f t="shared" si="117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8"/>
        <v>0</v>
      </c>
      <c r="N262" s="130">
        <f t="shared" si="119"/>
        <v>0</v>
      </c>
      <c r="O262" s="524"/>
      <c r="P262" s="524"/>
      <c r="Q262" s="524"/>
      <c r="R262" s="524"/>
      <c r="S262" s="524"/>
      <c r="T262" s="524"/>
      <c r="U262" s="524"/>
      <c r="V262" s="132">
        <f t="shared" si="120"/>
        <v>0</v>
      </c>
      <c r="W262" s="133" t="str">
        <f t="shared" si="116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28">
        <v>5.03</v>
      </c>
      <c r="E263" s="108"/>
      <c r="F263" s="127"/>
      <c r="G263" s="128"/>
      <c r="H263" s="533">
        <f t="shared" si="117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8"/>
        <v>0</v>
      </c>
      <c r="N263" s="130">
        <f t="shared" si="119"/>
        <v>0</v>
      </c>
      <c r="O263" s="524"/>
      <c r="P263" s="524"/>
      <c r="Q263" s="524"/>
      <c r="R263" s="524"/>
      <c r="S263" s="524"/>
      <c r="T263" s="524"/>
      <c r="U263" s="524"/>
      <c r="V263" s="132">
        <f t="shared" si="120"/>
        <v>0</v>
      </c>
      <c r="W263" s="133" t="str">
        <f t="shared" si="116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28">
        <v>5.03</v>
      </c>
      <c r="E264" s="108"/>
      <c r="F264" s="127"/>
      <c r="G264" s="128"/>
      <c r="H264" s="533">
        <f t="shared" si="117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8"/>
        <v>0</v>
      </c>
      <c r="N264" s="130">
        <f t="shared" si="119"/>
        <v>0</v>
      </c>
      <c r="O264" s="524"/>
      <c r="P264" s="524"/>
      <c r="Q264" s="524"/>
      <c r="R264" s="524"/>
      <c r="S264" s="524"/>
      <c r="T264" s="524"/>
      <c r="U264" s="524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28">
        <v>5.03</v>
      </c>
      <c r="E265" s="108"/>
      <c r="F265" s="127"/>
      <c r="G265" s="152"/>
      <c r="H265" s="533">
        <f t="shared" si="117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524"/>
      <c r="P265" s="524"/>
      <c r="Q265" s="524"/>
      <c r="R265" s="524"/>
      <c r="S265" s="524"/>
      <c r="T265" s="524"/>
      <c r="U265" s="524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28">
        <v>5.03</v>
      </c>
      <c r="E266" s="108"/>
      <c r="F266" s="127"/>
      <c r="G266" s="128"/>
      <c r="H266" s="533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524"/>
      <c r="P266" s="524"/>
      <c r="Q266" s="524"/>
      <c r="R266" s="524"/>
      <c r="S266" s="524"/>
      <c r="T266" s="524"/>
      <c r="U266" s="524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28">
        <v>5.03</v>
      </c>
      <c r="E267" s="108"/>
      <c r="F267" s="127"/>
      <c r="G267" s="128"/>
      <c r="H267" s="533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524"/>
      <c r="P267" s="524"/>
      <c r="Q267" s="524"/>
      <c r="R267" s="524"/>
      <c r="S267" s="524"/>
      <c r="T267" s="524"/>
      <c r="U267" s="524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28">
        <v>5.03</v>
      </c>
      <c r="E268" s="108"/>
      <c r="F268" s="127"/>
      <c r="G268" s="128"/>
      <c r="H268" s="533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524"/>
      <c r="P268" s="524"/>
      <c r="Q268" s="524"/>
      <c r="R268" s="524"/>
      <c r="S268" s="524"/>
      <c r="T268" s="524"/>
      <c r="U268" s="524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28">
        <v>5.03</v>
      </c>
      <c r="E269" s="108"/>
      <c r="F269" s="127"/>
      <c r="G269" s="128"/>
      <c r="H269" s="533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1">IF(ISERROR(I269-K269),"",I269-K269)</f>
        <v>0</v>
      </c>
      <c r="N269" s="130">
        <f t="shared" ref="N269:N284" si="122">SUM(O269:U269)</f>
        <v>0</v>
      </c>
      <c r="O269" s="524"/>
      <c r="P269" s="524"/>
      <c r="Q269" s="524"/>
      <c r="R269" s="524"/>
      <c r="S269" s="524"/>
      <c r="T269" s="524"/>
      <c r="U269" s="524"/>
      <c r="V269" s="132">
        <f t="shared" ref="V269:V272" si="123">SUM(X269:AA269)</f>
        <v>0</v>
      </c>
      <c r="W269" s="133" t="str">
        <f t="shared" ref="W269:W276" si="124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28">
        <v>5.03</v>
      </c>
      <c r="E270" s="108"/>
      <c r="F270" s="127"/>
      <c r="G270" s="128"/>
      <c r="H270" s="533">
        <f t="shared" si="117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1"/>
        <v/>
      </c>
      <c r="N270" s="130">
        <f t="shared" si="122"/>
        <v>0</v>
      </c>
      <c r="O270" s="524"/>
      <c r="P270" s="524"/>
      <c r="Q270" s="524"/>
      <c r="R270" s="524"/>
      <c r="S270" s="524"/>
      <c r="T270" s="524"/>
      <c r="U270" s="524"/>
      <c r="V270" s="132">
        <f t="shared" si="123"/>
        <v>0</v>
      </c>
      <c r="W270" s="133" t="str">
        <f t="shared" si="124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28">
        <v>5.03</v>
      </c>
      <c r="E271" s="108"/>
      <c r="F271" s="127"/>
      <c r="G271" s="128"/>
      <c r="H271" s="533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524"/>
      <c r="P271" s="524"/>
      <c r="Q271" s="524"/>
      <c r="R271" s="524"/>
      <c r="S271" s="524"/>
      <c r="T271" s="524"/>
      <c r="U271" s="524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28">
        <v>5.03</v>
      </c>
      <c r="E272" s="108"/>
      <c r="F272" s="127"/>
      <c r="G272" s="128"/>
      <c r="H272" s="533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524"/>
      <c r="P272" s="524"/>
      <c r="Q272" s="524"/>
      <c r="R272" s="524"/>
      <c r="S272" s="524"/>
      <c r="T272" s="524"/>
      <c r="U272" s="524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525" t="s">
        <v>222</v>
      </c>
      <c r="C273" s="126" t="s">
        <v>181</v>
      </c>
      <c r="D273" s="128">
        <v>9.36</v>
      </c>
      <c r="E273" s="108"/>
      <c r="F273" s="127"/>
      <c r="G273" s="128"/>
      <c r="H273" s="533">
        <f t="shared" si="117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1"/>
        <v>0</v>
      </c>
      <c r="N273" s="130">
        <f t="shared" si="122"/>
        <v>0</v>
      </c>
      <c r="O273" s="524"/>
      <c r="P273" s="524"/>
      <c r="Q273" s="524"/>
      <c r="R273" s="524"/>
      <c r="S273" s="524"/>
      <c r="T273" s="524"/>
      <c r="U273" s="524"/>
      <c r="V273" s="132">
        <f t="shared" ref="V273:V276" si="125">SUM(X273:AA273)</f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525" t="s">
        <v>222</v>
      </c>
      <c r="C274" s="126" t="s">
        <v>179</v>
      </c>
      <c r="D274" s="128">
        <v>9.36</v>
      </c>
      <c r="E274" s="108"/>
      <c r="F274" s="127"/>
      <c r="G274" s="128"/>
      <c r="H274" s="533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524"/>
      <c r="P274" s="524"/>
      <c r="Q274" s="524"/>
      <c r="R274" s="524"/>
      <c r="S274" s="524"/>
      <c r="T274" s="524"/>
      <c r="U274" s="524"/>
      <c r="V274" s="132">
        <f t="shared" si="125"/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525" t="s">
        <v>222</v>
      </c>
      <c r="C275" s="126" t="s">
        <v>221</v>
      </c>
      <c r="D275" s="128">
        <v>9.36</v>
      </c>
      <c r="E275" s="108"/>
      <c r="F275" s="127"/>
      <c r="G275" s="128"/>
      <c r="H275" s="533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524"/>
      <c r="P275" s="524"/>
      <c r="Q275" s="524"/>
      <c r="R275" s="524"/>
      <c r="S275" s="524"/>
      <c r="T275" s="524"/>
      <c r="U275" s="524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525" t="s">
        <v>222</v>
      </c>
      <c r="C276" s="126" t="s">
        <v>186</v>
      </c>
      <c r="D276" s="128">
        <v>9.36</v>
      </c>
      <c r="E276" s="108"/>
      <c r="F276" s="127"/>
      <c r="G276" s="128"/>
      <c r="H276" s="533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524"/>
      <c r="P276" s="524"/>
      <c r="Q276" s="524"/>
      <c r="R276" s="524"/>
      <c r="S276" s="524"/>
      <c r="T276" s="524"/>
      <c r="U276" s="524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525" t="s">
        <v>393</v>
      </c>
      <c r="C277" s="187" t="s">
        <v>395</v>
      </c>
      <c r="D277" s="128">
        <v>5</v>
      </c>
      <c r="E277" s="108"/>
      <c r="F277" s="127"/>
      <c r="G277" s="128"/>
      <c r="H277" s="533">
        <f t="shared" si="117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1"/>
        <v>0</v>
      </c>
      <c r="N277" s="130">
        <f t="shared" si="122"/>
        <v>0</v>
      </c>
      <c r="O277" s="524"/>
      <c r="P277" s="524"/>
      <c r="Q277" s="524"/>
      <c r="R277" s="524"/>
      <c r="S277" s="524"/>
      <c r="T277" s="524"/>
      <c r="U277" s="524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525" t="s">
        <v>393</v>
      </c>
      <c r="C278" s="187" t="s">
        <v>402</v>
      </c>
      <c r="D278" s="128">
        <v>5</v>
      </c>
      <c r="E278" s="108"/>
      <c r="F278" s="127"/>
      <c r="G278" s="128"/>
      <c r="H278" s="533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524"/>
      <c r="P278" s="524"/>
      <c r="Q278" s="524"/>
      <c r="R278" s="524"/>
      <c r="S278" s="524"/>
      <c r="T278" s="524"/>
      <c r="U278" s="524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525" t="s">
        <v>404</v>
      </c>
      <c r="C279" s="187" t="s">
        <v>405</v>
      </c>
      <c r="D279" s="128">
        <v>5</v>
      </c>
      <c r="E279" s="108"/>
      <c r="F279" s="127"/>
      <c r="G279" s="128"/>
      <c r="H279" s="533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524"/>
      <c r="P279" s="524"/>
      <c r="Q279" s="524"/>
      <c r="R279" s="524"/>
      <c r="S279" s="524"/>
      <c r="T279" s="524"/>
      <c r="U279" s="524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525" t="s">
        <v>342</v>
      </c>
      <c r="C280" s="187" t="s">
        <v>372</v>
      </c>
      <c r="D280" s="128">
        <v>5</v>
      </c>
      <c r="E280" s="108"/>
      <c r="F280" s="127"/>
      <c r="G280" s="128"/>
      <c r="H280" s="533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524"/>
      <c r="P280" s="524"/>
      <c r="Q280" s="524"/>
      <c r="R280" s="524"/>
      <c r="S280" s="524"/>
      <c r="T280" s="524"/>
      <c r="U280" s="524"/>
      <c r="V280" s="132"/>
      <c r="W280" s="133"/>
      <c r="X280" s="132"/>
      <c r="Y280" s="132"/>
      <c r="Z280" s="132"/>
      <c r="AA280" s="132"/>
    </row>
    <row r="281" spans="1:27" ht="20.100000000000001" customHeight="1">
      <c r="A281" s="299">
        <v>30600009</v>
      </c>
      <c r="B281" s="525" t="s">
        <v>343</v>
      </c>
      <c r="C281" s="126" t="s">
        <v>345</v>
      </c>
      <c r="D281" s="128">
        <v>5</v>
      </c>
      <c r="E281" s="108"/>
      <c r="F281" s="127">
        <v>42717</v>
      </c>
      <c r="G281" s="536">
        <f>30*2+50+90-80</f>
        <v>120</v>
      </c>
      <c r="H281" s="533">
        <f t="shared" si="117"/>
        <v>600</v>
      </c>
      <c r="I281" s="129">
        <v>24</v>
      </c>
      <c r="J281" s="130">
        <f t="array" ref="J281">IF(ISERROR(G281/I281),"",G281/I281)</f>
        <v>5</v>
      </c>
      <c r="K281" s="131">
        <f t="array" ref="K281">IF(ISERROR(G281/L281),"",G281/L281)</f>
        <v>24</v>
      </c>
      <c r="L281" s="129">
        <v>5</v>
      </c>
      <c r="M281" s="109">
        <f t="shared" si="121"/>
        <v>0</v>
      </c>
      <c r="N281" s="130">
        <f t="shared" si="122"/>
        <v>0</v>
      </c>
      <c r="O281" s="524"/>
      <c r="P281" s="524"/>
      <c r="Q281" s="524"/>
      <c r="R281" s="524"/>
      <c r="S281" s="524"/>
      <c r="T281" s="524"/>
      <c r="U281" s="524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525" t="s">
        <v>343</v>
      </c>
      <c r="C282" s="126" t="s">
        <v>347</v>
      </c>
      <c r="D282" s="128">
        <v>5</v>
      </c>
      <c r="E282" s="108"/>
      <c r="F282" s="127"/>
      <c r="G282" s="128"/>
      <c r="H282" s="533">
        <f t="shared" si="117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1"/>
        <v>0</v>
      </c>
      <c r="N282" s="130">
        <f t="shared" si="122"/>
        <v>0</v>
      </c>
      <c r="O282" s="524"/>
      <c r="P282" s="524"/>
      <c r="Q282" s="524"/>
      <c r="R282" s="524"/>
      <c r="S282" s="524"/>
      <c r="T282" s="524"/>
      <c r="U282" s="524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28">
        <v>5.0599999999999996</v>
      </c>
      <c r="E283" s="108"/>
      <c r="F283" s="127"/>
      <c r="G283" s="128"/>
      <c r="H283" s="533">
        <f t="shared" si="117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1"/>
        <v>0</v>
      </c>
      <c r="N283" s="130">
        <f t="shared" si="122"/>
        <v>0</v>
      </c>
      <c r="O283" s="524"/>
      <c r="P283" s="524"/>
      <c r="Q283" s="524"/>
      <c r="R283" s="524"/>
      <c r="S283" s="524"/>
      <c r="T283" s="524"/>
      <c r="U283" s="524"/>
      <c r="V283" s="132">
        <f t="shared" ref="V283:V284" si="126">SUM(X283:AA283)</f>
        <v>0</v>
      </c>
      <c r="W283" s="133" t="str">
        <f t="shared" ref="W283:W284" si="127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28">
        <v>5.0599999999999996</v>
      </c>
      <c r="E284" s="108"/>
      <c r="F284" s="127"/>
      <c r="G284" s="128"/>
      <c r="H284" s="533">
        <f t="shared" si="117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1"/>
        <v>0</v>
      </c>
      <c r="N284" s="130">
        <f t="shared" si="122"/>
        <v>0</v>
      </c>
      <c r="O284" s="524"/>
      <c r="P284" s="524"/>
      <c r="Q284" s="524"/>
      <c r="R284" s="524"/>
      <c r="S284" s="524"/>
      <c r="T284" s="524"/>
      <c r="U284" s="524"/>
      <c r="V284" s="132">
        <f t="shared" si="126"/>
        <v>0</v>
      </c>
      <c r="W284" s="133" t="str">
        <f t="shared" si="127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73</v>
      </c>
      <c r="D285" s="128">
        <v>5.03</v>
      </c>
      <c r="E285" s="108"/>
      <c r="F285" s="127"/>
      <c r="G285" s="128"/>
      <c r="H285" s="533">
        <f t="shared" si="117"/>
        <v>0</v>
      </c>
      <c r="I285" s="129"/>
      <c r="J285" s="130"/>
      <c r="K285" s="131"/>
      <c r="L285" s="129">
        <v>24</v>
      </c>
      <c r="M285" s="109"/>
      <c r="N285" s="130"/>
      <c r="O285" s="524"/>
      <c r="P285" s="524"/>
      <c r="Q285" s="524"/>
      <c r="R285" s="524"/>
      <c r="S285" s="524"/>
      <c r="T285" s="524"/>
      <c r="U285" s="524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28">
        <v>5.03</v>
      </c>
      <c r="E286" s="108"/>
      <c r="F286" s="127"/>
      <c r="G286" s="128"/>
      <c r="H286" s="533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524"/>
      <c r="P286" s="524"/>
      <c r="Q286" s="524"/>
      <c r="R286" s="524"/>
      <c r="S286" s="524"/>
      <c r="T286" s="524"/>
      <c r="U286" s="524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28">
        <v>5.03</v>
      </c>
      <c r="E287" s="108"/>
      <c r="F287" s="127"/>
      <c r="G287" s="128"/>
      <c r="H287" s="533">
        <f t="shared" si="117"/>
        <v>0</v>
      </c>
      <c r="I287" s="129"/>
      <c r="J287" s="130"/>
      <c r="K287" s="131"/>
      <c r="L287" s="129">
        <v>24</v>
      </c>
      <c r="M287" s="109"/>
      <c r="N287" s="130"/>
      <c r="O287" s="524"/>
      <c r="P287" s="524"/>
      <c r="Q287" s="524"/>
      <c r="R287" s="524"/>
      <c r="S287" s="524"/>
      <c r="T287" s="524"/>
      <c r="U287" s="524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28">
        <v>5.07</v>
      </c>
      <c r="E288" s="108"/>
      <c r="F288" s="127"/>
      <c r="G288" s="128"/>
      <c r="H288" s="533">
        <f t="shared" si="117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8">IF(ISERROR(I288-K288),"",I288-K288)</f>
        <v>0</v>
      </c>
      <c r="N288" s="130">
        <f t="shared" ref="N288:N290" si="129">SUM(O288:U288)</f>
        <v>0</v>
      </c>
      <c r="O288" s="524"/>
      <c r="P288" s="524"/>
      <c r="Q288" s="524"/>
      <c r="R288" s="524"/>
      <c r="S288" s="524"/>
      <c r="T288" s="524"/>
      <c r="U288" s="524"/>
      <c r="V288" s="132">
        <f t="shared" ref="V288:V290" si="130">SUM(X288:AA288)</f>
        <v>0</v>
      </c>
      <c r="W288" s="133" t="str">
        <f t="shared" ref="W288:W312" si="131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28">
        <v>5.07</v>
      </c>
      <c r="E289" s="108"/>
      <c r="F289" s="127"/>
      <c r="G289" s="128"/>
      <c r="H289" s="533">
        <f t="shared" si="117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8"/>
        <v>0</v>
      </c>
      <c r="N289" s="130">
        <f t="shared" si="129"/>
        <v>0</v>
      </c>
      <c r="O289" s="524"/>
      <c r="P289" s="524"/>
      <c r="Q289" s="524"/>
      <c r="R289" s="524"/>
      <c r="S289" s="524"/>
      <c r="T289" s="524"/>
      <c r="U289" s="524"/>
      <c r="V289" s="132">
        <f t="shared" si="130"/>
        <v>0</v>
      </c>
      <c r="W289" s="133" t="str">
        <f t="shared" si="131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28">
        <v>5.0599999999999996</v>
      </c>
      <c r="E290" s="108"/>
      <c r="F290" s="153"/>
      <c r="G290" s="128"/>
      <c r="H290" s="533">
        <f t="shared" si="117"/>
        <v>0</v>
      </c>
      <c r="I290" s="129"/>
      <c r="J290" s="130" t="str">
        <f t="array" ref="J290">IF(ISERROR(G290/I290),"",G290/I290)</f>
        <v/>
      </c>
      <c r="K290" s="533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524"/>
      <c r="P290" s="524"/>
      <c r="Q290" s="524"/>
      <c r="R290" s="524"/>
      <c r="S290" s="524"/>
      <c r="T290" s="524"/>
      <c r="U290" s="524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customHeight="1">
      <c r="A291" s="630" t="s">
        <v>224</v>
      </c>
      <c r="B291" s="631"/>
      <c r="C291" s="531" t="s">
        <v>202</v>
      </c>
      <c r="D291" s="145"/>
      <c r="E291" s="143"/>
      <c r="F291" s="144"/>
      <c r="G291" s="145">
        <f>SUM(G257:G290)</f>
        <v>120</v>
      </c>
      <c r="H291" s="146">
        <f>SUM(H257:H290)</f>
        <v>600</v>
      </c>
      <c r="I291" s="146">
        <f>SUM(I257:I290)</f>
        <v>24</v>
      </c>
      <c r="J291" s="130">
        <f t="array" ref="J291">IF(ISERROR(G291/I291),"",G291/I291)</f>
        <v>5</v>
      </c>
      <c r="K291" s="146">
        <f>SUM(K257:K290)</f>
        <v>24</v>
      </c>
      <c r="L291" s="147"/>
      <c r="M291" s="150">
        <f t="shared" ref="M291:V291" si="132">SUM(M257:M290)</f>
        <v>0</v>
      </c>
      <c r="N291" s="146">
        <f t="shared" si="132"/>
        <v>0</v>
      </c>
      <c r="O291" s="148">
        <f t="shared" si="132"/>
        <v>0</v>
      </c>
      <c r="P291" s="148">
        <f t="shared" si="132"/>
        <v>0</v>
      </c>
      <c r="Q291" s="148">
        <f t="shared" si="132"/>
        <v>0</v>
      </c>
      <c r="R291" s="148">
        <f t="shared" si="132"/>
        <v>0</v>
      </c>
      <c r="S291" s="148">
        <f t="shared" si="132"/>
        <v>0</v>
      </c>
      <c r="T291" s="148">
        <f t="shared" si="132"/>
        <v>0</v>
      </c>
      <c r="U291" s="148">
        <f t="shared" si="132"/>
        <v>0</v>
      </c>
      <c r="V291" s="149">
        <f t="shared" si="132"/>
        <v>0</v>
      </c>
      <c r="W291" s="133">
        <f t="shared" si="131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28">
        <v>5.03</v>
      </c>
      <c r="E292" s="108"/>
      <c r="F292" s="127"/>
      <c r="G292" s="152"/>
      <c r="H292" s="533">
        <f t="shared" ref="H292:H306" si="133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4">IF(ISERROR(I292-K292),"",I292-K292)</f>
        <v>0</v>
      </c>
      <c r="N292" s="130">
        <f t="shared" ref="N292:N306" si="135">SUM(O292:U292)</f>
        <v>0</v>
      </c>
      <c r="O292" s="524"/>
      <c r="P292" s="524"/>
      <c r="Q292" s="524"/>
      <c r="R292" s="524"/>
      <c r="S292" s="524"/>
      <c r="T292" s="524"/>
      <c r="U292" s="524"/>
      <c r="V292" s="132">
        <f t="shared" ref="V292:V306" si="136">SUM(X292:AA292)</f>
        <v>0</v>
      </c>
      <c r="W292" s="133" t="str">
        <f t="shared" si="131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28">
        <v>5.03</v>
      </c>
      <c r="E293" s="108"/>
      <c r="F293" s="127"/>
      <c r="G293" s="128"/>
      <c r="H293" s="533">
        <f t="shared" si="133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4"/>
        <v>0</v>
      </c>
      <c r="N293" s="130">
        <f t="shared" si="135"/>
        <v>0</v>
      </c>
      <c r="O293" s="524"/>
      <c r="P293" s="524"/>
      <c r="Q293" s="524"/>
      <c r="R293" s="524"/>
      <c r="S293" s="524"/>
      <c r="T293" s="524"/>
      <c r="U293" s="524"/>
      <c r="V293" s="132">
        <f t="shared" si="136"/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28">
        <v>5.04</v>
      </c>
      <c r="E294" s="108"/>
      <c r="F294" s="127"/>
      <c r="G294" s="128"/>
      <c r="H294" s="533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4"/>
        <v>0</v>
      </c>
      <c r="N294" s="130">
        <f t="shared" si="135"/>
        <v>0</v>
      </c>
      <c r="O294" s="524"/>
      <c r="P294" s="524"/>
      <c r="Q294" s="524"/>
      <c r="R294" s="524"/>
      <c r="S294" s="524"/>
      <c r="T294" s="524"/>
      <c r="U294" s="524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28">
        <v>5.03</v>
      </c>
      <c r="E295" s="108"/>
      <c r="F295" s="127"/>
      <c r="G295" s="128"/>
      <c r="H295" s="533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4"/>
        <v>0</v>
      </c>
      <c r="N295" s="130">
        <f t="shared" si="135"/>
        <v>0</v>
      </c>
      <c r="O295" s="524"/>
      <c r="P295" s="524"/>
      <c r="Q295" s="524"/>
      <c r="R295" s="524"/>
      <c r="S295" s="524"/>
      <c r="T295" s="524"/>
      <c r="U295" s="524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529" t="s">
        <v>203</v>
      </c>
      <c r="D296" s="128">
        <v>5.03</v>
      </c>
      <c r="E296" s="108"/>
      <c r="F296" s="127"/>
      <c r="G296" s="152"/>
      <c r="H296" s="533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524"/>
      <c r="P296" s="524"/>
      <c r="Q296" s="524"/>
      <c r="R296" s="524"/>
      <c r="S296" s="524"/>
      <c r="T296" s="524"/>
      <c r="U296" s="524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28">
        <v>5.03</v>
      </c>
      <c r="E297" s="108"/>
      <c r="F297" s="127"/>
      <c r="G297" s="128"/>
      <c r="H297" s="533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524"/>
      <c r="P297" s="524"/>
      <c r="Q297" s="524"/>
      <c r="R297" s="524"/>
      <c r="S297" s="524"/>
      <c r="T297" s="524"/>
      <c r="U297" s="524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28">
        <v>5.03</v>
      </c>
      <c r="E298" s="108"/>
      <c r="F298" s="127"/>
      <c r="G298" s="128"/>
      <c r="H298" s="533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524"/>
      <c r="P298" s="524"/>
      <c r="Q298" s="524"/>
      <c r="R298" s="524"/>
      <c r="S298" s="524"/>
      <c r="T298" s="524"/>
      <c r="U298" s="524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529" t="s">
        <v>228</v>
      </c>
      <c r="D299" s="128">
        <v>5.03</v>
      </c>
      <c r="E299" s="108"/>
      <c r="F299" s="127"/>
      <c r="G299" s="128"/>
      <c r="H299" s="533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524"/>
      <c r="P299" s="524"/>
      <c r="Q299" s="524"/>
      <c r="R299" s="524"/>
      <c r="S299" s="524"/>
      <c r="T299" s="524"/>
      <c r="U299" s="524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529" t="s">
        <v>212</v>
      </c>
      <c r="D300" s="128">
        <v>5.03</v>
      </c>
      <c r="E300" s="108"/>
      <c r="F300" s="127"/>
      <c r="G300" s="128"/>
      <c r="H300" s="533">
        <f t="shared" si="133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4"/>
        <v/>
      </c>
      <c r="N300" s="130">
        <f t="shared" si="135"/>
        <v>0</v>
      </c>
      <c r="O300" s="524"/>
      <c r="P300" s="524"/>
      <c r="Q300" s="524"/>
      <c r="R300" s="524"/>
      <c r="S300" s="524"/>
      <c r="T300" s="524"/>
      <c r="U300" s="524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529" t="s">
        <v>203</v>
      </c>
      <c r="D301" s="128">
        <v>5.03</v>
      </c>
      <c r="E301" s="108"/>
      <c r="F301" s="127"/>
      <c r="G301" s="128"/>
      <c r="H301" s="533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524"/>
      <c r="P301" s="524"/>
      <c r="Q301" s="524"/>
      <c r="R301" s="524"/>
      <c r="S301" s="524"/>
      <c r="T301" s="524"/>
      <c r="U301" s="524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529" t="s">
        <v>186</v>
      </c>
      <c r="D302" s="128">
        <v>5.03</v>
      </c>
      <c r="E302" s="108"/>
      <c r="F302" s="127"/>
      <c r="G302" s="128"/>
      <c r="H302" s="533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524"/>
      <c r="P302" s="524"/>
      <c r="Q302" s="524"/>
      <c r="R302" s="524"/>
      <c r="S302" s="524"/>
      <c r="T302" s="524"/>
      <c r="U302" s="524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529" t="s">
        <v>228</v>
      </c>
      <c r="D303" s="128">
        <v>5.03</v>
      </c>
      <c r="E303" s="108"/>
      <c r="F303" s="127"/>
      <c r="G303" s="128"/>
      <c r="H303" s="533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524"/>
      <c r="P303" s="524"/>
      <c r="Q303" s="524"/>
      <c r="R303" s="524"/>
      <c r="S303" s="524"/>
      <c r="T303" s="524"/>
      <c r="U303" s="524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529" t="s">
        <v>199</v>
      </c>
      <c r="D304" s="128">
        <v>5.03</v>
      </c>
      <c r="E304" s="108"/>
      <c r="F304" s="127"/>
      <c r="G304" s="128"/>
      <c r="H304" s="533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524"/>
      <c r="P304" s="524"/>
      <c r="Q304" s="524"/>
      <c r="R304" s="524"/>
      <c r="S304" s="524"/>
      <c r="T304" s="524"/>
      <c r="U304" s="524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28">
        <v>5.0599999999999996</v>
      </c>
      <c r="E305" s="108"/>
      <c r="F305" s="127"/>
      <c r="G305" s="128"/>
      <c r="H305" s="533">
        <f t="shared" si="133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4"/>
        <v>0</v>
      </c>
      <c r="N305" s="130">
        <f t="shared" si="135"/>
        <v>0</v>
      </c>
      <c r="O305" s="524"/>
      <c r="P305" s="524"/>
      <c r="Q305" s="524"/>
      <c r="R305" s="524"/>
      <c r="S305" s="524"/>
      <c r="T305" s="524"/>
      <c r="U305" s="524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28">
        <v>5.0599999999999996</v>
      </c>
      <c r="E306" s="108"/>
      <c r="F306" s="127"/>
      <c r="G306" s="128"/>
      <c r="H306" s="533">
        <f t="shared" si="133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4"/>
        <v>0</v>
      </c>
      <c r="N306" s="130">
        <f t="shared" si="135"/>
        <v>0</v>
      </c>
      <c r="O306" s="524"/>
      <c r="P306" s="524"/>
      <c r="Q306" s="524"/>
      <c r="R306" s="524"/>
      <c r="S306" s="524"/>
      <c r="T306" s="524"/>
      <c r="U306" s="524"/>
      <c r="V306" s="132">
        <f t="shared" si="136"/>
        <v>0</v>
      </c>
      <c r="W306" s="133" t="str">
        <f t="shared" si="131"/>
        <v/>
      </c>
      <c r="X306" s="132"/>
      <c r="Y306" s="132"/>
      <c r="Z306" s="132"/>
      <c r="AA306" s="132"/>
    </row>
    <row r="307" spans="1:27" ht="20.100000000000001" hidden="1" customHeight="1">
      <c r="A307" s="630" t="s">
        <v>231</v>
      </c>
      <c r="B307" s="631"/>
      <c r="C307" s="531" t="s">
        <v>202</v>
      </c>
      <c r="D307" s="145"/>
      <c r="E307" s="143"/>
      <c r="F307" s="144"/>
      <c r="G307" s="145">
        <f>SUM(G292:G306)</f>
        <v>0</v>
      </c>
      <c r="H307" s="146">
        <f>SUM(H292:H306)</f>
        <v>0</v>
      </c>
      <c r="I307" s="146">
        <f>SUM(I292:I306)</f>
        <v>0</v>
      </c>
      <c r="J307" s="130" t="str">
        <f t="array" ref="J307">IF(ISERROR(G307/I307),"",G307/I307)</f>
        <v/>
      </c>
      <c r="K307" s="146">
        <f>SUM(K292:K306)</f>
        <v>0</v>
      </c>
      <c r="L307" s="146"/>
      <c r="M307" s="150">
        <f>SUM(M292:M306)</f>
        <v>0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 t="str">
        <f t="shared" si="131"/>
        <v/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28">
        <v>5.04</v>
      </c>
      <c r="E308" s="108"/>
      <c r="F308" s="127"/>
      <c r="G308" s="128"/>
      <c r="H308" s="533">
        <f t="shared" ref="H308:H316" si="137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8">IF(ISERROR(I308-K308),"",I308-K308)</f>
        <v>0</v>
      </c>
      <c r="N308" s="130">
        <f t="shared" ref="N308:N312" si="139">SUM(O308:U308)</f>
        <v>0</v>
      </c>
      <c r="O308" s="524"/>
      <c r="P308" s="524"/>
      <c r="Q308" s="524"/>
      <c r="R308" s="524"/>
      <c r="S308" s="524"/>
      <c r="T308" s="524"/>
      <c r="U308" s="524"/>
      <c r="V308" s="132">
        <f t="shared" ref="V308:V312" si="140">SUM(X308:AA308)</f>
        <v>0</v>
      </c>
      <c r="W308" s="133" t="str">
        <f t="shared" si="131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28">
        <v>5.04</v>
      </c>
      <c r="E309" s="108"/>
      <c r="F309" s="127"/>
      <c r="G309" s="128"/>
      <c r="H309" s="533">
        <f t="shared" si="137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8"/>
        <v>0</v>
      </c>
      <c r="N309" s="130">
        <f t="shared" si="139"/>
        <v>0</v>
      </c>
      <c r="O309" s="524"/>
      <c r="P309" s="524"/>
      <c r="Q309" s="524"/>
      <c r="R309" s="524"/>
      <c r="S309" s="524"/>
      <c r="T309" s="524"/>
      <c r="U309" s="524"/>
      <c r="V309" s="132">
        <f t="shared" si="140"/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28">
        <v>5.04</v>
      </c>
      <c r="E310" s="108"/>
      <c r="F310" s="127"/>
      <c r="G310" s="128"/>
      <c r="H310" s="533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524"/>
      <c r="P310" s="524"/>
      <c r="Q310" s="524"/>
      <c r="R310" s="524"/>
      <c r="S310" s="524"/>
      <c r="T310" s="524"/>
      <c r="U310" s="524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28">
        <v>5.04</v>
      </c>
      <c r="E311" s="108"/>
      <c r="F311" s="127"/>
      <c r="G311" s="128"/>
      <c r="H311" s="533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524"/>
      <c r="P311" s="524"/>
      <c r="Q311" s="524"/>
      <c r="R311" s="524"/>
      <c r="S311" s="524"/>
      <c r="T311" s="524"/>
      <c r="U311" s="524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28">
        <v>5.04</v>
      </c>
      <c r="E312" s="108"/>
      <c r="F312" s="127"/>
      <c r="G312" s="128"/>
      <c r="H312" s="533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524"/>
      <c r="P312" s="524"/>
      <c r="Q312" s="524"/>
      <c r="R312" s="524"/>
      <c r="S312" s="524"/>
      <c r="T312" s="524"/>
      <c r="U312" s="524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28">
        <v>5.03</v>
      </c>
      <c r="E313" s="108"/>
      <c r="F313" s="127"/>
      <c r="G313" s="128"/>
      <c r="H313" s="533">
        <f t="shared" si="137"/>
        <v>0</v>
      </c>
      <c r="I313" s="129"/>
      <c r="J313" s="130"/>
      <c r="K313" s="131"/>
      <c r="L313" s="129">
        <v>13.5</v>
      </c>
      <c r="M313" s="109"/>
      <c r="N313" s="130"/>
      <c r="O313" s="524"/>
      <c r="P313" s="524"/>
      <c r="Q313" s="524"/>
      <c r="R313" s="524"/>
      <c r="S313" s="524"/>
      <c r="T313" s="524"/>
      <c r="U313" s="524"/>
      <c r="V313" s="132"/>
      <c r="W313" s="133"/>
      <c r="X313" s="132"/>
      <c r="Y313" s="132"/>
      <c r="Z313" s="132"/>
      <c r="AA313" s="132"/>
    </row>
    <row r="314" spans="1:27" ht="20.100000000000001" hidden="1" customHeight="1">
      <c r="A314" s="300">
        <v>30400020</v>
      </c>
      <c r="B314" s="134" t="s">
        <v>439</v>
      </c>
      <c r="C314" s="187" t="s">
        <v>74</v>
      </c>
      <c r="D314" s="128">
        <v>5.03</v>
      </c>
      <c r="E314" s="108"/>
      <c r="F314" s="127"/>
      <c r="G314" s="128"/>
      <c r="H314" s="533">
        <f t="shared" si="137"/>
        <v>0</v>
      </c>
      <c r="I314" s="129"/>
      <c r="J314" s="130"/>
      <c r="K314" s="131"/>
      <c r="L314" s="129">
        <v>13.5</v>
      </c>
      <c r="M314" s="109"/>
      <c r="N314" s="130"/>
      <c r="O314" s="524"/>
      <c r="P314" s="524"/>
      <c r="Q314" s="524"/>
      <c r="R314" s="524"/>
      <c r="S314" s="524"/>
      <c r="T314" s="524"/>
      <c r="U314" s="524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30400021</v>
      </c>
      <c r="B315" s="134" t="s">
        <v>439</v>
      </c>
      <c r="C315" s="187" t="s">
        <v>53</v>
      </c>
      <c r="D315" s="128">
        <v>5.03</v>
      </c>
      <c r="E315" s="108"/>
      <c r="F315" s="127"/>
      <c r="G315" s="128"/>
      <c r="H315" s="533">
        <f t="shared" si="137"/>
        <v>0</v>
      </c>
      <c r="I315" s="129"/>
      <c r="J315" s="130"/>
      <c r="K315" s="131"/>
      <c r="L315" s="129">
        <v>13.5</v>
      </c>
      <c r="M315" s="109"/>
      <c r="N315" s="130"/>
      <c r="O315" s="524"/>
      <c r="P315" s="524"/>
      <c r="Q315" s="524"/>
      <c r="R315" s="524"/>
      <c r="S315" s="524"/>
      <c r="T315" s="524"/>
      <c r="U315" s="524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28">
        <v>5.04</v>
      </c>
      <c r="E316" s="108"/>
      <c r="F316" s="127"/>
      <c r="G316" s="128"/>
      <c r="H316" s="533">
        <f t="shared" si="137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1">IF(ISERROR(I316-K316),"",I316-K316)</f>
        <v>0</v>
      </c>
      <c r="N316" s="130">
        <f t="shared" ref="N316" si="142">SUM(O316:U316)</f>
        <v>0</v>
      </c>
      <c r="O316" s="524"/>
      <c r="P316" s="524"/>
      <c r="Q316" s="524"/>
      <c r="R316" s="524"/>
      <c r="S316" s="524"/>
      <c r="T316" s="524"/>
      <c r="U316" s="524"/>
      <c r="V316" s="132">
        <f t="shared" ref="V316" si="143">SUM(X316:AA316)</f>
        <v>0</v>
      </c>
      <c r="W316" s="133" t="str">
        <f t="shared" ref="W316:W321" si="144">IF(ISERROR(V316/G316),"",V316/G316)</f>
        <v/>
      </c>
      <c r="X316" s="132"/>
      <c r="Y316" s="132"/>
      <c r="Z316" s="132"/>
      <c r="AA316" s="132"/>
    </row>
    <row r="317" spans="1:27" ht="20.100000000000001" hidden="1" customHeight="1">
      <c r="A317" s="630" t="s">
        <v>234</v>
      </c>
      <c r="B317" s="631"/>
      <c r="C317" s="531" t="s">
        <v>202</v>
      </c>
      <c r="D317" s="145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4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523"/>
      <c r="D318" s="128">
        <v>3.65</v>
      </c>
      <c r="E318" s="108"/>
      <c r="F318" s="153"/>
      <c r="G318" s="128"/>
      <c r="H318" s="533">
        <f t="shared" ref="H318:H331" si="145">D318*G318</f>
        <v>0</v>
      </c>
      <c r="I318" s="129"/>
      <c r="J318" s="130" t="str">
        <f t="array" ref="J318">IF(ISERROR(G318/I318),"",G318/I318)</f>
        <v/>
      </c>
      <c r="K318" s="533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524"/>
      <c r="P318" s="524"/>
      <c r="Q318" s="524"/>
      <c r="R318" s="524"/>
      <c r="S318" s="524"/>
      <c r="T318" s="524"/>
      <c r="U318" s="524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523"/>
      <c r="D319" s="128">
        <v>6.58</v>
      </c>
      <c r="E319" s="108"/>
      <c r="F319" s="127"/>
      <c r="G319" s="128"/>
      <c r="H319" s="533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524"/>
      <c r="P319" s="524"/>
      <c r="Q319" s="524"/>
      <c r="R319" s="524"/>
      <c r="S319" s="524"/>
      <c r="T319" s="524"/>
      <c r="U319" s="524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523"/>
      <c r="D320" s="128">
        <v>7.8</v>
      </c>
      <c r="E320" s="108"/>
      <c r="F320" s="127"/>
      <c r="G320" s="128"/>
      <c r="H320" s="533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524"/>
      <c r="P320" s="524"/>
      <c r="Q320" s="524"/>
      <c r="R320" s="524"/>
      <c r="S320" s="524"/>
      <c r="T320" s="524"/>
      <c r="U320" s="524"/>
      <c r="V320" s="132">
        <f t="shared" si="148"/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523"/>
      <c r="D321" s="128">
        <v>4.4000000000000004</v>
      </c>
      <c r="E321" s="108"/>
      <c r="F321" s="127"/>
      <c r="G321" s="128"/>
      <c r="H321" s="533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524"/>
      <c r="P321" s="524"/>
      <c r="Q321" s="524"/>
      <c r="R321" s="524"/>
      <c r="S321" s="524"/>
      <c r="T321" s="524"/>
      <c r="U321" s="524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523"/>
      <c r="D322" s="128"/>
      <c r="E322" s="108"/>
      <c r="F322" s="127"/>
      <c r="G322" s="128"/>
      <c r="H322" s="533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524"/>
      <c r="P322" s="524"/>
      <c r="Q322" s="524"/>
      <c r="R322" s="524"/>
      <c r="S322" s="524"/>
      <c r="T322" s="524"/>
      <c r="U322" s="524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523" t="s">
        <v>239</v>
      </c>
      <c r="C323" s="523" t="s">
        <v>179</v>
      </c>
      <c r="D323" s="128">
        <v>6.04</v>
      </c>
      <c r="E323" s="108"/>
      <c r="F323" s="127"/>
      <c r="G323" s="128"/>
      <c r="H323" s="533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524"/>
      <c r="P323" s="524"/>
      <c r="Q323" s="524"/>
      <c r="R323" s="524"/>
      <c r="S323" s="524"/>
      <c r="T323" s="524"/>
      <c r="U323" s="524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523" t="s">
        <v>239</v>
      </c>
      <c r="C324" s="523" t="s">
        <v>186</v>
      </c>
      <c r="D324" s="128">
        <v>6.04</v>
      </c>
      <c r="E324" s="108"/>
      <c r="F324" s="127"/>
      <c r="G324" s="128"/>
      <c r="H324" s="533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524"/>
      <c r="P324" s="524"/>
      <c r="Q324" s="524"/>
      <c r="R324" s="524"/>
      <c r="S324" s="524"/>
      <c r="T324" s="524"/>
      <c r="U324" s="524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523" t="s">
        <v>443</v>
      </c>
      <c r="C325" s="523" t="s">
        <v>179</v>
      </c>
      <c r="D325" s="128">
        <v>6</v>
      </c>
      <c r="E325" s="108"/>
      <c r="F325" s="127"/>
      <c r="G325" s="128"/>
      <c r="H325" s="533">
        <f t="shared" si="145"/>
        <v>0</v>
      </c>
      <c r="I325" s="129"/>
      <c r="J325" s="130"/>
      <c r="K325" s="131"/>
      <c r="L325" s="129"/>
      <c r="M325" s="109"/>
      <c r="N325" s="130"/>
      <c r="O325" s="524"/>
      <c r="P325" s="524"/>
      <c r="Q325" s="524"/>
      <c r="R325" s="524"/>
      <c r="S325" s="524"/>
      <c r="T325" s="524"/>
      <c r="U325" s="524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523" t="s">
        <v>443</v>
      </c>
      <c r="C326" s="523" t="s">
        <v>60</v>
      </c>
      <c r="D326" s="128">
        <v>6</v>
      </c>
      <c r="E326" s="108"/>
      <c r="F326" s="127"/>
      <c r="G326" s="128"/>
      <c r="H326" s="533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524"/>
      <c r="P326" s="524"/>
      <c r="Q326" s="524"/>
      <c r="R326" s="524"/>
      <c r="S326" s="524"/>
      <c r="T326" s="524"/>
      <c r="U326" s="524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525" t="s">
        <v>240</v>
      </c>
      <c r="C327" s="126"/>
      <c r="D327" s="128">
        <v>7.3</v>
      </c>
      <c r="E327" s="108"/>
      <c r="F327" s="127"/>
      <c r="G327" s="128"/>
      <c r="H327" s="533">
        <f t="shared" si="145"/>
        <v>0</v>
      </c>
      <c r="I327" s="129"/>
      <c r="J327" s="130"/>
      <c r="K327" s="131"/>
      <c r="L327" s="129"/>
      <c r="M327" s="109"/>
      <c r="N327" s="130"/>
      <c r="O327" s="524"/>
      <c r="P327" s="524"/>
      <c r="Q327" s="524"/>
      <c r="R327" s="524"/>
      <c r="S327" s="524"/>
      <c r="T327" s="524"/>
      <c r="U327" s="524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525" t="s">
        <v>241</v>
      </c>
      <c r="C328" s="126"/>
      <c r="D328" s="128">
        <f>78*120/1000</f>
        <v>9.36</v>
      </c>
      <c r="E328" s="108"/>
      <c r="F328" s="127"/>
      <c r="G328" s="128"/>
      <c r="H328" s="533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524"/>
      <c r="P328" s="524"/>
      <c r="Q328" s="524"/>
      <c r="R328" s="524"/>
      <c r="S328" s="524"/>
      <c r="T328" s="524"/>
      <c r="U328" s="524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525" t="s">
        <v>242</v>
      </c>
      <c r="C329" s="126"/>
      <c r="D329" s="128">
        <v>4.5</v>
      </c>
      <c r="E329" s="108"/>
      <c r="F329" s="127"/>
      <c r="G329" s="128"/>
      <c r="H329" s="533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524"/>
      <c r="P329" s="524"/>
      <c r="Q329" s="524"/>
      <c r="R329" s="524"/>
      <c r="S329" s="524"/>
      <c r="T329" s="524"/>
      <c r="U329" s="524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525" t="s">
        <v>243</v>
      </c>
      <c r="C330" s="126"/>
      <c r="D330" s="128">
        <v>4.5</v>
      </c>
      <c r="E330" s="108"/>
      <c r="F330" s="127"/>
      <c r="G330" s="128"/>
      <c r="H330" s="533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524"/>
      <c r="P330" s="524"/>
      <c r="Q330" s="524"/>
      <c r="R330" s="524"/>
      <c r="S330" s="524"/>
      <c r="T330" s="524"/>
      <c r="U330" s="524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28">
        <v>4.5</v>
      </c>
      <c r="E331" s="108"/>
      <c r="F331" s="127"/>
      <c r="G331" s="128"/>
      <c r="H331" s="533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524"/>
      <c r="P331" s="524"/>
      <c r="Q331" s="524"/>
      <c r="R331" s="524"/>
      <c r="S331" s="524"/>
      <c r="T331" s="524"/>
      <c r="U331" s="524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630" t="s">
        <v>244</v>
      </c>
      <c r="B332" s="631"/>
      <c r="C332" s="531" t="s">
        <v>202</v>
      </c>
      <c r="D332" s="145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6">SUM(M318:M328)</f>
        <v>0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632" t="s">
        <v>246</v>
      </c>
      <c r="B333" s="633"/>
      <c r="C333" s="633"/>
      <c r="D333" s="633"/>
      <c r="E333" s="633"/>
      <c r="F333" s="634"/>
      <c r="G333" s="154">
        <f>SUM(G198,G256,G291,G307,G317,G332)</f>
        <v>130</v>
      </c>
      <c r="H333" s="154">
        <f>SUM(H198,H256,H291,H307,H317,H332)</f>
        <v>650.4</v>
      </c>
      <c r="I333" s="154">
        <f>SUM(I198,I256,I291,I307,I317,I332)</f>
        <v>24.5</v>
      </c>
      <c r="J333" s="155">
        <f t="array" ref="J333">IF(ISERROR(G333/I333),"",G333/I333)</f>
        <v>5.3061224489795915</v>
      </c>
      <c r="K333" s="154">
        <f>SUM(K198,K256,K291,K307,K317,K332)</f>
        <v>24.526315789473685</v>
      </c>
      <c r="L333" s="155">
        <f>IF(ISERROR(G333/K333),"",G333/K333)</f>
        <v>5.3004291845493556</v>
      </c>
      <c r="M333" s="154">
        <f t="shared" ref="M333:AA333" si="157">SUM(M198,M256,M291,M307,M317,M332)</f>
        <v>-2.6315789473684181E-2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635" t="s">
        <v>476</v>
      </c>
      <c r="B334" s="530" t="s">
        <v>247</v>
      </c>
      <c r="C334" s="638" t="s">
        <v>248</v>
      </c>
      <c r="D334" s="639"/>
      <c r="E334" s="640" t="s">
        <v>249</v>
      </c>
      <c r="F334" s="640"/>
      <c r="G334" s="643" t="s">
        <v>250</v>
      </c>
      <c r="H334" s="643"/>
      <c r="I334" s="640" t="s">
        <v>251</v>
      </c>
      <c r="J334" s="640"/>
      <c r="K334" s="640" t="s">
        <v>252</v>
      </c>
      <c r="L334" s="640"/>
      <c r="M334" s="640" t="s">
        <v>253</v>
      </c>
      <c r="N334" s="640"/>
      <c r="O334" s="640" t="s">
        <v>254</v>
      </c>
      <c r="P334" s="643" t="s">
        <v>255</v>
      </c>
      <c r="Q334" s="643"/>
      <c r="R334" s="643" t="s">
        <v>252</v>
      </c>
      <c r="S334" s="643"/>
      <c r="T334" s="643" t="s">
        <v>256</v>
      </c>
      <c r="U334" s="643"/>
      <c r="V334" s="643" t="s">
        <v>257</v>
      </c>
      <c r="W334" s="643"/>
      <c r="X334" s="643" t="s">
        <v>252</v>
      </c>
      <c r="Y334" s="643"/>
      <c r="Z334" s="643" t="s">
        <v>256</v>
      </c>
      <c r="AA334" s="643"/>
    </row>
    <row r="335" spans="1:27" ht="20.100000000000001" customHeight="1">
      <c r="A335" s="636"/>
      <c r="B335" s="530" t="s">
        <v>258</v>
      </c>
      <c r="C335" s="678">
        <v>1</v>
      </c>
      <c r="D335" s="679"/>
      <c r="E335" s="642">
        <f>C335*11</f>
        <v>11</v>
      </c>
      <c r="F335" s="642"/>
      <c r="G335" s="643">
        <v>1</v>
      </c>
      <c r="H335" s="643"/>
      <c r="I335" s="642">
        <f>G335*11</f>
        <v>11</v>
      </c>
      <c r="J335" s="642"/>
      <c r="K335" s="642">
        <f>E335-I335</f>
        <v>0</v>
      </c>
      <c r="L335" s="642"/>
      <c r="M335" s="644">
        <f>IF(ISERROR(K335/E335),"",K335/E335)</f>
        <v>0</v>
      </c>
      <c r="N335" s="644"/>
      <c r="O335" s="640"/>
      <c r="P335" s="643" t="s">
        <v>201</v>
      </c>
      <c r="Q335" s="643"/>
      <c r="R335" s="645">
        <f>SUM(O198:U198)</f>
        <v>0</v>
      </c>
      <c r="S335" s="645"/>
      <c r="T335" s="646" t="str">
        <f t="array" ref="T335">IF(ISERROR(R335/R342),"",R335/R342)</f>
        <v/>
      </c>
      <c r="U335" s="646"/>
      <c r="V335" s="643" t="s">
        <v>259</v>
      </c>
      <c r="W335" s="643"/>
      <c r="X335" s="680">
        <f>SUM(P197,P255,P290,P306,P316,P331)</f>
        <v>0</v>
      </c>
      <c r="Y335" s="681"/>
      <c r="Z335" s="646" t="str">
        <f t="array" ref="Z335">IF(ISERROR(X335/X342),"",X335/X342)</f>
        <v/>
      </c>
      <c r="AA335" s="646"/>
    </row>
    <row r="336" spans="1:27" ht="20.100000000000001" customHeight="1">
      <c r="A336" s="636"/>
      <c r="B336" s="530" t="s">
        <v>260</v>
      </c>
      <c r="C336" s="638">
        <v>0</v>
      </c>
      <c r="D336" s="639"/>
      <c r="E336" s="642">
        <f>C336*11</f>
        <v>0</v>
      </c>
      <c r="F336" s="642"/>
      <c r="G336" s="643">
        <v>0</v>
      </c>
      <c r="H336" s="643"/>
      <c r="I336" s="642">
        <f>G336*11</f>
        <v>0</v>
      </c>
      <c r="J336" s="642"/>
      <c r="K336" s="642">
        <f>E336-I336</f>
        <v>0</v>
      </c>
      <c r="L336" s="642"/>
      <c r="M336" s="644" t="str">
        <f>IF(ISERROR(K336/E336),"",K336/E336)</f>
        <v/>
      </c>
      <c r="N336" s="644"/>
      <c r="O336" s="640"/>
      <c r="P336" s="643" t="s">
        <v>216</v>
      </c>
      <c r="Q336" s="643"/>
      <c r="R336" s="645">
        <f>SUM(O256:U256)</f>
        <v>0</v>
      </c>
      <c r="S336" s="645"/>
      <c r="T336" s="646" t="str">
        <f>IF(ISERROR(R336/R342),"",R336/R342)</f>
        <v/>
      </c>
      <c r="U336" s="646"/>
      <c r="V336" s="643" t="s">
        <v>261</v>
      </c>
      <c r="W336" s="643"/>
      <c r="X336" s="680">
        <f>SUM(P198,P256,P291,P307,P317,P332)</f>
        <v>0</v>
      </c>
      <c r="Y336" s="681"/>
      <c r="Z336" s="646" t="str">
        <f>IF(ISERROR(X336/X342),"",X336/X342)</f>
        <v/>
      </c>
      <c r="AA336" s="646"/>
    </row>
    <row r="337" spans="1:27" ht="20.100000000000001" customHeight="1">
      <c r="A337" s="636"/>
      <c r="B337" s="530" t="s">
        <v>262</v>
      </c>
      <c r="C337" s="638">
        <v>0</v>
      </c>
      <c r="D337" s="639"/>
      <c r="E337" s="642">
        <f>C337*8</f>
        <v>0</v>
      </c>
      <c r="F337" s="642"/>
      <c r="G337" s="643">
        <v>1</v>
      </c>
      <c r="H337" s="643"/>
      <c r="I337" s="642">
        <f>G337*8</f>
        <v>8</v>
      </c>
      <c r="J337" s="642"/>
      <c r="K337" s="642">
        <f>E337-I337</f>
        <v>-8</v>
      </c>
      <c r="L337" s="642"/>
      <c r="M337" s="644" t="str">
        <f>IF(ISERROR(K337/E337),"",K337/E337)</f>
        <v/>
      </c>
      <c r="N337" s="644"/>
      <c r="O337" s="640"/>
      <c r="P337" s="643" t="s">
        <v>224</v>
      </c>
      <c r="Q337" s="643"/>
      <c r="R337" s="645">
        <f>SUM(O291:U291)</f>
        <v>0</v>
      </c>
      <c r="S337" s="645"/>
      <c r="T337" s="646" t="str">
        <f>IF(ISERROR(R337/R342),"",R337/R342)</f>
        <v/>
      </c>
      <c r="U337" s="646"/>
      <c r="V337" s="643" t="s">
        <v>263</v>
      </c>
      <c r="W337" s="643"/>
      <c r="X337" s="680">
        <f>SUM(P199,P257,P292,P308,P318,P333)</f>
        <v>0</v>
      </c>
      <c r="Y337" s="681"/>
      <c r="Z337" s="646" t="str">
        <f>IF(ISERROR(X337/X342),"",X337/X342)</f>
        <v/>
      </c>
      <c r="AA337" s="646"/>
    </row>
    <row r="338" spans="1:27" ht="20.100000000000001" customHeight="1">
      <c r="A338" s="636"/>
      <c r="B338" s="530" t="s">
        <v>264</v>
      </c>
      <c r="C338" s="638">
        <v>1</v>
      </c>
      <c r="D338" s="639"/>
      <c r="E338" s="642">
        <f>C338*11</f>
        <v>11</v>
      </c>
      <c r="F338" s="642"/>
      <c r="G338" s="643">
        <v>1</v>
      </c>
      <c r="H338" s="643"/>
      <c r="I338" s="642">
        <f>G338*11</f>
        <v>11</v>
      </c>
      <c r="J338" s="642"/>
      <c r="K338" s="642">
        <f>E338-I338</f>
        <v>0</v>
      </c>
      <c r="L338" s="642"/>
      <c r="M338" s="644">
        <f>IF(ISERROR(K338/E338),"",K338/E338)</f>
        <v>0</v>
      </c>
      <c r="N338" s="644"/>
      <c r="O338" s="640"/>
      <c r="P338" s="643" t="s">
        <v>231</v>
      </c>
      <c r="Q338" s="643"/>
      <c r="R338" s="645">
        <f>SUM(O307:U307)</f>
        <v>0</v>
      </c>
      <c r="S338" s="645"/>
      <c r="T338" s="646" t="str">
        <f>IF(ISERROR(R338/R342),"",R338/R342)</f>
        <v/>
      </c>
      <c r="U338" s="646"/>
      <c r="V338" s="643" t="s">
        <v>265</v>
      </c>
      <c r="W338" s="643"/>
      <c r="X338" s="680">
        <f>SUM(P201,P258,P293,P309,P319,P334)</f>
        <v>0</v>
      </c>
      <c r="Y338" s="681"/>
      <c r="Z338" s="646" t="str">
        <f>IF(ISERROR(X338/X342),"",X338/X342)</f>
        <v/>
      </c>
      <c r="AA338" s="646"/>
    </row>
    <row r="339" spans="1:27" ht="20.100000000000001" customHeight="1">
      <c r="A339" s="637"/>
      <c r="B339" s="530" t="s">
        <v>266</v>
      </c>
      <c r="C339" s="648">
        <f>SUM(C335:D338)</f>
        <v>2</v>
      </c>
      <c r="D339" s="649"/>
      <c r="E339" s="642">
        <f>SUM(E335:F338)</f>
        <v>22</v>
      </c>
      <c r="F339" s="642"/>
      <c r="G339" s="643">
        <f>SUM(G335:H338)</f>
        <v>3</v>
      </c>
      <c r="H339" s="643"/>
      <c r="I339" s="642">
        <f>SUM(I335:J338)</f>
        <v>30</v>
      </c>
      <c r="J339" s="642"/>
      <c r="K339" s="642">
        <f>SUM(K335:L338)</f>
        <v>-8</v>
      </c>
      <c r="L339" s="642"/>
      <c r="M339" s="644">
        <f>IF(ISERROR(K339/E339),"",K339/E339)</f>
        <v>-0.36363636363636365</v>
      </c>
      <c r="N339" s="644"/>
      <c r="O339" s="640"/>
      <c r="P339" s="643" t="s">
        <v>234</v>
      </c>
      <c r="Q339" s="643"/>
      <c r="R339" s="645">
        <f>SUM(O317:U317)</f>
        <v>0</v>
      </c>
      <c r="S339" s="645"/>
      <c r="T339" s="646" t="str">
        <f>IF(ISERROR(R339/R342),"",R339/R342)</f>
        <v/>
      </c>
      <c r="U339" s="646"/>
      <c r="V339" s="643" t="s">
        <v>267</v>
      </c>
      <c r="W339" s="643"/>
      <c r="X339" s="680">
        <f>SUM(P202,P259,P294,P310,P320,P335)</f>
        <v>0</v>
      </c>
      <c r="Y339" s="681"/>
      <c r="Z339" s="646" t="str">
        <f>IF(ISERROR(X339/X342),"",X339/X342)</f>
        <v/>
      </c>
      <c r="AA339" s="646"/>
    </row>
    <row r="340" spans="1:27" ht="20.100000000000001" customHeight="1">
      <c r="A340" s="309" t="s">
        <v>477</v>
      </c>
      <c r="B340" s="530">
        <f>G333</f>
        <v>130</v>
      </c>
      <c r="C340" s="650" t="s">
        <v>269</v>
      </c>
      <c r="D340" s="651"/>
      <c r="E340" s="643">
        <f>H333</f>
        <v>650.4</v>
      </c>
      <c r="F340" s="643"/>
      <c r="G340" s="643" t="s">
        <v>270</v>
      </c>
      <c r="H340" s="643"/>
      <c r="I340" s="652">
        <f>L333</f>
        <v>5.3004291845493556</v>
      </c>
      <c r="J340" s="652"/>
      <c r="K340" s="640" t="s">
        <v>271</v>
      </c>
      <c r="L340" s="640"/>
      <c r="M340" s="652">
        <f>J333</f>
        <v>5.3061224489795915</v>
      </c>
      <c r="N340" s="652"/>
      <c r="O340" s="640"/>
      <c r="P340" s="643" t="s">
        <v>244</v>
      </c>
      <c r="Q340" s="643"/>
      <c r="R340" s="645">
        <f>SUM(O332:U332)</f>
        <v>0</v>
      </c>
      <c r="S340" s="645"/>
      <c r="T340" s="646" t="str">
        <f>IF(ISERROR(R340/R342),"",R340/R342)</f>
        <v/>
      </c>
      <c r="U340" s="646"/>
      <c r="V340" s="643" t="s">
        <v>272</v>
      </c>
      <c r="W340" s="643"/>
      <c r="X340" s="680">
        <f>SUM(P203,P260,P295,P311,P321,P336)</f>
        <v>0</v>
      </c>
      <c r="Y340" s="681"/>
      <c r="Z340" s="646" t="str">
        <f>IF(ISERROR(X340/X342),"",X340/X342)</f>
        <v/>
      </c>
      <c r="AA340" s="646"/>
    </row>
    <row r="341" spans="1:27" ht="20.100000000000001" customHeight="1">
      <c r="A341" s="310" t="s">
        <v>478</v>
      </c>
      <c r="B341" s="530">
        <f>I333+C339</f>
        <v>26.5</v>
      </c>
      <c r="C341" s="653" t="s">
        <v>251</v>
      </c>
      <c r="D341" s="654"/>
      <c r="E341" s="655">
        <f>K333+I339</f>
        <v>54.526315789473685</v>
      </c>
      <c r="F341" s="655"/>
      <c r="G341" s="643" t="s">
        <v>274</v>
      </c>
      <c r="H341" s="643"/>
      <c r="I341" s="652">
        <f>B341-E341</f>
        <v>-28.026315789473685</v>
      </c>
      <c r="J341" s="652"/>
      <c r="K341" s="640" t="s">
        <v>275</v>
      </c>
      <c r="L341" s="640"/>
      <c r="M341" s="644">
        <f>IF(ISERROR(I341/E341),"",I341/E341)</f>
        <v>-0.51399613899613905</v>
      </c>
      <c r="N341" s="644"/>
      <c r="O341" s="640"/>
      <c r="P341" s="643" t="s">
        <v>245</v>
      </c>
      <c r="Q341" s="643"/>
      <c r="R341" s="645"/>
      <c r="S341" s="645"/>
      <c r="T341" s="646" t="str">
        <f>IF(ISERROR(R341/R342),"",R341/R342)</f>
        <v/>
      </c>
      <c r="U341" s="646"/>
      <c r="V341" s="643" t="s">
        <v>264</v>
      </c>
      <c r="W341" s="643"/>
      <c r="X341" s="680">
        <f>SUM(P204,P261,P296,P312,P322,P337)</f>
        <v>0</v>
      </c>
      <c r="Y341" s="681"/>
      <c r="Z341" s="646" t="str">
        <f>IF(ISERROR(X341/X342),"",X341/X342)</f>
        <v/>
      </c>
      <c r="AA341" s="646"/>
    </row>
    <row r="342" spans="1:27" ht="20.100000000000001" customHeight="1">
      <c r="A342" s="310" t="s">
        <v>479</v>
      </c>
      <c r="B342" s="530">
        <f>N333</f>
        <v>0</v>
      </c>
      <c r="C342" s="653" t="s">
        <v>277</v>
      </c>
      <c r="D342" s="654"/>
      <c r="E342" s="646">
        <f>IF(ISERROR(B342/B341),"",B342/B341)</f>
        <v>0</v>
      </c>
      <c r="F342" s="646"/>
      <c r="G342" s="643" t="s">
        <v>278</v>
      </c>
      <c r="H342" s="643"/>
      <c r="I342" s="640">
        <f>V333</f>
        <v>0</v>
      </c>
      <c r="J342" s="640"/>
      <c r="K342" s="640" t="s">
        <v>279</v>
      </c>
      <c r="L342" s="640"/>
      <c r="M342" s="644">
        <f t="array" ref="M342">IF(ISERROR(I342/B340),"",I342/B340)</f>
        <v>0</v>
      </c>
      <c r="N342" s="644"/>
      <c r="O342" s="640"/>
      <c r="P342" s="643" t="s">
        <v>266</v>
      </c>
      <c r="Q342" s="643"/>
      <c r="R342" s="645">
        <f>SUM(R335:S341)</f>
        <v>0</v>
      </c>
      <c r="S342" s="645"/>
      <c r="T342" s="646"/>
      <c r="U342" s="646"/>
      <c r="V342" s="643" t="s">
        <v>266</v>
      </c>
      <c r="W342" s="643"/>
      <c r="X342" s="647">
        <f>SUM(X335:Y341)</f>
        <v>0</v>
      </c>
      <c r="Y342" s="647"/>
      <c r="Z342" s="646"/>
      <c r="AA342" s="646"/>
    </row>
    <row r="343" spans="1:27" ht="36" customHeight="1">
      <c r="A343" s="185" t="s">
        <v>335</v>
      </c>
      <c r="B343" s="186"/>
      <c r="C343" s="122"/>
      <c r="D343" s="124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56" t="s">
        <v>480</v>
      </c>
      <c r="B344" s="659" t="s">
        <v>280</v>
      </c>
      <c r="C344" s="659" t="s">
        <v>281</v>
      </c>
      <c r="D344" s="701" t="s">
        <v>529</v>
      </c>
      <c r="E344" s="662" t="s">
        <v>283</v>
      </c>
      <c r="F344" s="675" t="s">
        <v>284</v>
      </c>
      <c r="G344" s="640" t="s">
        <v>285</v>
      </c>
      <c r="H344" s="640"/>
      <c r="I344" s="659" t="s">
        <v>286</v>
      </c>
      <c r="J344" s="665" t="s">
        <v>271</v>
      </c>
      <c r="K344" s="668" t="s">
        <v>287</v>
      </c>
      <c r="L344" s="659" t="s">
        <v>270</v>
      </c>
      <c r="M344" s="671" t="s">
        <v>288</v>
      </c>
      <c r="N344" s="673" t="s">
        <v>252</v>
      </c>
      <c r="O344" s="640" t="s">
        <v>289</v>
      </c>
      <c r="P344" s="640"/>
      <c r="Q344" s="640"/>
      <c r="R344" s="640"/>
      <c r="S344" s="640"/>
      <c r="T344" s="640"/>
      <c r="U344" s="640"/>
      <c r="V344" s="640" t="s">
        <v>290</v>
      </c>
      <c r="W344" s="673" t="s">
        <v>291</v>
      </c>
      <c r="X344" s="640" t="s">
        <v>292</v>
      </c>
      <c r="Y344" s="640"/>
      <c r="Z344" s="640"/>
      <c r="AA344" s="640"/>
    </row>
    <row r="345" spans="1:27" ht="21.95" customHeight="1">
      <c r="A345" s="657"/>
      <c r="B345" s="660"/>
      <c r="C345" s="660"/>
      <c r="D345" s="702"/>
      <c r="E345" s="663"/>
      <c r="F345" s="676"/>
      <c r="G345" s="640"/>
      <c r="H345" s="640"/>
      <c r="I345" s="660"/>
      <c r="J345" s="666"/>
      <c r="K345" s="669"/>
      <c r="L345" s="660"/>
      <c r="M345" s="672"/>
      <c r="N345" s="673"/>
      <c r="O345" s="640" t="s">
        <v>259</v>
      </c>
      <c r="P345" s="640" t="s">
        <v>261</v>
      </c>
      <c r="Q345" s="640" t="s">
        <v>263</v>
      </c>
      <c r="R345" s="674" t="s">
        <v>265</v>
      </c>
      <c r="S345" s="643" t="s">
        <v>267</v>
      </c>
      <c r="T345" s="640" t="s">
        <v>272</v>
      </c>
      <c r="U345" s="640" t="s">
        <v>264</v>
      </c>
      <c r="V345" s="640"/>
      <c r="W345" s="673"/>
      <c r="X345" s="640" t="s">
        <v>293</v>
      </c>
      <c r="Y345" s="640" t="s">
        <v>294</v>
      </c>
      <c r="Z345" s="640" t="s">
        <v>295</v>
      </c>
      <c r="AA345" s="640" t="s">
        <v>264</v>
      </c>
    </row>
    <row r="346" spans="1:27" ht="21.95" customHeight="1">
      <c r="A346" s="658"/>
      <c r="B346" s="661"/>
      <c r="C346" s="661"/>
      <c r="D346" s="703"/>
      <c r="E346" s="664"/>
      <c r="F346" s="677"/>
      <c r="G346" s="348" t="s">
        <v>296</v>
      </c>
      <c r="H346" s="523" t="s">
        <v>297</v>
      </c>
      <c r="I346" s="661"/>
      <c r="J346" s="667"/>
      <c r="K346" s="670"/>
      <c r="L346" s="661"/>
      <c r="M346" s="672"/>
      <c r="N346" s="673"/>
      <c r="O346" s="640"/>
      <c r="P346" s="640"/>
      <c r="Q346" s="640"/>
      <c r="R346" s="674"/>
      <c r="S346" s="643"/>
      <c r="T346" s="640"/>
      <c r="U346" s="640"/>
      <c r="V346" s="640"/>
      <c r="W346" s="673"/>
      <c r="X346" s="640"/>
      <c r="Y346" s="640"/>
      <c r="Z346" s="640"/>
      <c r="AA346" s="640"/>
    </row>
    <row r="347" spans="1:27" ht="20.100000000000001" hidden="1" customHeight="1">
      <c r="A347" s="299">
        <v>30100030</v>
      </c>
      <c r="B347" s="525" t="s">
        <v>178</v>
      </c>
      <c r="C347" s="126" t="s">
        <v>179</v>
      </c>
      <c r="D347" s="128">
        <v>5.03</v>
      </c>
      <c r="E347" s="108"/>
      <c r="F347" s="127"/>
      <c r="G347" s="128"/>
      <c r="H347" s="533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524"/>
      <c r="P347" s="524"/>
      <c r="Q347" s="524"/>
      <c r="R347" s="524"/>
      <c r="S347" s="524"/>
      <c r="T347" s="524"/>
      <c r="U347" s="524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28">
        <v>5.03</v>
      </c>
      <c r="E348" s="108"/>
      <c r="F348" s="127"/>
      <c r="G348" s="128"/>
      <c r="H348" s="533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524"/>
      <c r="P348" s="524"/>
      <c r="Q348" s="524"/>
      <c r="R348" s="524"/>
      <c r="S348" s="524"/>
      <c r="T348" s="524"/>
      <c r="U348" s="524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28">
        <v>5.03</v>
      </c>
      <c r="E349" s="108"/>
      <c r="F349" s="127"/>
      <c r="G349" s="128"/>
      <c r="H349" s="533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524"/>
      <c r="P349" s="524"/>
      <c r="Q349" s="524"/>
      <c r="R349" s="524"/>
      <c r="S349" s="524"/>
      <c r="T349" s="524"/>
      <c r="U349" s="524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28">
        <v>5.03</v>
      </c>
      <c r="E350" s="108"/>
      <c r="F350" s="127"/>
      <c r="G350" s="128"/>
      <c r="H350" s="533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524"/>
      <c r="P350" s="524"/>
      <c r="Q350" s="524"/>
      <c r="R350" s="524"/>
      <c r="S350" s="524"/>
      <c r="T350" s="524"/>
      <c r="U350" s="524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28">
        <v>5.03</v>
      </c>
      <c r="E351" s="108"/>
      <c r="F351" s="127"/>
      <c r="G351" s="128"/>
      <c r="H351" s="533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524"/>
      <c r="P351" s="524"/>
      <c r="Q351" s="524"/>
      <c r="R351" s="524"/>
      <c r="S351" s="524"/>
      <c r="T351" s="524"/>
      <c r="U351" s="524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28">
        <v>5.04</v>
      </c>
      <c r="E352" s="108"/>
      <c r="F352" s="158"/>
      <c r="G352" s="137"/>
      <c r="H352" s="533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524"/>
      <c r="P352" s="524"/>
      <c r="Q352" s="524"/>
      <c r="R352" s="524"/>
      <c r="S352" s="524"/>
      <c r="T352" s="524"/>
      <c r="U352" s="524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28">
        <v>5.03</v>
      </c>
      <c r="E353" s="108"/>
      <c r="F353" s="127"/>
      <c r="G353" s="128"/>
      <c r="H353" s="533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524"/>
      <c r="P353" s="524"/>
      <c r="Q353" s="524"/>
      <c r="R353" s="524"/>
      <c r="S353" s="524"/>
      <c r="T353" s="524"/>
      <c r="U353" s="524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28">
        <v>5.03</v>
      </c>
      <c r="E354" s="108"/>
      <c r="F354" s="127"/>
      <c r="G354" s="128"/>
      <c r="H354" s="533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524"/>
      <c r="P354" s="524"/>
      <c r="Q354" s="524"/>
      <c r="R354" s="524"/>
      <c r="S354" s="524"/>
      <c r="T354" s="524"/>
      <c r="U354" s="524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28">
        <v>5.04</v>
      </c>
      <c r="E355" s="108"/>
      <c r="F355" s="126"/>
      <c r="G355" s="128"/>
      <c r="H355" s="533">
        <f t="shared" si="158"/>
        <v>0</v>
      </c>
      <c r="I355" s="533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524"/>
      <c r="P355" s="524"/>
      <c r="Q355" s="524"/>
      <c r="R355" s="524"/>
      <c r="S355" s="524"/>
      <c r="T355" s="524"/>
      <c r="U355" s="524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28">
        <v>5.04</v>
      </c>
      <c r="E356" s="108"/>
      <c r="F356" s="126"/>
      <c r="G356" s="128"/>
      <c r="H356" s="533">
        <f t="shared" si="158"/>
        <v>0</v>
      </c>
      <c r="I356" s="533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524"/>
      <c r="P356" s="524"/>
      <c r="Q356" s="524"/>
      <c r="R356" s="524"/>
      <c r="S356" s="524"/>
      <c r="T356" s="524"/>
      <c r="U356" s="524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28">
        <v>5.03</v>
      </c>
      <c r="E357" s="108"/>
      <c r="F357" s="126"/>
      <c r="G357" s="128"/>
      <c r="H357" s="533">
        <f t="shared" si="158"/>
        <v>0</v>
      </c>
      <c r="I357" s="533"/>
      <c r="J357" s="130"/>
      <c r="K357" s="131"/>
      <c r="L357" s="129"/>
      <c r="M357" s="109"/>
      <c r="N357" s="130"/>
      <c r="O357" s="524"/>
      <c r="P357" s="524"/>
      <c r="Q357" s="524"/>
      <c r="R357" s="524"/>
      <c r="S357" s="524"/>
      <c r="T357" s="524"/>
      <c r="U357" s="524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28">
        <v>5.03</v>
      </c>
      <c r="E358" s="108"/>
      <c r="F358" s="126"/>
      <c r="G358" s="128"/>
      <c r="H358" s="533">
        <f t="shared" si="158"/>
        <v>0</v>
      </c>
      <c r="I358" s="533"/>
      <c r="J358" s="130"/>
      <c r="K358" s="131"/>
      <c r="L358" s="129"/>
      <c r="M358" s="109"/>
      <c r="N358" s="130"/>
      <c r="O358" s="524"/>
      <c r="P358" s="524"/>
      <c r="Q358" s="524"/>
      <c r="R358" s="524"/>
      <c r="S358" s="524"/>
      <c r="T358" s="524"/>
      <c r="U358" s="524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28">
        <v>5.0599999999999996</v>
      </c>
      <c r="E359" s="108"/>
      <c r="F359" s="127"/>
      <c r="G359" s="128"/>
      <c r="H359" s="533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524"/>
      <c r="P359" s="524"/>
      <c r="Q359" s="524"/>
      <c r="R359" s="524"/>
      <c r="S359" s="524"/>
      <c r="T359" s="524"/>
      <c r="U359" s="524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28">
        <v>5.09</v>
      </c>
      <c r="E360" s="108"/>
      <c r="F360" s="127"/>
      <c r="G360" s="128"/>
      <c r="H360" s="533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524"/>
      <c r="P360" s="524"/>
      <c r="Q360" s="524"/>
      <c r="R360" s="524"/>
      <c r="S360" s="524"/>
      <c r="T360" s="524"/>
      <c r="U360" s="524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28">
        <v>5.09</v>
      </c>
      <c r="E361" s="108"/>
      <c r="F361" s="127"/>
      <c r="G361" s="128"/>
      <c r="H361" s="533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524"/>
      <c r="P361" s="524"/>
      <c r="Q361" s="524"/>
      <c r="R361" s="524"/>
      <c r="S361" s="524"/>
      <c r="T361" s="524"/>
      <c r="U361" s="524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523" t="s">
        <v>190</v>
      </c>
      <c r="D362" s="128">
        <v>4.8</v>
      </c>
      <c r="E362" s="108"/>
      <c r="F362" s="127"/>
      <c r="G362" s="128"/>
      <c r="H362" s="533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524"/>
      <c r="P362" s="524"/>
      <c r="Q362" s="524"/>
      <c r="R362" s="524"/>
      <c r="S362" s="524"/>
      <c r="T362" s="524"/>
      <c r="U362" s="524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523" t="s">
        <v>187</v>
      </c>
      <c r="D363" s="128">
        <v>4.8</v>
      </c>
      <c r="E363" s="108"/>
      <c r="F363" s="127"/>
      <c r="G363" s="128"/>
      <c r="H363" s="533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524"/>
      <c r="P363" s="524"/>
      <c r="Q363" s="524"/>
      <c r="R363" s="524"/>
      <c r="S363" s="524"/>
      <c r="T363" s="524"/>
      <c r="U363" s="524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523" t="s">
        <v>179</v>
      </c>
      <c r="D364" s="128">
        <v>4.8</v>
      </c>
      <c r="E364" s="108"/>
      <c r="F364" s="127"/>
      <c r="G364" s="128"/>
      <c r="H364" s="533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524"/>
      <c r="P364" s="524"/>
      <c r="Q364" s="524"/>
      <c r="R364" s="524"/>
      <c r="S364" s="524"/>
      <c r="T364" s="524"/>
      <c r="U364" s="524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523" t="s">
        <v>199</v>
      </c>
      <c r="D365" s="128">
        <v>4.8</v>
      </c>
      <c r="E365" s="108"/>
      <c r="F365" s="127"/>
      <c r="G365" s="128"/>
      <c r="H365" s="533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524"/>
      <c r="P365" s="524"/>
      <c r="Q365" s="524"/>
      <c r="R365" s="524"/>
      <c r="S365" s="524"/>
      <c r="T365" s="524"/>
      <c r="U365" s="524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28">
        <v>4.99</v>
      </c>
      <c r="E366" s="108"/>
      <c r="F366" s="127"/>
      <c r="G366" s="128"/>
      <c r="H366" s="533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524"/>
      <c r="P366" s="524"/>
      <c r="Q366" s="524"/>
      <c r="R366" s="524"/>
      <c r="S366" s="524"/>
      <c r="T366" s="524"/>
      <c r="U366" s="524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28">
        <v>4.99</v>
      </c>
      <c r="E367" s="108"/>
      <c r="F367" s="142"/>
      <c r="G367" s="128"/>
      <c r="H367" s="533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524"/>
      <c r="P367" s="524"/>
      <c r="Q367" s="524"/>
      <c r="R367" s="524"/>
      <c r="S367" s="524"/>
      <c r="T367" s="524"/>
      <c r="U367" s="524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630" t="s">
        <v>201</v>
      </c>
      <c r="B368" s="631"/>
      <c r="C368" s="531" t="s">
        <v>202</v>
      </c>
      <c r="D368" s="145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525" t="s">
        <v>206</v>
      </c>
      <c r="C369" s="126" t="s">
        <v>199</v>
      </c>
      <c r="D369" s="128">
        <v>5.03</v>
      </c>
      <c r="E369" s="108"/>
      <c r="F369" s="127"/>
      <c r="G369" s="128"/>
      <c r="H369" s="533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528"/>
      <c r="P369" s="528"/>
      <c r="Q369" s="528"/>
      <c r="R369" s="528"/>
      <c r="S369" s="528"/>
      <c r="T369" s="528"/>
      <c r="U369" s="528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525" t="s">
        <v>425</v>
      </c>
      <c r="C370" s="187" t="s">
        <v>427</v>
      </c>
      <c r="D370" s="128">
        <v>5.03</v>
      </c>
      <c r="E370" s="108"/>
      <c r="F370" s="127"/>
      <c r="G370" s="128"/>
      <c r="H370" s="533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528"/>
      <c r="P370" s="528"/>
      <c r="Q370" s="528"/>
      <c r="R370" s="528"/>
      <c r="S370" s="528"/>
      <c r="T370" s="528"/>
      <c r="U370" s="528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525" t="s">
        <v>206</v>
      </c>
      <c r="C371" s="126" t="s">
        <v>186</v>
      </c>
      <c r="D371" s="128">
        <v>5.03</v>
      </c>
      <c r="E371" s="108"/>
      <c r="F371" s="127"/>
      <c r="G371" s="128"/>
      <c r="H371" s="533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528"/>
      <c r="P371" s="528"/>
      <c r="Q371" s="528"/>
      <c r="R371" s="528"/>
      <c r="S371" s="528"/>
      <c r="T371" s="528"/>
      <c r="U371" s="528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525" t="s">
        <v>206</v>
      </c>
      <c r="C372" s="126" t="s">
        <v>203</v>
      </c>
      <c r="D372" s="128">
        <v>5.03</v>
      </c>
      <c r="E372" s="108"/>
      <c r="F372" s="127"/>
      <c r="G372" s="128"/>
      <c r="H372" s="533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528"/>
      <c r="P372" s="528"/>
      <c r="Q372" s="528"/>
      <c r="R372" s="528"/>
      <c r="S372" s="528"/>
      <c r="T372" s="528"/>
      <c r="U372" s="528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525" t="s">
        <v>206</v>
      </c>
      <c r="C373" s="126" t="s">
        <v>207</v>
      </c>
      <c r="D373" s="128">
        <v>5.03</v>
      </c>
      <c r="E373" s="108"/>
      <c r="F373" s="127"/>
      <c r="G373" s="128"/>
      <c r="H373" s="533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528"/>
      <c r="P373" s="528"/>
      <c r="Q373" s="528"/>
      <c r="R373" s="528"/>
      <c r="S373" s="528"/>
      <c r="T373" s="528"/>
      <c r="U373" s="528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525" t="s">
        <v>414</v>
      </c>
      <c r="C374" s="187" t="s">
        <v>415</v>
      </c>
      <c r="D374" s="128"/>
      <c r="E374" s="108"/>
      <c r="F374" s="127"/>
      <c r="G374" s="128"/>
      <c r="H374" s="533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528"/>
      <c r="P374" s="528"/>
      <c r="Q374" s="528"/>
      <c r="R374" s="528"/>
      <c r="S374" s="528"/>
      <c r="T374" s="528"/>
      <c r="U374" s="528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525" t="s">
        <v>414</v>
      </c>
      <c r="C375" s="187" t="s">
        <v>416</v>
      </c>
      <c r="D375" s="128"/>
      <c r="E375" s="108"/>
      <c r="F375" s="127"/>
      <c r="G375" s="128"/>
      <c r="H375" s="533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528"/>
      <c r="P375" s="528"/>
      <c r="Q375" s="528"/>
      <c r="R375" s="528"/>
      <c r="S375" s="528"/>
      <c r="T375" s="528"/>
      <c r="U375" s="528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525" t="s">
        <v>414</v>
      </c>
      <c r="C376" s="187" t="s">
        <v>61</v>
      </c>
      <c r="D376" s="128"/>
      <c r="E376" s="108"/>
      <c r="F376" s="127"/>
      <c r="G376" s="128"/>
      <c r="H376" s="533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528"/>
      <c r="P376" s="528"/>
      <c r="Q376" s="528"/>
      <c r="R376" s="528"/>
      <c r="S376" s="528"/>
      <c r="T376" s="528"/>
      <c r="U376" s="528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525" t="s">
        <v>208</v>
      </c>
      <c r="C377" s="126" t="s">
        <v>179</v>
      </c>
      <c r="D377" s="128">
        <v>5.08</v>
      </c>
      <c r="E377" s="108"/>
      <c r="F377" s="127"/>
      <c r="G377" s="128"/>
      <c r="H377" s="533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528"/>
      <c r="P377" s="528"/>
      <c r="Q377" s="528"/>
      <c r="R377" s="528"/>
      <c r="S377" s="528"/>
      <c r="T377" s="528"/>
      <c r="U377" s="528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525" t="s">
        <v>208</v>
      </c>
      <c r="C378" s="126" t="s">
        <v>204</v>
      </c>
      <c r="D378" s="128">
        <v>5.08</v>
      </c>
      <c r="E378" s="108"/>
      <c r="F378" s="127"/>
      <c r="G378" s="128"/>
      <c r="H378" s="533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528"/>
      <c r="P378" s="528"/>
      <c r="Q378" s="528"/>
      <c r="R378" s="528"/>
      <c r="S378" s="528"/>
      <c r="T378" s="528"/>
      <c r="U378" s="528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525" t="s">
        <v>208</v>
      </c>
      <c r="C379" s="126" t="s">
        <v>205</v>
      </c>
      <c r="D379" s="128">
        <v>5.08</v>
      </c>
      <c r="E379" s="108"/>
      <c r="F379" s="127"/>
      <c r="G379" s="128"/>
      <c r="H379" s="533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528"/>
      <c r="P379" s="528"/>
      <c r="Q379" s="528"/>
      <c r="R379" s="528"/>
      <c r="S379" s="528"/>
      <c r="T379" s="528"/>
      <c r="U379" s="528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525" t="s">
        <v>208</v>
      </c>
      <c r="C380" s="126" t="s">
        <v>186</v>
      </c>
      <c r="D380" s="128">
        <v>5.08</v>
      </c>
      <c r="E380" s="108"/>
      <c r="F380" s="127"/>
      <c r="G380" s="128"/>
      <c r="H380" s="533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528"/>
      <c r="P380" s="528"/>
      <c r="Q380" s="528"/>
      <c r="R380" s="528"/>
      <c r="S380" s="528"/>
      <c r="T380" s="528"/>
      <c r="U380" s="528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525" t="s">
        <v>208</v>
      </c>
      <c r="C381" s="126" t="s">
        <v>203</v>
      </c>
      <c r="D381" s="128">
        <v>5.08</v>
      </c>
      <c r="E381" s="108"/>
      <c r="F381" s="127"/>
      <c r="G381" s="128"/>
      <c r="H381" s="533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528"/>
      <c r="P381" s="528"/>
      <c r="Q381" s="528"/>
      <c r="R381" s="528"/>
      <c r="S381" s="528"/>
      <c r="T381" s="528"/>
      <c r="U381" s="528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525" t="s">
        <v>208</v>
      </c>
      <c r="C382" s="126" t="s">
        <v>199</v>
      </c>
      <c r="D382" s="128">
        <v>5.08</v>
      </c>
      <c r="E382" s="108"/>
      <c r="F382" s="127"/>
      <c r="G382" s="128"/>
      <c r="H382" s="533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524"/>
      <c r="P382" s="524"/>
      <c r="Q382" s="524"/>
      <c r="R382" s="524"/>
      <c r="S382" s="524"/>
      <c r="T382" s="524"/>
      <c r="U382" s="524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525" t="s">
        <v>208</v>
      </c>
      <c r="C383" s="126" t="s">
        <v>187</v>
      </c>
      <c r="D383" s="128">
        <v>5.08</v>
      </c>
      <c r="E383" s="108"/>
      <c r="F383" s="127"/>
      <c r="G383" s="128"/>
      <c r="H383" s="533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528"/>
      <c r="P383" s="528"/>
      <c r="Q383" s="528"/>
      <c r="R383" s="528"/>
      <c r="S383" s="528"/>
      <c r="T383" s="528"/>
      <c r="U383" s="528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525" t="s">
        <v>208</v>
      </c>
      <c r="C384" s="126" t="s">
        <v>207</v>
      </c>
      <c r="D384" s="128">
        <v>5.08</v>
      </c>
      <c r="E384" s="108"/>
      <c r="F384" s="127"/>
      <c r="G384" s="128"/>
      <c r="H384" s="533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524"/>
      <c r="P384" s="524"/>
      <c r="Q384" s="524"/>
      <c r="R384" s="524"/>
      <c r="S384" s="524"/>
      <c r="T384" s="524"/>
      <c r="U384" s="524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525" t="s">
        <v>209</v>
      </c>
      <c r="C385" s="126" t="s">
        <v>194</v>
      </c>
      <c r="D385" s="128">
        <v>5.03</v>
      </c>
      <c r="E385" s="108"/>
      <c r="F385" s="127"/>
      <c r="G385" s="128"/>
      <c r="H385" s="533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528"/>
      <c r="P385" s="528"/>
      <c r="Q385" s="528"/>
      <c r="R385" s="528"/>
      <c r="S385" s="528"/>
      <c r="T385" s="528"/>
      <c r="U385" s="528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525" t="s">
        <v>209</v>
      </c>
      <c r="C386" s="126" t="s">
        <v>179</v>
      </c>
      <c r="D386" s="128">
        <v>5.03</v>
      </c>
      <c r="E386" s="108"/>
      <c r="F386" s="127"/>
      <c r="G386" s="128"/>
      <c r="H386" s="533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528"/>
      <c r="P386" s="528"/>
      <c r="Q386" s="528"/>
      <c r="R386" s="528"/>
      <c r="S386" s="528"/>
      <c r="T386" s="528"/>
      <c r="U386" s="528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525" t="s">
        <v>209</v>
      </c>
      <c r="C387" s="126" t="s">
        <v>195</v>
      </c>
      <c r="D387" s="128">
        <v>5.03</v>
      </c>
      <c r="E387" s="108"/>
      <c r="F387" s="127"/>
      <c r="G387" s="128"/>
      <c r="H387" s="533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528"/>
      <c r="P387" s="528"/>
      <c r="Q387" s="528"/>
      <c r="R387" s="528"/>
      <c r="S387" s="528"/>
      <c r="T387" s="528"/>
      <c r="U387" s="528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525" t="s">
        <v>209</v>
      </c>
      <c r="C388" s="126" t="s">
        <v>204</v>
      </c>
      <c r="D388" s="128">
        <v>5.03</v>
      </c>
      <c r="E388" s="108"/>
      <c r="F388" s="127"/>
      <c r="G388" s="128"/>
      <c r="H388" s="533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528"/>
      <c r="P388" s="528"/>
      <c r="Q388" s="528"/>
      <c r="R388" s="528"/>
      <c r="S388" s="528"/>
      <c r="T388" s="528"/>
      <c r="U388" s="528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525" t="s">
        <v>382</v>
      </c>
      <c r="C389" s="187" t="s">
        <v>383</v>
      </c>
      <c r="D389" s="128">
        <v>5.03</v>
      </c>
      <c r="E389" s="108"/>
      <c r="F389" s="127"/>
      <c r="G389" s="128"/>
      <c r="H389" s="533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528"/>
      <c r="P389" s="528"/>
      <c r="Q389" s="528"/>
      <c r="R389" s="528"/>
      <c r="S389" s="528"/>
      <c r="T389" s="528"/>
      <c r="U389" s="528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525" t="s">
        <v>382</v>
      </c>
      <c r="C390" s="187" t="s">
        <v>384</v>
      </c>
      <c r="D390" s="128">
        <v>5.03</v>
      </c>
      <c r="E390" s="108"/>
      <c r="F390" s="127"/>
      <c r="G390" s="128"/>
      <c r="H390" s="533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528"/>
      <c r="P390" s="528"/>
      <c r="Q390" s="528"/>
      <c r="R390" s="528"/>
      <c r="S390" s="528"/>
      <c r="T390" s="528"/>
      <c r="U390" s="528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525" t="s">
        <v>382</v>
      </c>
      <c r="C391" s="187" t="s">
        <v>389</v>
      </c>
      <c r="D391" s="128">
        <v>5.03</v>
      </c>
      <c r="E391" s="108"/>
      <c r="F391" s="127"/>
      <c r="G391" s="128"/>
      <c r="H391" s="533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528"/>
      <c r="P391" s="528"/>
      <c r="Q391" s="528"/>
      <c r="R391" s="528"/>
      <c r="S391" s="528"/>
      <c r="T391" s="528"/>
      <c r="U391" s="528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525" t="s">
        <v>382</v>
      </c>
      <c r="C392" s="187" t="s">
        <v>391</v>
      </c>
      <c r="D392" s="128">
        <v>5.03</v>
      </c>
      <c r="E392" s="108"/>
      <c r="F392" s="127"/>
      <c r="G392" s="128"/>
      <c r="H392" s="533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528"/>
      <c r="P392" s="528"/>
      <c r="Q392" s="528"/>
      <c r="R392" s="528"/>
      <c r="S392" s="528"/>
      <c r="T392" s="528"/>
      <c r="U392" s="528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525" t="s">
        <v>418</v>
      </c>
      <c r="C393" s="187" t="s">
        <v>364</v>
      </c>
      <c r="D393" s="128">
        <v>5.03</v>
      </c>
      <c r="E393" s="108"/>
      <c r="F393" s="127"/>
      <c r="G393" s="128"/>
      <c r="H393" s="533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528"/>
      <c r="P393" s="528"/>
      <c r="Q393" s="528"/>
      <c r="R393" s="528"/>
      <c r="S393" s="528"/>
      <c r="T393" s="528"/>
      <c r="U393" s="528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525" t="s">
        <v>418</v>
      </c>
      <c r="C394" s="187" t="s">
        <v>365</v>
      </c>
      <c r="D394" s="128">
        <v>5.03</v>
      </c>
      <c r="E394" s="108"/>
      <c r="F394" s="127"/>
      <c r="G394" s="128"/>
      <c r="H394" s="533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528"/>
      <c r="P394" s="528"/>
      <c r="Q394" s="528"/>
      <c r="R394" s="528"/>
      <c r="S394" s="528"/>
      <c r="T394" s="528"/>
      <c r="U394" s="528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525" t="s">
        <v>418</v>
      </c>
      <c r="C395" s="187" t="s">
        <v>366</v>
      </c>
      <c r="D395" s="128">
        <v>5.03</v>
      </c>
      <c r="E395" s="108"/>
      <c r="F395" s="127"/>
      <c r="G395" s="128"/>
      <c r="H395" s="533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528"/>
      <c r="P395" s="528"/>
      <c r="Q395" s="528"/>
      <c r="R395" s="528"/>
      <c r="S395" s="528"/>
      <c r="T395" s="528"/>
      <c r="U395" s="528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525" t="s">
        <v>418</v>
      </c>
      <c r="C396" s="187" t="s">
        <v>367</v>
      </c>
      <c r="D396" s="128">
        <v>5.03</v>
      </c>
      <c r="E396" s="108"/>
      <c r="F396" s="127"/>
      <c r="G396" s="128"/>
      <c r="H396" s="533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528"/>
      <c r="P396" s="528"/>
      <c r="Q396" s="528"/>
      <c r="R396" s="528"/>
      <c r="S396" s="528"/>
      <c r="T396" s="528"/>
      <c r="U396" s="528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28">
        <v>5.03</v>
      </c>
      <c r="E397" s="108"/>
      <c r="F397" s="127"/>
      <c r="G397" s="128"/>
      <c r="H397" s="533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524"/>
      <c r="P397" s="524"/>
      <c r="Q397" s="524"/>
      <c r="R397" s="524"/>
      <c r="S397" s="524"/>
      <c r="T397" s="524"/>
      <c r="U397" s="524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28">
        <v>5.03</v>
      </c>
      <c r="E398" s="108"/>
      <c r="F398" s="127"/>
      <c r="G398" s="128"/>
      <c r="H398" s="533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524"/>
      <c r="P398" s="524"/>
      <c r="Q398" s="524"/>
      <c r="R398" s="524"/>
      <c r="S398" s="524"/>
      <c r="T398" s="524"/>
      <c r="U398" s="524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28">
        <v>5.03</v>
      </c>
      <c r="E399" s="108"/>
      <c r="F399" s="127"/>
      <c r="G399" s="128"/>
      <c r="H399" s="533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524"/>
      <c r="P399" s="524"/>
      <c r="Q399" s="524"/>
      <c r="R399" s="524"/>
      <c r="S399" s="524"/>
      <c r="T399" s="524"/>
      <c r="U399" s="524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28">
        <v>5.03</v>
      </c>
      <c r="E400" s="108"/>
      <c r="F400" s="127"/>
      <c r="G400" s="128"/>
      <c r="H400" s="533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524"/>
      <c r="P400" s="524"/>
      <c r="Q400" s="524"/>
      <c r="R400" s="524"/>
      <c r="S400" s="524"/>
      <c r="T400" s="524"/>
      <c r="U400" s="524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28">
        <v>5.03</v>
      </c>
      <c r="E401" s="108"/>
      <c r="F401" s="127"/>
      <c r="G401" s="128"/>
      <c r="H401" s="533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524"/>
      <c r="P401" s="524"/>
      <c r="Q401" s="524"/>
      <c r="R401" s="524"/>
      <c r="S401" s="524"/>
      <c r="T401" s="524"/>
      <c r="U401" s="524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28">
        <v>5.03</v>
      </c>
      <c r="E402" s="108"/>
      <c r="F402" s="127"/>
      <c r="G402" s="128"/>
      <c r="H402" s="533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524"/>
      <c r="P402" s="524"/>
      <c r="Q402" s="524"/>
      <c r="R402" s="524"/>
      <c r="S402" s="524"/>
      <c r="T402" s="524"/>
      <c r="U402" s="524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28">
        <v>5.03</v>
      </c>
      <c r="E403" s="108"/>
      <c r="F403" s="127"/>
      <c r="G403" s="128"/>
      <c r="H403" s="533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524"/>
      <c r="P403" s="524"/>
      <c r="Q403" s="524"/>
      <c r="R403" s="524"/>
      <c r="S403" s="524"/>
      <c r="T403" s="524"/>
      <c r="U403" s="524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28">
        <v>5.03</v>
      </c>
      <c r="E404" s="108"/>
      <c r="F404" s="127"/>
      <c r="G404" s="128"/>
      <c r="H404" s="533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524"/>
      <c r="P404" s="524"/>
      <c r="Q404" s="524"/>
      <c r="R404" s="524"/>
      <c r="S404" s="524"/>
      <c r="T404" s="524"/>
      <c r="U404" s="524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28">
        <v>5.03</v>
      </c>
      <c r="E405" s="108"/>
      <c r="F405" s="127"/>
      <c r="G405" s="128"/>
      <c r="H405" s="533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524"/>
      <c r="P405" s="524"/>
      <c r="Q405" s="524"/>
      <c r="R405" s="524"/>
      <c r="S405" s="524"/>
      <c r="T405" s="524"/>
      <c r="U405" s="524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28">
        <v>5.03</v>
      </c>
      <c r="E406" s="108"/>
      <c r="F406" s="127"/>
      <c r="G406" s="128"/>
      <c r="H406" s="533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524"/>
      <c r="P406" s="524"/>
      <c r="Q406" s="524"/>
      <c r="R406" s="524"/>
      <c r="S406" s="524"/>
      <c r="T406" s="524"/>
      <c r="U406" s="524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28">
        <v>50.3</v>
      </c>
      <c r="E407" s="108"/>
      <c r="F407" s="127"/>
      <c r="G407" s="128"/>
      <c r="H407" s="533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524"/>
      <c r="P407" s="524"/>
      <c r="Q407" s="524"/>
      <c r="R407" s="524"/>
      <c r="S407" s="524"/>
      <c r="T407" s="524"/>
      <c r="U407" s="524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28">
        <v>5</v>
      </c>
      <c r="E408" s="108"/>
      <c r="F408" s="127"/>
      <c r="G408" s="128"/>
      <c r="H408" s="533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524"/>
      <c r="P408" s="524"/>
      <c r="Q408" s="524"/>
      <c r="R408" s="524"/>
      <c r="S408" s="524"/>
      <c r="T408" s="524"/>
      <c r="U408" s="524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28">
        <v>5.03</v>
      </c>
      <c r="E409" s="108"/>
      <c r="F409" s="127"/>
      <c r="G409" s="128"/>
      <c r="H409" s="533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524"/>
      <c r="P409" s="524"/>
      <c r="Q409" s="524"/>
      <c r="R409" s="524"/>
      <c r="S409" s="524"/>
      <c r="T409" s="524"/>
      <c r="U409" s="524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28">
        <v>5.03</v>
      </c>
      <c r="E410" s="108"/>
      <c r="F410" s="127"/>
      <c r="G410" s="128"/>
      <c r="H410" s="533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524"/>
      <c r="P410" s="524"/>
      <c r="Q410" s="524"/>
      <c r="R410" s="524"/>
      <c r="S410" s="524"/>
      <c r="T410" s="524"/>
      <c r="U410" s="524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28"/>
      <c r="E411" s="108"/>
      <c r="F411" s="127"/>
      <c r="G411" s="128"/>
      <c r="H411" s="533">
        <f t="shared" si="171"/>
        <v>0</v>
      </c>
      <c r="I411" s="129"/>
      <c r="J411" s="130"/>
      <c r="K411" s="131"/>
      <c r="L411" s="129"/>
      <c r="M411" s="109"/>
      <c r="N411" s="130"/>
      <c r="O411" s="524"/>
      <c r="P411" s="524"/>
      <c r="Q411" s="524"/>
      <c r="R411" s="524"/>
      <c r="S411" s="524"/>
      <c r="T411" s="524"/>
      <c r="U411" s="524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28">
        <v>5.0599999999999996</v>
      </c>
      <c r="E412" s="108"/>
      <c r="F412" s="127"/>
      <c r="G412" s="128"/>
      <c r="H412" s="533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524"/>
      <c r="P412" s="524"/>
      <c r="Q412" s="524"/>
      <c r="R412" s="524"/>
      <c r="S412" s="524"/>
      <c r="T412" s="524"/>
      <c r="U412" s="524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28">
        <v>5.0599999999999996</v>
      </c>
      <c r="E413" s="108"/>
      <c r="F413" s="127"/>
      <c r="G413" s="128"/>
      <c r="H413" s="533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524"/>
      <c r="P413" s="524"/>
      <c r="Q413" s="524"/>
      <c r="R413" s="524"/>
      <c r="S413" s="524"/>
      <c r="T413" s="524"/>
      <c r="U413" s="524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28">
        <v>5.0599999999999996</v>
      </c>
      <c r="E414" s="108"/>
      <c r="F414" s="127"/>
      <c r="G414" s="128"/>
      <c r="H414" s="533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524"/>
      <c r="P414" s="524"/>
      <c r="Q414" s="524"/>
      <c r="R414" s="524"/>
      <c r="S414" s="524"/>
      <c r="T414" s="524"/>
      <c r="U414" s="524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28">
        <v>5.0599999999999996</v>
      </c>
      <c r="E415" s="108"/>
      <c r="F415" s="127"/>
      <c r="G415" s="128"/>
      <c r="H415" s="533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524"/>
      <c r="P415" s="524"/>
      <c r="Q415" s="524"/>
      <c r="R415" s="524"/>
      <c r="S415" s="524"/>
      <c r="T415" s="524"/>
      <c r="U415" s="524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28"/>
      <c r="E416" s="108"/>
      <c r="F416" s="127"/>
      <c r="G416" s="128"/>
      <c r="H416" s="533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524"/>
      <c r="P416" s="524"/>
      <c r="Q416" s="524"/>
      <c r="R416" s="524"/>
      <c r="S416" s="524"/>
      <c r="T416" s="524"/>
      <c r="U416" s="524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28"/>
      <c r="E417" s="108"/>
      <c r="F417" s="127"/>
      <c r="G417" s="128"/>
      <c r="H417" s="533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524"/>
      <c r="P417" s="524"/>
      <c r="Q417" s="524"/>
      <c r="R417" s="524"/>
      <c r="S417" s="524"/>
      <c r="T417" s="524"/>
      <c r="U417" s="524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28"/>
      <c r="E418" s="108"/>
      <c r="F418" s="127"/>
      <c r="G418" s="128"/>
      <c r="H418" s="533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524"/>
      <c r="P418" s="524"/>
      <c r="Q418" s="524"/>
      <c r="R418" s="524"/>
      <c r="S418" s="524"/>
      <c r="T418" s="524"/>
      <c r="U418" s="524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28"/>
      <c r="E419" s="108"/>
      <c r="F419" s="127"/>
      <c r="G419" s="128"/>
      <c r="H419" s="533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524"/>
      <c r="P419" s="524"/>
      <c r="Q419" s="524"/>
      <c r="R419" s="524"/>
      <c r="S419" s="524"/>
      <c r="T419" s="524"/>
      <c r="U419" s="524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28"/>
      <c r="E420" s="108"/>
      <c r="F420" s="127"/>
      <c r="G420" s="128"/>
      <c r="H420" s="533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524"/>
      <c r="P420" s="524"/>
      <c r="Q420" s="524"/>
      <c r="R420" s="524"/>
      <c r="S420" s="524"/>
      <c r="T420" s="524"/>
      <c r="U420" s="524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28"/>
      <c r="E421" s="108"/>
      <c r="F421" s="127"/>
      <c r="G421" s="128"/>
      <c r="H421" s="533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524"/>
      <c r="P421" s="524"/>
      <c r="Q421" s="524"/>
      <c r="R421" s="524"/>
      <c r="S421" s="524"/>
      <c r="T421" s="524"/>
      <c r="U421" s="524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28"/>
      <c r="E422" s="108"/>
      <c r="F422" s="127"/>
      <c r="G422" s="128"/>
      <c r="H422" s="533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524"/>
      <c r="P422" s="524"/>
      <c r="Q422" s="524"/>
      <c r="R422" s="524"/>
      <c r="S422" s="524"/>
      <c r="T422" s="524"/>
      <c r="U422" s="524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28"/>
      <c r="E423" s="108"/>
      <c r="F423" s="127"/>
      <c r="G423" s="128"/>
      <c r="H423" s="533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524"/>
      <c r="P423" s="524"/>
      <c r="Q423" s="524"/>
      <c r="R423" s="524"/>
      <c r="S423" s="524"/>
      <c r="T423" s="524"/>
      <c r="U423" s="524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28"/>
      <c r="E424" s="108"/>
      <c r="F424" s="127"/>
      <c r="G424" s="128"/>
      <c r="H424" s="533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524"/>
      <c r="P424" s="524"/>
      <c r="Q424" s="524"/>
      <c r="R424" s="524"/>
      <c r="S424" s="524"/>
      <c r="T424" s="524"/>
      <c r="U424" s="524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28"/>
      <c r="E425" s="108"/>
      <c r="F425" s="127"/>
      <c r="G425" s="128"/>
      <c r="H425" s="533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524"/>
      <c r="P425" s="524"/>
      <c r="Q425" s="524"/>
      <c r="R425" s="524"/>
      <c r="S425" s="524"/>
      <c r="T425" s="524"/>
      <c r="U425" s="524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41" t="s">
        <v>216</v>
      </c>
      <c r="B426" s="641"/>
      <c r="C426" s="531" t="s">
        <v>202</v>
      </c>
      <c r="D426" s="145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customHeight="1">
      <c r="A427" s="299">
        <v>30400012</v>
      </c>
      <c r="B427" s="525" t="s">
        <v>217</v>
      </c>
      <c r="C427" s="126" t="s">
        <v>179</v>
      </c>
      <c r="D427" s="128">
        <v>5.03</v>
      </c>
      <c r="E427" s="108"/>
      <c r="F427" s="127">
        <v>42712</v>
      </c>
      <c r="G427" s="536">
        <v>15</v>
      </c>
      <c r="H427" s="533">
        <f t="shared" ref="H427:H460" si="196">D427*G427</f>
        <v>75.45</v>
      </c>
      <c r="I427" s="129">
        <f>1+1</f>
        <v>2</v>
      </c>
      <c r="J427" s="130">
        <f t="array" ref="J427">IF(ISERROR(G427/I427),"",G427/I427)</f>
        <v>7.5</v>
      </c>
      <c r="K427" s="131">
        <f t="array" ref="K427">IF(ISERROR(G427/L427),"",G427/L427)</f>
        <v>1.7045454545454544</v>
      </c>
      <c r="L427" s="129">
        <v>8.8000000000000007</v>
      </c>
      <c r="M427" s="109">
        <f t="shared" ref="M427:M434" si="197">IF(ISERROR(I427-K427),"",I427-K427)</f>
        <v>0.29545454545454564</v>
      </c>
      <c r="N427" s="130">
        <f t="shared" ref="N427:N434" si="198">SUM(O427:U427)</f>
        <v>0</v>
      </c>
      <c r="O427" s="524"/>
      <c r="P427" s="524"/>
      <c r="Q427" s="524"/>
      <c r="R427" s="524"/>
      <c r="S427" s="524"/>
      <c r="T427" s="524"/>
      <c r="U427" s="524"/>
      <c r="V427" s="132">
        <f t="shared" ref="V427:V433" si="199">SUM(X427:AA427)</f>
        <v>0</v>
      </c>
      <c r="W427" s="133">
        <f t="shared" si="195"/>
        <v>0</v>
      </c>
      <c r="X427" s="132"/>
      <c r="Y427" s="132"/>
      <c r="Z427" s="132"/>
      <c r="AA427" s="132"/>
    </row>
    <row r="428" spans="1:27" ht="20.100000000000001" customHeight="1">
      <c r="A428" s="299">
        <v>30400010</v>
      </c>
      <c r="B428" s="525" t="s">
        <v>217</v>
      </c>
      <c r="C428" s="126" t="s">
        <v>186</v>
      </c>
      <c r="D428" s="128">
        <v>5.03</v>
      </c>
      <c r="E428" s="108"/>
      <c r="F428" s="127">
        <v>42714</v>
      </c>
      <c r="G428" s="536">
        <v>53</v>
      </c>
      <c r="H428" s="533">
        <f t="shared" si="196"/>
        <v>266.59000000000003</v>
      </c>
      <c r="I428" s="129">
        <f>3+3</f>
        <v>6</v>
      </c>
      <c r="J428" s="130">
        <f t="array" ref="J428">IF(ISERROR(G428/I428),"",G428/I428)</f>
        <v>8.8333333333333339</v>
      </c>
      <c r="K428" s="131">
        <f t="array" ref="K428">IF(ISERROR(G428/L428),"",G428/L428)</f>
        <v>6.0227272727272725</v>
      </c>
      <c r="L428" s="129">
        <v>8.8000000000000007</v>
      </c>
      <c r="M428" s="109">
        <f t="shared" si="197"/>
        <v>-2.2727272727272485E-2</v>
      </c>
      <c r="N428" s="130">
        <f t="shared" si="198"/>
        <v>0</v>
      </c>
      <c r="O428" s="524"/>
      <c r="P428" s="524"/>
      <c r="Q428" s="524"/>
      <c r="R428" s="524"/>
      <c r="S428" s="524"/>
      <c r="T428" s="524"/>
      <c r="U428" s="524"/>
      <c r="V428" s="132">
        <f t="shared" si="199"/>
        <v>0</v>
      </c>
      <c r="W428" s="133">
        <f t="shared" si="195"/>
        <v>0</v>
      </c>
      <c r="X428" s="132"/>
      <c r="Y428" s="132"/>
      <c r="Z428" s="132"/>
      <c r="AA428" s="132"/>
    </row>
    <row r="429" spans="1:27" ht="20.100000000000001" customHeight="1">
      <c r="A429" s="299">
        <v>30400011</v>
      </c>
      <c r="B429" s="525" t="s">
        <v>217</v>
      </c>
      <c r="C429" s="126" t="s">
        <v>204</v>
      </c>
      <c r="D429" s="128">
        <v>5.03</v>
      </c>
      <c r="E429" s="108"/>
      <c r="F429" s="127">
        <v>42718</v>
      </c>
      <c r="G429" s="536">
        <v>5</v>
      </c>
      <c r="H429" s="533">
        <f t="shared" si="196"/>
        <v>25.150000000000002</v>
      </c>
      <c r="I429" s="129">
        <f>1+1</f>
        <v>2</v>
      </c>
      <c r="J429" s="130">
        <f t="array" ref="J429">IF(ISERROR(G429/I429),"",G429/I429)</f>
        <v>2.5</v>
      </c>
      <c r="K429" s="131">
        <f t="array" ref="K429">IF(ISERROR(G429/L429),"",G429/L429)</f>
        <v>0.56818181818181812</v>
      </c>
      <c r="L429" s="129">
        <v>8.8000000000000007</v>
      </c>
      <c r="M429" s="109">
        <f t="shared" si="197"/>
        <v>1.4318181818181819</v>
      </c>
      <c r="N429" s="130">
        <f t="shared" si="198"/>
        <v>0</v>
      </c>
      <c r="O429" s="524"/>
      <c r="P429" s="524"/>
      <c r="Q429" s="524"/>
      <c r="R429" s="524"/>
      <c r="S429" s="524"/>
      <c r="T429" s="524"/>
      <c r="U429" s="524"/>
      <c r="V429" s="132">
        <f t="shared" si="199"/>
        <v>0</v>
      </c>
      <c r="W429" s="133">
        <f t="shared" si="195"/>
        <v>0</v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28">
        <v>5.03</v>
      </c>
      <c r="E430" s="108"/>
      <c r="F430" s="127"/>
      <c r="G430" s="536"/>
      <c r="H430" s="533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524"/>
      <c r="P430" s="524"/>
      <c r="Q430" s="524"/>
      <c r="R430" s="524"/>
      <c r="S430" s="524"/>
      <c r="T430" s="524"/>
      <c r="U430" s="524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28">
        <v>5.03</v>
      </c>
      <c r="E431" s="108"/>
      <c r="F431" s="127"/>
      <c r="G431" s="536"/>
      <c r="H431" s="533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7"/>
        <v>0</v>
      </c>
      <c r="N431" s="130">
        <f t="shared" si="198"/>
        <v>0</v>
      </c>
      <c r="O431" s="524"/>
      <c r="P431" s="524"/>
      <c r="Q431" s="524"/>
      <c r="R431" s="524"/>
      <c r="S431" s="524"/>
      <c r="T431" s="524"/>
      <c r="U431" s="524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customHeight="1">
      <c r="A432" s="299">
        <v>30400016</v>
      </c>
      <c r="B432" s="151" t="s">
        <v>513</v>
      </c>
      <c r="C432" s="126" t="s">
        <v>186</v>
      </c>
      <c r="D432" s="128">
        <v>5.03</v>
      </c>
      <c r="E432" s="108"/>
      <c r="F432" s="127">
        <v>42720</v>
      </c>
      <c r="G432" s="536">
        <f>100+23+53</f>
        <v>176</v>
      </c>
      <c r="H432" s="533">
        <f t="shared" si="196"/>
        <v>885.28000000000009</v>
      </c>
      <c r="I432" s="129">
        <f>2+2+4*2+3+3+2</f>
        <v>20</v>
      </c>
      <c r="J432" s="130">
        <f t="array" ref="J432">IF(ISERROR(G432/I432),"",G432/I432)</f>
        <v>8.8000000000000007</v>
      </c>
      <c r="K432" s="131">
        <f t="array" ref="K432">IF(ISERROR(G432/L432),"",G432/L432)</f>
        <v>18.924731182795696</v>
      </c>
      <c r="L432" s="129">
        <v>9.3000000000000007</v>
      </c>
      <c r="M432" s="109">
        <f t="shared" si="197"/>
        <v>1.0752688172043037</v>
      </c>
      <c r="N432" s="130">
        <f t="shared" si="198"/>
        <v>0</v>
      </c>
      <c r="O432" s="524"/>
      <c r="P432" s="524"/>
      <c r="Q432" s="524"/>
      <c r="R432" s="524"/>
      <c r="S432" s="524"/>
      <c r="T432" s="524"/>
      <c r="U432" s="524"/>
      <c r="V432" s="132">
        <f t="shared" si="199"/>
        <v>0</v>
      </c>
      <c r="W432" s="133">
        <f t="shared" si="195"/>
        <v>0</v>
      </c>
      <c r="X432" s="132"/>
      <c r="Y432" s="132"/>
      <c r="Z432" s="132"/>
      <c r="AA432" s="132"/>
    </row>
    <row r="433" spans="1:27" ht="20.100000000000001" customHeight="1">
      <c r="A433" s="299">
        <v>30400017</v>
      </c>
      <c r="B433" s="151" t="s">
        <v>513</v>
      </c>
      <c r="C433" s="126" t="s">
        <v>195</v>
      </c>
      <c r="D433" s="128">
        <v>5.03</v>
      </c>
      <c r="E433" s="108"/>
      <c r="F433" s="127">
        <v>42720</v>
      </c>
      <c r="G433" s="536">
        <f>115+80+73+75+83</f>
        <v>426</v>
      </c>
      <c r="H433" s="533">
        <f t="shared" si="196"/>
        <v>2142.7800000000002</v>
      </c>
      <c r="I433" s="129">
        <f>4*2+6+6+6+3.5*2</f>
        <v>33</v>
      </c>
      <c r="J433" s="130">
        <f t="array" ref="J433">IF(ISERROR(G433/I433),"",G433/I433)</f>
        <v>12.909090909090908</v>
      </c>
      <c r="K433" s="131">
        <f t="array" ref="K433">IF(ISERROR(G433/L433),"",G433/L433)</f>
        <v>45.806451612903224</v>
      </c>
      <c r="L433" s="129">
        <v>9.3000000000000007</v>
      </c>
      <c r="M433" s="109">
        <f t="shared" si="197"/>
        <v>-12.806451612903224</v>
      </c>
      <c r="N433" s="130">
        <f t="shared" si="198"/>
        <v>0</v>
      </c>
      <c r="O433" s="524"/>
      <c r="P433" s="524"/>
      <c r="Q433" s="524"/>
      <c r="R433" s="524"/>
      <c r="S433" s="524"/>
      <c r="T433" s="524"/>
      <c r="U433" s="524"/>
      <c r="V433" s="132">
        <f t="shared" si="199"/>
        <v>0</v>
      </c>
      <c r="W433" s="133">
        <f t="shared" si="195"/>
        <v>0</v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28">
        <v>5.03</v>
      </c>
      <c r="E434" s="108"/>
      <c r="F434" s="127"/>
      <c r="G434" s="128"/>
      <c r="H434" s="533">
        <f t="shared" si="196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524"/>
      <c r="P434" s="524"/>
      <c r="Q434" s="524"/>
      <c r="R434" s="524"/>
      <c r="S434" s="524"/>
      <c r="T434" s="524"/>
      <c r="U434" s="524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28">
        <v>5.03</v>
      </c>
      <c r="E435" s="108"/>
      <c r="F435" s="127"/>
      <c r="G435" s="152"/>
      <c r="H435" s="533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524"/>
      <c r="P435" s="524"/>
      <c r="Q435" s="524"/>
      <c r="R435" s="524"/>
      <c r="S435" s="524"/>
      <c r="T435" s="524"/>
      <c r="U435" s="524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28">
        <v>5.03</v>
      </c>
      <c r="E436" s="108"/>
      <c r="F436" s="127"/>
      <c r="G436" s="128"/>
      <c r="H436" s="533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524"/>
      <c r="P436" s="524"/>
      <c r="Q436" s="524"/>
      <c r="R436" s="524"/>
      <c r="S436" s="524"/>
      <c r="T436" s="524"/>
      <c r="U436" s="524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28">
        <v>5.03</v>
      </c>
      <c r="E437" s="108"/>
      <c r="F437" s="127"/>
      <c r="G437" s="128"/>
      <c r="H437" s="533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524"/>
      <c r="P437" s="524"/>
      <c r="Q437" s="524"/>
      <c r="R437" s="524"/>
      <c r="S437" s="524"/>
      <c r="T437" s="524"/>
      <c r="U437" s="524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28">
        <v>5.03</v>
      </c>
      <c r="E438" s="108"/>
      <c r="F438" s="127"/>
      <c r="G438" s="128"/>
      <c r="H438" s="533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524"/>
      <c r="P438" s="524"/>
      <c r="Q438" s="524"/>
      <c r="R438" s="524"/>
      <c r="S438" s="524"/>
      <c r="T438" s="524"/>
      <c r="U438" s="524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28">
        <v>5.03</v>
      </c>
      <c r="E439" s="108"/>
      <c r="F439" s="127"/>
      <c r="G439" s="128"/>
      <c r="H439" s="533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524"/>
      <c r="P439" s="524"/>
      <c r="Q439" s="524"/>
      <c r="R439" s="524"/>
      <c r="S439" s="524"/>
      <c r="T439" s="524"/>
      <c r="U439" s="524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28">
        <v>5.03</v>
      </c>
      <c r="E440" s="108"/>
      <c r="F440" s="127"/>
      <c r="G440" s="128"/>
      <c r="H440" s="533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524"/>
      <c r="P440" s="524"/>
      <c r="Q440" s="524"/>
      <c r="R440" s="524"/>
      <c r="S440" s="524"/>
      <c r="T440" s="524"/>
      <c r="U440" s="524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28">
        <v>5.03</v>
      </c>
      <c r="E441" s="108"/>
      <c r="F441" s="127"/>
      <c r="G441" s="128"/>
      <c r="H441" s="533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524"/>
      <c r="P441" s="524"/>
      <c r="Q441" s="524"/>
      <c r="R441" s="524"/>
      <c r="S441" s="524"/>
      <c r="T441" s="524"/>
      <c r="U441" s="524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28">
        <v>5.03</v>
      </c>
      <c r="E442" s="108"/>
      <c r="F442" s="127"/>
      <c r="G442" s="128"/>
      <c r="H442" s="533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524"/>
      <c r="P442" s="524"/>
      <c r="Q442" s="524"/>
      <c r="R442" s="524"/>
      <c r="S442" s="524"/>
      <c r="T442" s="524"/>
      <c r="U442" s="524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525" t="s">
        <v>222</v>
      </c>
      <c r="C443" s="126" t="s">
        <v>181</v>
      </c>
      <c r="D443" s="128">
        <v>9.36</v>
      </c>
      <c r="E443" s="108"/>
      <c r="F443" s="127"/>
      <c r="G443" s="128"/>
      <c r="H443" s="533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524"/>
      <c r="P443" s="524"/>
      <c r="Q443" s="524"/>
      <c r="R443" s="524"/>
      <c r="S443" s="524"/>
      <c r="T443" s="524"/>
      <c r="U443" s="524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525" t="s">
        <v>222</v>
      </c>
      <c r="C444" s="126" t="s">
        <v>179</v>
      </c>
      <c r="D444" s="128">
        <v>9.36</v>
      </c>
      <c r="E444" s="108"/>
      <c r="F444" s="127"/>
      <c r="G444" s="128"/>
      <c r="H444" s="533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524"/>
      <c r="P444" s="524"/>
      <c r="Q444" s="524"/>
      <c r="R444" s="524"/>
      <c r="S444" s="524"/>
      <c r="T444" s="524"/>
      <c r="U444" s="524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525" t="s">
        <v>222</v>
      </c>
      <c r="C445" s="126" t="s">
        <v>221</v>
      </c>
      <c r="D445" s="128">
        <v>9.36</v>
      </c>
      <c r="E445" s="108"/>
      <c r="F445" s="127"/>
      <c r="G445" s="128"/>
      <c r="H445" s="533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524"/>
      <c r="P445" s="524"/>
      <c r="Q445" s="524"/>
      <c r="R445" s="524"/>
      <c r="S445" s="524"/>
      <c r="T445" s="524"/>
      <c r="U445" s="524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525" t="s">
        <v>222</v>
      </c>
      <c r="C446" s="126" t="s">
        <v>186</v>
      </c>
      <c r="D446" s="128">
        <v>9.36</v>
      </c>
      <c r="E446" s="108"/>
      <c r="F446" s="127"/>
      <c r="G446" s="128"/>
      <c r="H446" s="533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524"/>
      <c r="P446" s="524"/>
      <c r="Q446" s="524"/>
      <c r="R446" s="524"/>
      <c r="S446" s="524"/>
      <c r="T446" s="524"/>
      <c r="U446" s="524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525" t="s">
        <v>393</v>
      </c>
      <c r="C447" s="187" t="s">
        <v>395</v>
      </c>
      <c r="D447" s="128">
        <v>5</v>
      </c>
      <c r="E447" s="108"/>
      <c r="F447" s="127"/>
      <c r="G447" s="128"/>
      <c r="H447" s="533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524"/>
      <c r="P447" s="524"/>
      <c r="Q447" s="524"/>
      <c r="R447" s="524"/>
      <c r="S447" s="524"/>
      <c r="T447" s="524"/>
      <c r="U447" s="524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525" t="s">
        <v>393</v>
      </c>
      <c r="C448" s="187" t="s">
        <v>402</v>
      </c>
      <c r="D448" s="128">
        <v>5</v>
      </c>
      <c r="E448" s="108"/>
      <c r="F448" s="127"/>
      <c r="G448" s="128"/>
      <c r="H448" s="533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524"/>
      <c r="P448" s="524"/>
      <c r="Q448" s="524"/>
      <c r="R448" s="524"/>
      <c r="S448" s="524"/>
      <c r="T448" s="524"/>
      <c r="U448" s="524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525" t="s">
        <v>404</v>
      </c>
      <c r="C449" s="187" t="s">
        <v>405</v>
      </c>
      <c r="D449" s="128">
        <v>5</v>
      </c>
      <c r="E449" s="108"/>
      <c r="F449" s="127"/>
      <c r="G449" s="128"/>
      <c r="H449" s="533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524"/>
      <c r="P449" s="524"/>
      <c r="Q449" s="524"/>
      <c r="R449" s="524"/>
      <c r="S449" s="524"/>
      <c r="T449" s="524"/>
      <c r="U449" s="524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525" t="s">
        <v>342</v>
      </c>
      <c r="C450" s="187" t="s">
        <v>372</v>
      </c>
      <c r="D450" s="128">
        <v>5</v>
      </c>
      <c r="E450" s="108"/>
      <c r="F450" s="127"/>
      <c r="G450" s="128"/>
      <c r="H450" s="533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524"/>
      <c r="P450" s="524"/>
      <c r="Q450" s="524"/>
      <c r="R450" s="524"/>
      <c r="S450" s="524"/>
      <c r="T450" s="524"/>
      <c r="U450" s="524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525" t="s">
        <v>343</v>
      </c>
      <c r="C451" s="126" t="s">
        <v>345</v>
      </c>
      <c r="D451" s="128">
        <v>5</v>
      </c>
      <c r="E451" s="108"/>
      <c r="F451" s="127"/>
      <c r="G451" s="128"/>
      <c r="H451" s="533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524"/>
      <c r="P451" s="524"/>
      <c r="Q451" s="524"/>
      <c r="R451" s="524"/>
      <c r="S451" s="524"/>
      <c r="T451" s="524"/>
      <c r="U451" s="524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525" t="s">
        <v>343</v>
      </c>
      <c r="C452" s="126" t="s">
        <v>347</v>
      </c>
      <c r="D452" s="128">
        <v>5</v>
      </c>
      <c r="E452" s="108"/>
      <c r="F452" s="127"/>
      <c r="G452" s="128"/>
      <c r="H452" s="533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524"/>
      <c r="P452" s="524"/>
      <c r="Q452" s="524"/>
      <c r="R452" s="524"/>
      <c r="S452" s="524"/>
      <c r="T452" s="524"/>
      <c r="U452" s="524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28">
        <v>5.0599999999999996</v>
      </c>
      <c r="E453" s="108"/>
      <c r="F453" s="127"/>
      <c r="G453" s="128"/>
      <c r="H453" s="533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524"/>
      <c r="P453" s="524"/>
      <c r="Q453" s="524"/>
      <c r="R453" s="524"/>
      <c r="S453" s="524"/>
      <c r="T453" s="524"/>
      <c r="U453" s="524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28">
        <v>5.0599999999999996</v>
      </c>
      <c r="E454" s="108"/>
      <c r="F454" s="127"/>
      <c r="G454" s="128"/>
      <c r="H454" s="533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524"/>
      <c r="P454" s="524"/>
      <c r="Q454" s="524"/>
      <c r="R454" s="524"/>
      <c r="S454" s="524"/>
      <c r="T454" s="524"/>
      <c r="U454" s="524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28"/>
      <c r="E455" s="108"/>
      <c r="F455" s="127"/>
      <c r="G455" s="128"/>
      <c r="H455" s="533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524"/>
      <c r="P455" s="524"/>
      <c r="Q455" s="524"/>
      <c r="R455" s="524"/>
      <c r="S455" s="524"/>
      <c r="T455" s="524"/>
      <c r="U455" s="524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28"/>
      <c r="E456" s="108"/>
      <c r="F456" s="127"/>
      <c r="G456" s="128"/>
      <c r="H456" s="533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524"/>
      <c r="P456" s="524"/>
      <c r="Q456" s="524"/>
      <c r="R456" s="524"/>
      <c r="S456" s="524"/>
      <c r="T456" s="524"/>
      <c r="U456" s="524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28"/>
      <c r="E457" s="108"/>
      <c r="F457" s="127"/>
      <c r="G457" s="128"/>
      <c r="H457" s="533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524"/>
      <c r="P457" s="524"/>
      <c r="Q457" s="524"/>
      <c r="R457" s="524"/>
      <c r="S457" s="524"/>
      <c r="T457" s="524"/>
      <c r="U457" s="524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28">
        <v>5.07</v>
      </c>
      <c r="E458" s="108"/>
      <c r="F458" s="127"/>
      <c r="G458" s="128"/>
      <c r="H458" s="533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524"/>
      <c r="P458" s="524"/>
      <c r="Q458" s="524"/>
      <c r="R458" s="524"/>
      <c r="S458" s="524"/>
      <c r="T458" s="524"/>
      <c r="U458" s="524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28">
        <v>5.07</v>
      </c>
      <c r="E459" s="108"/>
      <c r="F459" s="127"/>
      <c r="G459" s="128"/>
      <c r="H459" s="533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524"/>
      <c r="P459" s="524"/>
      <c r="Q459" s="524"/>
      <c r="R459" s="524"/>
      <c r="S459" s="524"/>
      <c r="T459" s="524"/>
      <c r="U459" s="524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28">
        <v>5.0599999999999996</v>
      </c>
      <c r="E460" s="108"/>
      <c r="F460" s="153"/>
      <c r="G460" s="128"/>
      <c r="H460" s="533">
        <f t="shared" si="196"/>
        <v>0</v>
      </c>
      <c r="I460" s="129"/>
      <c r="J460" s="130" t="str">
        <f t="array" ref="J460">IF(ISERROR(G460/I460),"",G460/I460)</f>
        <v/>
      </c>
      <c r="K460" s="533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524"/>
      <c r="P460" s="524"/>
      <c r="Q460" s="524"/>
      <c r="R460" s="524"/>
      <c r="S460" s="524"/>
      <c r="T460" s="524"/>
      <c r="U460" s="524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customHeight="1">
      <c r="A461" s="630" t="s">
        <v>224</v>
      </c>
      <c r="B461" s="631"/>
      <c r="C461" s="531" t="s">
        <v>202</v>
      </c>
      <c r="D461" s="145"/>
      <c r="E461" s="143"/>
      <c r="F461" s="144"/>
      <c r="G461" s="145">
        <f>SUM(G427:G460)</f>
        <v>675</v>
      </c>
      <c r="H461" s="146">
        <f>SUM(H427:H460)</f>
        <v>3395.25</v>
      </c>
      <c r="I461" s="146">
        <f>SUM(I427:I460)</f>
        <v>63</v>
      </c>
      <c r="J461" s="130">
        <f t="array" ref="J461">IF(ISERROR(G461/I461),"",G461/I461)</f>
        <v>10.714285714285714</v>
      </c>
      <c r="K461" s="146">
        <f>SUM(K427:K460)</f>
        <v>73.026637341153474</v>
      </c>
      <c r="L461" s="147"/>
      <c r="M461" s="150">
        <f t="shared" ref="M461:V461" si="210">SUM(M427:M460)</f>
        <v>-10.026637341153465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>
        <f t="shared" si="209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28">
        <v>5.03</v>
      </c>
      <c r="E462" s="108"/>
      <c r="F462" s="127"/>
      <c r="G462" s="128"/>
      <c r="H462" s="533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524"/>
      <c r="P462" s="524"/>
      <c r="Q462" s="524"/>
      <c r="R462" s="524"/>
      <c r="S462" s="524"/>
      <c r="T462" s="524"/>
      <c r="U462" s="524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28">
        <v>5.03</v>
      </c>
      <c r="E463" s="108"/>
      <c r="F463" s="127"/>
      <c r="G463" s="128"/>
      <c r="H463" s="533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524"/>
      <c r="P463" s="524"/>
      <c r="Q463" s="524"/>
      <c r="R463" s="524"/>
      <c r="S463" s="524"/>
      <c r="T463" s="524"/>
      <c r="U463" s="524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28">
        <v>5.04</v>
      </c>
      <c r="E464" s="108"/>
      <c r="F464" s="127"/>
      <c r="G464" s="128"/>
      <c r="H464" s="533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524"/>
      <c r="P464" s="524"/>
      <c r="Q464" s="524"/>
      <c r="R464" s="524"/>
      <c r="S464" s="524"/>
      <c r="T464" s="524"/>
      <c r="U464" s="524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28">
        <v>5.03</v>
      </c>
      <c r="E465" s="108"/>
      <c r="F465" s="127"/>
      <c r="G465" s="128"/>
      <c r="H465" s="533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524"/>
      <c r="P465" s="524"/>
      <c r="Q465" s="524"/>
      <c r="R465" s="524"/>
      <c r="S465" s="524"/>
      <c r="T465" s="524"/>
      <c r="U465" s="524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529" t="s">
        <v>203</v>
      </c>
      <c r="D466" s="128">
        <v>5.03</v>
      </c>
      <c r="E466" s="108"/>
      <c r="F466" s="127"/>
      <c r="G466" s="128"/>
      <c r="H466" s="533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524"/>
      <c r="P466" s="524"/>
      <c r="Q466" s="524"/>
      <c r="R466" s="524"/>
      <c r="S466" s="524"/>
      <c r="T466" s="524"/>
      <c r="U466" s="524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28">
        <v>5.03</v>
      </c>
      <c r="E467" s="108"/>
      <c r="F467" s="127"/>
      <c r="G467" s="128"/>
      <c r="H467" s="533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524"/>
      <c r="P467" s="524"/>
      <c r="Q467" s="524"/>
      <c r="R467" s="524"/>
      <c r="S467" s="524"/>
      <c r="T467" s="524"/>
      <c r="U467" s="524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28">
        <v>5.03</v>
      </c>
      <c r="E468" s="108"/>
      <c r="F468" s="127"/>
      <c r="G468" s="128"/>
      <c r="H468" s="533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524"/>
      <c r="P468" s="524"/>
      <c r="Q468" s="524"/>
      <c r="R468" s="524"/>
      <c r="S468" s="524"/>
      <c r="T468" s="524"/>
      <c r="U468" s="524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529" t="s">
        <v>228</v>
      </c>
      <c r="D469" s="128">
        <v>5.03</v>
      </c>
      <c r="E469" s="108"/>
      <c r="F469" s="127"/>
      <c r="G469" s="128"/>
      <c r="H469" s="533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524"/>
      <c r="P469" s="524"/>
      <c r="Q469" s="524"/>
      <c r="R469" s="524"/>
      <c r="S469" s="524"/>
      <c r="T469" s="524"/>
      <c r="U469" s="524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529" t="s">
        <v>212</v>
      </c>
      <c r="D470" s="128">
        <v>5.03</v>
      </c>
      <c r="E470" s="108"/>
      <c r="F470" s="127"/>
      <c r="G470" s="128"/>
      <c r="H470" s="533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524"/>
      <c r="P470" s="524"/>
      <c r="Q470" s="524"/>
      <c r="R470" s="524"/>
      <c r="S470" s="524"/>
      <c r="T470" s="524"/>
      <c r="U470" s="524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529" t="s">
        <v>203</v>
      </c>
      <c r="D471" s="128">
        <v>5.03</v>
      </c>
      <c r="E471" s="108"/>
      <c r="F471" s="127"/>
      <c r="G471" s="128"/>
      <c r="H471" s="533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524"/>
      <c r="P471" s="524"/>
      <c r="Q471" s="524"/>
      <c r="R471" s="524"/>
      <c r="S471" s="524"/>
      <c r="T471" s="524"/>
      <c r="U471" s="524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529" t="s">
        <v>186</v>
      </c>
      <c r="D472" s="128">
        <v>5.03</v>
      </c>
      <c r="E472" s="108"/>
      <c r="F472" s="127"/>
      <c r="G472" s="128"/>
      <c r="H472" s="533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524"/>
      <c r="P472" s="524"/>
      <c r="Q472" s="524"/>
      <c r="R472" s="524"/>
      <c r="S472" s="524"/>
      <c r="T472" s="524"/>
      <c r="U472" s="524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529" t="s">
        <v>228</v>
      </c>
      <c r="D473" s="128">
        <v>5.03</v>
      </c>
      <c r="E473" s="108"/>
      <c r="F473" s="127"/>
      <c r="G473" s="128"/>
      <c r="H473" s="533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524"/>
      <c r="P473" s="524"/>
      <c r="Q473" s="524"/>
      <c r="R473" s="524"/>
      <c r="S473" s="524"/>
      <c r="T473" s="524"/>
      <c r="U473" s="524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529" t="s">
        <v>199</v>
      </c>
      <c r="D474" s="128">
        <v>5.03</v>
      </c>
      <c r="E474" s="108"/>
      <c r="F474" s="127"/>
      <c r="G474" s="128"/>
      <c r="H474" s="533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524"/>
      <c r="P474" s="524"/>
      <c r="Q474" s="524"/>
      <c r="R474" s="524"/>
      <c r="S474" s="524"/>
      <c r="T474" s="524"/>
      <c r="U474" s="524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28">
        <v>5.0599999999999996</v>
      </c>
      <c r="E475" s="108"/>
      <c r="F475" s="127"/>
      <c r="G475" s="128"/>
      <c r="H475" s="533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524"/>
      <c r="P475" s="524"/>
      <c r="Q475" s="524"/>
      <c r="R475" s="524"/>
      <c r="S475" s="524"/>
      <c r="T475" s="524"/>
      <c r="U475" s="524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28">
        <v>5.0599999999999996</v>
      </c>
      <c r="E476" s="108"/>
      <c r="F476" s="127"/>
      <c r="G476" s="128"/>
      <c r="H476" s="533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524"/>
      <c r="P476" s="524"/>
      <c r="Q476" s="524"/>
      <c r="R476" s="524"/>
      <c r="S476" s="524"/>
      <c r="T476" s="524"/>
      <c r="U476" s="524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630" t="s">
        <v>231</v>
      </c>
      <c r="B477" s="631"/>
      <c r="C477" s="531" t="s">
        <v>202</v>
      </c>
      <c r="D477" s="145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28">
        <v>5.04</v>
      </c>
      <c r="E478" s="108"/>
      <c r="F478" s="127"/>
      <c r="G478" s="128"/>
      <c r="H478" s="533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524"/>
      <c r="P478" s="524"/>
      <c r="Q478" s="524"/>
      <c r="R478" s="524"/>
      <c r="S478" s="524"/>
      <c r="T478" s="524"/>
      <c r="U478" s="524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28">
        <v>5.04</v>
      </c>
      <c r="E479" s="108"/>
      <c r="F479" s="127"/>
      <c r="G479" s="128"/>
      <c r="H479" s="533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524"/>
      <c r="P479" s="524"/>
      <c r="Q479" s="524"/>
      <c r="R479" s="524"/>
      <c r="S479" s="524"/>
      <c r="T479" s="524"/>
      <c r="U479" s="524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28">
        <v>5.04</v>
      </c>
      <c r="E480" s="108"/>
      <c r="F480" s="127"/>
      <c r="G480" s="128"/>
      <c r="H480" s="533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524"/>
      <c r="P480" s="524"/>
      <c r="Q480" s="524"/>
      <c r="R480" s="524"/>
      <c r="S480" s="524"/>
      <c r="T480" s="524"/>
      <c r="U480" s="524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28">
        <v>5.04</v>
      </c>
      <c r="E481" s="108"/>
      <c r="F481" s="127"/>
      <c r="G481" s="128"/>
      <c r="H481" s="533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524"/>
      <c r="P481" s="524"/>
      <c r="Q481" s="524"/>
      <c r="R481" s="524"/>
      <c r="S481" s="524"/>
      <c r="T481" s="524"/>
      <c r="U481" s="524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28">
        <v>5.04</v>
      </c>
      <c r="E482" s="108"/>
      <c r="F482" s="127"/>
      <c r="G482" s="128"/>
      <c r="H482" s="533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524"/>
      <c r="P482" s="524"/>
      <c r="Q482" s="524"/>
      <c r="R482" s="524"/>
      <c r="S482" s="524"/>
      <c r="T482" s="524"/>
      <c r="U482" s="524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28">
        <v>5.04</v>
      </c>
      <c r="E483" s="108"/>
      <c r="F483" s="127"/>
      <c r="G483" s="128"/>
      <c r="H483" s="533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524"/>
      <c r="P483" s="524"/>
      <c r="Q483" s="524"/>
      <c r="R483" s="524"/>
      <c r="S483" s="524"/>
      <c r="T483" s="524"/>
      <c r="U483" s="524"/>
      <c r="V483" s="132"/>
      <c r="W483" s="133"/>
      <c r="X483" s="132"/>
      <c r="Y483" s="132"/>
      <c r="Z483" s="132"/>
      <c r="AA483" s="132"/>
    </row>
    <row r="484" spans="1:27" ht="20.100000000000001" hidden="1" customHeight="1">
      <c r="A484" s="300">
        <v>30400020</v>
      </c>
      <c r="B484" s="134" t="s">
        <v>439</v>
      </c>
      <c r="C484" s="187" t="s">
        <v>74</v>
      </c>
      <c r="D484" s="128">
        <v>5.04</v>
      </c>
      <c r="E484" s="108"/>
      <c r="F484" s="127"/>
      <c r="G484" s="128"/>
      <c r="H484" s="533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524"/>
      <c r="P484" s="524"/>
      <c r="Q484" s="524"/>
      <c r="R484" s="524"/>
      <c r="S484" s="524"/>
      <c r="T484" s="524"/>
      <c r="U484" s="524"/>
      <c r="V484" s="132"/>
      <c r="W484" s="133"/>
      <c r="X484" s="132"/>
      <c r="Y484" s="132"/>
      <c r="Z484" s="132"/>
      <c r="AA484" s="132"/>
    </row>
    <row r="485" spans="1:27" ht="20.100000000000001" hidden="1" customHeight="1">
      <c r="A485" s="300">
        <v>30400021</v>
      </c>
      <c r="B485" s="134" t="s">
        <v>439</v>
      </c>
      <c r="C485" s="187" t="s">
        <v>53</v>
      </c>
      <c r="D485" s="128">
        <v>5.04</v>
      </c>
      <c r="E485" s="108"/>
      <c r="F485" s="127"/>
      <c r="G485" s="128"/>
      <c r="H485" s="533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524"/>
      <c r="P485" s="524"/>
      <c r="Q485" s="524"/>
      <c r="R485" s="524"/>
      <c r="S485" s="524"/>
      <c r="T485" s="524"/>
      <c r="U485" s="524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28">
        <v>5.04</v>
      </c>
      <c r="E486" s="108"/>
      <c r="F486" s="127"/>
      <c r="G486" s="128"/>
      <c r="H486" s="533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524"/>
      <c r="P486" s="524"/>
      <c r="Q486" s="524"/>
      <c r="R486" s="524"/>
      <c r="S486" s="524"/>
      <c r="T486" s="524"/>
      <c r="U486" s="524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30" t="s">
        <v>234</v>
      </c>
      <c r="B487" s="631"/>
      <c r="C487" s="531" t="s">
        <v>202</v>
      </c>
      <c r="D487" s="145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523"/>
      <c r="D488" s="128">
        <v>3.65</v>
      </c>
      <c r="E488" s="108"/>
      <c r="F488" s="153"/>
      <c r="G488" s="128"/>
      <c r="H488" s="533">
        <f t="shared" ref="H488:H502" si="223">D488*G488</f>
        <v>0</v>
      </c>
      <c r="I488" s="129"/>
      <c r="J488" s="130" t="str">
        <f t="array" ref="J488">IF(ISERROR(G488/I488),"",G488/I488)</f>
        <v/>
      </c>
      <c r="K488" s="533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524"/>
      <c r="P488" s="524"/>
      <c r="Q488" s="524"/>
      <c r="R488" s="524"/>
      <c r="S488" s="524"/>
      <c r="T488" s="524"/>
      <c r="U488" s="524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523"/>
      <c r="D489" s="128">
        <v>6.58</v>
      </c>
      <c r="E489" s="108"/>
      <c r="F489" s="127"/>
      <c r="G489" s="128"/>
      <c r="H489" s="533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524"/>
      <c r="P489" s="524"/>
      <c r="Q489" s="524"/>
      <c r="R489" s="524"/>
      <c r="S489" s="524"/>
      <c r="T489" s="524"/>
      <c r="U489" s="524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523"/>
      <c r="D490" s="128">
        <v>7.8</v>
      </c>
      <c r="E490" s="108"/>
      <c r="F490" s="127"/>
      <c r="G490" s="128"/>
      <c r="H490" s="533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524"/>
      <c r="P490" s="524"/>
      <c r="Q490" s="524"/>
      <c r="R490" s="524"/>
      <c r="S490" s="524"/>
      <c r="T490" s="524"/>
      <c r="U490" s="524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523"/>
      <c r="D491" s="128">
        <v>4.4000000000000004</v>
      </c>
      <c r="E491" s="108"/>
      <c r="F491" s="127"/>
      <c r="G491" s="128"/>
      <c r="H491" s="533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524"/>
      <c r="P491" s="524"/>
      <c r="Q491" s="524"/>
      <c r="R491" s="524"/>
      <c r="S491" s="524"/>
      <c r="T491" s="524"/>
      <c r="U491" s="524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28"/>
      <c r="E492" s="108"/>
      <c r="F492" s="127"/>
      <c r="G492" s="128"/>
      <c r="H492" s="533">
        <f t="shared" si="223"/>
        <v>0</v>
      </c>
      <c r="I492" s="129"/>
      <c r="J492" s="130"/>
      <c r="K492" s="131"/>
      <c r="L492" s="129"/>
      <c r="M492" s="109"/>
      <c r="N492" s="130"/>
      <c r="O492" s="524"/>
      <c r="P492" s="524"/>
      <c r="Q492" s="524"/>
      <c r="R492" s="524"/>
      <c r="S492" s="524"/>
      <c r="T492" s="524"/>
      <c r="U492" s="524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523"/>
      <c r="D493" s="128"/>
      <c r="E493" s="108"/>
      <c r="F493" s="127"/>
      <c r="G493" s="128"/>
      <c r="H493" s="533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524"/>
      <c r="P493" s="524"/>
      <c r="Q493" s="524"/>
      <c r="R493" s="524"/>
      <c r="S493" s="524"/>
      <c r="T493" s="524"/>
      <c r="U493" s="524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523" t="s">
        <v>239</v>
      </c>
      <c r="C494" s="523" t="s">
        <v>179</v>
      </c>
      <c r="D494" s="128">
        <v>6.04</v>
      </c>
      <c r="E494" s="108"/>
      <c r="F494" s="127"/>
      <c r="G494" s="128"/>
      <c r="H494" s="533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524"/>
      <c r="P494" s="524"/>
      <c r="Q494" s="524"/>
      <c r="R494" s="524"/>
      <c r="S494" s="524"/>
      <c r="T494" s="524"/>
      <c r="U494" s="524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523" t="s">
        <v>239</v>
      </c>
      <c r="C495" s="523" t="s">
        <v>186</v>
      </c>
      <c r="D495" s="128">
        <v>6.04</v>
      </c>
      <c r="E495" s="108"/>
      <c r="F495" s="127"/>
      <c r="G495" s="128"/>
      <c r="H495" s="533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524"/>
      <c r="P495" s="524"/>
      <c r="Q495" s="524"/>
      <c r="R495" s="524"/>
      <c r="S495" s="524"/>
      <c r="T495" s="524"/>
      <c r="U495" s="524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523" t="s">
        <v>443</v>
      </c>
      <c r="C496" s="523" t="s">
        <v>179</v>
      </c>
      <c r="D496" s="128"/>
      <c r="E496" s="108"/>
      <c r="F496" s="127"/>
      <c r="G496" s="128"/>
      <c r="H496" s="533">
        <f t="shared" si="223"/>
        <v>0</v>
      </c>
      <c r="I496" s="129"/>
      <c r="J496" s="130"/>
      <c r="K496" s="131"/>
      <c r="L496" s="129"/>
      <c r="M496" s="109"/>
      <c r="N496" s="130"/>
      <c r="O496" s="524"/>
      <c r="P496" s="524"/>
      <c r="Q496" s="524"/>
      <c r="R496" s="524"/>
      <c r="S496" s="524"/>
      <c r="T496" s="524"/>
      <c r="U496" s="524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523" t="s">
        <v>443</v>
      </c>
      <c r="C497" s="523" t="s">
        <v>186</v>
      </c>
      <c r="D497" s="128"/>
      <c r="E497" s="108"/>
      <c r="F497" s="127"/>
      <c r="G497" s="128"/>
      <c r="H497" s="533">
        <f t="shared" si="223"/>
        <v>0</v>
      </c>
      <c r="I497" s="129"/>
      <c r="J497" s="130"/>
      <c r="K497" s="131"/>
      <c r="L497" s="129"/>
      <c r="M497" s="109"/>
      <c r="N497" s="130"/>
      <c r="O497" s="524"/>
      <c r="P497" s="524"/>
      <c r="Q497" s="524"/>
      <c r="R497" s="524"/>
      <c r="S497" s="524"/>
      <c r="T497" s="524"/>
      <c r="U497" s="524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525" t="s">
        <v>240</v>
      </c>
      <c r="C498" s="126"/>
      <c r="D498" s="128">
        <v>7.3</v>
      </c>
      <c r="E498" s="108"/>
      <c r="F498" s="127"/>
      <c r="G498" s="128"/>
      <c r="H498" s="533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524"/>
      <c r="P498" s="524"/>
      <c r="Q498" s="524"/>
      <c r="R498" s="524"/>
      <c r="S498" s="524"/>
      <c r="T498" s="524"/>
      <c r="U498" s="524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525" t="s">
        <v>241</v>
      </c>
      <c r="C499" s="126"/>
      <c r="D499" s="128">
        <f>78*120/1000</f>
        <v>9.36</v>
      </c>
      <c r="E499" s="108"/>
      <c r="F499" s="127"/>
      <c r="G499" s="128"/>
      <c r="H499" s="533">
        <f t="shared" si="223"/>
        <v>0</v>
      </c>
      <c r="I499" s="129"/>
      <c r="J499" s="130"/>
      <c r="K499" s="131"/>
      <c r="L499" s="129"/>
      <c r="M499" s="109"/>
      <c r="N499" s="130"/>
      <c r="O499" s="524"/>
      <c r="P499" s="524"/>
      <c r="Q499" s="524"/>
      <c r="R499" s="524"/>
      <c r="S499" s="524"/>
      <c r="T499" s="524"/>
      <c r="U499" s="524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525" t="s">
        <v>242</v>
      </c>
      <c r="C500" s="126"/>
      <c r="D500" s="128">
        <v>4.5</v>
      </c>
      <c r="E500" s="108"/>
      <c r="F500" s="127"/>
      <c r="G500" s="128"/>
      <c r="H500" s="533">
        <f t="shared" si="223"/>
        <v>0</v>
      </c>
      <c r="I500" s="129"/>
      <c r="J500" s="130"/>
      <c r="K500" s="131"/>
      <c r="L500" s="129"/>
      <c r="M500" s="109"/>
      <c r="N500" s="130"/>
      <c r="O500" s="524"/>
      <c r="P500" s="524"/>
      <c r="Q500" s="524"/>
      <c r="R500" s="524"/>
      <c r="S500" s="524"/>
      <c r="T500" s="524"/>
      <c r="U500" s="524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525" t="s">
        <v>243</v>
      </c>
      <c r="C501" s="126"/>
      <c r="D501" s="128">
        <v>4.5</v>
      </c>
      <c r="E501" s="108"/>
      <c r="F501" s="127"/>
      <c r="G501" s="128"/>
      <c r="H501" s="533">
        <f t="shared" si="223"/>
        <v>0</v>
      </c>
      <c r="I501" s="129"/>
      <c r="J501" s="130"/>
      <c r="K501" s="131"/>
      <c r="L501" s="129"/>
      <c r="M501" s="109"/>
      <c r="N501" s="130"/>
      <c r="O501" s="524"/>
      <c r="P501" s="524"/>
      <c r="Q501" s="524"/>
      <c r="R501" s="524"/>
      <c r="S501" s="524"/>
      <c r="T501" s="524"/>
      <c r="U501" s="524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525"/>
      <c r="C502" s="126"/>
      <c r="D502" s="128"/>
      <c r="E502" s="108"/>
      <c r="F502" s="127"/>
      <c r="G502" s="128"/>
      <c r="H502" s="533">
        <f t="shared" si="223"/>
        <v>0</v>
      </c>
      <c r="I502" s="129"/>
      <c r="J502" s="130"/>
      <c r="K502" s="131"/>
      <c r="L502" s="129"/>
      <c r="M502" s="109"/>
      <c r="N502" s="130"/>
      <c r="O502" s="524"/>
      <c r="P502" s="524"/>
      <c r="Q502" s="524"/>
      <c r="R502" s="524"/>
      <c r="S502" s="524"/>
      <c r="T502" s="524"/>
      <c r="U502" s="524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30" t="s">
        <v>244</v>
      </c>
      <c r="B503" s="631"/>
      <c r="C503" s="531" t="s">
        <v>202</v>
      </c>
      <c r="D503" s="145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632" t="s">
        <v>246</v>
      </c>
      <c r="B504" s="633"/>
      <c r="C504" s="633"/>
      <c r="D504" s="633"/>
      <c r="E504" s="633"/>
      <c r="F504" s="634"/>
      <c r="G504" s="154">
        <f>SUM(G368,G426,G461,G477,G487,G503)</f>
        <v>675</v>
      </c>
      <c r="H504" s="154">
        <f>SUM(H368,H426,H461,H477,H487,H503)</f>
        <v>3395.25</v>
      </c>
      <c r="I504" s="154">
        <f>SUM(I368,I426,I461,I477,I487,I503)</f>
        <v>63</v>
      </c>
      <c r="J504" s="155">
        <f t="array" ref="J504">IF(ISERROR(G504/I504),"",G504/I504)</f>
        <v>10.714285714285714</v>
      </c>
      <c r="K504" s="154">
        <f>SUM(K368,K426,K461,K477,K487,K503)</f>
        <v>73.026637341153474</v>
      </c>
      <c r="L504" s="155">
        <f>IF(ISERROR(G504/K504),"",G504/K504)</f>
        <v>9.2432025432945704</v>
      </c>
      <c r="M504" s="154">
        <f t="shared" ref="M504:V504" si="236">SUM(M368,M426,M461,M477,M487,M503)</f>
        <v>-10.026637341153465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>
        <f t="shared" ref="W504" si="237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35" t="s">
        <v>476</v>
      </c>
      <c r="B505" s="530" t="s">
        <v>247</v>
      </c>
      <c r="C505" s="638" t="s">
        <v>248</v>
      </c>
      <c r="D505" s="639"/>
      <c r="E505" s="640" t="s">
        <v>249</v>
      </c>
      <c r="F505" s="640"/>
      <c r="G505" s="643" t="s">
        <v>250</v>
      </c>
      <c r="H505" s="643"/>
      <c r="I505" s="640" t="s">
        <v>251</v>
      </c>
      <c r="J505" s="640"/>
      <c r="K505" s="640" t="s">
        <v>252</v>
      </c>
      <c r="L505" s="640"/>
      <c r="M505" s="640" t="s">
        <v>253</v>
      </c>
      <c r="N505" s="640"/>
      <c r="O505" s="640" t="s">
        <v>254</v>
      </c>
      <c r="P505" s="643" t="s">
        <v>255</v>
      </c>
      <c r="Q505" s="643"/>
      <c r="R505" s="643" t="s">
        <v>252</v>
      </c>
      <c r="S505" s="643"/>
      <c r="T505" s="643" t="s">
        <v>256</v>
      </c>
      <c r="U505" s="643"/>
      <c r="V505" s="643" t="s">
        <v>257</v>
      </c>
      <c r="W505" s="643"/>
      <c r="X505" s="643" t="s">
        <v>252</v>
      </c>
      <c r="Y505" s="643"/>
      <c r="Z505" s="643" t="s">
        <v>256</v>
      </c>
      <c r="AA505" s="643"/>
    </row>
    <row r="506" spans="1:27" ht="20.100000000000001" customHeight="1">
      <c r="A506" s="636"/>
      <c r="B506" s="530" t="s">
        <v>258</v>
      </c>
      <c r="C506" s="638">
        <v>0</v>
      </c>
      <c r="D506" s="639"/>
      <c r="E506" s="642">
        <f>C506*11</f>
        <v>0</v>
      </c>
      <c r="F506" s="642"/>
      <c r="G506" s="643">
        <v>0</v>
      </c>
      <c r="H506" s="643"/>
      <c r="I506" s="642">
        <f>G506*11</f>
        <v>0</v>
      </c>
      <c r="J506" s="642"/>
      <c r="K506" s="642">
        <f>E506-I506</f>
        <v>0</v>
      </c>
      <c r="L506" s="642"/>
      <c r="M506" s="644" t="str">
        <f>IF(ISERROR(K506/E506),"",K506/E506)</f>
        <v/>
      </c>
      <c r="N506" s="644"/>
      <c r="O506" s="640"/>
      <c r="P506" s="643" t="s">
        <v>201</v>
      </c>
      <c r="Q506" s="643"/>
      <c r="R506" s="645">
        <f>SUM(O368:U368)</f>
        <v>0</v>
      </c>
      <c r="S506" s="645"/>
      <c r="T506" s="646" t="str">
        <f t="array" ref="T506">IF(ISERROR(R506/R513),"",R506/R513)</f>
        <v/>
      </c>
      <c r="U506" s="646"/>
      <c r="V506" s="643" t="s">
        <v>259</v>
      </c>
      <c r="W506" s="643"/>
      <c r="X506" s="647">
        <f>SUM(O368,O426,O461,O477,O487,O503)</f>
        <v>0</v>
      </c>
      <c r="Y506" s="647"/>
      <c r="Z506" s="646" t="str">
        <f t="array" ref="Z506">IF(ISERROR(X506/X513),"",X506/X513)</f>
        <v/>
      </c>
      <c r="AA506" s="646"/>
    </row>
    <row r="507" spans="1:27" ht="20.100000000000001" customHeight="1">
      <c r="A507" s="636"/>
      <c r="B507" s="530" t="s">
        <v>260</v>
      </c>
      <c r="C507" s="638">
        <v>0</v>
      </c>
      <c r="D507" s="639"/>
      <c r="E507" s="642">
        <f>C507*11</f>
        <v>0</v>
      </c>
      <c r="F507" s="642"/>
      <c r="G507" s="643">
        <v>0</v>
      </c>
      <c r="H507" s="643"/>
      <c r="I507" s="642">
        <f>G507*11</f>
        <v>0</v>
      </c>
      <c r="J507" s="642"/>
      <c r="K507" s="642">
        <f>E507-I507</f>
        <v>0</v>
      </c>
      <c r="L507" s="642"/>
      <c r="M507" s="644" t="str">
        <f>IF(ISERROR(K507/E507),"",K507/E507)</f>
        <v/>
      </c>
      <c r="N507" s="644"/>
      <c r="O507" s="640"/>
      <c r="P507" s="643" t="s">
        <v>216</v>
      </c>
      <c r="Q507" s="643"/>
      <c r="R507" s="645">
        <f>SUM(O426:U426)</f>
        <v>0</v>
      </c>
      <c r="S507" s="645"/>
      <c r="T507" s="646" t="str">
        <f>IF(ISERROR(R507/R513),"",R507/R513)</f>
        <v/>
      </c>
      <c r="U507" s="646"/>
      <c r="V507" s="643" t="s">
        <v>261</v>
      </c>
      <c r="W507" s="643"/>
      <c r="X507" s="647">
        <f>SUM(O369,O427,O462,O478,O488,O504)</f>
        <v>0</v>
      </c>
      <c r="Y507" s="647"/>
      <c r="Z507" s="646" t="str">
        <f>IF(ISERROR(X507/X513),"",X507/X513)</f>
        <v/>
      </c>
      <c r="AA507" s="646"/>
    </row>
    <row r="508" spans="1:27" ht="20.100000000000001" customHeight="1">
      <c r="A508" s="636"/>
      <c r="B508" s="530" t="s">
        <v>262</v>
      </c>
      <c r="C508" s="638">
        <v>0</v>
      </c>
      <c r="D508" s="639"/>
      <c r="E508" s="642">
        <f>C508*11</f>
        <v>0</v>
      </c>
      <c r="F508" s="642"/>
      <c r="G508" s="643">
        <v>0</v>
      </c>
      <c r="H508" s="643"/>
      <c r="I508" s="642">
        <f>G508*11</f>
        <v>0</v>
      </c>
      <c r="J508" s="642"/>
      <c r="K508" s="642">
        <f>E508-I508</f>
        <v>0</v>
      </c>
      <c r="L508" s="642"/>
      <c r="M508" s="644" t="str">
        <f>IF(ISERROR(K508/E508),"",K508/E508)</f>
        <v/>
      </c>
      <c r="N508" s="644"/>
      <c r="O508" s="640"/>
      <c r="P508" s="643" t="s">
        <v>224</v>
      </c>
      <c r="Q508" s="643"/>
      <c r="R508" s="645">
        <f>SUM(O461:U461)</f>
        <v>0</v>
      </c>
      <c r="S508" s="645"/>
      <c r="T508" s="646" t="str">
        <f>IF(ISERROR(R508/R513),"",R508/R513)</f>
        <v/>
      </c>
      <c r="U508" s="646"/>
      <c r="V508" s="643" t="s">
        <v>263</v>
      </c>
      <c r="W508" s="643"/>
      <c r="X508" s="647">
        <f>SUM(O371,O428,O463,O479,O489,O505)</f>
        <v>0</v>
      </c>
      <c r="Y508" s="647"/>
      <c r="Z508" s="646" t="str">
        <f>IF(ISERROR(X508/X513),"",X508/X513)</f>
        <v/>
      </c>
      <c r="AA508" s="646"/>
    </row>
    <row r="509" spans="1:27" ht="20.100000000000001" customHeight="1">
      <c r="A509" s="636"/>
      <c r="B509" s="530" t="s">
        <v>264</v>
      </c>
      <c r="C509" s="638">
        <v>1</v>
      </c>
      <c r="D509" s="639"/>
      <c r="E509" s="642">
        <f>C509*11</f>
        <v>11</v>
      </c>
      <c r="F509" s="642"/>
      <c r="G509" s="643">
        <v>1</v>
      </c>
      <c r="H509" s="643"/>
      <c r="I509" s="642">
        <f>G509*11</f>
        <v>11</v>
      </c>
      <c r="J509" s="642"/>
      <c r="K509" s="642">
        <f>E509-I509</f>
        <v>0</v>
      </c>
      <c r="L509" s="642"/>
      <c r="M509" s="644">
        <f>IF(ISERROR(K509/E509),"",K509/E509)</f>
        <v>0</v>
      </c>
      <c r="N509" s="644"/>
      <c r="O509" s="640"/>
      <c r="P509" s="643" t="s">
        <v>231</v>
      </c>
      <c r="Q509" s="643"/>
      <c r="R509" s="645">
        <f>SUM(O477:U477)</f>
        <v>0</v>
      </c>
      <c r="S509" s="645"/>
      <c r="T509" s="646" t="str">
        <f>IF(ISERROR(R509/R513),"",R509/R513)</f>
        <v/>
      </c>
      <c r="U509" s="646"/>
      <c r="V509" s="643" t="s">
        <v>265</v>
      </c>
      <c r="W509" s="643"/>
      <c r="X509" s="647">
        <f>SUM(O372,O429,O464,O480,O490,O506)</f>
        <v>0</v>
      </c>
      <c r="Y509" s="647"/>
      <c r="Z509" s="646" t="str">
        <f>IF(ISERROR(X509/X513),"",X509/X513)</f>
        <v/>
      </c>
      <c r="AA509" s="646"/>
    </row>
    <row r="510" spans="1:27" ht="20.100000000000001" customHeight="1">
      <c r="A510" s="637"/>
      <c r="B510" s="530" t="s">
        <v>266</v>
      </c>
      <c r="C510" s="648">
        <f>SUM(C506:D509)</f>
        <v>1</v>
      </c>
      <c r="D510" s="649"/>
      <c r="E510" s="642">
        <f>SUM(E506:F509)</f>
        <v>11</v>
      </c>
      <c r="F510" s="642"/>
      <c r="G510" s="643">
        <f>SUM(G506:H509)</f>
        <v>1</v>
      </c>
      <c r="H510" s="643"/>
      <c r="I510" s="642">
        <f>SUM(I506:J509)</f>
        <v>11</v>
      </c>
      <c r="J510" s="642"/>
      <c r="K510" s="642">
        <f>SUM(K506:L509)</f>
        <v>0</v>
      </c>
      <c r="L510" s="642"/>
      <c r="M510" s="644">
        <f>IF(ISERROR(K510/E510),"",K510/E510)</f>
        <v>0</v>
      </c>
      <c r="N510" s="644"/>
      <c r="O510" s="640"/>
      <c r="P510" s="643" t="s">
        <v>234</v>
      </c>
      <c r="Q510" s="643"/>
      <c r="R510" s="645">
        <f>SUM(O487:U487)</f>
        <v>0</v>
      </c>
      <c r="S510" s="645"/>
      <c r="T510" s="646" t="str">
        <f>IF(ISERROR(R510/R513),"",R510/R513)</f>
        <v/>
      </c>
      <c r="U510" s="646"/>
      <c r="V510" s="643" t="s">
        <v>267</v>
      </c>
      <c r="W510" s="643"/>
      <c r="X510" s="647">
        <f>SUM(O373,O430,O465,O481,O491,O507)</f>
        <v>0</v>
      </c>
      <c r="Y510" s="647"/>
      <c r="Z510" s="646" t="str">
        <f>IF(ISERROR(X510/X513),"",X510/X513)</f>
        <v/>
      </c>
      <c r="AA510" s="646"/>
    </row>
    <row r="511" spans="1:27" ht="20.100000000000001" customHeight="1">
      <c r="A511" s="307" t="s">
        <v>477</v>
      </c>
      <c r="B511" s="530">
        <f>G504</f>
        <v>675</v>
      </c>
      <c r="C511" s="650" t="s">
        <v>269</v>
      </c>
      <c r="D511" s="651"/>
      <c r="E511" s="643">
        <f>H504</f>
        <v>3395.25</v>
      </c>
      <c r="F511" s="643"/>
      <c r="G511" s="643" t="s">
        <v>270</v>
      </c>
      <c r="H511" s="643"/>
      <c r="I511" s="652">
        <f>L504</f>
        <v>9.2432025432945704</v>
      </c>
      <c r="J511" s="652"/>
      <c r="K511" s="640" t="s">
        <v>271</v>
      </c>
      <c r="L511" s="640"/>
      <c r="M511" s="652">
        <f>J504</f>
        <v>10.714285714285714</v>
      </c>
      <c r="N511" s="652"/>
      <c r="O511" s="640"/>
      <c r="P511" s="643" t="s">
        <v>244</v>
      </c>
      <c r="Q511" s="643"/>
      <c r="R511" s="645">
        <f>SUM(O503:U503)</f>
        <v>0</v>
      </c>
      <c r="S511" s="645"/>
      <c r="T511" s="646" t="str">
        <f>IF(ISERROR(R511/R513),"",R511/R513)</f>
        <v/>
      </c>
      <c r="U511" s="646"/>
      <c r="V511" s="643" t="s">
        <v>272</v>
      </c>
      <c r="W511" s="643"/>
      <c r="X511" s="647">
        <f>SUM(O374,O431,O466,O482,O492,O508)</f>
        <v>0</v>
      </c>
      <c r="Y511" s="647"/>
      <c r="Z511" s="646" t="str">
        <f>IF(ISERROR(X511/X513),"",X511/X513)</f>
        <v/>
      </c>
      <c r="AA511" s="646"/>
    </row>
    <row r="512" spans="1:27" ht="20.100000000000001" customHeight="1">
      <c r="A512" s="308" t="s">
        <v>478</v>
      </c>
      <c r="B512" s="530">
        <f>I504+C510</f>
        <v>64</v>
      </c>
      <c r="C512" s="653" t="s">
        <v>251</v>
      </c>
      <c r="D512" s="654"/>
      <c r="E512" s="655">
        <f>K504+I510</f>
        <v>84.026637341153474</v>
      </c>
      <c r="F512" s="655"/>
      <c r="G512" s="643" t="s">
        <v>274</v>
      </c>
      <c r="H512" s="643"/>
      <c r="I512" s="652">
        <f>B512-E512</f>
        <v>-20.026637341153474</v>
      </c>
      <c r="J512" s="652"/>
      <c r="K512" s="640" t="s">
        <v>275</v>
      </c>
      <c r="L512" s="640"/>
      <c r="M512" s="644">
        <f>IF(ISERROR(I512/E512),"",I512/E512)</f>
        <v>-0.23833677003929191</v>
      </c>
      <c r="N512" s="644"/>
      <c r="O512" s="640"/>
      <c r="P512" s="643" t="s">
        <v>245</v>
      </c>
      <c r="Q512" s="643"/>
      <c r="R512" s="645"/>
      <c r="S512" s="645"/>
      <c r="T512" s="646" t="str">
        <f>IF(ISERROR(R512/R513),"",R512/R513)</f>
        <v/>
      </c>
      <c r="U512" s="646"/>
      <c r="V512" s="643" t="s">
        <v>264</v>
      </c>
      <c r="W512" s="643"/>
      <c r="X512" s="647">
        <f>SUM(O375,O432,O467,O486,O493,O509)</f>
        <v>0</v>
      </c>
      <c r="Y512" s="647"/>
      <c r="Z512" s="646" t="str">
        <f>IF(ISERROR(X512/X513),"",X512/X513)</f>
        <v/>
      </c>
      <c r="AA512" s="646"/>
    </row>
    <row r="513" spans="1:27" ht="20.100000000000001" customHeight="1">
      <c r="A513" s="308" t="s">
        <v>479</v>
      </c>
      <c r="B513" s="530">
        <f>N504</f>
        <v>0</v>
      </c>
      <c r="C513" s="653" t="s">
        <v>277</v>
      </c>
      <c r="D513" s="654"/>
      <c r="E513" s="646">
        <f>IF(ISERROR(B513/B512),"",B513/B512)</f>
        <v>0</v>
      </c>
      <c r="F513" s="646"/>
      <c r="G513" s="643" t="s">
        <v>278</v>
      </c>
      <c r="H513" s="643"/>
      <c r="I513" s="640">
        <f>V504</f>
        <v>0</v>
      </c>
      <c r="J513" s="640"/>
      <c r="K513" s="640" t="s">
        <v>279</v>
      </c>
      <c r="L513" s="640"/>
      <c r="M513" s="644">
        <f t="array" ref="M513">IF(ISERROR(I513/B511),"",I513/B511)</f>
        <v>0</v>
      </c>
      <c r="N513" s="644"/>
      <c r="O513" s="640"/>
      <c r="P513" s="643" t="s">
        <v>266</v>
      </c>
      <c r="Q513" s="643"/>
      <c r="R513" s="645">
        <f>SUM(R506:S512)</f>
        <v>0</v>
      </c>
      <c r="S513" s="645"/>
      <c r="T513" s="646"/>
      <c r="U513" s="646"/>
      <c r="V513" s="643" t="s">
        <v>266</v>
      </c>
      <c r="W513" s="643"/>
      <c r="X513" s="647">
        <f>SUM(X506:Y512)</f>
        <v>0</v>
      </c>
      <c r="Y513" s="647"/>
      <c r="Z513" s="646"/>
      <c r="AA513" s="646"/>
    </row>
    <row r="514" spans="1:27" ht="34.5" customHeight="1">
      <c r="A514" s="185" t="s">
        <v>334</v>
      </c>
      <c r="B514" s="186"/>
      <c r="C514" s="122"/>
      <c r="D514" s="124"/>
      <c r="E514" s="159"/>
      <c r="F514" s="159"/>
      <c r="G514" s="682" t="str">
        <f>IF(ISERROR(#REF!/#REF!),"",#REF!/#REF!)</f>
        <v/>
      </c>
      <c r="H514" s="682"/>
      <c r="I514" s="682"/>
      <c r="J514" s="125"/>
      <c r="K514" s="160"/>
      <c r="L514" s="122"/>
      <c r="M514" s="122"/>
      <c r="N514" s="682" t="str">
        <f>IF(ISERROR(G514/#REF!),"",G514/#REF!)</f>
        <v/>
      </c>
      <c r="O514" s="682"/>
      <c r="P514" s="682"/>
      <c r="Q514" s="682"/>
      <c r="R514" s="682"/>
      <c r="S514" s="532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4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685" t="s">
        <v>268</v>
      </c>
      <c r="B516" s="685"/>
      <c r="C516" s="638">
        <f>SUM(B170,B340,B511)</f>
        <v>1836</v>
      </c>
      <c r="D516" s="639"/>
      <c r="E516" s="685" t="s">
        <v>269</v>
      </c>
      <c r="F516" s="685"/>
      <c r="G516" s="655">
        <f>SUM(E170,E340,E511)</f>
        <v>9217.630000000001</v>
      </c>
      <c r="H516" s="655"/>
      <c r="I516" s="643" t="s">
        <v>270</v>
      </c>
      <c r="J516" s="685"/>
      <c r="K516" s="638">
        <f>IF(ISERROR(C516/G517),"",C516/G517)</f>
        <v>5.3266432008263234</v>
      </c>
      <c r="L516" s="639"/>
      <c r="M516" s="643" t="s">
        <v>271</v>
      </c>
      <c r="N516" s="643"/>
      <c r="O516" s="680">
        <f t="array" ref="O516">IF(ISERROR(C516/C517),"",C516/C517)</f>
        <v>10.252973697436756</v>
      </c>
      <c r="P516" s="681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643" t="s">
        <v>273</v>
      </c>
      <c r="B517" s="643"/>
      <c r="C517" s="638">
        <f>SUM(B171,B341,B512)</f>
        <v>179.07</v>
      </c>
      <c r="D517" s="639"/>
      <c r="E517" s="643" t="s">
        <v>251</v>
      </c>
      <c r="F517" s="643"/>
      <c r="G517" s="655">
        <f>SUM(E171,E341,E512)</f>
        <v>344.68236951091092</v>
      </c>
      <c r="H517" s="655"/>
      <c r="I517" s="653" t="s">
        <v>274</v>
      </c>
      <c r="J517" s="654"/>
      <c r="K517" s="650">
        <f>C517-G517</f>
        <v>-165.61236951091092</v>
      </c>
      <c r="L517" s="651"/>
      <c r="M517" s="650" t="s">
        <v>275</v>
      </c>
      <c r="N517" s="651"/>
      <c r="O517" s="683">
        <f>IF(ISERROR(K517/C517),"",K517/C517)</f>
        <v>-0.9248470961685985</v>
      </c>
      <c r="P517" s="684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653" t="s">
        <v>276</v>
      </c>
      <c r="B518" s="654"/>
      <c r="C518" s="638">
        <f>SUM(B172,B342,B513)</f>
        <v>0</v>
      </c>
      <c r="D518" s="639"/>
      <c r="E518" s="653" t="s">
        <v>277</v>
      </c>
      <c r="F518" s="654"/>
      <c r="G518" s="646">
        <f>IF(ISERROR(C518/C517),"",C518/C517)</f>
        <v>0</v>
      </c>
      <c r="H518" s="646"/>
      <c r="I518" s="643" t="s">
        <v>278</v>
      </c>
      <c r="J518" s="685"/>
      <c r="K518" s="655">
        <f>SUM(I172,I342,I513)</f>
        <v>0</v>
      </c>
      <c r="L518" s="655"/>
      <c r="M518" s="685" t="s">
        <v>279</v>
      </c>
      <c r="N518" s="685"/>
      <c r="O518" s="683">
        <f t="array" ref="O518">IF(ISERROR(K518/C516),"",K518/C516)</f>
        <v>0</v>
      </c>
      <c r="P518" s="684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538"/>
      <c r="E519" s="166"/>
      <c r="F519" s="166"/>
      <c r="G519" s="347"/>
      <c r="H519" s="168"/>
      <c r="I519" s="532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653" t="s">
        <v>298</v>
      </c>
      <c r="B520" s="654"/>
      <c r="C520" s="653" t="s">
        <v>299</v>
      </c>
      <c r="D520" s="654"/>
      <c r="E520" s="653" t="s">
        <v>256</v>
      </c>
      <c r="F520" s="654"/>
      <c r="G520" s="686" t="s">
        <v>254</v>
      </c>
      <c r="H520" s="687"/>
      <c r="I520" s="653" t="s">
        <v>255</v>
      </c>
      <c r="J520" s="651"/>
      <c r="K520" s="653" t="s">
        <v>300</v>
      </c>
      <c r="L520" s="654"/>
      <c r="M520" s="653" t="s">
        <v>256</v>
      </c>
      <c r="N520" s="654"/>
      <c r="O520" s="643" t="s">
        <v>257</v>
      </c>
      <c r="P520" s="643"/>
      <c r="Q520" s="653" t="s">
        <v>300</v>
      </c>
      <c r="R520" s="654"/>
      <c r="S520" s="653" t="s">
        <v>256</v>
      </c>
      <c r="T520" s="654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692" t="s">
        <v>201</v>
      </c>
      <c r="B521" s="654"/>
      <c r="C521" s="653">
        <f>SUM(G28,G198,G368)</f>
        <v>117</v>
      </c>
      <c r="D521" s="654"/>
      <c r="E521" s="693">
        <f>IF(ISERROR(C521/C527),"",C521/C527)</f>
        <v>6.3725490196078427E-2</v>
      </c>
      <c r="F521" s="694"/>
      <c r="G521" s="688"/>
      <c r="H521" s="689"/>
      <c r="I521" s="695" t="s">
        <v>301</v>
      </c>
      <c r="J521" s="696"/>
      <c r="K521" s="650">
        <f t="shared" ref="K521:K526" si="238">SUM(R165,U335,U506)</f>
        <v>0</v>
      </c>
      <c r="L521" s="651"/>
      <c r="M521" s="693" t="str">
        <f t="array" ref="M521">IF(ISERROR(K521/K527),"",K521/K527)</f>
        <v/>
      </c>
      <c r="N521" s="694"/>
      <c r="O521" s="643" t="s">
        <v>259</v>
      </c>
      <c r="P521" s="643"/>
      <c r="Q521" s="680">
        <f t="shared" ref="Q521:Q526" si="239">SUM(X165,AA335,AA506)</f>
        <v>0</v>
      </c>
      <c r="R521" s="681"/>
      <c r="S521" s="693" t="str">
        <f t="array" ref="S521">IF(ISERROR(Q521/Q527),"",Q521/Q527)</f>
        <v/>
      </c>
      <c r="T521" s="694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692" t="s">
        <v>216</v>
      </c>
      <c r="B522" s="654"/>
      <c r="C522" s="653">
        <f>SUM(G86,G256,G426)</f>
        <v>0</v>
      </c>
      <c r="D522" s="654"/>
      <c r="E522" s="693">
        <f>IF(ISERROR(C522/C527),"",C522/C527)</f>
        <v>0</v>
      </c>
      <c r="F522" s="694"/>
      <c r="G522" s="688"/>
      <c r="H522" s="689"/>
      <c r="I522" s="695" t="s">
        <v>302</v>
      </c>
      <c r="J522" s="696"/>
      <c r="K522" s="650">
        <f t="shared" si="238"/>
        <v>0</v>
      </c>
      <c r="L522" s="651"/>
      <c r="M522" s="693" t="str">
        <f>IF(ISERROR(K522/K527),"",K522/K527)</f>
        <v/>
      </c>
      <c r="N522" s="694"/>
      <c r="O522" s="643" t="s">
        <v>261</v>
      </c>
      <c r="P522" s="643"/>
      <c r="Q522" s="680">
        <f t="shared" si="239"/>
        <v>0</v>
      </c>
      <c r="R522" s="681"/>
      <c r="S522" s="693" t="str">
        <f>IF(ISERROR(Q522/Q527),"",Q522/Q527)</f>
        <v/>
      </c>
      <c r="T522" s="694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692" t="s">
        <v>224</v>
      </c>
      <c r="B523" s="654"/>
      <c r="C523" s="653">
        <f>SUM(G121,G291,G461)</f>
        <v>1701</v>
      </c>
      <c r="D523" s="654"/>
      <c r="E523" s="693">
        <f>IF(ISERROR(C523/C527),"",C523/C527)</f>
        <v>0.92647058823529416</v>
      </c>
      <c r="F523" s="694"/>
      <c r="G523" s="688"/>
      <c r="H523" s="689"/>
      <c r="I523" s="695" t="s">
        <v>303</v>
      </c>
      <c r="J523" s="696"/>
      <c r="K523" s="650">
        <f t="shared" si="238"/>
        <v>0</v>
      </c>
      <c r="L523" s="651"/>
      <c r="M523" s="693" t="str">
        <f>IF(ISERROR(K523/K527),"",K523/K527)</f>
        <v/>
      </c>
      <c r="N523" s="694"/>
      <c r="O523" s="643" t="s">
        <v>263</v>
      </c>
      <c r="P523" s="643"/>
      <c r="Q523" s="680">
        <f t="shared" si="239"/>
        <v>0</v>
      </c>
      <c r="R523" s="681"/>
      <c r="S523" s="693" t="str">
        <f>IF(ISERROR(Q523/Q527),"",Q523/Q527)</f>
        <v/>
      </c>
      <c r="T523" s="694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692" t="s">
        <v>231</v>
      </c>
      <c r="B524" s="654"/>
      <c r="C524" s="653">
        <f>SUM(G137,G307,G477)</f>
        <v>0</v>
      </c>
      <c r="D524" s="654"/>
      <c r="E524" s="693">
        <f>IF(ISERROR(C524/C527),"",C524/C527)</f>
        <v>0</v>
      </c>
      <c r="F524" s="694"/>
      <c r="G524" s="688"/>
      <c r="H524" s="689"/>
      <c r="I524" s="695" t="s">
        <v>304</v>
      </c>
      <c r="J524" s="696"/>
      <c r="K524" s="650">
        <f t="shared" si="238"/>
        <v>0</v>
      </c>
      <c r="L524" s="651"/>
      <c r="M524" s="693" t="str">
        <f>IF(ISERROR(K524/K527),"",K524/K527)</f>
        <v/>
      </c>
      <c r="N524" s="694"/>
      <c r="O524" s="643" t="s">
        <v>305</v>
      </c>
      <c r="P524" s="643"/>
      <c r="Q524" s="680">
        <f t="shared" si="239"/>
        <v>0</v>
      </c>
      <c r="R524" s="681"/>
      <c r="S524" s="693" t="str">
        <f>IF(ISERROR(Q524/Q527),"",Q524/Q527)</f>
        <v/>
      </c>
      <c r="T524" s="694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92" t="s">
        <v>234</v>
      </c>
      <c r="B525" s="654"/>
      <c r="C525" s="653">
        <f>SUM(G147,G317,G487)</f>
        <v>18</v>
      </c>
      <c r="D525" s="654"/>
      <c r="E525" s="693">
        <f>IF(ISERROR(C525/C527),"",C525/C527)</f>
        <v>9.8039215686274508E-3</v>
      </c>
      <c r="F525" s="694"/>
      <c r="G525" s="688"/>
      <c r="H525" s="689"/>
      <c r="I525" s="695" t="s">
        <v>306</v>
      </c>
      <c r="J525" s="696"/>
      <c r="K525" s="650">
        <f t="shared" si="238"/>
        <v>0</v>
      </c>
      <c r="L525" s="651"/>
      <c r="M525" s="693" t="str">
        <f>IF(ISERROR(K525/K527),"",K525/K527)</f>
        <v/>
      </c>
      <c r="N525" s="694"/>
      <c r="O525" s="643" t="s">
        <v>267</v>
      </c>
      <c r="P525" s="643"/>
      <c r="Q525" s="680">
        <f t="shared" si="239"/>
        <v>0</v>
      </c>
      <c r="R525" s="681"/>
      <c r="S525" s="693" t="str">
        <f>IF(ISERROR(Q525/Q527),"",Q525/Q527)</f>
        <v/>
      </c>
      <c r="T525" s="694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92" t="s">
        <v>244</v>
      </c>
      <c r="B526" s="654"/>
      <c r="C526" s="653">
        <f>SUM(G162,G332,G503)</f>
        <v>0</v>
      </c>
      <c r="D526" s="654"/>
      <c r="E526" s="693">
        <f>IF(ISERROR(C526/C527),"",C526/C527)</f>
        <v>0</v>
      </c>
      <c r="F526" s="694"/>
      <c r="G526" s="688"/>
      <c r="H526" s="689"/>
      <c r="I526" s="695" t="s">
        <v>307</v>
      </c>
      <c r="J526" s="696"/>
      <c r="K526" s="650">
        <f t="shared" si="238"/>
        <v>0</v>
      </c>
      <c r="L526" s="651"/>
      <c r="M526" s="693" t="str">
        <f>IF(ISERROR(K526/K527),"",K526/K527)</f>
        <v/>
      </c>
      <c r="N526" s="694"/>
      <c r="O526" s="643" t="s">
        <v>272</v>
      </c>
      <c r="P526" s="643"/>
      <c r="Q526" s="680">
        <f t="shared" si="239"/>
        <v>0</v>
      </c>
      <c r="R526" s="681"/>
      <c r="S526" s="693" t="str">
        <f>IF(ISERROR(Q526/Q527),"",Q526/Q527)</f>
        <v/>
      </c>
      <c r="T526" s="694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53" t="s">
        <v>266</v>
      </c>
      <c r="B527" s="654"/>
      <c r="C527" s="653">
        <f>SUM(C521:C526)</f>
        <v>1836</v>
      </c>
      <c r="D527" s="654"/>
      <c r="E527" s="693">
        <f>SUM(E521:F526)</f>
        <v>1</v>
      </c>
      <c r="F527" s="694"/>
      <c r="G527" s="690"/>
      <c r="H527" s="691"/>
      <c r="I527" s="653" t="s">
        <v>266</v>
      </c>
      <c r="J527" s="651"/>
      <c r="K527" s="650">
        <f>SUM(R172,U342,U513)</f>
        <v>0</v>
      </c>
      <c r="L527" s="651"/>
      <c r="M527" s="693"/>
      <c r="N527" s="694"/>
      <c r="O527" s="643" t="s">
        <v>266</v>
      </c>
      <c r="P527" s="643"/>
      <c r="Q527" s="680">
        <f>SUM(Q521:R526)</f>
        <v>0</v>
      </c>
      <c r="R527" s="681"/>
      <c r="S527" s="693">
        <f>SUM(S521:T526)</f>
        <v>0</v>
      </c>
      <c r="T527" s="694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539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695" t="s">
        <v>308</v>
      </c>
      <c r="B529" s="649"/>
      <c r="C529" s="523" t="s">
        <v>309</v>
      </c>
      <c r="D529" s="348" t="s">
        <v>530</v>
      </c>
      <c r="E529" s="523" t="s">
        <v>311</v>
      </c>
      <c r="F529" s="523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524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533" t="s">
        <v>322</v>
      </c>
      <c r="Q529" s="129" t="s">
        <v>323</v>
      </c>
      <c r="R529" s="109" t="s">
        <v>324</v>
      </c>
      <c r="S529" s="523" t="s">
        <v>325</v>
      </c>
      <c r="T529" s="523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697" t="s">
        <v>327</v>
      </c>
      <c r="B530" s="698"/>
      <c r="C530" s="106">
        <f>D530+E530+F530-G530-O530-P530</f>
        <v>33</v>
      </c>
      <c r="D530" s="107">
        <f>+'17'!D530</f>
        <v>33</v>
      </c>
      <c r="E530" s="106"/>
      <c r="F530" s="106"/>
      <c r="G530" s="107"/>
      <c r="H530" s="106"/>
      <c r="I530" s="106"/>
      <c r="J530" s="106">
        <f>C530-H530-I530</f>
        <v>33</v>
      </c>
      <c r="K530" s="106"/>
      <c r="L530" s="106"/>
      <c r="M530" s="106"/>
      <c r="N530" s="106"/>
      <c r="O530" s="106"/>
      <c r="P530" s="108"/>
      <c r="Q530" s="106">
        <f>J530-K530-L530</f>
        <v>33</v>
      </c>
      <c r="R530" s="109">
        <f>Q530*11-M530-N530</f>
        <v>363</v>
      </c>
      <c r="S530" s="526">
        <f t="array" ref="S530">IF(ISERROR(Q530/J530),"",Q530/J530)</f>
        <v>1</v>
      </c>
      <c r="T530" s="526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697" t="s">
        <v>328</v>
      </c>
      <c r="B531" s="698"/>
      <c r="C531" s="106">
        <f>D531+E531+F531-G531-O531-P531</f>
        <v>31</v>
      </c>
      <c r="D531" s="107">
        <f>+'17'!D531</f>
        <v>31</v>
      </c>
      <c r="E531" s="110"/>
      <c r="F531" s="110"/>
      <c r="G531" s="107"/>
      <c r="H531" s="106"/>
      <c r="I531" s="106"/>
      <c r="J531" s="106">
        <f>C531-H531-I531</f>
        <v>31</v>
      </c>
      <c r="K531" s="106"/>
      <c r="L531" s="106"/>
      <c r="M531" s="106"/>
      <c r="N531" s="106"/>
      <c r="O531" s="110"/>
      <c r="P531" s="111"/>
      <c r="Q531" s="106">
        <f>J531-K531-L531</f>
        <v>31</v>
      </c>
      <c r="R531" s="109">
        <f>Q531*11-M531-N531</f>
        <v>341</v>
      </c>
      <c r="S531" s="526">
        <f t="array" ref="S531">IF(ISERROR(Q531/J531),"",Q531/J531)</f>
        <v>1</v>
      </c>
      <c r="T531" s="526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697" t="s">
        <v>329</v>
      </c>
      <c r="B532" s="698"/>
      <c r="C532" s="106">
        <f>D532+E532+F532-G532-O532-P532</f>
        <v>10</v>
      </c>
      <c r="D532" s="107">
        <f>+'17'!D532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526">
        <f t="array" ref="S532">IF(ISERROR(Q532/J532),"",Q532/J532)</f>
        <v>1</v>
      </c>
      <c r="T532" s="526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699" t="s">
        <v>330</v>
      </c>
      <c r="B533" s="700"/>
      <c r="C533" s="112">
        <f>SUM(C530:C532)</f>
        <v>74</v>
      </c>
      <c r="D533" s="113">
        <f t="shared" ref="D533:N533" si="240">SUM(D530:D532)</f>
        <v>74</v>
      </c>
      <c r="E533" s="112">
        <f t="shared" si="240"/>
        <v>0</v>
      </c>
      <c r="F533" s="112">
        <f t="shared" si="240"/>
        <v>0</v>
      </c>
      <c r="G533" s="113">
        <f t="shared" si="240"/>
        <v>0</v>
      </c>
      <c r="H533" s="112">
        <f t="shared" si="240"/>
        <v>0</v>
      </c>
      <c r="I533" s="112">
        <f t="shared" si="240"/>
        <v>0</v>
      </c>
      <c r="J533" s="112">
        <f t="shared" si="240"/>
        <v>74</v>
      </c>
      <c r="K533" s="112">
        <f t="shared" si="240"/>
        <v>0</v>
      </c>
      <c r="L533" s="112">
        <f t="shared" si="240"/>
        <v>0</v>
      </c>
      <c r="M533" s="112">
        <f t="shared" si="240"/>
        <v>0</v>
      </c>
      <c r="N533" s="112">
        <f t="shared" si="240"/>
        <v>0</v>
      </c>
      <c r="O533" s="112">
        <f>SUM(O530:O532)</f>
        <v>0</v>
      </c>
      <c r="P533" s="112">
        <f>SUM(P530:P532)</f>
        <v>0</v>
      </c>
      <c r="Q533" s="112">
        <f>SUM(Q530:Q532)</f>
        <v>74</v>
      </c>
      <c r="R533" s="114">
        <f>SUM(R530:R532)</f>
        <v>814</v>
      </c>
      <c r="S533" s="115">
        <f t="array" ref="S533">IF(ISERROR(Q533/J533),"",Q533/J533)</f>
        <v>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540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540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7">
      <c r="B551" s="121"/>
      <c r="G551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522" activePane="bottomRight" state="frozen"/>
      <selection activeCell="F484" sqref="F484"/>
      <selection pane="topRight" activeCell="F484" sqref="F484"/>
      <selection pane="bottomLeft" activeCell="F484" sqref="F484"/>
      <selection pane="bottomRight" activeCell="G3" sqref="G3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07" t="s">
        <v>413</v>
      </c>
      <c r="B1" s="607"/>
      <c r="C1" s="607"/>
      <c r="D1" s="607"/>
      <c r="E1" s="607"/>
      <c r="F1" s="607"/>
      <c r="G1" s="607"/>
      <c r="H1" s="607"/>
      <c r="I1" s="607"/>
      <c r="J1" s="607"/>
      <c r="K1" s="607"/>
      <c r="L1" s="607"/>
      <c r="M1" s="607"/>
      <c r="N1" s="607"/>
      <c r="O1" s="607"/>
      <c r="P1" s="607"/>
      <c r="Q1" s="607"/>
      <c r="R1" s="607"/>
      <c r="S1" s="607"/>
      <c r="T1" s="607"/>
      <c r="U1" s="607"/>
      <c r="V1" s="607"/>
      <c r="W1" s="607"/>
      <c r="X1" s="607"/>
      <c r="Y1" s="607"/>
      <c r="Z1" s="607"/>
      <c r="AA1" s="607"/>
    </row>
    <row r="2" spans="1:27" ht="18.75">
      <c r="A2" s="608"/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09" t="s">
        <v>12</v>
      </c>
      <c r="B4" s="609" t="s">
        <v>25</v>
      </c>
      <c r="C4" s="609" t="s">
        <v>26</v>
      </c>
      <c r="D4" s="609" t="s">
        <v>27</v>
      </c>
      <c r="E4" s="612" t="s">
        <v>28</v>
      </c>
      <c r="F4" s="615" t="s">
        <v>29</v>
      </c>
      <c r="G4" s="618" t="s">
        <v>30</v>
      </c>
      <c r="H4" s="618"/>
      <c r="I4" s="609" t="s">
        <v>31</v>
      </c>
      <c r="J4" s="621" t="s">
        <v>32</v>
      </c>
      <c r="K4" s="624" t="s">
        <v>33</v>
      </c>
      <c r="L4" s="609" t="s">
        <v>34</v>
      </c>
      <c r="M4" s="627" t="s">
        <v>35</v>
      </c>
      <c r="N4" s="629" t="s">
        <v>36</v>
      </c>
      <c r="O4" s="618" t="s">
        <v>37</v>
      </c>
      <c r="P4" s="618"/>
      <c r="Q4" s="618"/>
      <c r="R4" s="618"/>
      <c r="S4" s="618"/>
      <c r="T4" s="618"/>
      <c r="U4" s="618"/>
      <c r="V4" s="618" t="s">
        <v>38</v>
      </c>
      <c r="W4" s="629" t="s">
        <v>39</v>
      </c>
      <c r="X4" s="618" t="s">
        <v>40</v>
      </c>
      <c r="Y4" s="618"/>
      <c r="Z4" s="618"/>
      <c r="AA4" s="618"/>
    </row>
    <row r="5" spans="1:27" s="104" customFormat="1" ht="15" customHeight="1">
      <c r="A5" s="610"/>
      <c r="B5" s="610"/>
      <c r="C5" s="610"/>
      <c r="D5" s="610"/>
      <c r="E5" s="613"/>
      <c r="F5" s="616"/>
      <c r="G5" s="618"/>
      <c r="H5" s="618"/>
      <c r="I5" s="610"/>
      <c r="J5" s="622"/>
      <c r="K5" s="625"/>
      <c r="L5" s="610"/>
      <c r="M5" s="628"/>
      <c r="N5" s="629"/>
      <c r="O5" s="618" t="s">
        <v>41</v>
      </c>
      <c r="P5" s="618" t="s">
        <v>42</v>
      </c>
      <c r="Q5" s="618" t="s">
        <v>43</v>
      </c>
      <c r="R5" s="619" t="s">
        <v>44</v>
      </c>
      <c r="S5" s="620" t="s">
        <v>45</v>
      </c>
      <c r="T5" s="618" t="s">
        <v>46</v>
      </c>
      <c r="U5" s="618" t="s">
        <v>47</v>
      </c>
      <c r="V5" s="618"/>
      <c r="W5" s="629"/>
      <c r="X5" s="618" t="s">
        <v>13</v>
      </c>
      <c r="Y5" s="618" t="s">
        <v>48</v>
      </c>
      <c r="Z5" s="618" t="s">
        <v>49</v>
      </c>
      <c r="AA5" s="618" t="s">
        <v>47</v>
      </c>
    </row>
    <row r="6" spans="1:27" s="104" customFormat="1" ht="27.75" customHeight="1">
      <c r="A6" s="611"/>
      <c r="B6" s="611"/>
      <c r="C6" s="611"/>
      <c r="D6" s="611"/>
      <c r="E6" s="614"/>
      <c r="F6" s="617"/>
      <c r="G6" s="350" t="s">
        <v>50</v>
      </c>
      <c r="H6" s="541" t="s">
        <v>51</v>
      </c>
      <c r="I6" s="611"/>
      <c r="J6" s="623"/>
      <c r="K6" s="626"/>
      <c r="L6" s="611"/>
      <c r="M6" s="628"/>
      <c r="N6" s="629"/>
      <c r="O6" s="618"/>
      <c r="P6" s="618"/>
      <c r="Q6" s="618"/>
      <c r="R6" s="619"/>
      <c r="S6" s="620"/>
      <c r="T6" s="618"/>
      <c r="U6" s="618"/>
      <c r="V6" s="618"/>
      <c r="W6" s="629"/>
      <c r="X6" s="618"/>
      <c r="Y6" s="618"/>
      <c r="Z6" s="618"/>
      <c r="AA6" s="618"/>
    </row>
    <row r="7" spans="1:27" ht="20.100000000000001" hidden="1" customHeight="1">
      <c r="A7" s="299">
        <v>30100030</v>
      </c>
      <c r="B7" s="544" t="s">
        <v>178</v>
      </c>
      <c r="C7" s="126" t="s">
        <v>179</v>
      </c>
      <c r="D7" s="108">
        <v>5.03</v>
      </c>
      <c r="E7" s="108"/>
      <c r="F7" s="127"/>
      <c r="G7" s="128"/>
      <c r="H7" s="552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543"/>
      <c r="P7" s="543"/>
      <c r="Q7" s="543"/>
      <c r="R7" s="543"/>
      <c r="S7" s="543"/>
      <c r="T7" s="543"/>
      <c r="U7" s="543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552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543"/>
      <c r="Q8" s="543"/>
      <c r="R8" s="543"/>
      <c r="S8" s="543"/>
      <c r="T8" s="543"/>
      <c r="U8" s="543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552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543"/>
      <c r="P9" s="543"/>
      <c r="Q9" s="543"/>
      <c r="R9" s="543"/>
      <c r="S9" s="543"/>
      <c r="T9" s="543"/>
      <c r="U9" s="543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552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543"/>
      <c r="P10" s="543"/>
      <c r="Q10" s="543"/>
      <c r="R10" s="543"/>
      <c r="S10" s="543"/>
      <c r="T10" s="543"/>
      <c r="U10" s="543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552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543"/>
      <c r="P11" s="543"/>
      <c r="Q11" s="543"/>
      <c r="R11" s="543"/>
      <c r="S11" s="543"/>
      <c r="T11" s="543"/>
      <c r="U11" s="543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552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543"/>
      <c r="P12" s="543"/>
      <c r="Q12" s="543"/>
      <c r="R12" s="543"/>
      <c r="S12" s="543"/>
      <c r="T12" s="543"/>
      <c r="U12" s="543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552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543"/>
      <c r="P13" s="543"/>
      <c r="Q13" s="543"/>
      <c r="R13" s="543"/>
      <c r="S13" s="543"/>
      <c r="T13" s="543"/>
      <c r="U13" s="543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552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543"/>
      <c r="P14" s="543"/>
      <c r="Q14" s="543"/>
      <c r="R14" s="543"/>
      <c r="S14" s="543"/>
      <c r="T14" s="543"/>
      <c r="U14" s="543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>
        <v>42723</v>
      </c>
      <c r="G15" s="128">
        <f>100*6+49</f>
        <v>649</v>
      </c>
      <c r="H15" s="552">
        <f t="shared" si="0"/>
        <v>3270.96</v>
      </c>
      <c r="I15" s="552">
        <f>11.5*2</f>
        <v>23</v>
      </c>
      <c r="J15" s="130">
        <f t="array" ref="J15">IF(ISERROR(G15/I15),"",G15/I15)</f>
        <v>28.217391304347824</v>
      </c>
      <c r="K15" s="131">
        <f t="array" ref="K15">IF(ISERROR(G15/L15),"",G15/L15)</f>
        <v>38.176470588235297</v>
      </c>
      <c r="L15" s="129">
        <v>17</v>
      </c>
      <c r="M15" s="109">
        <f t="shared" si="1"/>
        <v>-15.176470588235297</v>
      </c>
      <c r="N15" s="130">
        <f t="shared" si="4"/>
        <v>0</v>
      </c>
      <c r="O15" s="543"/>
      <c r="P15" s="543"/>
      <c r="Q15" s="543"/>
      <c r="R15" s="543"/>
      <c r="S15" s="543"/>
      <c r="T15" s="543"/>
      <c r="U15" s="543"/>
      <c r="V15" s="132">
        <f>SUM(X15:AA15)</f>
        <v>0</v>
      </c>
      <c r="W15" s="133">
        <f>IF(ISERROR(V15/G15),"",V15/G15)</f>
        <v>0</v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552">
        <f t="shared" si="0"/>
        <v>0</v>
      </c>
      <c r="I16" s="552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543"/>
      <c r="P16" s="543"/>
      <c r="Q16" s="543"/>
      <c r="R16" s="543"/>
      <c r="S16" s="543"/>
      <c r="T16" s="543"/>
      <c r="U16" s="543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552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543"/>
      <c r="P17" s="543"/>
      <c r="Q17" s="543"/>
      <c r="R17" s="543"/>
      <c r="S17" s="543"/>
      <c r="T17" s="543"/>
      <c r="U17" s="543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552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543"/>
      <c r="P18" s="543"/>
      <c r="Q18" s="543"/>
      <c r="R18" s="543"/>
      <c r="S18" s="543"/>
      <c r="T18" s="543"/>
      <c r="U18" s="543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552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543"/>
      <c r="P19" s="543"/>
      <c r="Q19" s="543"/>
      <c r="R19" s="543"/>
      <c r="S19" s="543"/>
      <c r="T19" s="543"/>
      <c r="U19" s="543"/>
      <c r="V19" s="132">
        <f t="shared" ref="V19:V21" si="5">SUM(X19:AA19)</f>
        <v>0</v>
      </c>
      <c r="W19" s="546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552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543"/>
      <c r="P20" s="543"/>
      <c r="Q20" s="543"/>
      <c r="R20" s="543"/>
      <c r="S20" s="543"/>
      <c r="T20" s="543"/>
      <c r="U20" s="543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552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543"/>
      <c r="P21" s="543"/>
      <c r="Q21" s="543"/>
      <c r="R21" s="543"/>
      <c r="S21" s="543"/>
      <c r="T21" s="543"/>
      <c r="U21" s="543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542" t="s">
        <v>190</v>
      </c>
      <c r="D22" s="108">
        <v>4.8</v>
      </c>
      <c r="E22" s="108"/>
      <c r="F22" s="127"/>
      <c r="G22" s="128"/>
      <c r="H22" s="552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543"/>
      <c r="P22" s="543"/>
      <c r="Q22" s="543"/>
      <c r="R22" s="543"/>
      <c r="S22" s="543"/>
      <c r="T22" s="543"/>
      <c r="U22" s="543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542" t="s">
        <v>187</v>
      </c>
      <c r="D23" s="108">
        <v>4.8</v>
      </c>
      <c r="E23" s="108"/>
      <c r="F23" s="127"/>
      <c r="G23" s="128"/>
      <c r="H23" s="552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543"/>
      <c r="P23" s="543"/>
      <c r="Q23" s="543"/>
      <c r="R23" s="543"/>
      <c r="S23" s="543"/>
      <c r="T23" s="543"/>
      <c r="U23" s="543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542" t="s">
        <v>179</v>
      </c>
      <c r="D24" s="108">
        <v>4.8</v>
      </c>
      <c r="E24" s="108"/>
      <c r="F24" s="127"/>
      <c r="G24" s="128"/>
      <c r="H24" s="552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543"/>
      <c r="P24" s="543"/>
      <c r="Q24" s="543"/>
      <c r="R24" s="543"/>
      <c r="S24" s="543"/>
      <c r="T24" s="543"/>
      <c r="U24" s="543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542" t="s">
        <v>199</v>
      </c>
      <c r="D25" s="108">
        <v>4.8</v>
      </c>
      <c r="E25" s="108"/>
      <c r="F25" s="127"/>
      <c r="G25" s="128"/>
      <c r="H25" s="552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543"/>
      <c r="P25" s="543"/>
      <c r="Q25" s="543"/>
      <c r="R25" s="543"/>
      <c r="S25" s="543"/>
      <c r="T25" s="543"/>
      <c r="U25" s="543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552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543"/>
      <c r="P26" s="543"/>
      <c r="Q26" s="543"/>
      <c r="R26" s="543"/>
      <c r="S26" s="543"/>
      <c r="T26" s="543"/>
      <c r="U26" s="543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552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543"/>
      <c r="P27" s="543"/>
      <c r="Q27" s="543"/>
      <c r="R27" s="543"/>
      <c r="S27" s="543"/>
      <c r="T27" s="543"/>
      <c r="U27" s="543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30" t="s">
        <v>201</v>
      </c>
      <c r="B28" s="631"/>
      <c r="C28" s="550" t="s">
        <v>202</v>
      </c>
      <c r="D28" s="143"/>
      <c r="E28" s="143"/>
      <c r="F28" s="144"/>
      <c r="G28" s="145">
        <f>SUM(G7:G27)</f>
        <v>649</v>
      </c>
      <c r="H28" s="146">
        <f>SUM(H7:H27)</f>
        <v>3270.96</v>
      </c>
      <c r="I28" s="146">
        <f>SUM(I7:I27)</f>
        <v>23</v>
      </c>
      <c r="J28" s="130">
        <f t="array" ref="J28">IF(ISERROR(G28/I28),"",G28/I28)</f>
        <v>28.217391304347824</v>
      </c>
      <c r="K28" s="146">
        <f>SUM(K7:K27)</f>
        <v>38.176470588235297</v>
      </c>
      <c r="L28" s="147"/>
      <c r="M28" s="146">
        <f t="shared" ref="M28:V28" si="10">SUM(M7:M27)</f>
        <v>-15.176470588235297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customHeight="1">
      <c r="A29" s="300">
        <v>30100012</v>
      </c>
      <c r="B29" s="544" t="s">
        <v>206</v>
      </c>
      <c r="C29" s="126" t="s">
        <v>199</v>
      </c>
      <c r="D29" s="108">
        <v>5.03</v>
      </c>
      <c r="E29" s="108"/>
      <c r="F29" s="127">
        <v>42723</v>
      </c>
      <c r="G29" s="128">
        <v>57</v>
      </c>
      <c r="H29" s="552">
        <f t="shared" ref="H29:H85" si="11">D29*G29</f>
        <v>286.71000000000004</v>
      </c>
      <c r="I29" s="129">
        <f>1*2</f>
        <v>2</v>
      </c>
      <c r="J29" s="130">
        <f t="array" ref="J29">IF(ISERROR(G29/I29),"",G29/I29)</f>
        <v>28.5</v>
      </c>
      <c r="K29" s="131">
        <f t="array" ref="K29">IF(ISERROR(G29/L29),"",G29/L29)</f>
        <v>1.0961538461538463</v>
      </c>
      <c r="L29" s="129">
        <v>52</v>
      </c>
      <c r="M29" s="109">
        <f t="shared" ref="M29" si="12">IF(ISERROR(I29-K29),"",I29-K29)</f>
        <v>0.90384615384615374</v>
      </c>
      <c r="N29" s="130">
        <f t="shared" ref="N29" si="13">SUM(O29:U29)</f>
        <v>0</v>
      </c>
      <c r="O29" s="547"/>
      <c r="P29" s="547"/>
      <c r="Q29" s="547"/>
      <c r="R29" s="547"/>
      <c r="S29" s="547"/>
      <c r="T29" s="547"/>
      <c r="U29" s="547"/>
      <c r="V29" s="132">
        <f t="shared" ref="V29" si="14">SUM(X29:AA29)</f>
        <v>0</v>
      </c>
      <c r="W29" s="133">
        <f t="shared" si="9"/>
        <v>0</v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544" t="s">
        <v>425</v>
      </c>
      <c r="C30" s="187" t="s">
        <v>427</v>
      </c>
      <c r="D30" s="108">
        <v>5.03</v>
      </c>
      <c r="E30" s="108"/>
      <c r="F30" s="127"/>
      <c r="G30" s="128"/>
      <c r="H30" s="552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547"/>
      <c r="P30" s="547"/>
      <c r="Q30" s="547"/>
      <c r="R30" s="547"/>
      <c r="S30" s="547"/>
      <c r="T30" s="547"/>
      <c r="U30" s="547"/>
      <c r="V30" s="132"/>
      <c r="W30" s="133"/>
      <c r="X30" s="132"/>
      <c r="Y30" s="132"/>
      <c r="Z30" s="132"/>
      <c r="AA30" s="132"/>
    </row>
    <row r="31" spans="1:27" ht="20.100000000000001" customHeight="1">
      <c r="A31" s="300">
        <v>30100010</v>
      </c>
      <c r="B31" s="544" t="s">
        <v>206</v>
      </c>
      <c r="C31" s="126" t="s">
        <v>186</v>
      </c>
      <c r="D31" s="108">
        <v>5.03</v>
      </c>
      <c r="E31" s="108"/>
      <c r="F31" s="127">
        <v>42723</v>
      </c>
      <c r="G31" s="128">
        <f>108*4+113+11</f>
        <v>556</v>
      </c>
      <c r="H31" s="552">
        <f t="shared" si="11"/>
        <v>2796.6800000000003</v>
      </c>
      <c r="I31" s="129">
        <f>4.5*2</f>
        <v>9</v>
      </c>
      <c r="J31" s="130">
        <f t="array" ref="J31">IF(ISERROR(G31/I31),"",G31/I31)</f>
        <v>61.777777777777779</v>
      </c>
      <c r="K31" s="131">
        <f t="array" ref="K31">IF(ISERROR(G31/L31),"",G31/L31)</f>
        <v>10.692307692307692</v>
      </c>
      <c r="L31" s="129">
        <v>52</v>
      </c>
      <c r="M31" s="109">
        <f t="shared" ref="M31:M33" si="15">IF(ISERROR(I31-K31),"",I31-K31)</f>
        <v>-1.6923076923076916</v>
      </c>
      <c r="N31" s="130">
        <f t="shared" ref="N31:N33" si="16">SUM(O31:U31)</f>
        <v>0</v>
      </c>
      <c r="O31" s="547"/>
      <c r="P31" s="547"/>
      <c r="Q31" s="547"/>
      <c r="R31" s="547"/>
      <c r="S31" s="547"/>
      <c r="T31" s="547"/>
      <c r="U31" s="547"/>
      <c r="V31" s="132">
        <f t="shared" ref="V31:V33" si="17">SUM(X31:AA31)</f>
        <v>0</v>
      </c>
      <c r="W31" s="133">
        <f t="shared" ref="W31:W33" si="18">IF(ISERROR(V31/G31),"",V31/G31)</f>
        <v>0</v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544" t="s">
        <v>206</v>
      </c>
      <c r="C32" s="126" t="s">
        <v>203</v>
      </c>
      <c r="D32" s="108">
        <v>5.03</v>
      </c>
      <c r="E32" s="108"/>
      <c r="F32" s="127"/>
      <c r="G32" s="128"/>
      <c r="H32" s="552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547"/>
      <c r="P32" s="547"/>
      <c r="Q32" s="547"/>
      <c r="R32" s="547"/>
      <c r="S32" s="547"/>
      <c r="T32" s="547"/>
      <c r="U32" s="547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544" t="s">
        <v>206</v>
      </c>
      <c r="C33" s="126" t="s">
        <v>207</v>
      </c>
      <c r="D33" s="108">
        <v>5.03</v>
      </c>
      <c r="E33" s="108"/>
      <c r="F33" s="127"/>
      <c r="G33" s="128"/>
      <c r="H33" s="552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547"/>
      <c r="P33" s="547"/>
      <c r="Q33" s="547"/>
      <c r="R33" s="547"/>
      <c r="S33" s="547"/>
      <c r="T33" s="547"/>
      <c r="U33" s="547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544" t="s">
        <v>414</v>
      </c>
      <c r="C34" s="187" t="s">
        <v>415</v>
      </c>
      <c r="D34" s="108">
        <v>5.03</v>
      </c>
      <c r="E34" s="108"/>
      <c r="F34" s="127"/>
      <c r="G34" s="128"/>
      <c r="H34" s="552">
        <f t="shared" si="11"/>
        <v>0</v>
      </c>
      <c r="I34" s="129"/>
      <c r="J34" s="130"/>
      <c r="K34" s="131"/>
      <c r="L34" s="129">
        <v>52</v>
      </c>
      <c r="M34" s="109"/>
      <c r="N34" s="130"/>
      <c r="O34" s="547"/>
      <c r="P34" s="547"/>
      <c r="Q34" s="547"/>
      <c r="R34" s="547"/>
      <c r="S34" s="547"/>
      <c r="T34" s="547"/>
      <c r="U34" s="547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544" t="s">
        <v>414</v>
      </c>
      <c r="C35" s="187" t="s">
        <v>416</v>
      </c>
      <c r="D35" s="108">
        <v>5.03</v>
      </c>
      <c r="E35" s="108"/>
      <c r="F35" s="127"/>
      <c r="G35" s="128"/>
      <c r="H35" s="552">
        <f t="shared" si="11"/>
        <v>0</v>
      </c>
      <c r="I35" s="129"/>
      <c r="J35" s="130"/>
      <c r="K35" s="131"/>
      <c r="L35" s="129">
        <v>52</v>
      </c>
      <c r="M35" s="109"/>
      <c r="N35" s="130"/>
      <c r="O35" s="547"/>
      <c r="P35" s="547"/>
      <c r="Q35" s="547"/>
      <c r="R35" s="547"/>
      <c r="S35" s="547"/>
      <c r="T35" s="547"/>
      <c r="U35" s="547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544" t="s">
        <v>414</v>
      </c>
      <c r="C36" s="187" t="s">
        <v>61</v>
      </c>
      <c r="D36" s="108">
        <v>5.03</v>
      </c>
      <c r="E36" s="108"/>
      <c r="F36" s="127"/>
      <c r="G36" s="128"/>
      <c r="H36" s="552">
        <f t="shared" si="11"/>
        <v>0</v>
      </c>
      <c r="I36" s="129"/>
      <c r="J36" s="130"/>
      <c r="K36" s="131"/>
      <c r="L36" s="129">
        <v>52</v>
      </c>
      <c r="M36" s="109"/>
      <c r="N36" s="130"/>
      <c r="O36" s="547"/>
      <c r="P36" s="547"/>
      <c r="Q36" s="547"/>
      <c r="R36" s="547"/>
      <c r="S36" s="547"/>
      <c r="T36" s="547"/>
      <c r="U36" s="547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544" t="s">
        <v>208</v>
      </c>
      <c r="C37" s="126" t="s">
        <v>179</v>
      </c>
      <c r="D37" s="108">
        <v>5.08</v>
      </c>
      <c r="E37" s="108"/>
      <c r="F37" s="127"/>
      <c r="G37" s="128"/>
      <c r="H37" s="552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7" si="19">IF(ISERROR(I37-K37),"",I37-K37)</f>
        <v>0</v>
      </c>
      <c r="N37" s="130">
        <f t="shared" ref="N37:N52" si="20">SUM(O37:U37)</f>
        <v>0</v>
      </c>
      <c r="O37" s="547"/>
      <c r="P37" s="547"/>
      <c r="Q37" s="547"/>
      <c r="R37" s="547"/>
      <c r="S37" s="547"/>
      <c r="T37" s="547"/>
      <c r="U37" s="547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544" t="s">
        <v>208</v>
      </c>
      <c r="C38" s="126" t="s">
        <v>204</v>
      </c>
      <c r="D38" s="108">
        <v>5.08</v>
      </c>
      <c r="E38" s="108"/>
      <c r="F38" s="127"/>
      <c r="G38" s="128"/>
      <c r="H38" s="552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547"/>
      <c r="P38" s="547"/>
      <c r="Q38" s="547"/>
      <c r="R38" s="547"/>
      <c r="S38" s="547"/>
      <c r="T38" s="547"/>
      <c r="U38" s="547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544" t="s">
        <v>208</v>
      </c>
      <c r="C39" s="126" t="s">
        <v>205</v>
      </c>
      <c r="D39" s="108">
        <v>5.08</v>
      </c>
      <c r="E39" s="108"/>
      <c r="F39" s="127"/>
      <c r="G39" s="128"/>
      <c r="H39" s="552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547"/>
      <c r="P39" s="547"/>
      <c r="Q39" s="547"/>
      <c r="R39" s="547"/>
      <c r="S39" s="547"/>
      <c r="T39" s="547"/>
      <c r="U39" s="547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544" t="s">
        <v>208</v>
      </c>
      <c r="C40" s="126" t="s">
        <v>186</v>
      </c>
      <c r="D40" s="108">
        <v>5.08</v>
      </c>
      <c r="E40" s="108"/>
      <c r="F40" s="127"/>
      <c r="G40" s="128"/>
      <c r="H40" s="552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547"/>
      <c r="P40" s="547"/>
      <c r="Q40" s="547"/>
      <c r="R40" s="547"/>
      <c r="S40" s="547"/>
      <c r="T40" s="547"/>
      <c r="U40" s="547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544" t="s">
        <v>208</v>
      </c>
      <c r="C41" s="126" t="s">
        <v>203</v>
      </c>
      <c r="D41" s="108">
        <v>5.08</v>
      </c>
      <c r="E41" s="108"/>
      <c r="F41" s="127"/>
      <c r="G41" s="128"/>
      <c r="H41" s="552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547"/>
      <c r="P41" s="547"/>
      <c r="Q41" s="547"/>
      <c r="R41" s="547"/>
      <c r="S41" s="547"/>
      <c r="T41" s="547"/>
      <c r="U41" s="547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544" t="s">
        <v>208</v>
      </c>
      <c r="C42" s="126" t="s">
        <v>199</v>
      </c>
      <c r="D42" s="108">
        <v>5.08</v>
      </c>
      <c r="E42" s="108"/>
      <c r="F42" s="127"/>
      <c r="G42" s="128"/>
      <c r="H42" s="552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543"/>
      <c r="P42" s="543"/>
      <c r="Q42" s="543"/>
      <c r="R42" s="543"/>
      <c r="S42" s="543"/>
      <c r="T42" s="543"/>
      <c r="U42" s="543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544" t="s">
        <v>208</v>
      </c>
      <c r="C43" s="126" t="s">
        <v>187</v>
      </c>
      <c r="D43" s="108">
        <v>5.08</v>
      </c>
      <c r="E43" s="108"/>
      <c r="F43" s="127"/>
      <c r="G43" s="128"/>
      <c r="H43" s="552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547"/>
      <c r="P43" s="547"/>
      <c r="Q43" s="547"/>
      <c r="R43" s="547"/>
      <c r="S43" s="547"/>
      <c r="T43" s="547"/>
      <c r="U43" s="547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544" t="s">
        <v>208</v>
      </c>
      <c r="C44" s="126" t="s">
        <v>207</v>
      </c>
      <c r="D44" s="108">
        <v>5.08</v>
      </c>
      <c r="E44" s="108"/>
      <c r="F44" s="127"/>
      <c r="G44" s="128"/>
      <c r="H44" s="552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543"/>
      <c r="P44" s="543"/>
      <c r="Q44" s="543"/>
      <c r="R44" s="543"/>
      <c r="S44" s="543"/>
      <c r="T44" s="543"/>
      <c r="U44" s="543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544" t="s">
        <v>209</v>
      </c>
      <c r="C45" s="126" t="s">
        <v>194</v>
      </c>
      <c r="D45" s="108">
        <v>5.03</v>
      </c>
      <c r="E45" s="108"/>
      <c r="F45" s="127"/>
      <c r="G45" s="128"/>
      <c r="H45" s="552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547"/>
      <c r="P45" s="547"/>
      <c r="Q45" s="547"/>
      <c r="R45" s="547"/>
      <c r="S45" s="547"/>
      <c r="T45" s="547"/>
      <c r="U45" s="547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544" t="s">
        <v>209</v>
      </c>
      <c r="C46" s="126" t="s">
        <v>179</v>
      </c>
      <c r="D46" s="108">
        <v>5.03</v>
      </c>
      <c r="E46" s="108"/>
      <c r="F46" s="127"/>
      <c r="G46" s="128"/>
      <c r="H46" s="552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547"/>
      <c r="P46" s="547"/>
      <c r="Q46" s="547"/>
      <c r="R46" s="547"/>
      <c r="S46" s="547"/>
      <c r="T46" s="547"/>
      <c r="U46" s="547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544" t="s">
        <v>209</v>
      </c>
      <c r="C47" s="126" t="s">
        <v>195</v>
      </c>
      <c r="D47" s="108">
        <v>5.03</v>
      </c>
      <c r="E47" s="108"/>
      <c r="F47" s="127"/>
      <c r="G47" s="128"/>
      <c r="H47" s="552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547"/>
      <c r="P47" s="547"/>
      <c r="Q47" s="547"/>
      <c r="R47" s="547"/>
      <c r="S47" s="547"/>
      <c r="T47" s="547"/>
      <c r="U47" s="547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544" t="s">
        <v>209</v>
      </c>
      <c r="C48" s="126" t="s">
        <v>204</v>
      </c>
      <c r="D48" s="108">
        <v>5.03</v>
      </c>
      <c r="E48" s="108"/>
      <c r="F48" s="127"/>
      <c r="G48" s="128"/>
      <c r="H48" s="552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547"/>
      <c r="P48" s="547"/>
      <c r="Q48" s="547"/>
      <c r="R48" s="547"/>
      <c r="S48" s="547"/>
      <c r="T48" s="547"/>
      <c r="U48" s="547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544" t="s">
        <v>382</v>
      </c>
      <c r="C49" s="187" t="s">
        <v>383</v>
      </c>
      <c r="D49" s="108">
        <v>5.03</v>
      </c>
      <c r="E49" s="108"/>
      <c r="F49" s="127"/>
      <c r="G49" s="128"/>
      <c r="H49" s="552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547"/>
      <c r="P49" s="547"/>
      <c r="Q49" s="547"/>
      <c r="R49" s="547"/>
      <c r="S49" s="547"/>
      <c r="T49" s="547"/>
      <c r="U49" s="547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544" t="s">
        <v>382</v>
      </c>
      <c r="C50" s="187" t="s">
        <v>384</v>
      </c>
      <c r="D50" s="108">
        <v>5.03</v>
      </c>
      <c r="E50" s="108"/>
      <c r="F50" s="127"/>
      <c r="G50" s="128"/>
      <c r="H50" s="552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547"/>
      <c r="P50" s="547"/>
      <c r="Q50" s="547"/>
      <c r="R50" s="547"/>
      <c r="S50" s="547"/>
      <c r="T50" s="547"/>
      <c r="U50" s="547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544" t="s">
        <v>382</v>
      </c>
      <c r="C51" s="187" t="s">
        <v>389</v>
      </c>
      <c r="D51" s="108">
        <v>5.03</v>
      </c>
      <c r="E51" s="108"/>
      <c r="F51" s="127"/>
      <c r="G51" s="128"/>
      <c r="H51" s="552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547"/>
      <c r="P51" s="547"/>
      <c r="Q51" s="547"/>
      <c r="R51" s="547"/>
      <c r="S51" s="547"/>
      <c r="T51" s="547"/>
      <c r="U51" s="547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544" t="s">
        <v>382</v>
      </c>
      <c r="C52" s="187" t="s">
        <v>391</v>
      </c>
      <c r="D52" s="108">
        <v>5.03</v>
      </c>
      <c r="E52" s="108"/>
      <c r="F52" s="127"/>
      <c r="G52" s="128"/>
      <c r="H52" s="552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547"/>
      <c r="P52" s="547"/>
      <c r="Q52" s="547"/>
      <c r="R52" s="547"/>
      <c r="S52" s="547"/>
      <c r="T52" s="547"/>
      <c r="U52" s="547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544" t="s">
        <v>418</v>
      </c>
      <c r="C53" s="187" t="s">
        <v>364</v>
      </c>
      <c r="D53" s="108">
        <v>5.03</v>
      </c>
      <c r="E53" s="108"/>
      <c r="F53" s="127"/>
      <c r="G53" s="128"/>
      <c r="H53" s="552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547"/>
      <c r="P53" s="547"/>
      <c r="Q53" s="547"/>
      <c r="R53" s="547"/>
      <c r="S53" s="547"/>
      <c r="T53" s="547"/>
      <c r="U53" s="547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544" t="s">
        <v>418</v>
      </c>
      <c r="C54" s="187" t="s">
        <v>365</v>
      </c>
      <c r="D54" s="108">
        <v>5.03</v>
      </c>
      <c r="E54" s="108"/>
      <c r="F54" s="127"/>
      <c r="G54" s="128"/>
      <c r="H54" s="552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547"/>
      <c r="P54" s="547"/>
      <c r="Q54" s="547"/>
      <c r="R54" s="547"/>
      <c r="S54" s="547"/>
      <c r="T54" s="547"/>
      <c r="U54" s="547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544" t="s">
        <v>418</v>
      </c>
      <c r="C55" s="187" t="s">
        <v>366</v>
      </c>
      <c r="D55" s="108">
        <v>5.03</v>
      </c>
      <c r="E55" s="108"/>
      <c r="F55" s="127"/>
      <c r="G55" s="128"/>
      <c r="H55" s="552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547"/>
      <c r="P55" s="547"/>
      <c r="Q55" s="547"/>
      <c r="R55" s="547"/>
      <c r="S55" s="547"/>
      <c r="T55" s="547"/>
      <c r="U55" s="547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544" t="s">
        <v>418</v>
      </c>
      <c r="C56" s="187" t="s">
        <v>367</v>
      </c>
      <c r="D56" s="108">
        <v>5.03</v>
      </c>
      <c r="E56" s="108"/>
      <c r="F56" s="127"/>
      <c r="G56" s="128"/>
      <c r="H56" s="552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547"/>
      <c r="P56" s="547"/>
      <c r="Q56" s="547"/>
      <c r="R56" s="547"/>
      <c r="S56" s="547"/>
      <c r="T56" s="547"/>
      <c r="U56" s="547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552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543"/>
      <c r="P57" s="543"/>
      <c r="Q57" s="543"/>
      <c r="R57" s="543"/>
      <c r="S57" s="543"/>
      <c r="T57" s="543"/>
      <c r="U57" s="543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552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543"/>
      <c r="P58" s="543"/>
      <c r="Q58" s="543"/>
      <c r="R58" s="543"/>
      <c r="S58" s="543"/>
      <c r="T58" s="543"/>
      <c r="U58" s="543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552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543"/>
      <c r="P59" s="543"/>
      <c r="Q59" s="543"/>
      <c r="R59" s="543"/>
      <c r="S59" s="543"/>
      <c r="T59" s="543"/>
      <c r="U59" s="543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552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543"/>
      <c r="P60" s="543"/>
      <c r="Q60" s="543"/>
      <c r="R60" s="543"/>
      <c r="S60" s="543"/>
      <c r="T60" s="543"/>
      <c r="U60" s="543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552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543"/>
      <c r="P61" s="543"/>
      <c r="Q61" s="543"/>
      <c r="R61" s="543"/>
      <c r="S61" s="543"/>
      <c r="T61" s="543"/>
      <c r="U61" s="543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552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543"/>
      <c r="P62" s="543"/>
      <c r="Q62" s="543"/>
      <c r="R62" s="543"/>
      <c r="S62" s="543"/>
      <c r="T62" s="543"/>
      <c r="U62" s="543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552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543"/>
      <c r="P63" s="543"/>
      <c r="Q63" s="543"/>
      <c r="R63" s="543"/>
      <c r="S63" s="543"/>
      <c r="T63" s="543"/>
      <c r="U63" s="543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552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543"/>
      <c r="P64" s="543"/>
      <c r="Q64" s="543"/>
      <c r="R64" s="543"/>
      <c r="S64" s="543"/>
      <c r="T64" s="543"/>
      <c r="U64" s="543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>
        <v>42723</v>
      </c>
      <c r="G65" s="128">
        <f>90*2+79+90</f>
        <v>349</v>
      </c>
      <c r="H65" s="552">
        <f t="shared" si="11"/>
        <v>1755.47</v>
      </c>
      <c r="I65" s="129">
        <v>4.5</v>
      </c>
      <c r="J65" s="130">
        <f t="array" ref="J65">IF(ISERROR(G65/I65),"",G65/I65)</f>
        <v>77.555555555555557</v>
      </c>
      <c r="K65" s="131">
        <f t="array" ref="K65">IF(ISERROR(G65/L65),"",G65/L65)</f>
        <v>6.98</v>
      </c>
      <c r="L65" s="129">
        <v>50</v>
      </c>
      <c r="M65" s="109">
        <f t="shared" si="19"/>
        <v>-2.4800000000000004</v>
      </c>
      <c r="N65" s="130">
        <f t="shared" si="23"/>
        <v>0</v>
      </c>
      <c r="O65" s="543"/>
      <c r="P65" s="543"/>
      <c r="Q65" s="543"/>
      <c r="R65" s="543"/>
      <c r="S65" s="543"/>
      <c r="T65" s="543"/>
      <c r="U65" s="543"/>
      <c r="V65" s="132">
        <f t="shared" si="24"/>
        <v>0</v>
      </c>
      <c r="W65" s="133">
        <f t="shared" si="25"/>
        <v>0</v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552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543"/>
      <c r="P66" s="543"/>
      <c r="Q66" s="543"/>
      <c r="R66" s="543"/>
      <c r="S66" s="543"/>
      <c r="T66" s="543"/>
      <c r="U66" s="543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>
        <v>42723</v>
      </c>
      <c r="G67" s="128">
        <f>90*5+46</f>
        <v>496</v>
      </c>
      <c r="H67" s="552">
        <f t="shared" si="11"/>
        <v>2494.88</v>
      </c>
      <c r="I67" s="129">
        <v>6</v>
      </c>
      <c r="J67" s="130">
        <f t="array" ref="J67">IF(ISERROR(G67/I67),"",G67/I67)</f>
        <v>82.666666666666671</v>
      </c>
      <c r="K67" s="131">
        <f t="array" ref="K67">IF(ISERROR(G67/L67),"",G67/L67)</f>
        <v>9.92</v>
      </c>
      <c r="L67" s="129">
        <v>50</v>
      </c>
      <c r="M67" s="109">
        <f t="shared" si="19"/>
        <v>-3.92</v>
      </c>
      <c r="N67" s="130"/>
      <c r="O67" s="543"/>
      <c r="P67" s="543"/>
      <c r="Q67" s="543"/>
      <c r="R67" s="543"/>
      <c r="S67" s="543"/>
      <c r="T67" s="543"/>
      <c r="U67" s="543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552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543"/>
      <c r="P68" s="543"/>
      <c r="Q68" s="543"/>
      <c r="R68" s="543"/>
      <c r="S68" s="543"/>
      <c r="T68" s="543"/>
      <c r="U68" s="543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552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543"/>
      <c r="P69" s="543"/>
      <c r="Q69" s="543"/>
      <c r="R69" s="543"/>
      <c r="S69" s="543"/>
      <c r="T69" s="543"/>
      <c r="U69" s="543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552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543"/>
      <c r="P70" s="543"/>
      <c r="Q70" s="543"/>
      <c r="R70" s="543"/>
      <c r="S70" s="543"/>
      <c r="T70" s="543"/>
      <c r="U70" s="543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552">
        <f t="shared" si="11"/>
        <v>0</v>
      </c>
      <c r="I71" s="129"/>
      <c r="J71" s="130"/>
      <c r="K71" s="131"/>
      <c r="L71" s="129"/>
      <c r="M71" s="109"/>
      <c r="N71" s="130"/>
      <c r="O71" s="543"/>
      <c r="P71" s="543"/>
      <c r="Q71" s="543"/>
      <c r="R71" s="543"/>
      <c r="S71" s="543"/>
      <c r="T71" s="543"/>
      <c r="U71" s="543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552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543"/>
      <c r="P72" s="543"/>
      <c r="Q72" s="543"/>
      <c r="R72" s="543"/>
      <c r="S72" s="543"/>
      <c r="T72" s="543"/>
      <c r="U72" s="543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552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543"/>
      <c r="P73" s="543"/>
      <c r="Q73" s="543"/>
      <c r="R73" s="543"/>
      <c r="S73" s="543"/>
      <c r="T73" s="543"/>
      <c r="U73" s="543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552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543"/>
      <c r="P74" s="543"/>
      <c r="Q74" s="543"/>
      <c r="R74" s="543"/>
      <c r="S74" s="543"/>
      <c r="T74" s="543"/>
      <c r="U74" s="543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552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543"/>
      <c r="P75" s="543"/>
      <c r="Q75" s="543"/>
      <c r="R75" s="543"/>
      <c r="S75" s="543"/>
      <c r="T75" s="543"/>
      <c r="U75" s="543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552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543"/>
      <c r="P76" s="543"/>
      <c r="Q76" s="543"/>
      <c r="R76" s="543"/>
      <c r="S76" s="543"/>
      <c r="T76" s="543"/>
      <c r="U76" s="543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552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543"/>
      <c r="P77" s="543"/>
      <c r="Q77" s="543"/>
      <c r="R77" s="543"/>
      <c r="S77" s="543"/>
      <c r="T77" s="543"/>
      <c r="U77" s="543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552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543"/>
      <c r="P78" s="543"/>
      <c r="Q78" s="543"/>
      <c r="R78" s="543"/>
      <c r="S78" s="543"/>
      <c r="T78" s="543"/>
      <c r="U78" s="543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552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543"/>
      <c r="P79" s="543"/>
      <c r="Q79" s="543"/>
      <c r="R79" s="543"/>
      <c r="S79" s="543"/>
      <c r="T79" s="543"/>
      <c r="U79" s="543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552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543"/>
      <c r="P80" s="543"/>
      <c r="Q80" s="543"/>
      <c r="R80" s="543"/>
      <c r="S80" s="543"/>
      <c r="T80" s="543"/>
      <c r="U80" s="543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552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543"/>
      <c r="P81" s="543"/>
      <c r="Q81" s="543"/>
      <c r="R81" s="543"/>
      <c r="S81" s="543"/>
      <c r="T81" s="543"/>
      <c r="U81" s="543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552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543"/>
      <c r="P82" s="543"/>
      <c r="Q82" s="543"/>
      <c r="R82" s="543"/>
      <c r="S82" s="543"/>
      <c r="T82" s="543"/>
      <c r="U82" s="543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552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543"/>
      <c r="P83" s="543"/>
      <c r="Q83" s="543"/>
      <c r="R83" s="543"/>
      <c r="S83" s="543"/>
      <c r="T83" s="543"/>
      <c r="U83" s="543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552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543"/>
      <c r="P84" s="543"/>
      <c r="Q84" s="543"/>
      <c r="R84" s="543"/>
      <c r="S84" s="543"/>
      <c r="T84" s="543"/>
      <c r="U84" s="543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552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543"/>
      <c r="P85" s="543"/>
      <c r="Q85" s="543"/>
      <c r="R85" s="543"/>
      <c r="S85" s="543"/>
      <c r="T85" s="543"/>
      <c r="U85" s="543"/>
      <c r="V85" s="132"/>
      <c r="W85" s="133"/>
      <c r="X85" s="132"/>
      <c r="Y85" s="132"/>
      <c r="Z85" s="132"/>
      <c r="AA85" s="132"/>
    </row>
    <row r="86" spans="1:27" ht="20.100000000000001" customHeight="1">
      <c r="A86" s="641" t="s">
        <v>216</v>
      </c>
      <c r="B86" s="641"/>
      <c r="C86" s="550" t="s">
        <v>202</v>
      </c>
      <c r="D86" s="143"/>
      <c r="E86" s="143"/>
      <c r="F86" s="144"/>
      <c r="G86" s="145">
        <f>SUM(G29:G85)</f>
        <v>1458</v>
      </c>
      <c r="H86" s="146">
        <f>SUM(H29:H85)</f>
        <v>7333.7400000000007</v>
      </c>
      <c r="I86" s="146">
        <f>SUM(I29:I85)</f>
        <v>21.5</v>
      </c>
      <c r="J86" s="130">
        <f t="array" ref="J86">IF(ISERROR(G86/I86),"",G86/I86)</f>
        <v>67.813953488372093</v>
      </c>
      <c r="K86" s="146">
        <f>SUM(K29:K85)</f>
        <v>28.688461538461539</v>
      </c>
      <c r="L86" s="147"/>
      <c r="M86" s="150">
        <f t="shared" ref="M86:V86" si="34">SUM(M29:M85)</f>
        <v>-7.1884615384615387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544" t="s">
        <v>217</v>
      </c>
      <c r="C87" s="126" t="s">
        <v>179</v>
      </c>
      <c r="D87" s="108">
        <v>5.03</v>
      </c>
      <c r="E87" s="108"/>
      <c r="F87" s="127"/>
      <c r="G87" s="128"/>
      <c r="H87" s="552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543"/>
      <c r="P87" s="543"/>
      <c r="Q87" s="543"/>
      <c r="R87" s="543"/>
      <c r="S87" s="543"/>
      <c r="T87" s="543"/>
      <c r="U87" s="543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544" t="s">
        <v>217</v>
      </c>
      <c r="C88" s="126" t="s">
        <v>186</v>
      </c>
      <c r="D88" s="108">
        <v>5.03</v>
      </c>
      <c r="E88" s="108"/>
      <c r="F88" s="127"/>
      <c r="G88" s="128"/>
      <c r="H88" s="552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543"/>
      <c r="P88" s="543"/>
      <c r="Q88" s="543"/>
      <c r="R88" s="543"/>
      <c r="S88" s="543"/>
      <c r="T88" s="543"/>
      <c r="U88" s="543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544" t="s">
        <v>217</v>
      </c>
      <c r="C89" s="126" t="s">
        <v>204</v>
      </c>
      <c r="D89" s="108">
        <v>5.03</v>
      </c>
      <c r="E89" s="108"/>
      <c r="F89" s="127"/>
      <c r="G89" s="128"/>
      <c r="H89" s="552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543"/>
      <c r="P89" s="543"/>
      <c r="Q89" s="543"/>
      <c r="R89" s="543"/>
      <c r="S89" s="543"/>
      <c r="T89" s="543"/>
      <c r="U89" s="543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552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543"/>
      <c r="P90" s="543"/>
      <c r="Q90" s="543"/>
      <c r="R90" s="543"/>
      <c r="S90" s="543"/>
      <c r="T90" s="543"/>
      <c r="U90" s="543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552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543"/>
      <c r="P91" s="543"/>
      <c r="Q91" s="543"/>
      <c r="R91" s="543"/>
      <c r="S91" s="543"/>
      <c r="T91" s="543"/>
      <c r="U91" s="543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552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543"/>
      <c r="P92" s="543"/>
      <c r="Q92" s="543"/>
      <c r="R92" s="543"/>
      <c r="S92" s="543"/>
      <c r="T92" s="543"/>
      <c r="U92" s="543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552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543"/>
      <c r="P93" s="543"/>
      <c r="Q93" s="543"/>
      <c r="R93" s="543"/>
      <c r="S93" s="543"/>
      <c r="T93" s="543"/>
      <c r="U93" s="543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552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543"/>
      <c r="P94" s="543"/>
      <c r="Q94" s="543"/>
      <c r="R94" s="543"/>
      <c r="S94" s="543"/>
      <c r="T94" s="543"/>
      <c r="U94" s="543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552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543"/>
      <c r="P95" s="543"/>
      <c r="Q95" s="543"/>
      <c r="R95" s="543"/>
      <c r="S95" s="543"/>
      <c r="T95" s="543"/>
      <c r="U95" s="543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552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543"/>
      <c r="P96" s="543"/>
      <c r="Q96" s="543"/>
      <c r="R96" s="543"/>
      <c r="S96" s="543"/>
      <c r="T96" s="543"/>
      <c r="U96" s="543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552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543"/>
      <c r="P97" s="543"/>
      <c r="Q97" s="543"/>
      <c r="R97" s="543"/>
      <c r="S97" s="543"/>
      <c r="T97" s="543"/>
      <c r="U97" s="543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552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543"/>
      <c r="P98" s="543"/>
      <c r="Q98" s="543"/>
      <c r="R98" s="543"/>
      <c r="S98" s="543"/>
      <c r="T98" s="543"/>
      <c r="U98" s="543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552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543"/>
      <c r="P99" s="543"/>
      <c r="Q99" s="543"/>
      <c r="R99" s="543"/>
      <c r="S99" s="543"/>
      <c r="T99" s="543"/>
      <c r="U99" s="543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552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543"/>
      <c r="P100" s="543"/>
      <c r="Q100" s="543"/>
      <c r="R100" s="543"/>
      <c r="S100" s="543"/>
      <c r="T100" s="543"/>
      <c r="U100" s="543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552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543"/>
      <c r="P101" s="543"/>
      <c r="Q101" s="543"/>
      <c r="R101" s="543"/>
      <c r="S101" s="543"/>
      <c r="T101" s="543"/>
      <c r="U101" s="543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552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543"/>
      <c r="P102" s="543"/>
      <c r="Q102" s="543"/>
      <c r="R102" s="543"/>
      <c r="S102" s="543"/>
      <c r="T102" s="543"/>
      <c r="U102" s="543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544" t="s">
        <v>222</v>
      </c>
      <c r="C103" s="126" t="s">
        <v>181</v>
      </c>
      <c r="D103" s="108">
        <v>10.199999999999999</v>
      </c>
      <c r="E103" s="108"/>
      <c r="F103" s="127"/>
      <c r="G103" s="128"/>
      <c r="H103" s="552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543"/>
      <c r="P103" s="543"/>
      <c r="Q103" s="543"/>
      <c r="R103" s="543"/>
      <c r="S103" s="543"/>
      <c r="T103" s="543"/>
      <c r="U103" s="543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544" t="s">
        <v>222</v>
      </c>
      <c r="C104" s="126" t="s">
        <v>179</v>
      </c>
      <c r="D104" s="108">
        <v>10.199999999999999</v>
      </c>
      <c r="E104" s="108"/>
      <c r="F104" s="127"/>
      <c r="G104" s="128"/>
      <c r="H104" s="552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543"/>
      <c r="P104" s="543"/>
      <c r="Q104" s="543"/>
      <c r="R104" s="543"/>
      <c r="S104" s="543"/>
      <c r="T104" s="543"/>
      <c r="U104" s="543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544" t="s">
        <v>222</v>
      </c>
      <c r="C105" s="126" t="s">
        <v>221</v>
      </c>
      <c r="D105" s="108">
        <v>10.199999999999999</v>
      </c>
      <c r="E105" s="108"/>
      <c r="F105" s="127"/>
      <c r="G105" s="128"/>
      <c r="H105" s="552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543"/>
      <c r="P105" s="543"/>
      <c r="Q105" s="543"/>
      <c r="R105" s="543"/>
      <c r="S105" s="543"/>
      <c r="T105" s="543"/>
      <c r="U105" s="543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544" t="s">
        <v>222</v>
      </c>
      <c r="C106" s="126" t="s">
        <v>186</v>
      </c>
      <c r="D106" s="108">
        <v>10.199999999999999</v>
      </c>
      <c r="E106" s="108"/>
      <c r="F106" s="127"/>
      <c r="G106" s="128"/>
      <c r="H106" s="552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543"/>
      <c r="P106" s="543"/>
      <c r="Q106" s="543"/>
      <c r="R106" s="543"/>
      <c r="S106" s="543"/>
      <c r="T106" s="543"/>
      <c r="U106" s="543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544" t="s">
        <v>393</v>
      </c>
      <c r="C107" s="187" t="s">
        <v>395</v>
      </c>
      <c r="D107" s="108">
        <v>5</v>
      </c>
      <c r="E107" s="108"/>
      <c r="F107" s="127"/>
      <c r="G107" s="128"/>
      <c r="H107" s="552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543"/>
      <c r="P107" s="543"/>
      <c r="Q107" s="543"/>
      <c r="R107" s="543"/>
      <c r="S107" s="543"/>
      <c r="T107" s="543"/>
      <c r="U107" s="543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544" t="s">
        <v>393</v>
      </c>
      <c r="C108" s="187" t="s">
        <v>402</v>
      </c>
      <c r="D108" s="108">
        <v>5</v>
      </c>
      <c r="E108" s="108"/>
      <c r="F108" s="127"/>
      <c r="G108" s="128"/>
      <c r="H108" s="552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543"/>
      <c r="P108" s="543"/>
      <c r="Q108" s="543"/>
      <c r="R108" s="543"/>
      <c r="S108" s="543"/>
      <c r="T108" s="543"/>
      <c r="U108" s="543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544" t="s">
        <v>404</v>
      </c>
      <c r="C109" s="187" t="s">
        <v>405</v>
      </c>
      <c r="D109" s="108">
        <v>5</v>
      </c>
      <c r="E109" s="108"/>
      <c r="F109" s="127"/>
      <c r="G109" s="128"/>
      <c r="H109" s="552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543"/>
      <c r="P109" s="543"/>
      <c r="Q109" s="543"/>
      <c r="R109" s="543"/>
      <c r="S109" s="543"/>
      <c r="T109" s="543"/>
      <c r="U109" s="543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544" t="s">
        <v>492</v>
      </c>
      <c r="C110" s="187" t="s">
        <v>372</v>
      </c>
      <c r="D110" s="108">
        <v>5</v>
      </c>
      <c r="E110" s="108"/>
      <c r="F110" s="127"/>
      <c r="G110" s="128"/>
      <c r="H110" s="552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543"/>
      <c r="P110" s="543"/>
      <c r="Q110" s="543"/>
      <c r="R110" s="543"/>
      <c r="S110" s="543"/>
      <c r="T110" s="543"/>
      <c r="U110" s="543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544" t="s">
        <v>343</v>
      </c>
      <c r="C111" s="126" t="s">
        <v>345</v>
      </c>
      <c r="D111" s="108">
        <v>5</v>
      </c>
      <c r="E111" s="108"/>
      <c r="F111" s="127"/>
      <c r="G111" s="128"/>
      <c r="H111" s="552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543"/>
      <c r="P111" s="543"/>
      <c r="Q111" s="543"/>
      <c r="R111" s="543"/>
      <c r="S111" s="543"/>
      <c r="T111" s="543"/>
      <c r="U111" s="543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544" t="s">
        <v>343</v>
      </c>
      <c r="C112" s="126" t="s">
        <v>347</v>
      </c>
      <c r="D112" s="108">
        <v>5</v>
      </c>
      <c r="E112" s="108"/>
      <c r="F112" s="127"/>
      <c r="G112" s="128"/>
      <c r="H112" s="552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543"/>
      <c r="P112" s="543"/>
      <c r="Q112" s="543"/>
      <c r="R112" s="543"/>
      <c r="S112" s="543"/>
      <c r="T112" s="543"/>
      <c r="U112" s="543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552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543"/>
      <c r="P113" s="543"/>
      <c r="Q113" s="543"/>
      <c r="R113" s="543"/>
      <c r="S113" s="543"/>
      <c r="T113" s="543"/>
      <c r="U113" s="543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552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543"/>
      <c r="P114" s="543"/>
      <c r="Q114" s="543"/>
      <c r="R114" s="543"/>
      <c r="S114" s="543"/>
      <c r="T114" s="543"/>
      <c r="U114" s="543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552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543"/>
      <c r="P115" s="543"/>
      <c r="Q115" s="543"/>
      <c r="R115" s="543"/>
      <c r="S115" s="543"/>
      <c r="T115" s="543"/>
      <c r="U115" s="543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552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543"/>
      <c r="P116" s="543"/>
      <c r="Q116" s="543"/>
      <c r="R116" s="543"/>
      <c r="S116" s="543"/>
      <c r="T116" s="543"/>
      <c r="U116" s="543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552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543"/>
      <c r="P117" s="543"/>
      <c r="Q117" s="543"/>
      <c r="R117" s="543"/>
      <c r="S117" s="543"/>
      <c r="T117" s="543"/>
      <c r="U117" s="543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552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543"/>
      <c r="P118" s="543"/>
      <c r="Q118" s="543"/>
      <c r="R118" s="543"/>
      <c r="S118" s="543"/>
      <c r="T118" s="543"/>
      <c r="U118" s="543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552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543"/>
      <c r="P119" s="543"/>
      <c r="Q119" s="543"/>
      <c r="R119" s="543"/>
      <c r="S119" s="543"/>
      <c r="T119" s="543"/>
      <c r="U119" s="543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552">
        <f t="shared" si="36"/>
        <v>0</v>
      </c>
      <c r="I120" s="129"/>
      <c r="J120" s="130" t="str">
        <f t="array" ref="J120">IF(ISERROR(G120/I120),"",G120/I120)</f>
        <v/>
      </c>
      <c r="K120" s="552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543"/>
      <c r="P120" s="543"/>
      <c r="Q120" s="543"/>
      <c r="R120" s="543"/>
      <c r="S120" s="543"/>
      <c r="T120" s="543"/>
      <c r="U120" s="543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hidden="1" customHeight="1">
      <c r="A121" s="630" t="s">
        <v>224</v>
      </c>
      <c r="B121" s="631"/>
      <c r="C121" s="550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50">SUM(M87:M120)</f>
        <v>0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 t="str">
        <f t="shared" si="49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>
        <v>42723</v>
      </c>
      <c r="G122" s="128">
        <f>70+90+90</f>
        <v>250</v>
      </c>
      <c r="H122" s="552">
        <f t="shared" ref="H122:H136" si="51">D122*G122</f>
        <v>1257.5</v>
      </c>
      <c r="I122" s="129">
        <f>4.5*2</f>
        <v>9</v>
      </c>
      <c r="J122" s="130">
        <f t="array" ref="J122">IF(ISERROR(G122/I122),"",G122/I122)</f>
        <v>27.777777777777779</v>
      </c>
      <c r="K122" s="131">
        <f t="array" ref="K122">IF(ISERROR(G122/L122),"",G122/L122)</f>
        <v>10</v>
      </c>
      <c r="L122" s="129">
        <v>25</v>
      </c>
      <c r="M122" s="109">
        <f t="shared" ref="M122:M136" si="52">IF(ISERROR(I122-K122),"",I122-K122)</f>
        <v>-1</v>
      </c>
      <c r="N122" s="130">
        <f t="shared" ref="N122:N136" si="53">SUM(O122:U122)</f>
        <v>0</v>
      </c>
      <c r="O122" s="543"/>
      <c r="P122" s="543"/>
      <c r="Q122" s="543"/>
      <c r="R122" s="543"/>
      <c r="S122" s="543"/>
      <c r="T122" s="543"/>
      <c r="U122" s="543"/>
      <c r="V122" s="132">
        <f t="shared" ref="V122:V136" si="54">SUM(X122:AA122)</f>
        <v>0</v>
      </c>
      <c r="W122" s="133">
        <f t="shared" si="49"/>
        <v>0</v>
      </c>
      <c r="X122" s="132"/>
      <c r="Y122" s="132"/>
      <c r="Z122" s="132"/>
      <c r="AA122" s="132"/>
    </row>
    <row r="123" spans="1:27" ht="20.10000000000000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>
        <v>42723</v>
      </c>
      <c r="G123" s="128">
        <f>90*3+78</f>
        <v>348</v>
      </c>
      <c r="H123" s="552">
        <f t="shared" si="51"/>
        <v>1750.44</v>
      </c>
      <c r="I123" s="129">
        <f>7*2</f>
        <v>14</v>
      </c>
      <c r="J123" s="130">
        <f t="array" ref="J123">IF(ISERROR(G123/I123),"",G123/I123)</f>
        <v>24.857142857142858</v>
      </c>
      <c r="K123" s="131">
        <f t="array" ref="K123">IF(ISERROR(G123/L123),"",G123/L123)</f>
        <v>13.92</v>
      </c>
      <c r="L123" s="129">
        <v>25</v>
      </c>
      <c r="M123" s="109">
        <f t="shared" si="52"/>
        <v>8.0000000000000071E-2</v>
      </c>
      <c r="N123" s="130">
        <f t="shared" si="53"/>
        <v>0</v>
      </c>
      <c r="O123" s="543"/>
      <c r="P123" s="543"/>
      <c r="Q123" s="543"/>
      <c r="R123" s="543"/>
      <c r="S123" s="543"/>
      <c r="T123" s="543"/>
      <c r="U123" s="543"/>
      <c r="V123" s="132">
        <f t="shared" si="54"/>
        <v>0</v>
      </c>
      <c r="W123" s="133">
        <f t="shared" si="49"/>
        <v>0</v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552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543"/>
      <c r="P124" s="543"/>
      <c r="Q124" s="543"/>
      <c r="R124" s="543"/>
      <c r="S124" s="543"/>
      <c r="T124" s="543"/>
      <c r="U124" s="543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552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543"/>
      <c r="P125" s="543"/>
      <c r="Q125" s="543"/>
      <c r="R125" s="543"/>
      <c r="S125" s="543"/>
      <c r="T125" s="543"/>
      <c r="U125" s="543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548" t="s">
        <v>203</v>
      </c>
      <c r="D126" s="108">
        <v>5.03</v>
      </c>
      <c r="E126" s="108"/>
      <c r="F126" s="127"/>
      <c r="G126" s="128"/>
      <c r="H126" s="552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543"/>
      <c r="P126" s="543"/>
      <c r="Q126" s="543"/>
      <c r="R126" s="543"/>
      <c r="S126" s="543"/>
      <c r="T126" s="543"/>
      <c r="U126" s="543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552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543"/>
      <c r="P127" s="543"/>
      <c r="Q127" s="543"/>
      <c r="R127" s="543"/>
      <c r="S127" s="543"/>
      <c r="T127" s="543"/>
      <c r="U127" s="543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552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543"/>
      <c r="P128" s="543"/>
      <c r="Q128" s="543"/>
      <c r="R128" s="543"/>
      <c r="S128" s="543"/>
      <c r="T128" s="543"/>
      <c r="U128" s="543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548" t="s">
        <v>228</v>
      </c>
      <c r="D129" s="108">
        <v>5.03</v>
      </c>
      <c r="E129" s="108"/>
      <c r="F129" s="127"/>
      <c r="G129" s="128"/>
      <c r="H129" s="552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543"/>
      <c r="P129" s="543"/>
      <c r="Q129" s="543"/>
      <c r="R129" s="543"/>
      <c r="S129" s="543"/>
      <c r="T129" s="543"/>
      <c r="U129" s="543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548" t="s">
        <v>212</v>
      </c>
      <c r="D130" s="108">
        <v>5.03</v>
      </c>
      <c r="E130" s="108"/>
      <c r="F130" s="127"/>
      <c r="G130" s="128"/>
      <c r="H130" s="552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543"/>
      <c r="P130" s="543"/>
      <c r="Q130" s="543"/>
      <c r="R130" s="543"/>
      <c r="S130" s="543"/>
      <c r="T130" s="543"/>
      <c r="U130" s="543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548" t="s">
        <v>203</v>
      </c>
      <c r="D131" s="108">
        <v>5.03</v>
      </c>
      <c r="E131" s="108"/>
      <c r="F131" s="127"/>
      <c r="G131" s="128"/>
      <c r="H131" s="552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543"/>
      <c r="P131" s="543"/>
      <c r="Q131" s="543"/>
      <c r="R131" s="543"/>
      <c r="S131" s="543"/>
      <c r="T131" s="543"/>
      <c r="U131" s="543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548" t="s">
        <v>186</v>
      </c>
      <c r="D132" s="108">
        <v>5.03</v>
      </c>
      <c r="E132" s="108"/>
      <c r="F132" s="127"/>
      <c r="G132" s="128"/>
      <c r="H132" s="552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543"/>
      <c r="P132" s="543"/>
      <c r="Q132" s="543"/>
      <c r="R132" s="543"/>
      <c r="S132" s="543"/>
      <c r="T132" s="543"/>
      <c r="U132" s="543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548" t="s">
        <v>228</v>
      </c>
      <c r="D133" s="108">
        <v>5.03</v>
      </c>
      <c r="E133" s="108"/>
      <c r="F133" s="127"/>
      <c r="G133" s="128"/>
      <c r="H133" s="552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543"/>
      <c r="P133" s="543"/>
      <c r="Q133" s="543"/>
      <c r="R133" s="543"/>
      <c r="S133" s="543"/>
      <c r="T133" s="543"/>
      <c r="U133" s="543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548" t="s">
        <v>199</v>
      </c>
      <c r="D134" s="108">
        <v>5.03</v>
      </c>
      <c r="E134" s="108"/>
      <c r="F134" s="127"/>
      <c r="G134" s="128"/>
      <c r="H134" s="552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543"/>
      <c r="P134" s="543"/>
      <c r="Q134" s="543"/>
      <c r="R134" s="543"/>
      <c r="S134" s="543"/>
      <c r="T134" s="543"/>
      <c r="U134" s="543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552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543"/>
      <c r="P135" s="543"/>
      <c r="Q135" s="543"/>
      <c r="R135" s="543"/>
      <c r="S135" s="543"/>
      <c r="T135" s="543"/>
      <c r="U135" s="543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552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543"/>
      <c r="P136" s="543"/>
      <c r="Q136" s="543"/>
      <c r="R136" s="543"/>
      <c r="S136" s="543"/>
      <c r="T136" s="543"/>
      <c r="U136" s="543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630" t="s">
        <v>231</v>
      </c>
      <c r="B137" s="631"/>
      <c r="C137" s="550" t="s">
        <v>202</v>
      </c>
      <c r="D137" s="143"/>
      <c r="E137" s="143"/>
      <c r="F137" s="144"/>
      <c r="G137" s="145">
        <f>SUM(G122:G136)</f>
        <v>598</v>
      </c>
      <c r="H137" s="146">
        <f>SUM(H122:H136)</f>
        <v>3007.94</v>
      </c>
      <c r="I137" s="146">
        <f>SUM(I122:I136)</f>
        <v>23</v>
      </c>
      <c r="J137" s="130">
        <f t="array" ref="J137">IF(ISERROR(G137/I137),"",G137/I137)</f>
        <v>26</v>
      </c>
      <c r="K137" s="146">
        <f>SUM(K122:K136)</f>
        <v>23.92</v>
      </c>
      <c r="L137" s="147"/>
      <c r="M137" s="150">
        <f>SUM(M122:M136)</f>
        <v>-0.91999999999999993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552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543"/>
      <c r="P138" s="543"/>
      <c r="Q138" s="543"/>
      <c r="R138" s="543"/>
      <c r="S138" s="543"/>
      <c r="T138" s="543"/>
      <c r="U138" s="543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552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543"/>
      <c r="P139" s="543"/>
      <c r="Q139" s="543"/>
      <c r="R139" s="543"/>
      <c r="S139" s="543"/>
      <c r="T139" s="543"/>
      <c r="U139" s="543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552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543"/>
      <c r="P140" s="543"/>
      <c r="Q140" s="543"/>
      <c r="R140" s="543"/>
      <c r="S140" s="543"/>
      <c r="T140" s="543"/>
      <c r="U140" s="543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552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543"/>
      <c r="P141" s="543"/>
      <c r="Q141" s="543"/>
      <c r="R141" s="543"/>
      <c r="S141" s="543"/>
      <c r="T141" s="543"/>
      <c r="U141" s="543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552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543"/>
      <c r="P142" s="543"/>
      <c r="Q142" s="543"/>
      <c r="R142" s="543"/>
      <c r="S142" s="543"/>
      <c r="T142" s="543"/>
      <c r="U142" s="543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552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543"/>
      <c r="P143" s="543"/>
      <c r="Q143" s="543"/>
      <c r="R143" s="543"/>
      <c r="S143" s="543"/>
      <c r="T143" s="543"/>
      <c r="U143" s="543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552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543"/>
      <c r="P144" s="543"/>
      <c r="Q144" s="543"/>
      <c r="R144" s="543"/>
      <c r="S144" s="543"/>
      <c r="T144" s="543"/>
      <c r="U144" s="543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30040021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552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543"/>
      <c r="P145" s="543"/>
      <c r="Q145" s="543"/>
      <c r="R145" s="543"/>
      <c r="S145" s="543"/>
      <c r="T145" s="543"/>
      <c r="U145" s="543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552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543"/>
      <c r="P146" s="543"/>
      <c r="Q146" s="543"/>
      <c r="R146" s="543"/>
      <c r="S146" s="543"/>
      <c r="T146" s="543"/>
      <c r="U146" s="543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hidden="1" customHeight="1">
      <c r="A147" s="630" t="s">
        <v>234</v>
      </c>
      <c r="B147" s="631"/>
      <c r="C147" s="550" t="s">
        <v>202</v>
      </c>
      <c r="D147" s="143"/>
      <c r="E147" s="143"/>
      <c r="F147" s="144"/>
      <c r="G147" s="145">
        <f>SUM(G138:G146)</f>
        <v>0</v>
      </c>
      <c r="H147" s="146">
        <f>SUM(H138:H146)</f>
        <v>0</v>
      </c>
      <c r="I147" s="146">
        <f>SUM(I138:I146)</f>
        <v>0</v>
      </c>
      <c r="J147" s="130" t="str">
        <f t="array" ref="J147">IF(ISERROR(G147/I147),"",G147/I147)</f>
        <v/>
      </c>
      <c r="K147" s="146">
        <f>SUM(K138:K146)</f>
        <v>0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 t="str">
        <f t="shared" si="62"/>
        <v/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542"/>
      <c r="D148" s="108">
        <v>3.65</v>
      </c>
      <c r="E148" s="108"/>
      <c r="F148" s="153"/>
      <c r="G148" s="128"/>
      <c r="H148" s="552">
        <f t="shared" ref="H148:H161" si="63">D148*G148</f>
        <v>0</v>
      </c>
      <c r="I148" s="129"/>
      <c r="J148" s="130" t="str">
        <f t="array" ref="J148">IF(ISERROR(G148/I148),"",G148/I148)</f>
        <v/>
      </c>
      <c r="K148" s="552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543"/>
      <c r="P148" s="543"/>
      <c r="Q148" s="543"/>
      <c r="R148" s="543"/>
      <c r="S148" s="543"/>
      <c r="T148" s="543"/>
      <c r="U148" s="543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542"/>
      <c r="D149" s="108">
        <v>6.58</v>
      </c>
      <c r="E149" s="108"/>
      <c r="F149" s="127"/>
      <c r="G149" s="128"/>
      <c r="H149" s="552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543"/>
      <c r="P149" s="543"/>
      <c r="Q149" s="543"/>
      <c r="R149" s="543"/>
      <c r="S149" s="543"/>
      <c r="T149" s="543"/>
      <c r="U149" s="543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542"/>
      <c r="D150" s="108">
        <v>7.8</v>
      </c>
      <c r="E150" s="108"/>
      <c r="F150" s="127"/>
      <c r="G150" s="128"/>
      <c r="H150" s="552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543"/>
      <c r="P150" s="543"/>
      <c r="Q150" s="543"/>
      <c r="R150" s="543"/>
      <c r="S150" s="543"/>
      <c r="T150" s="543"/>
      <c r="U150" s="543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542"/>
      <c r="D151" s="108">
        <v>4.4000000000000004</v>
      </c>
      <c r="E151" s="108"/>
      <c r="F151" s="127"/>
      <c r="G151" s="128"/>
      <c r="H151" s="552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543"/>
      <c r="P151" s="543"/>
      <c r="Q151" s="543"/>
      <c r="R151" s="543"/>
      <c r="S151" s="543"/>
      <c r="T151" s="543"/>
      <c r="U151" s="543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552">
        <f t="shared" si="63"/>
        <v>0</v>
      </c>
      <c r="I152" s="129"/>
      <c r="J152" s="130"/>
      <c r="K152" s="131"/>
      <c r="L152" s="129">
        <v>6</v>
      </c>
      <c r="M152" s="109"/>
      <c r="N152" s="130"/>
      <c r="O152" s="543"/>
      <c r="P152" s="543"/>
      <c r="Q152" s="543"/>
      <c r="R152" s="543"/>
      <c r="S152" s="543"/>
      <c r="T152" s="543"/>
      <c r="U152" s="543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542" t="s">
        <v>239</v>
      </c>
      <c r="C153" s="542" t="s">
        <v>179</v>
      </c>
      <c r="D153" s="108">
        <v>6.04</v>
      </c>
      <c r="E153" s="108"/>
      <c r="F153" s="127"/>
      <c r="G153" s="128"/>
      <c r="H153" s="552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543"/>
      <c r="P153" s="543"/>
      <c r="Q153" s="543"/>
      <c r="R153" s="543"/>
      <c r="S153" s="543"/>
      <c r="T153" s="543"/>
      <c r="U153" s="543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542" t="s">
        <v>239</v>
      </c>
      <c r="C154" s="542" t="s">
        <v>186</v>
      </c>
      <c r="D154" s="108">
        <v>6.04</v>
      </c>
      <c r="E154" s="108"/>
      <c r="F154" s="127"/>
      <c r="G154" s="128"/>
      <c r="H154" s="552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543"/>
      <c r="P154" s="543"/>
      <c r="Q154" s="543"/>
      <c r="R154" s="543"/>
      <c r="S154" s="543"/>
      <c r="T154" s="543"/>
      <c r="U154" s="543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542" t="s">
        <v>443</v>
      </c>
      <c r="C155" s="542" t="s">
        <v>179</v>
      </c>
      <c r="D155" s="108">
        <v>6</v>
      </c>
      <c r="E155" s="108"/>
      <c r="F155" s="127"/>
      <c r="G155" s="128"/>
      <c r="H155" s="552">
        <f t="shared" si="63"/>
        <v>0</v>
      </c>
      <c r="I155" s="129"/>
      <c r="J155" s="130"/>
      <c r="K155" s="131"/>
      <c r="L155" s="129"/>
      <c r="M155" s="109"/>
      <c r="N155" s="130"/>
      <c r="O155" s="543"/>
      <c r="P155" s="543"/>
      <c r="Q155" s="543"/>
      <c r="R155" s="543"/>
      <c r="S155" s="543"/>
      <c r="T155" s="543"/>
      <c r="U155" s="543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542" t="s">
        <v>443</v>
      </c>
      <c r="C156" s="542" t="s">
        <v>60</v>
      </c>
      <c r="D156" s="108">
        <v>6</v>
      </c>
      <c r="E156" s="108"/>
      <c r="F156" s="127"/>
      <c r="G156" s="128"/>
      <c r="H156" s="552">
        <f t="shared" si="63"/>
        <v>0</v>
      </c>
      <c r="I156" s="129"/>
      <c r="J156" s="130"/>
      <c r="K156" s="131"/>
      <c r="L156" s="129">
        <v>6</v>
      </c>
      <c r="M156" s="109"/>
      <c r="N156" s="130"/>
      <c r="O156" s="543"/>
      <c r="P156" s="543"/>
      <c r="Q156" s="543"/>
      <c r="R156" s="543"/>
      <c r="S156" s="543"/>
      <c r="T156" s="543"/>
      <c r="U156" s="543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544" t="s">
        <v>240</v>
      </c>
      <c r="C157" s="126"/>
      <c r="D157" s="108">
        <v>7.3</v>
      </c>
      <c r="E157" s="108"/>
      <c r="F157" s="127"/>
      <c r="G157" s="128"/>
      <c r="H157" s="552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543"/>
      <c r="P157" s="543"/>
      <c r="Q157" s="543"/>
      <c r="R157" s="543"/>
      <c r="S157" s="543"/>
      <c r="T157" s="543"/>
      <c r="U157" s="543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544" t="s">
        <v>241</v>
      </c>
      <c r="C158" s="126"/>
      <c r="D158" s="108">
        <f>78*120/1000</f>
        <v>9.36</v>
      </c>
      <c r="E158" s="108"/>
      <c r="F158" s="127"/>
      <c r="G158" s="128"/>
      <c r="H158" s="552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543"/>
      <c r="P158" s="543"/>
      <c r="Q158" s="543"/>
      <c r="R158" s="543"/>
      <c r="S158" s="543"/>
      <c r="T158" s="543"/>
      <c r="U158" s="543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544" t="s">
        <v>242</v>
      </c>
      <c r="C159" s="126"/>
      <c r="D159" s="108">
        <v>4.5</v>
      </c>
      <c r="E159" s="108"/>
      <c r="F159" s="127"/>
      <c r="G159" s="128"/>
      <c r="H159" s="552">
        <f t="shared" si="63"/>
        <v>0</v>
      </c>
      <c r="I159" s="129"/>
      <c r="J159" s="130"/>
      <c r="K159" s="131"/>
      <c r="L159" s="129"/>
      <c r="M159" s="109"/>
      <c r="N159" s="130"/>
      <c r="O159" s="543"/>
      <c r="P159" s="543"/>
      <c r="Q159" s="543"/>
      <c r="R159" s="543"/>
      <c r="S159" s="543"/>
      <c r="T159" s="543"/>
      <c r="U159" s="543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544" t="s">
        <v>243</v>
      </c>
      <c r="C160" s="126"/>
      <c r="D160" s="108">
        <v>4.5</v>
      </c>
      <c r="E160" s="108"/>
      <c r="F160" s="127"/>
      <c r="G160" s="128"/>
      <c r="H160" s="552">
        <f t="shared" si="63"/>
        <v>0</v>
      </c>
      <c r="I160" s="129"/>
      <c r="J160" s="130"/>
      <c r="K160" s="131"/>
      <c r="L160" s="129"/>
      <c r="M160" s="109"/>
      <c r="N160" s="130"/>
      <c r="O160" s="543"/>
      <c r="P160" s="543"/>
      <c r="Q160" s="543"/>
      <c r="R160" s="543"/>
      <c r="S160" s="543"/>
      <c r="T160" s="543"/>
      <c r="U160" s="543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552">
        <f t="shared" si="63"/>
        <v>0</v>
      </c>
      <c r="I161" s="129"/>
      <c r="J161" s="130"/>
      <c r="K161" s="131"/>
      <c r="L161" s="129"/>
      <c r="M161" s="109"/>
      <c r="N161" s="130"/>
      <c r="O161" s="543"/>
      <c r="P161" s="543"/>
      <c r="Q161" s="543"/>
      <c r="R161" s="543"/>
      <c r="S161" s="543"/>
      <c r="T161" s="543"/>
      <c r="U161" s="543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630" t="s">
        <v>244</v>
      </c>
      <c r="B162" s="631"/>
      <c r="C162" s="550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32" t="s">
        <v>246</v>
      </c>
      <c r="B163" s="633"/>
      <c r="C163" s="633"/>
      <c r="D163" s="633"/>
      <c r="E163" s="633"/>
      <c r="F163" s="634"/>
      <c r="G163" s="154">
        <f>SUM(G28,G86,G121,G137,G147,G162)</f>
        <v>2705</v>
      </c>
      <c r="H163" s="154">
        <f>SUM(H28,H86,H121,H137,H147,H162)</f>
        <v>13612.640000000001</v>
      </c>
      <c r="I163" s="154">
        <f>SUM(I28,I86,I121,I137,I147,I162)</f>
        <v>67.5</v>
      </c>
      <c r="J163" s="155">
        <f t="array" ref="J163">IF(ISERROR(G163/I163),"",G163/I163)</f>
        <v>40.074074074074076</v>
      </c>
      <c r="K163" s="154">
        <f>SUM(K28,K86,K121,K137,K147,K162)</f>
        <v>90.78493212669683</v>
      </c>
      <c r="L163" s="155">
        <f>IF(ISERROR(G163/K163),"",G163/K163)</f>
        <v>29.79569336709951</v>
      </c>
      <c r="M163" s="154">
        <f t="shared" ref="M163:AA163" si="76">SUM(M28,M86,M121,M137,M147,M162)</f>
        <v>-23.284932126696837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635" t="s">
        <v>476</v>
      </c>
      <c r="B164" s="549" t="s">
        <v>247</v>
      </c>
      <c r="C164" s="638" t="s">
        <v>248</v>
      </c>
      <c r="D164" s="639"/>
      <c r="E164" s="640" t="s">
        <v>249</v>
      </c>
      <c r="F164" s="640"/>
      <c r="G164" s="643" t="s">
        <v>250</v>
      </c>
      <c r="H164" s="643"/>
      <c r="I164" s="640" t="s">
        <v>251</v>
      </c>
      <c r="J164" s="640"/>
      <c r="K164" s="640" t="s">
        <v>252</v>
      </c>
      <c r="L164" s="640"/>
      <c r="M164" s="640" t="s">
        <v>253</v>
      </c>
      <c r="N164" s="640"/>
      <c r="O164" s="640" t="s">
        <v>254</v>
      </c>
      <c r="P164" s="643" t="s">
        <v>255</v>
      </c>
      <c r="Q164" s="643"/>
      <c r="R164" s="643" t="s">
        <v>252</v>
      </c>
      <c r="S164" s="643"/>
      <c r="T164" s="643" t="s">
        <v>256</v>
      </c>
      <c r="U164" s="643"/>
      <c r="V164" s="643" t="s">
        <v>257</v>
      </c>
      <c r="W164" s="643"/>
      <c r="X164" s="643" t="s">
        <v>252</v>
      </c>
      <c r="Y164" s="643"/>
      <c r="Z164" s="643" t="s">
        <v>256</v>
      </c>
      <c r="AA164" s="643"/>
    </row>
    <row r="165" spans="1:27" ht="20.100000000000001" customHeight="1">
      <c r="A165" s="636"/>
      <c r="B165" s="549" t="s">
        <v>258</v>
      </c>
      <c r="C165" s="638">
        <v>1</v>
      </c>
      <c r="D165" s="639"/>
      <c r="E165" s="642">
        <f>C165*11</f>
        <v>11</v>
      </c>
      <c r="F165" s="642"/>
      <c r="G165" s="643">
        <v>1</v>
      </c>
      <c r="H165" s="643"/>
      <c r="I165" s="642">
        <f>G165*11</f>
        <v>11</v>
      </c>
      <c r="J165" s="642"/>
      <c r="K165" s="642">
        <f>E165-I165</f>
        <v>0</v>
      </c>
      <c r="L165" s="642"/>
      <c r="M165" s="644">
        <f>IF(ISERROR(K165/E165),"",K165/E165)</f>
        <v>0</v>
      </c>
      <c r="N165" s="644"/>
      <c r="O165" s="640"/>
      <c r="P165" s="643" t="s">
        <v>201</v>
      </c>
      <c r="Q165" s="643"/>
      <c r="R165" s="645">
        <f>SUM(O28:U28)</f>
        <v>0</v>
      </c>
      <c r="S165" s="645"/>
      <c r="T165" s="646" t="str">
        <f t="array" ref="T165">IF(ISERROR(R165/R172),"",R165/R172)</f>
        <v/>
      </c>
      <c r="U165" s="646"/>
      <c r="V165" s="643" t="s">
        <v>259</v>
      </c>
      <c r="W165" s="643"/>
      <c r="X165" s="647">
        <f>SUM(P27,P85,P120,P136,P146,P160)</f>
        <v>0</v>
      </c>
      <c r="Y165" s="647"/>
      <c r="Z165" s="646" t="str">
        <f t="array" ref="Z165">IF(ISERROR(X165/X172),"",X165/X172)</f>
        <v/>
      </c>
      <c r="AA165" s="646"/>
    </row>
    <row r="166" spans="1:27" ht="20.100000000000001" customHeight="1">
      <c r="A166" s="636"/>
      <c r="B166" s="549" t="s">
        <v>260</v>
      </c>
      <c r="C166" s="638">
        <v>1</v>
      </c>
      <c r="D166" s="639"/>
      <c r="E166" s="642">
        <f>C166*11</f>
        <v>11</v>
      </c>
      <c r="F166" s="642"/>
      <c r="G166" s="643">
        <v>1</v>
      </c>
      <c r="H166" s="643"/>
      <c r="I166" s="642">
        <f>G166*11</f>
        <v>11</v>
      </c>
      <c r="J166" s="642"/>
      <c r="K166" s="642">
        <f>E166-I166</f>
        <v>0</v>
      </c>
      <c r="L166" s="642"/>
      <c r="M166" s="644">
        <f>IF(ISERROR(K166/E166),"",K166/E166)</f>
        <v>0</v>
      </c>
      <c r="N166" s="644"/>
      <c r="O166" s="640"/>
      <c r="P166" s="643" t="s">
        <v>216</v>
      </c>
      <c r="Q166" s="643"/>
      <c r="R166" s="645">
        <f>SUM(O86:U86)</f>
        <v>0</v>
      </c>
      <c r="S166" s="645"/>
      <c r="T166" s="646" t="str">
        <f>IF(ISERROR(R166/R172),"",R166/R172)</f>
        <v/>
      </c>
      <c r="U166" s="646"/>
      <c r="V166" s="643" t="s">
        <v>261</v>
      </c>
      <c r="W166" s="643"/>
      <c r="X166" s="647">
        <f>SUM(P28,P86,P121,P137,P147,P162)</f>
        <v>0</v>
      </c>
      <c r="Y166" s="647"/>
      <c r="Z166" s="646" t="str">
        <f>IF(ISERROR(X166/X172),"",X166/X172)</f>
        <v/>
      </c>
      <c r="AA166" s="646"/>
    </row>
    <row r="167" spans="1:27" ht="20.100000000000001" customHeight="1">
      <c r="A167" s="636"/>
      <c r="B167" s="549" t="s">
        <v>262</v>
      </c>
      <c r="C167" s="638">
        <v>1</v>
      </c>
      <c r="D167" s="639"/>
      <c r="E167" s="642">
        <f>C167*8</f>
        <v>8</v>
      </c>
      <c r="F167" s="642"/>
      <c r="G167" s="643">
        <v>1</v>
      </c>
      <c r="H167" s="643"/>
      <c r="I167" s="642">
        <f>G167*8</f>
        <v>8</v>
      </c>
      <c r="J167" s="642"/>
      <c r="K167" s="642">
        <f>E167-I167</f>
        <v>0</v>
      </c>
      <c r="L167" s="642"/>
      <c r="M167" s="644">
        <f>IF(ISERROR(K167/E167),"",K167/E167)</f>
        <v>0</v>
      </c>
      <c r="N167" s="644"/>
      <c r="O167" s="640"/>
      <c r="P167" s="643" t="s">
        <v>224</v>
      </c>
      <c r="Q167" s="643"/>
      <c r="R167" s="645">
        <f>SUM(O121:U121)</f>
        <v>0</v>
      </c>
      <c r="S167" s="645"/>
      <c r="T167" s="646" t="str">
        <f>IF(ISERROR(R167/R172),"",R167/R172)</f>
        <v/>
      </c>
      <c r="U167" s="646"/>
      <c r="V167" s="643" t="s">
        <v>263</v>
      </c>
      <c r="W167" s="643"/>
      <c r="X167" s="647">
        <f>SUM(P29,P87,P122,P138,P148,P163)</f>
        <v>0</v>
      </c>
      <c r="Y167" s="647"/>
      <c r="Z167" s="646" t="str">
        <f>IF(ISERROR(X167/X172),"",X167/X172)</f>
        <v/>
      </c>
      <c r="AA167" s="646"/>
    </row>
    <row r="168" spans="1:27" ht="20.100000000000001" customHeight="1">
      <c r="A168" s="636"/>
      <c r="B168" s="549" t="s">
        <v>264</v>
      </c>
      <c r="C168" s="638">
        <v>1</v>
      </c>
      <c r="D168" s="639"/>
      <c r="E168" s="642">
        <f>C168*11</f>
        <v>11</v>
      </c>
      <c r="F168" s="642"/>
      <c r="G168" s="643">
        <v>1</v>
      </c>
      <c r="H168" s="643"/>
      <c r="I168" s="642">
        <f>G168*11</f>
        <v>11</v>
      </c>
      <c r="J168" s="642"/>
      <c r="K168" s="642">
        <f>E168-I168</f>
        <v>0</v>
      </c>
      <c r="L168" s="642"/>
      <c r="M168" s="644">
        <f>IF(ISERROR(K168/E168),"",K168/E168)</f>
        <v>0</v>
      </c>
      <c r="N168" s="644"/>
      <c r="O168" s="640"/>
      <c r="P168" s="643" t="s">
        <v>231</v>
      </c>
      <c r="Q168" s="643"/>
      <c r="R168" s="645">
        <f>SUM(O137:U137)</f>
        <v>0</v>
      </c>
      <c r="S168" s="645"/>
      <c r="T168" s="646" t="str">
        <f>IF(ISERROR(R168/R172),"",R168/R172)</f>
        <v/>
      </c>
      <c r="U168" s="646"/>
      <c r="V168" s="643" t="s">
        <v>265</v>
      </c>
      <c r="W168" s="643"/>
      <c r="X168" s="647">
        <f>SUM(P31,P88,P123,P139,P149,P164)</f>
        <v>0</v>
      </c>
      <c r="Y168" s="647"/>
      <c r="Z168" s="646" t="str">
        <f>IF(ISERROR(X168/X172),"",X168/X172)</f>
        <v/>
      </c>
      <c r="AA168" s="646"/>
    </row>
    <row r="169" spans="1:27" ht="20.100000000000001" customHeight="1">
      <c r="A169" s="637"/>
      <c r="B169" s="549" t="s">
        <v>266</v>
      </c>
      <c r="C169" s="648">
        <f>SUM(C165:D168)</f>
        <v>4</v>
      </c>
      <c r="D169" s="649"/>
      <c r="E169" s="642">
        <f>SUM(E165:F168)</f>
        <v>41</v>
      </c>
      <c r="F169" s="642"/>
      <c r="G169" s="643">
        <f>SUM(G165:H168)</f>
        <v>4</v>
      </c>
      <c r="H169" s="643"/>
      <c r="I169" s="642">
        <f>SUM(I165:J168)</f>
        <v>41</v>
      </c>
      <c r="J169" s="642"/>
      <c r="K169" s="642">
        <f>SUM(K165:L168)</f>
        <v>0</v>
      </c>
      <c r="L169" s="642"/>
      <c r="M169" s="644">
        <f>IF(ISERROR(K169/E169),"",K169/E169)</f>
        <v>0</v>
      </c>
      <c r="N169" s="644"/>
      <c r="O169" s="640"/>
      <c r="P169" s="643" t="s">
        <v>234</v>
      </c>
      <c r="Q169" s="643"/>
      <c r="R169" s="645">
        <f>SUM(O147:U147)</f>
        <v>0</v>
      </c>
      <c r="S169" s="645"/>
      <c r="T169" s="646" t="str">
        <f>IF(ISERROR(R169/R172),"",R169/R172)</f>
        <v/>
      </c>
      <c r="U169" s="646"/>
      <c r="V169" s="643" t="s">
        <v>267</v>
      </c>
      <c r="W169" s="643"/>
      <c r="X169" s="647">
        <f>SUM(P32,P89,P124,P140,P150,P165)</f>
        <v>0</v>
      </c>
      <c r="Y169" s="647"/>
      <c r="Z169" s="646" t="str">
        <f>IF(ISERROR(X169/X172),"",X169/X172)</f>
        <v/>
      </c>
      <c r="AA169" s="646"/>
    </row>
    <row r="170" spans="1:27" ht="20.100000000000001" customHeight="1">
      <c r="A170" s="307" t="s">
        <v>477</v>
      </c>
      <c r="B170" s="549">
        <f>G163</f>
        <v>2705</v>
      </c>
      <c r="C170" s="650" t="s">
        <v>269</v>
      </c>
      <c r="D170" s="651"/>
      <c r="E170" s="643">
        <f>H163</f>
        <v>13612.640000000001</v>
      </c>
      <c r="F170" s="643"/>
      <c r="G170" s="643" t="s">
        <v>270</v>
      </c>
      <c r="H170" s="643"/>
      <c r="I170" s="652">
        <f>L163</f>
        <v>29.79569336709951</v>
      </c>
      <c r="J170" s="652"/>
      <c r="K170" s="640" t="s">
        <v>271</v>
      </c>
      <c r="L170" s="640"/>
      <c r="M170" s="652">
        <f>J163</f>
        <v>40.074074074074076</v>
      </c>
      <c r="N170" s="652"/>
      <c r="O170" s="640"/>
      <c r="P170" s="643" t="s">
        <v>244</v>
      </c>
      <c r="Q170" s="643"/>
      <c r="R170" s="645">
        <f>SUM(O162:U162)</f>
        <v>0</v>
      </c>
      <c r="S170" s="645"/>
      <c r="T170" s="646" t="str">
        <f>IF(ISERROR(R170/R172),"",R170/R172)</f>
        <v/>
      </c>
      <c r="U170" s="646"/>
      <c r="V170" s="643" t="s">
        <v>272</v>
      </c>
      <c r="W170" s="643"/>
      <c r="X170" s="647">
        <f>SUM(P33,P90,P125,P141,P151,P166)</f>
        <v>0</v>
      </c>
      <c r="Y170" s="647"/>
      <c r="Z170" s="646" t="str">
        <f>IF(ISERROR(X170/X172),"",X170/X172)</f>
        <v/>
      </c>
      <c r="AA170" s="646"/>
    </row>
    <row r="171" spans="1:27" ht="20.100000000000001" customHeight="1">
      <c r="A171" s="308" t="s">
        <v>478</v>
      </c>
      <c r="B171" s="549">
        <f>I163+C169</f>
        <v>71.5</v>
      </c>
      <c r="C171" s="653" t="s">
        <v>251</v>
      </c>
      <c r="D171" s="654"/>
      <c r="E171" s="655">
        <f>K163+I169</f>
        <v>131.78493212669684</v>
      </c>
      <c r="F171" s="655"/>
      <c r="G171" s="643" t="s">
        <v>274</v>
      </c>
      <c r="H171" s="643"/>
      <c r="I171" s="652">
        <f>B171-E171</f>
        <v>-60.284932126696845</v>
      </c>
      <c r="J171" s="652"/>
      <c r="K171" s="640" t="s">
        <v>275</v>
      </c>
      <c r="L171" s="640"/>
      <c r="M171" s="644">
        <f>IF(ISERROR(I171/E171),"",I171/E171)</f>
        <v>-0.45744935444318818</v>
      </c>
      <c r="N171" s="644"/>
      <c r="O171" s="640"/>
      <c r="P171" s="643" t="s">
        <v>245</v>
      </c>
      <c r="Q171" s="643"/>
      <c r="R171" s="645"/>
      <c r="S171" s="645"/>
      <c r="T171" s="646" t="str">
        <f>IF(ISERROR(R171/R172),"",R171/R172)</f>
        <v/>
      </c>
      <c r="U171" s="646"/>
      <c r="V171" s="643" t="s">
        <v>264</v>
      </c>
      <c r="W171" s="643"/>
      <c r="X171" s="647"/>
      <c r="Y171" s="647"/>
      <c r="Z171" s="646" t="str">
        <f>IF(ISERROR(X171/X172),"",X171/X172)</f>
        <v/>
      </c>
      <c r="AA171" s="646"/>
    </row>
    <row r="172" spans="1:27" ht="20.100000000000001" customHeight="1">
      <c r="A172" s="308" t="s">
        <v>479</v>
      </c>
      <c r="B172" s="549">
        <f>N163</f>
        <v>0</v>
      </c>
      <c r="C172" s="653" t="s">
        <v>277</v>
      </c>
      <c r="D172" s="654"/>
      <c r="E172" s="646">
        <f>IF(ISERROR(B172/B171),"",B172/B171)</f>
        <v>0</v>
      </c>
      <c r="F172" s="646"/>
      <c r="G172" s="643" t="s">
        <v>278</v>
      </c>
      <c r="H172" s="643"/>
      <c r="I172" s="640">
        <f>V163</f>
        <v>0</v>
      </c>
      <c r="J172" s="640"/>
      <c r="K172" s="640" t="s">
        <v>279</v>
      </c>
      <c r="L172" s="640"/>
      <c r="M172" s="644">
        <f t="array" ref="M172">IF(ISERROR(I172/B170),"",I172/B170)</f>
        <v>0</v>
      </c>
      <c r="N172" s="644"/>
      <c r="O172" s="640"/>
      <c r="P172" s="643" t="s">
        <v>266</v>
      </c>
      <c r="Q172" s="643"/>
      <c r="R172" s="645">
        <f>SUM(R165:S171)</f>
        <v>0</v>
      </c>
      <c r="S172" s="645"/>
      <c r="T172" s="646"/>
      <c r="U172" s="646"/>
      <c r="V172" s="643" t="s">
        <v>266</v>
      </c>
      <c r="W172" s="643"/>
      <c r="X172" s="647">
        <f>SUM(X165:Y171)</f>
        <v>0</v>
      </c>
      <c r="Y172" s="647"/>
      <c r="Z172" s="646"/>
      <c r="AA172" s="646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56" t="s">
        <v>480</v>
      </c>
      <c r="B174" s="659" t="s">
        <v>280</v>
      </c>
      <c r="C174" s="659" t="s">
        <v>281</v>
      </c>
      <c r="D174" s="659" t="s">
        <v>282</v>
      </c>
      <c r="E174" s="662" t="s">
        <v>283</v>
      </c>
      <c r="F174" s="675" t="s">
        <v>284</v>
      </c>
      <c r="G174" s="640" t="s">
        <v>285</v>
      </c>
      <c r="H174" s="640"/>
      <c r="I174" s="659" t="s">
        <v>286</v>
      </c>
      <c r="J174" s="665" t="s">
        <v>271</v>
      </c>
      <c r="K174" s="668" t="s">
        <v>287</v>
      </c>
      <c r="L174" s="659" t="s">
        <v>270</v>
      </c>
      <c r="M174" s="671" t="s">
        <v>288</v>
      </c>
      <c r="N174" s="673" t="s">
        <v>252</v>
      </c>
      <c r="O174" s="640" t="s">
        <v>289</v>
      </c>
      <c r="P174" s="640"/>
      <c r="Q174" s="640"/>
      <c r="R174" s="640"/>
      <c r="S174" s="640"/>
      <c r="T174" s="640"/>
      <c r="U174" s="640"/>
      <c r="V174" s="640" t="s">
        <v>290</v>
      </c>
      <c r="W174" s="673" t="s">
        <v>291</v>
      </c>
      <c r="X174" s="640" t="s">
        <v>292</v>
      </c>
      <c r="Y174" s="640"/>
      <c r="Z174" s="640"/>
      <c r="AA174" s="640"/>
    </row>
    <row r="175" spans="1:27" ht="21.95" customHeight="1">
      <c r="A175" s="657"/>
      <c r="B175" s="660"/>
      <c r="C175" s="660"/>
      <c r="D175" s="660"/>
      <c r="E175" s="663"/>
      <c r="F175" s="676"/>
      <c r="G175" s="640"/>
      <c r="H175" s="640"/>
      <c r="I175" s="660"/>
      <c r="J175" s="666"/>
      <c r="K175" s="669"/>
      <c r="L175" s="660"/>
      <c r="M175" s="672"/>
      <c r="N175" s="673"/>
      <c r="O175" s="640" t="s">
        <v>259</v>
      </c>
      <c r="P175" s="640" t="s">
        <v>261</v>
      </c>
      <c r="Q175" s="640" t="s">
        <v>263</v>
      </c>
      <c r="R175" s="674" t="s">
        <v>265</v>
      </c>
      <c r="S175" s="643" t="s">
        <v>267</v>
      </c>
      <c r="T175" s="640" t="s">
        <v>272</v>
      </c>
      <c r="U175" s="640" t="s">
        <v>264</v>
      </c>
      <c r="V175" s="640"/>
      <c r="W175" s="673"/>
      <c r="X175" s="640" t="s">
        <v>293</v>
      </c>
      <c r="Y175" s="640" t="s">
        <v>294</v>
      </c>
      <c r="Z175" s="640" t="s">
        <v>295</v>
      </c>
      <c r="AA175" s="640" t="s">
        <v>264</v>
      </c>
    </row>
    <row r="176" spans="1:27" ht="21.95" customHeight="1">
      <c r="A176" s="658"/>
      <c r="B176" s="661"/>
      <c r="C176" s="661"/>
      <c r="D176" s="661"/>
      <c r="E176" s="664"/>
      <c r="F176" s="677"/>
      <c r="G176" s="348" t="s">
        <v>531</v>
      </c>
      <c r="H176" s="542" t="s">
        <v>297</v>
      </c>
      <c r="I176" s="661"/>
      <c r="J176" s="667"/>
      <c r="K176" s="670"/>
      <c r="L176" s="661"/>
      <c r="M176" s="672"/>
      <c r="N176" s="673"/>
      <c r="O176" s="640"/>
      <c r="P176" s="640"/>
      <c r="Q176" s="640"/>
      <c r="R176" s="674"/>
      <c r="S176" s="643"/>
      <c r="T176" s="640"/>
      <c r="U176" s="640"/>
      <c r="V176" s="640"/>
      <c r="W176" s="673"/>
      <c r="X176" s="640"/>
      <c r="Y176" s="640"/>
      <c r="Z176" s="640"/>
      <c r="AA176" s="640"/>
    </row>
    <row r="177" spans="1:27" ht="20.100000000000001" hidden="1" customHeight="1">
      <c r="A177" s="299">
        <v>30100030</v>
      </c>
      <c r="B177" s="544" t="s">
        <v>178</v>
      </c>
      <c r="C177" s="126" t="s">
        <v>179</v>
      </c>
      <c r="D177" s="108">
        <v>5.03</v>
      </c>
      <c r="E177" s="108"/>
      <c r="F177" s="127"/>
      <c r="G177" s="128"/>
      <c r="H177" s="552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543"/>
      <c r="P177" s="543"/>
      <c r="Q177" s="543"/>
      <c r="R177" s="543"/>
      <c r="S177" s="543"/>
      <c r="T177" s="543"/>
      <c r="U177" s="543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552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543"/>
      <c r="P178" s="543"/>
      <c r="Q178" s="543"/>
      <c r="R178" s="543"/>
      <c r="S178" s="543"/>
      <c r="T178" s="543"/>
      <c r="U178" s="543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552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543"/>
      <c r="P179" s="543"/>
      <c r="Q179" s="543"/>
      <c r="R179" s="543"/>
      <c r="S179" s="543"/>
      <c r="T179" s="543"/>
      <c r="U179" s="543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552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543"/>
      <c r="P180" s="543"/>
      <c r="Q180" s="543"/>
      <c r="R180" s="543"/>
      <c r="S180" s="543"/>
      <c r="T180" s="543"/>
      <c r="U180" s="543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552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543"/>
      <c r="P181" s="543"/>
      <c r="Q181" s="543"/>
      <c r="R181" s="543"/>
      <c r="S181" s="543"/>
      <c r="T181" s="543"/>
      <c r="U181" s="543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552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543"/>
      <c r="P182" s="543"/>
      <c r="Q182" s="543"/>
      <c r="R182" s="543"/>
      <c r="S182" s="543"/>
      <c r="T182" s="543"/>
      <c r="U182" s="543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552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543"/>
      <c r="P183" s="543"/>
      <c r="Q183" s="543"/>
      <c r="R183" s="543"/>
      <c r="S183" s="543"/>
      <c r="T183" s="543"/>
      <c r="U183" s="543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552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543"/>
      <c r="P184" s="543"/>
      <c r="Q184" s="543"/>
      <c r="R184" s="543"/>
      <c r="S184" s="543"/>
      <c r="T184" s="543"/>
      <c r="U184" s="543"/>
      <c r="V184" s="132"/>
      <c r="W184" s="133"/>
      <c r="X184" s="132"/>
      <c r="Y184" s="132"/>
      <c r="Z184" s="132"/>
      <c r="AA184" s="132"/>
    </row>
    <row r="185" spans="1:27" ht="20.10000000000000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>
        <v>42723</v>
      </c>
      <c r="G185" s="128">
        <f>100*5+56</f>
        <v>556</v>
      </c>
      <c r="H185" s="552">
        <f t="shared" si="77"/>
        <v>2802.2400000000002</v>
      </c>
      <c r="I185" s="552">
        <f>5*8.5</f>
        <v>42.5</v>
      </c>
      <c r="J185" s="130">
        <f t="array" ref="J185">IF(ISERROR(G185/I185),"",G185/I185)</f>
        <v>13.08235294117647</v>
      </c>
      <c r="K185" s="131">
        <f t="array" ref="K185">IF(ISERROR(G185/L185),"",G185/L185)</f>
        <v>32.705882352941174</v>
      </c>
      <c r="L185" s="129">
        <v>17</v>
      </c>
      <c r="M185" s="109">
        <f t="shared" si="78"/>
        <v>9.794117647058826</v>
      </c>
      <c r="N185" s="130">
        <f t="shared" si="81"/>
        <v>0</v>
      </c>
      <c r="O185" s="543"/>
      <c r="P185" s="543"/>
      <c r="Q185" s="543"/>
      <c r="R185" s="543"/>
      <c r="S185" s="543"/>
      <c r="T185" s="543"/>
      <c r="U185" s="543"/>
      <c r="V185" s="132">
        <f>SUM(X185:AA185)</f>
        <v>0</v>
      </c>
      <c r="W185" s="133">
        <f>IF(ISERROR(V185/G185),"",V185/G185)</f>
        <v>0</v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552">
        <f t="shared" si="77"/>
        <v>0</v>
      </c>
      <c r="I186" s="552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543"/>
      <c r="P186" s="543"/>
      <c r="Q186" s="543"/>
      <c r="R186" s="543"/>
      <c r="S186" s="543"/>
      <c r="T186" s="543"/>
      <c r="U186" s="543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552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543"/>
      <c r="P187" s="543"/>
      <c r="Q187" s="543"/>
      <c r="R187" s="543"/>
      <c r="S187" s="543"/>
      <c r="T187" s="543"/>
      <c r="U187" s="543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552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543"/>
      <c r="P188" s="543"/>
      <c r="Q188" s="543"/>
      <c r="R188" s="543"/>
      <c r="S188" s="543"/>
      <c r="T188" s="543"/>
      <c r="U188" s="543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552">
        <f t="shared" ref="H189:H197" si="82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3">IF(ISERROR(I189-K189),"",I189-K189)</f>
        <v>0</v>
      </c>
      <c r="N189" s="130">
        <f t="shared" ref="N189:N191" si="84">SUM(O189:U189)</f>
        <v>0</v>
      </c>
      <c r="O189" s="543"/>
      <c r="P189" s="543"/>
      <c r="Q189" s="543"/>
      <c r="R189" s="543"/>
      <c r="S189" s="543"/>
      <c r="T189" s="543"/>
      <c r="U189" s="543"/>
      <c r="V189" s="132">
        <f t="shared" ref="V189:V191" si="85">SUM(X189:AA189)</f>
        <v>0</v>
      </c>
      <c r="W189" s="133" t="str">
        <f t="shared" ref="W189:W191" si="86">IF(ISERROR(V189/G189),"",V189/G189)</f>
        <v/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552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543"/>
      <c r="P190" s="543"/>
      <c r="Q190" s="543"/>
      <c r="R190" s="543"/>
      <c r="S190" s="543"/>
      <c r="T190" s="543"/>
      <c r="U190" s="543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552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543"/>
      <c r="P191" s="543"/>
      <c r="Q191" s="543"/>
      <c r="R191" s="543"/>
      <c r="S191" s="543"/>
      <c r="T191" s="543"/>
      <c r="U191" s="543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542" t="s">
        <v>190</v>
      </c>
      <c r="D192" s="108">
        <v>4.8</v>
      </c>
      <c r="E192" s="108"/>
      <c r="F192" s="127"/>
      <c r="G192" s="128"/>
      <c r="H192" s="552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543"/>
      <c r="P192" s="543"/>
      <c r="Q192" s="543"/>
      <c r="R192" s="543"/>
      <c r="S192" s="543"/>
      <c r="T192" s="543"/>
      <c r="U192" s="543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542" t="s">
        <v>187</v>
      </c>
      <c r="D193" s="108">
        <v>4.8</v>
      </c>
      <c r="E193" s="108"/>
      <c r="F193" s="127"/>
      <c r="G193" s="128"/>
      <c r="H193" s="552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543"/>
      <c r="P193" s="543"/>
      <c r="Q193" s="543"/>
      <c r="R193" s="543"/>
      <c r="S193" s="543"/>
      <c r="T193" s="543"/>
      <c r="U193" s="543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542" t="s">
        <v>179</v>
      </c>
      <c r="D194" s="108">
        <v>4.8</v>
      </c>
      <c r="E194" s="108"/>
      <c r="F194" s="127"/>
      <c r="G194" s="128"/>
      <c r="H194" s="552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543"/>
      <c r="P194" s="543"/>
      <c r="Q194" s="543"/>
      <c r="R194" s="543"/>
      <c r="S194" s="543"/>
      <c r="T194" s="543"/>
      <c r="U194" s="543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542" t="s">
        <v>199</v>
      </c>
      <c r="D195" s="108">
        <v>4.8</v>
      </c>
      <c r="E195" s="108"/>
      <c r="F195" s="127"/>
      <c r="G195" s="128"/>
      <c r="H195" s="552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543"/>
      <c r="P195" s="543"/>
      <c r="Q195" s="543"/>
      <c r="R195" s="543"/>
      <c r="S195" s="543"/>
      <c r="T195" s="543"/>
      <c r="U195" s="543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552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543"/>
      <c r="P196" s="543"/>
      <c r="Q196" s="543"/>
      <c r="R196" s="543"/>
      <c r="S196" s="543"/>
      <c r="T196" s="543"/>
      <c r="U196" s="543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552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543"/>
      <c r="P197" s="543"/>
      <c r="Q197" s="543"/>
      <c r="R197" s="543"/>
      <c r="S197" s="543"/>
      <c r="T197" s="543"/>
      <c r="U197" s="543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customHeight="1">
      <c r="A198" s="630" t="s">
        <v>201</v>
      </c>
      <c r="B198" s="631"/>
      <c r="C198" s="550" t="s">
        <v>202</v>
      </c>
      <c r="D198" s="143"/>
      <c r="E198" s="143"/>
      <c r="F198" s="144"/>
      <c r="G198" s="145">
        <f>SUM(G177:G197)</f>
        <v>556</v>
      </c>
      <c r="H198" s="146">
        <f>SUM(H177:H197)</f>
        <v>2802.2400000000002</v>
      </c>
      <c r="I198" s="146">
        <f>SUM(I177:I197)</f>
        <v>42.5</v>
      </c>
      <c r="J198" s="130">
        <f t="array" ref="J198">IF(ISERROR(G198/I198),"",G198/I198)</f>
        <v>13.08235294117647</v>
      </c>
      <c r="K198" s="146">
        <f>SUM(K177:K197)</f>
        <v>32.705882352941174</v>
      </c>
      <c r="L198" s="147"/>
      <c r="M198" s="150">
        <f t="shared" ref="M198:AA198" si="90">SUM(M177:M197)</f>
        <v>9.794117647058826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customHeight="1">
      <c r="A199" s="300">
        <v>30100012</v>
      </c>
      <c r="B199" s="544" t="s">
        <v>206</v>
      </c>
      <c r="C199" s="126" t="s">
        <v>199</v>
      </c>
      <c r="D199" s="108">
        <v>5.03</v>
      </c>
      <c r="E199" s="108"/>
      <c r="F199" s="127">
        <v>42723</v>
      </c>
      <c r="G199" s="128">
        <f>108*11+101</f>
        <v>1289</v>
      </c>
      <c r="H199" s="552">
        <f t="shared" ref="H199:H255" si="91">D199*G199</f>
        <v>6483.67</v>
      </c>
      <c r="I199" s="129">
        <f>1+8*2</f>
        <v>17</v>
      </c>
      <c r="J199" s="130">
        <f t="array" ref="J199">IF(ISERROR(G199/I199),"",G199/I199)</f>
        <v>75.82352941176471</v>
      </c>
      <c r="K199" s="131">
        <f t="array" ref="K199">IF(ISERROR(G199/L199),"",G199/L199)</f>
        <v>24.78846153846154</v>
      </c>
      <c r="L199" s="129">
        <v>52</v>
      </c>
      <c r="M199" s="109">
        <f t="shared" ref="M199" si="92">IF(ISERROR(I199-K199),"",I199-K199)</f>
        <v>-7.7884615384615401</v>
      </c>
      <c r="N199" s="130">
        <f t="shared" ref="N199" si="93">SUM(O199:U199)</f>
        <v>0</v>
      </c>
      <c r="O199" s="547"/>
      <c r="P199" s="547"/>
      <c r="Q199" s="547"/>
      <c r="R199" s="547"/>
      <c r="S199" s="547"/>
      <c r="T199" s="547"/>
      <c r="U199" s="547"/>
      <c r="V199" s="132">
        <f t="shared" ref="V199" si="94">SUM(X199:AA199)</f>
        <v>0</v>
      </c>
      <c r="W199" s="133">
        <f t="shared" ref="W199" si="95">IF(ISERROR(V199/G199),"",V199/G199)</f>
        <v>0</v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544" t="s">
        <v>425</v>
      </c>
      <c r="C200" s="187" t="s">
        <v>427</v>
      </c>
      <c r="D200" s="108">
        <v>5.03</v>
      </c>
      <c r="E200" s="108"/>
      <c r="F200" s="127"/>
      <c r="G200" s="128"/>
      <c r="H200" s="552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547"/>
      <c r="P200" s="547"/>
      <c r="Q200" s="547"/>
      <c r="R200" s="547"/>
      <c r="S200" s="547"/>
      <c r="T200" s="547"/>
      <c r="U200" s="547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544" t="s">
        <v>206</v>
      </c>
      <c r="C201" s="126" t="s">
        <v>186</v>
      </c>
      <c r="D201" s="108">
        <v>5.03</v>
      </c>
      <c r="E201" s="108"/>
      <c r="F201" s="127"/>
      <c r="G201" s="128"/>
      <c r="H201" s="552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547"/>
      <c r="P201" s="547"/>
      <c r="Q201" s="547"/>
      <c r="R201" s="547"/>
      <c r="S201" s="547"/>
      <c r="T201" s="547"/>
      <c r="U201" s="547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544" t="s">
        <v>206</v>
      </c>
      <c r="C202" s="126" t="s">
        <v>203</v>
      </c>
      <c r="D202" s="108">
        <v>5.03</v>
      </c>
      <c r="E202" s="108"/>
      <c r="F202" s="127"/>
      <c r="G202" s="128"/>
      <c r="H202" s="552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547"/>
      <c r="P202" s="547"/>
      <c r="Q202" s="547"/>
      <c r="R202" s="547"/>
      <c r="S202" s="547"/>
      <c r="T202" s="547"/>
      <c r="U202" s="547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544" t="s">
        <v>206</v>
      </c>
      <c r="C203" s="126" t="s">
        <v>207</v>
      </c>
      <c r="D203" s="108">
        <v>5.03</v>
      </c>
      <c r="E203" s="108"/>
      <c r="F203" s="127"/>
      <c r="G203" s="128"/>
      <c r="H203" s="552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0">IF(ISERROR(I203-K203),"",I203-K203)</f>
        <v>0</v>
      </c>
      <c r="N203" s="130">
        <f t="shared" si="97"/>
        <v>0</v>
      </c>
      <c r="O203" s="547"/>
      <c r="P203" s="547"/>
      <c r="Q203" s="547"/>
      <c r="R203" s="547"/>
      <c r="S203" s="547"/>
      <c r="T203" s="547"/>
      <c r="U203" s="547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544" t="s">
        <v>414</v>
      </c>
      <c r="C204" s="187" t="s">
        <v>415</v>
      </c>
      <c r="D204" s="108">
        <v>5.03</v>
      </c>
      <c r="E204" s="108"/>
      <c r="F204" s="127"/>
      <c r="G204" s="128"/>
      <c r="H204" s="552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547"/>
      <c r="P204" s="547"/>
      <c r="Q204" s="547"/>
      <c r="R204" s="547"/>
      <c r="S204" s="547"/>
      <c r="T204" s="547"/>
      <c r="U204" s="547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544" t="s">
        <v>414</v>
      </c>
      <c r="C205" s="187" t="s">
        <v>416</v>
      </c>
      <c r="D205" s="108">
        <v>5.03</v>
      </c>
      <c r="E205" s="108"/>
      <c r="F205" s="127"/>
      <c r="G205" s="128"/>
      <c r="H205" s="552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547"/>
      <c r="P205" s="547"/>
      <c r="Q205" s="547"/>
      <c r="R205" s="547"/>
      <c r="S205" s="547"/>
      <c r="T205" s="547"/>
      <c r="U205" s="547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544" t="s">
        <v>414</v>
      </c>
      <c r="C206" s="187" t="s">
        <v>61</v>
      </c>
      <c r="D206" s="108">
        <v>5.03</v>
      </c>
      <c r="E206" s="108"/>
      <c r="F206" s="127"/>
      <c r="G206" s="128"/>
      <c r="H206" s="552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547"/>
      <c r="P206" s="547"/>
      <c r="Q206" s="547"/>
      <c r="R206" s="547"/>
      <c r="S206" s="547"/>
      <c r="T206" s="547"/>
      <c r="U206" s="547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544" t="s">
        <v>208</v>
      </c>
      <c r="C207" s="126" t="s">
        <v>179</v>
      </c>
      <c r="D207" s="108">
        <v>5.08</v>
      </c>
      <c r="E207" s="108"/>
      <c r="F207" s="127"/>
      <c r="G207" s="128"/>
      <c r="H207" s="552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1">IF(ISERROR(I207-K207),"",I207-K207)</f>
        <v>0</v>
      </c>
      <c r="N207" s="130">
        <f t="shared" ref="N207:N236" si="102">SUM(O207:U207)</f>
        <v>0</v>
      </c>
      <c r="O207" s="547"/>
      <c r="P207" s="547"/>
      <c r="Q207" s="547"/>
      <c r="R207" s="547"/>
      <c r="S207" s="547"/>
      <c r="T207" s="547"/>
      <c r="U207" s="547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544" t="s">
        <v>208</v>
      </c>
      <c r="C208" s="126" t="s">
        <v>204</v>
      </c>
      <c r="D208" s="108">
        <v>5.08</v>
      </c>
      <c r="E208" s="108"/>
      <c r="F208" s="127"/>
      <c r="G208" s="128"/>
      <c r="H208" s="552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547"/>
      <c r="P208" s="547"/>
      <c r="Q208" s="547"/>
      <c r="R208" s="547"/>
      <c r="S208" s="547"/>
      <c r="T208" s="547"/>
      <c r="U208" s="547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544" t="s">
        <v>208</v>
      </c>
      <c r="C209" s="126" t="s">
        <v>205</v>
      </c>
      <c r="D209" s="108">
        <v>5.08</v>
      </c>
      <c r="E209" s="108"/>
      <c r="F209" s="127"/>
      <c r="G209" s="128"/>
      <c r="H209" s="552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547"/>
      <c r="P209" s="547"/>
      <c r="Q209" s="547"/>
      <c r="R209" s="547"/>
      <c r="S209" s="547"/>
      <c r="T209" s="547"/>
      <c r="U209" s="547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544" t="s">
        <v>208</v>
      </c>
      <c r="C210" s="126" t="s">
        <v>186</v>
      </c>
      <c r="D210" s="108">
        <v>5.08</v>
      </c>
      <c r="E210" s="108"/>
      <c r="F210" s="127"/>
      <c r="G210" s="128"/>
      <c r="H210" s="552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547"/>
      <c r="P210" s="547"/>
      <c r="Q210" s="547"/>
      <c r="R210" s="547"/>
      <c r="S210" s="547"/>
      <c r="T210" s="547"/>
      <c r="U210" s="547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544" t="s">
        <v>208</v>
      </c>
      <c r="C211" s="126" t="s">
        <v>203</v>
      </c>
      <c r="D211" s="108">
        <v>5.08</v>
      </c>
      <c r="E211" s="108"/>
      <c r="F211" s="127"/>
      <c r="G211" s="128"/>
      <c r="H211" s="552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547"/>
      <c r="P211" s="547"/>
      <c r="Q211" s="547"/>
      <c r="R211" s="547"/>
      <c r="S211" s="547"/>
      <c r="T211" s="547"/>
      <c r="U211" s="547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544" t="s">
        <v>208</v>
      </c>
      <c r="C212" s="126" t="s">
        <v>199</v>
      </c>
      <c r="D212" s="108">
        <v>5.08</v>
      </c>
      <c r="E212" s="108"/>
      <c r="F212" s="127"/>
      <c r="G212" s="128"/>
      <c r="H212" s="552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543"/>
      <c r="P212" s="543"/>
      <c r="Q212" s="543"/>
      <c r="R212" s="543"/>
      <c r="S212" s="543"/>
      <c r="T212" s="543"/>
      <c r="U212" s="543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544" t="s">
        <v>208</v>
      </c>
      <c r="C213" s="126" t="s">
        <v>187</v>
      </c>
      <c r="D213" s="108">
        <v>5.08</v>
      </c>
      <c r="E213" s="108"/>
      <c r="F213" s="127"/>
      <c r="G213" s="128"/>
      <c r="H213" s="552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547"/>
      <c r="P213" s="547"/>
      <c r="Q213" s="547"/>
      <c r="R213" s="547"/>
      <c r="S213" s="547"/>
      <c r="T213" s="547"/>
      <c r="U213" s="547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544" t="s">
        <v>208</v>
      </c>
      <c r="C214" s="126" t="s">
        <v>207</v>
      </c>
      <c r="D214" s="108">
        <v>5.08</v>
      </c>
      <c r="E214" s="108"/>
      <c r="F214" s="127"/>
      <c r="G214" s="128"/>
      <c r="H214" s="552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543"/>
      <c r="P214" s="543"/>
      <c r="Q214" s="543"/>
      <c r="R214" s="543"/>
      <c r="S214" s="543"/>
      <c r="T214" s="543"/>
      <c r="U214" s="543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544" t="s">
        <v>209</v>
      </c>
      <c r="C215" s="126" t="s">
        <v>194</v>
      </c>
      <c r="D215" s="108">
        <v>5.03</v>
      </c>
      <c r="E215" s="108"/>
      <c r="F215" s="127"/>
      <c r="G215" s="128"/>
      <c r="H215" s="552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547"/>
      <c r="P215" s="547"/>
      <c r="Q215" s="547"/>
      <c r="R215" s="547"/>
      <c r="S215" s="547"/>
      <c r="T215" s="547"/>
      <c r="U215" s="547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544" t="s">
        <v>209</v>
      </c>
      <c r="C216" s="126" t="s">
        <v>179</v>
      </c>
      <c r="D216" s="108">
        <v>5.03</v>
      </c>
      <c r="E216" s="108"/>
      <c r="F216" s="127"/>
      <c r="G216" s="128"/>
      <c r="H216" s="552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547"/>
      <c r="P216" s="547"/>
      <c r="Q216" s="547"/>
      <c r="R216" s="547"/>
      <c r="S216" s="547"/>
      <c r="T216" s="547"/>
      <c r="U216" s="547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544" t="s">
        <v>209</v>
      </c>
      <c r="C217" s="126" t="s">
        <v>195</v>
      </c>
      <c r="D217" s="108">
        <v>5.03</v>
      </c>
      <c r="E217" s="108"/>
      <c r="F217" s="127"/>
      <c r="G217" s="128"/>
      <c r="H217" s="552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547"/>
      <c r="P217" s="547"/>
      <c r="Q217" s="547"/>
      <c r="R217" s="547"/>
      <c r="S217" s="547"/>
      <c r="T217" s="547"/>
      <c r="U217" s="547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544" t="s">
        <v>209</v>
      </c>
      <c r="C218" s="126" t="s">
        <v>204</v>
      </c>
      <c r="D218" s="108">
        <v>5.03</v>
      </c>
      <c r="E218" s="108"/>
      <c r="F218" s="127"/>
      <c r="G218" s="128"/>
      <c r="H218" s="552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547"/>
      <c r="P218" s="547"/>
      <c r="Q218" s="547"/>
      <c r="R218" s="547"/>
      <c r="S218" s="547"/>
      <c r="T218" s="547"/>
      <c r="U218" s="547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544" t="s">
        <v>382</v>
      </c>
      <c r="C219" s="187" t="s">
        <v>383</v>
      </c>
      <c r="D219" s="108">
        <v>5.03</v>
      </c>
      <c r="E219" s="108"/>
      <c r="F219" s="127"/>
      <c r="G219" s="128"/>
      <c r="H219" s="552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547"/>
      <c r="P219" s="547"/>
      <c r="Q219" s="547"/>
      <c r="R219" s="547"/>
      <c r="S219" s="547"/>
      <c r="T219" s="547"/>
      <c r="U219" s="547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544" t="s">
        <v>382</v>
      </c>
      <c r="C220" s="187" t="s">
        <v>384</v>
      </c>
      <c r="D220" s="108">
        <v>5.03</v>
      </c>
      <c r="E220" s="108"/>
      <c r="F220" s="127"/>
      <c r="G220" s="128"/>
      <c r="H220" s="552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547"/>
      <c r="P220" s="547"/>
      <c r="Q220" s="547"/>
      <c r="R220" s="547"/>
      <c r="S220" s="547"/>
      <c r="T220" s="547"/>
      <c r="U220" s="547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544" t="s">
        <v>382</v>
      </c>
      <c r="C221" s="187" t="s">
        <v>389</v>
      </c>
      <c r="D221" s="108">
        <v>5.03</v>
      </c>
      <c r="E221" s="108"/>
      <c r="F221" s="127"/>
      <c r="G221" s="128"/>
      <c r="H221" s="552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547"/>
      <c r="P221" s="547"/>
      <c r="Q221" s="547"/>
      <c r="R221" s="547"/>
      <c r="S221" s="547"/>
      <c r="T221" s="547"/>
      <c r="U221" s="547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544" t="s">
        <v>382</v>
      </c>
      <c r="C222" s="187" t="s">
        <v>391</v>
      </c>
      <c r="D222" s="108">
        <v>5.03</v>
      </c>
      <c r="E222" s="108"/>
      <c r="F222" s="127"/>
      <c r="G222" s="128"/>
      <c r="H222" s="552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547"/>
      <c r="P222" s="547"/>
      <c r="Q222" s="547"/>
      <c r="R222" s="547"/>
      <c r="S222" s="547"/>
      <c r="T222" s="547"/>
      <c r="U222" s="547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544" t="s">
        <v>418</v>
      </c>
      <c r="C223" s="187" t="s">
        <v>364</v>
      </c>
      <c r="D223" s="108">
        <v>5.03</v>
      </c>
      <c r="E223" s="108"/>
      <c r="F223" s="127"/>
      <c r="G223" s="128"/>
      <c r="H223" s="552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547"/>
      <c r="P223" s="547"/>
      <c r="Q223" s="547"/>
      <c r="R223" s="547"/>
      <c r="S223" s="547"/>
      <c r="T223" s="547"/>
      <c r="U223" s="547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544" t="s">
        <v>418</v>
      </c>
      <c r="C224" s="187" t="s">
        <v>365</v>
      </c>
      <c r="D224" s="108">
        <v>5.03</v>
      </c>
      <c r="E224" s="108"/>
      <c r="F224" s="127"/>
      <c r="G224" s="128"/>
      <c r="H224" s="552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547"/>
      <c r="P224" s="547"/>
      <c r="Q224" s="547"/>
      <c r="R224" s="547"/>
      <c r="S224" s="547"/>
      <c r="T224" s="547"/>
      <c r="U224" s="547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544" t="s">
        <v>418</v>
      </c>
      <c r="C225" s="187" t="s">
        <v>366</v>
      </c>
      <c r="D225" s="108">
        <v>5.03</v>
      </c>
      <c r="E225" s="108"/>
      <c r="F225" s="127"/>
      <c r="G225" s="128"/>
      <c r="H225" s="552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547"/>
      <c r="P225" s="547"/>
      <c r="Q225" s="547"/>
      <c r="R225" s="547"/>
      <c r="S225" s="547"/>
      <c r="T225" s="547"/>
      <c r="U225" s="547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544" t="s">
        <v>418</v>
      </c>
      <c r="C226" s="187" t="s">
        <v>367</v>
      </c>
      <c r="D226" s="108">
        <v>5.03</v>
      </c>
      <c r="E226" s="108"/>
      <c r="F226" s="127"/>
      <c r="G226" s="128"/>
      <c r="H226" s="552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547"/>
      <c r="P226" s="547"/>
      <c r="Q226" s="547"/>
      <c r="R226" s="547"/>
      <c r="S226" s="547"/>
      <c r="T226" s="547"/>
      <c r="U226" s="547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552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543"/>
      <c r="P227" s="543"/>
      <c r="Q227" s="543"/>
      <c r="R227" s="543"/>
      <c r="S227" s="543"/>
      <c r="T227" s="543"/>
      <c r="U227" s="543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552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543"/>
      <c r="P228" s="543"/>
      <c r="Q228" s="543"/>
      <c r="R228" s="543"/>
      <c r="S228" s="543"/>
      <c r="T228" s="543"/>
      <c r="U228" s="543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552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543"/>
      <c r="P229" s="543"/>
      <c r="Q229" s="543"/>
      <c r="R229" s="543"/>
      <c r="S229" s="543"/>
      <c r="T229" s="543"/>
      <c r="U229" s="543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552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543"/>
      <c r="P230" s="543"/>
      <c r="Q230" s="543"/>
      <c r="R230" s="543"/>
      <c r="S230" s="543"/>
      <c r="T230" s="543"/>
      <c r="U230" s="543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552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543"/>
      <c r="P231" s="543"/>
      <c r="Q231" s="543"/>
      <c r="R231" s="543"/>
      <c r="S231" s="543"/>
      <c r="T231" s="543"/>
      <c r="U231" s="543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552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543"/>
      <c r="P232" s="543"/>
      <c r="Q232" s="543"/>
      <c r="R232" s="543"/>
      <c r="S232" s="543"/>
      <c r="T232" s="543"/>
      <c r="U232" s="543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552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543"/>
      <c r="P233" s="543"/>
      <c r="Q233" s="543"/>
      <c r="R233" s="543"/>
      <c r="S233" s="543"/>
      <c r="T233" s="543"/>
      <c r="U233" s="543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552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543"/>
      <c r="P234" s="543"/>
      <c r="Q234" s="543"/>
      <c r="R234" s="543"/>
      <c r="S234" s="543"/>
      <c r="T234" s="543"/>
      <c r="U234" s="543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>
        <v>42723</v>
      </c>
      <c r="G235" s="128">
        <f>90*7</f>
        <v>630</v>
      </c>
      <c r="H235" s="552">
        <f t="shared" si="91"/>
        <v>3168.9</v>
      </c>
      <c r="I235" s="129">
        <v>7</v>
      </c>
      <c r="J235" s="130">
        <f t="array" ref="J235">IF(ISERROR(G235/I235),"",G235/I235)</f>
        <v>90</v>
      </c>
      <c r="K235" s="131">
        <f t="array" ref="K235">IF(ISERROR(G235/L235),"",G235/L235)</f>
        <v>12.6</v>
      </c>
      <c r="L235" s="129">
        <v>50</v>
      </c>
      <c r="M235" s="109">
        <f t="shared" si="101"/>
        <v>-5.6</v>
      </c>
      <c r="N235" s="130">
        <f t="shared" si="102"/>
        <v>0</v>
      </c>
      <c r="O235" s="543"/>
      <c r="P235" s="543"/>
      <c r="Q235" s="543"/>
      <c r="R235" s="543"/>
      <c r="S235" s="543"/>
      <c r="T235" s="543"/>
      <c r="U235" s="543"/>
      <c r="V235" s="132">
        <f t="shared" si="105"/>
        <v>0</v>
      </c>
      <c r="W235" s="133">
        <f t="shared" si="106"/>
        <v>0</v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552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543"/>
      <c r="P236" s="543"/>
      <c r="Q236" s="543"/>
      <c r="R236" s="543"/>
      <c r="S236" s="543"/>
      <c r="T236" s="543"/>
      <c r="U236" s="543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552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543"/>
      <c r="P237" s="543"/>
      <c r="Q237" s="543"/>
      <c r="R237" s="543"/>
      <c r="S237" s="543"/>
      <c r="T237" s="543"/>
      <c r="U237" s="543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552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7">IF(ISERROR(I238-K238),"",I238-K238)</f>
        <v>0</v>
      </c>
      <c r="N238" s="130"/>
      <c r="O238" s="543"/>
      <c r="P238" s="543"/>
      <c r="Q238" s="543"/>
      <c r="R238" s="543"/>
      <c r="S238" s="543"/>
      <c r="T238" s="543"/>
      <c r="U238" s="543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552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7"/>
        <v>0</v>
      </c>
      <c r="N239" s="130">
        <f t="shared" ref="N239:N240" si="108">SUM(O239:U239)</f>
        <v>0</v>
      </c>
      <c r="O239" s="543"/>
      <c r="P239" s="543"/>
      <c r="Q239" s="543"/>
      <c r="R239" s="543"/>
      <c r="S239" s="543"/>
      <c r="T239" s="543"/>
      <c r="U239" s="543"/>
      <c r="V239" s="132">
        <f t="shared" ref="V239:V240" si="109">SUM(X239:AA239)</f>
        <v>0</v>
      </c>
      <c r="W239" s="133" t="str">
        <f t="shared" ref="W239:W240" si="110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552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543"/>
      <c r="P240" s="543"/>
      <c r="Q240" s="543"/>
      <c r="R240" s="543"/>
      <c r="S240" s="543"/>
      <c r="T240" s="543"/>
      <c r="U240" s="543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552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543"/>
      <c r="P241" s="543"/>
      <c r="Q241" s="543"/>
      <c r="R241" s="543"/>
      <c r="S241" s="543"/>
      <c r="T241" s="543"/>
      <c r="U241" s="543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552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543"/>
      <c r="P242" s="543"/>
      <c r="Q242" s="543"/>
      <c r="R242" s="543"/>
      <c r="S242" s="543"/>
      <c r="T242" s="543"/>
      <c r="U242" s="543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552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543"/>
      <c r="P243" s="543"/>
      <c r="Q243" s="543"/>
      <c r="R243" s="543"/>
      <c r="S243" s="543"/>
      <c r="T243" s="543"/>
      <c r="U243" s="543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552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543"/>
      <c r="P244" s="543"/>
      <c r="Q244" s="543"/>
      <c r="R244" s="543"/>
      <c r="S244" s="543"/>
      <c r="T244" s="543"/>
      <c r="U244" s="543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552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543"/>
      <c r="P245" s="543"/>
      <c r="Q245" s="543"/>
      <c r="R245" s="543"/>
      <c r="S245" s="543"/>
      <c r="T245" s="543"/>
      <c r="U245" s="543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552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543"/>
      <c r="P246" s="543"/>
      <c r="Q246" s="543"/>
      <c r="R246" s="543"/>
      <c r="S246" s="543"/>
      <c r="T246" s="543"/>
      <c r="U246" s="543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552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543"/>
      <c r="P247" s="543"/>
      <c r="Q247" s="543"/>
      <c r="R247" s="543"/>
      <c r="S247" s="543"/>
      <c r="T247" s="543"/>
      <c r="U247" s="543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552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543"/>
      <c r="P248" s="543"/>
      <c r="Q248" s="543"/>
      <c r="R248" s="543"/>
      <c r="S248" s="543"/>
      <c r="T248" s="543"/>
      <c r="U248" s="543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552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543"/>
      <c r="P249" s="543"/>
      <c r="Q249" s="543"/>
      <c r="R249" s="543"/>
      <c r="S249" s="543"/>
      <c r="T249" s="543"/>
      <c r="U249" s="543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552">
        <f t="shared" si="91"/>
        <v>0</v>
      </c>
      <c r="I250" s="129"/>
      <c r="J250" s="130"/>
      <c r="K250" s="131"/>
      <c r="L250" s="129">
        <v>4</v>
      </c>
      <c r="M250" s="109"/>
      <c r="N250" s="130"/>
      <c r="O250" s="543"/>
      <c r="P250" s="543"/>
      <c r="Q250" s="543"/>
      <c r="R250" s="543"/>
      <c r="S250" s="543"/>
      <c r="T250" s="543"/>
      <c r="U250" s="543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552">
        <f t="shared" si="91"/>
        <v>0</v>
      </c>
      <c r="I251" s="129"/>
      <c r="J251" s="130"/>
      <c r="K251" s="131"/>
      <c r="L251" s="129">
        <v>4</v>
      </c>
      <c r="M251" s="109"/>
      <c r="N251" s="130"/>
      <c r="O251" s="543"/>
      <c r="P251" s="543"/>
      <c r="Q251" s="543"/>
      <c r="R251" s="543"/>
      <c r="S251" s="543"/>
      <c r="T251" s="543"/>
      <c r="U251" s="543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552">
        <f t="shared" si="91"/>
        <v>0</v>
      </c>
      <c r="I252" s="129"/>
      <c r="J252" s="130"/>
      <c r="K252" s="131"/>
      <c r="L252" s="129">
        <v>4</v>
      </c>
      <c r="M252" s="109"/>
      <c r="N252" s="130"/>
      <c r="O252" s="543"/>
      <c r="P252" s="543"/>
      <c r="Q252" s="543"/>
      <c r="R252" s="543"/>
      <c r="S252" s="543"/>
      <c r="T252" s="543"/>
      <c r="U252" s="543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552">
        <f t="shared" si="91"/>
        <v>0</v>
      </c>
      <c r="I253" s="129"/>
      <c r="J253" s="130"/>
      <c r="K253" s="131"/>
      <c r="L253" s="129">
        <v>4</v>
      </c>
      <c r="M253" s="109"/>
      <c r="N253" s="130"/>
      <c r="O253" s="543"/>
      <c r="P253" s="543"/>
      <c r="Q253" s="543"/>
      <c r="R253" s="543"/>
      <c r="S253" s="543"/>
      <c r="T253" s="543"/>
      <c r="U253" s="543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552">
        <f t="shared" si="91"/>
        <v>0</v>
      </c>
      <c r="I254" s="129"/>
      <c r="J254" s="130"/>
      <c r="K254" s="131"/>
      <c r="L254" s="129">
        <v>4</v>
      </c>
      <c r="M254" s="109"/>
      <c r="N254" s="130"/>
      <c r="O254" s="543"/>
      <c r="P254" s="543"/>
      <c r="Q254" s="543"/>
      <c r="R254" s="543"/>
      <c r="S254" s="543"/>
      <c r="T254" s="543"/>
      <c r="U254" s="543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552">
        <f t="shared" si="91"/>
        <v>0</v>
      </c>
      <c r="I255" s="129"/>
      <c r="J255" s="130"/>
      <c r="K255" s="131"/>
      <c r="L255" s="129">
        <v>4</v>
      </c>
      <c r="M255" s="109"/>
      <c r="N255" s="130"/>
      <c r="O255" s="543"/>
      <c r="P255" s="543"/>
      <c r="Q255" s="543"/>
      <c r="R255" s="543"/>
      <c r="S255" s="543"/>
      <c r="T255" s="543"/>
      <c r="U255" s="543"/>
      <c r="V255" s="132"/>
      <c r="W255" s="133"/>
      <c r="X255" s="132"/>
      <c r="Y255" s="132"/>
      <c r="Z255" s="132"/>
      <c r="AA255" s="132"/>
    </row>
    <row r="256" spans="1:27" ht="20.100000000000001" customHeight="1">
      <c r="A256" s="641" t="s">
        <v>216</v>
      </c>
      <c r="B256" s="641"/>
      <c r="C256" s="550" t="s">
        <v>202</v>
      </c>
      <c r="D256" s="143"/>
      <c r="E256" s="143"/>
      <c r="F256" s="144"/>
      <c r="G256" s="145">
        <f>SUM(G199:G255)</f>
        <v>1919</v>
      </c>
      <c r="H256" s="146">
        <f>SUM(H199:H255)</f>
        <v>9652.57</v>
      </c>
      <c r="I256" s="146">
        <f>SUM(I199:I255)</f>
        <v>24</v>
      </c>
      <c r="J256" s="130">
        <f t="array" ref="J256">IF(ISERROR(G256/I256),"",G256/I256)</f>
        <v>79.958333333333329</v>
      </c>
      <c r="K256" s="146">
        <f>SUM(K199:K255)</f>
        <v>37.388461538461542</v>
      </c>
      <c r="L256" s="147"/>
      <c r="M256" s="150">
        <f t="shared" ref="M256:V256" si="114">SUM(M199:M255)</f>
        <v>-13.38846153846154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>
        <f t="shared" ref="W256:W263" si="115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544" t="s">
        <v>217</v>
      </c>
      <c r="C257" s="126" t="s">
        <v>179</v>
      </c>
      <c r="D257" s="108">
        <v>5.03</v>
      </c>
      <c r="E257" s="108"/>
      <c r="F257" s="127"/>
      <c r="G257" s="128"/>
      <c r="H257" s="552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543"/>
      <c r="P257" s="543"/>
      <c r="Q257" s="543"/>
      <c r="R257" s="543"/>
      <c r="S257" s="543"/>
      <c r="T257" s="543"/>
      <c r="U257" s="543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544" t="s">
        <v>217</v>
      </c>
      <c r="C258" s="126" t="s">
        <v>186</v>
      </c>
      <c r="D258" s="108">
        <v>5.03</v>
      </c>
      <c r="E258" s="108"/>
      <c r="F258" s="127"/>
      <c r="G258" s="128"/>
      <c r="H258" s="552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543"/>
      <c r="P258" s="543"/>
      <c r="Q258" s="543"/>
      <c r="R258" s="543"/>
      <c r="S258" s="543"/>
      <c r="T258" s="543"/>
      <c r="U258" s="543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544" t="s">
        <v>217</v>
      </c>
      <c r="C259" s="126" t="s">
        <v>204</v>
      </c>
      <c r="D259" s="108">
        <v>5.03</v>
      </c>
      <c r="E259" s="108"/>
      <c r="F259" s="127"/>
      <c r="G259" s="128"/>
      <c r="H259" s="552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543"/>
      <c r="P259" s="543"/>
      <c r="Q259" s="543"/>
      <c r="R259" s="543"/>
      <c r="S259" s="543"/>
      <c r="T259" s="543"/>
      <c r="U259" s="543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552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543"/>
      <c r="P260" s="543"/>
      <c r="Q260" s="543"/>
      <c r="R260" s="543"/>
      <c r="S260" s="543"/>
      <c r="T260" s="543"/>
      <c r="U260" s="543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552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543"/>
      <c r="P261" s="543"/>
      <c r="Q261" s="543"/>
      <c r="R261" s="543"/>
      <c r="S261" s="543"/>
      <c r="T261" s="543"/>
      <c r="U261" s="543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552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543"/>
      <c r="P262" s="543"/>
      <c r="Q262" s="543"/>
      <c r="R262" s="543"/>
      <c r="S262" s="543"/>
      <c r="T262" s="543"/>
      <c r="U262" s="543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552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543"/>
      <c r="P263" s="543"/>
      <c r="Q263" s="543"/>
      <c r="R263" s="543"/>
      <c r="S263" s="543"/>
      <c r="T263" s="543"/>
      <c r="U263" s="543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552">
        <f t="shared" si="116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543"/>
      <c r="P264" s="543"/>
      <c r="Q264" s="543"/>
      <c r="R264" s="543"/>
      <c r="S264" s="543"/>
      <c r="T264" s="543"/>
      <c r="U264" s="543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552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543"/>
      <c r="P265" s="543"/>
      <c r="Q265" s="543"/>
      <c r="R265" s="543"/>
      <c r="S265" s="543"/>
      <c r="T265" s="543"/>
      <c r="U265" s="543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552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543"/>
      <c r="P266" s="543"/>
      <c r="Q266" s="543"/>
      <c r="R266" s="543"/>
      <c r="S266" s="543"/>
      <c r="T266" s="543"/>
      <c r="U266" s="543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552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543"/>
      <c r="P267" s="543"/>
      <c r="Q267" s="543"/>
      <c r="R267" s="543"/>
      <c r="S267" s="543"/>
      <c r="T267" s="543"/>
      <c r="U267" s="543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552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543"/>
      <c r="P268" s="543"/>
      <c r="Q268" s="543"/>
      <c r="R268" s="543"/>
      <c r="S268" s="543"/>
      <c r="T268" s="543"/>
      <c r="U268" s="543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552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0">IF(ISERROR(I269-K269),"",I269-K269)</f>
        <v>0</v>
      </c>
      <c r="N269" s="130">
        <f t="shared" ref="N269:N284" si="121">SUM(O269:U269)</f>
        <v>0</v>
      </c>
      <c r="O269" s="543"/>
      <c r="P269" s="543"/>
      <c r="Q269" s="543"/>
      <c r="R269" s="543"/>
      <c r="S269" s="543"/>
      <c r="T269" s="543"/>
      <c r="U269" s="543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552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543"/>
      <c r="P270" s="543"/>
      <c r="Q270" s="543"/>
      <c r="R270" s="543"/>
      <c r="S270" s="543"/>
      <c r="T270" s="543"/>
      <c r="U270" s="543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552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543"/>
      <c r="P271" s="543"/>
      <c r="Q271" s="543"/>
      <c r="R271" s="543"/>
      <c r="S271" s="543"/>
      <c r="T271" s="543"/>
      <c r="U271" s="543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552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543"/>
      <c r="P272" s="543"/>
      <c r="Q272" s="543"/>
      <c r="R272" s="543"/>
      <c r="S272" s="543"/>
      <c r="T272" s="543"/>
      <c r="U272" s="543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544" t="s">
        <v>222</v>
      </c>
      <c r="C273" s="126" t="s">
        <v>181</v>
      </c>
      <c r="D273" s="108">
        <v>9.36</v>
      </c>
      <c r="E273" s="108"/>
      <c r="F273" s="127"/>
      <c r="G273" s="128"/>
      <c r="H273" s="552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543"/>
      <c r="P273" s="543"/>
      <c r="Q273" s="543"/>
      <c r="R273" s="543"/>
      <c r="S273" s="543"/>
      <c r="T273" s="543"/>
      <c r="U273" s="543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544" t="s">
        <v>222</v>
      </c>
      <c r="C274" s="126" t="s">
        <v>179</v>
      </c>
      <c r="D274" s="108">
        <v>9.36</v>
      </c>
      <c r="E274" s="108"/>
      <c r="F274" s="127"/>
      <c r="G274" s="128"/>
      <c r="H274" s="552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543"/>
      <c r="P274" s="543"/>
      <c r="Q274" s="543"/>
      <c r="R274" s="543"/>
      <c r="S274" s="543"/>
      <c r="T274" s="543"/>
      <c r="U274" s="543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544" t="s">
        <v>222</v>
      </c>
      <c r="C275" s="126" t="s">
        <v>221</v>
      </c>
      <c r="D275" s="108">
        <v>9.36</v>
      </c>
      <c r="E275" s="108"/>
      <c r="F275" s="127"/>
      <c r="G275" s="128"/>
      <c r="H275" s="552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543"/>
      <c r="P275" s="543"/>
      <c r="Q275" s="543"/>
      <c r="R275" s="543"/>
      <c r="S275" s="543"/>
      <c r="T275" s="543"/>
      <c r="U275" s="543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544" t="s">
        <v>222</v>
      </c>
      <c r="C276" s="126" t="s">
        <v>186</v>
      </c>
      <c r="D276" s="108">
        <v>9.36</v>
      </c>
      <c r="E276" s="108"/>
      <c r="F276" s="127"/>
      <c r="G276" s="128"/>
      <c r="H276" s="552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543"/>
      <c r="P276" s="543"/>
      <c r="Q276" s="543"/>
      <c r="R276" s="543"/>
      <c r="S276" s="543"/>
      <c r="T276" s="543"/>
      <c r="U276" s="543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544" t="s">
        <v>393</v>
      </c>
      <c r="C277" s="187" t="s">
        <v>395</v>
      </c>
      <c r="D277" s="108">
        <v>5</v>
      </c>
      <c r="E277" s="108"/>
      <c r="F277" s="127"/>
      <c r="G277" s="128"/>
      <c r="H277" s="552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543"/>
      <c r="P277" s="543"/>
      <c r="Q277" s="543"/>
      <c r="R277" s="543"/>
      <c r="S277" s="543"/>
      <c r="T277" s="543"/>
      <c r="U277" s="543"/>
      <c r="V277" s="132"/>
      <c r="W277" s="133"/>
      <c r="X277" s="132"/>
      <c r="Y277" s="132"/>
      <c r="Z277" s="132"/>
      <c r="AA277" s="132"/>
    </row>
    <row r="278" spans="1:27" ht="20.100000000000001" customHeight="1">
      <c r="A278" s="299">
        <v>30400028</v>
      </c>
      <c r="B278" s="544" t="s">
        <v>393</v>
      </c>
      <c r="C278" s="187" t="s">
        <v>402</v>
      </c>
      <c r="D278" s="108">
        <v>5</v>
      </c>
      <c r="E278" s="108"/>
      <c r="F278" s="127">
        <v>42716</v>
      </c>
      <c r="G278" s="128">
        <v>90</v>
      </c>
      <c r="H278" s="552">
        <f t="shared" si="116"/>
        <v>450</v>
      </c>
      <c r="I278" s="129">
        <v>18</v>
      </c>
      <c r="J278" s="130">
        <f t="array" ref="J278">IF(ISERROR(G278/I278),"",G278/I278)</f>
        <v>5</v>
      </c>
      <c r="K278" s="131">
        <f t="array" ref="K278">IF(ISERROR(G278/L278),"",G278/L278)</f>
        <v>18</v>
      </c>
      <c r="L278" s="129">
        <v>5</v>
      </c>
      <c r="M278" s="109">
        <f t="shared" si="120"/>
        <v>0</v>
      </c>
      <c r="N278" s="130">
        <f t="shared" si="121"/>
        <v>0</v>
      </c>
      <c r="O278" s="543"/>
      <c r="P278" s="543"/>
      <c r="Q278" s="543"/>
      <c r="R278" s="543"/>
      <c r="S278" s="543"/>
      <c r="T278" s="543"/>
      <c r="U278" s="543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544" t="s">
        <v>404</v>
      </c>
      <c r="C279" s="187" t="s">
        <v>405</v>
      </c>
      <c r="D279" s="108">
        <v>5</v>
      </c>
      <c r="E279" s="108"/>
      <c r="F279" s="127"/>
      <c r="G279" s="128"/>
      <c r="H279" s="552">
        <f t="shared" si="116"/>
        <v>0</v>
      </c>
      <c r="I279" s="129"/>
      <c r="J279" s="130" t="str">
        <f t="array" ref="J279">IF(ISERROR(G279/I279),"",G279/I279)</f>
        <v/>
      </c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543"/>
      <c r="P279" s="543"/>
      <c r="Q279" s="543"/>
      <c r="R279" s="543"/>
      <c r="S279" s="543"/>
      <c r="T279" s="543"/>
      <c r="U279" s="543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544" t="s">
        <v>342</v>
      </c>
      <c r="C280" s="187" t="s">
        <v>372</v>
      </c>
      <c r="D280" s="108">
        <v>5</v>
      </c>
      <c r="E280" s="108"/>
      <c r="F280" s="127"/>
      <c r="G280" s="128"/>
      <c r="H280" s="552">
        <f t="shared" si="116"/>
        <v>0</v>
      </c>
      <c r="I280" s="129"/>
      <c r="J280" s="130" t="str">
        <f t="array" ref="J280">IF(ISERROR(G280/I280),"",G280/I280)</f>
        <v/>
      </c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543"/>
      <c r="P280" s="543"/>
      <c r="Q280" s="543"/>
      <c r="R280" s="543"/>
      <c r="S280" s="543"/>
      <c r="T280" s="543"/>
      <c r="U280" s="543"/>
      <c r="V280" s="132"/>
      <c r="W280" s="133"/>
      <c r="X280" s="132"/>
      <c r="Y280" s="132"/>
      <c r="Z280" s="132"/>
      <c r="AA280" s="132"/>
    </row>
    <row r="281" spans="1:27" ht="20.100000000000001" customHeight="1">
      <c r="A281" s="299">
        <v>30600009</v>
      </c>
      <c r="B281" s="544" t="s">
        <v>343</v>
      </c>
      <c r="C281" s="126" t="s">
        <v>345</v>
      </c>
      <c r="D281" s="108">
        <v>5</v>
      </c>
      <c r="E281" s="108"/>
      <c r="F281" s="127">
        <v>42717</v>
      </c>
      <c r="G281" s="128">
        <f>90+42</f>
        <v>132</v>
      </c>
      <c r="H281" s="552">
        <f t="shared" si="116"/>
        <v>660</v>
      </c>
      <c r="I281" s="129">
        <f>4*3+2</f>
        <v>14</v>
      </c>
      <c r="J281" s="130">
        <f t="array" ref="J281">IF(ISERROR(G281/I281),"",G281/I281)</f>
        <v>9.4285714285714288</v>
      </c>
      <c r="K281" s="131">
        <f t="array" ref="K281">IF(ISERROR(G281/L281),"",G281/L281)</f>
        <v>26.4</v>
      </c>
      <c r="L281" s="129">
        <v>5</v>
      </c>
      <c r="M281" s="109">
        <f t="shared" si="120"/>
        <v>-12.399999999999999</v>
      </c>
      <c r="N281" s="130">
        <f t="shared" si="121"/>
        <v>0</v>
      </c>
      <c r="O281" s="543"/>
      <c r="P281" s="543"/>
      <c r="Q281" s="543"/>
      <c r="R281" s="543"/>
      <c r="S281" s="543"/>
      <c r="T281" s="543"/>
      <c r="U281" s="543"/>
      <c r="V281" s="132"/>
      <c r="W281" s="133"/>
      <c r="X281" s="132"/>
      <c r="Y281" s="132"/>
      <c r="Z281" s="132"/>
      <c r="AA281" s="132"/>
    </row>
    <row r="282" spans="1:27" ht="20.100000000000001" customHeight="1">
      <c r="A282" s="299">
        <v>30600010</v>
      </c>
      <c r="B282" s="544" t="s">
        <v>343</v>
      </c>
      <c r="C282" s="126" t="s">
        <v>347</v>
      </c>
      <c r="D282" s="108">
        <v>5</v>
      </c>
      <c r="E282" s="108"/>
      <c r="F282" s="127">
        <v>42717</v>
      </c>
      <c r="G282" s="128">
        <f>49+32+28+62</f>
        <v>171</v>
      </c>
      <c r="H282" s="552">
        <f t="shared" si="116"/>
        <v>855</v>
      </c>
      <c r="I282" s="129">
        <f>1.5*2+0.5*5+3*3</f>
        <v>14.5</v>
      </c>
      <c r="J282" s="130">
        <f t="array" ref="J282">IF(ISERROR(G282/I282),"",G282/I282)</f>
        <v>11.793103448275861</v>
      </c>
      <c r="K282" s="131">
        <f t="array" ref="K282">IF(ISERROR(G282/L282),"",G282/L282)</f>
        <v>34.200000000000003</v>
      </c>
      <c r="L282" s="129">
        <v>5</v>
      </c>
      <c r="M282" s="109">
        <f t="shared" si="120"/>
        <v>-19.700000000000003</v>
      </c>
      <c r="N282" s="130">
        <f t="shared" si="121"/>
        <v>0</v>
      </c>
      <c r="O282" s="543"/>
      <c r="P282" s="543"/>
      <c r="Q282" s="543"/>
      <c r="R282" s="543"/>
      <c r="S282" s="543"/>
      <c r="T282" s="543"/>
      <c r="U282" s="543"/>
      <c r="V282" s="132"/>
      <c r="W282" s="133"/>
      <c r="X282" s="132"/>
      <c r="Y282" s="132"/>
      <c r="Z282" s="132"/>
      <c r="AA282" s="132"/>
    </row>
    <row r="283" spans="1:27" ht="20.10000000000000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>
        <v>42720</v>
      </c>
      <c r="G283" s="128">
        <v>12</v>
      </c>
      <c r="H283" s="552">
        <f t="shared" si="116"/>
        <v>60.72</v>
      </c>
      <c r="I283" s="129">
        <v>1</v>
      </c>
      <c r="J283" s="130">
        <f t="array" ref="J283">IF(ISERROR(G283/I283),"",G283/I283)</f>
        <v>12</v>
      </c>
      <c r="K283" s="131">
        <f t="array" ref="K283">IF(ISERROR(G283/L283),"",G283/L283)</f>
        <v>0.77419354838709675</v>
      </c>
      <c r="L283" s="129">
        <v>15.5</v>
      </c>
      <c r="M283" s="109">
        <f t="shared" si="120"/>
        <v>0.22580645161290325</v>
      </c>
      <c r="N283" s="130">
        <f t="shared" si="121"/>
        <v>0</v>
      </c>
      <c r="O283" s="543"/>
      <c r="P283" s="543"/>
      <c r="Q283" s="543"/>
      <c r="R283" s="543"/>
      <c r="S283" s="543"/>
      <c r="T283" s="543"/>
      <c r="U283" s="543"/>
      <c r="V283" s="132">
        <f t="shared" ref="V283:V284" si="125">SUM(X283:AA283)</f>
        <v>0</v>
      </c>
      <c r="W283" s="133">
        <f t="shared" ref="W283:W284" si="126">IF(ISERROR(V283/G283),"",V283/G283)</f>
        <v>0</v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552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543"/>
      <c r="P284" s="543"/>
      <c r="Q284" s="543"/>
      <c r="R284" s="543"/>
      <c r="S284" s="543"/>
      <c r="T284" s="543"/>
      <c r="U284" s="543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/>
      <c r="G285" s="128"/>
      <c r="H285" s="552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543"/>
      <c r="P285" s="543"/>
      <c r="Q285" s="543"/>
      <c r="R285" s="543"/>
      <c r="S285" s="543"/>
      <c r="T285" s="543"/>
      <c r="U285" s="543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552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543"/>
      <c r="P286" s="543"/>
      <c r="Q286" s="543"/>
      <c r="R286" s="543"/>
      <c r="S286" s="543"/>
      <c r="T286" s="543"/>
      <c r="U286" s="543"/>
      <c r="V286" s="132"/>
      <c r="W286" s="133"/>
      <c r="X286" s="132"/>
      <c r="Y286" s="132"/>
      <c r="Z286" s="132"/>
      <c r="AA286" s="132"/>
    </row>
    <row r="287" spans="1:27" ht="20.10000000000000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>
        <v>42709</v>
      </c>
      <c r="G287" s="128">
        <v>16</v>
      </c>
      <c r="H287" s="552">
        <f t="shared" si="116"/>
        <v>80.48</v>
      </c>
      <c r="I287" s="129">
        <f>0.5*3</f>
        <v>1.5</v>
      </c>
      <c r="J287" s="130">
        <f t="array" ref="J287">IF(ISERROR(G287/I287),"",G287/I287)</f>
        <v>10.666666666666666</v>
      </c>
      <c r="K287" s="131">
        <f t="array" ref="K287">IF(ISERROR(G287/L287),"",G287/L287)</f>
        <v>0.66666666666666663</v>
      </c>
      <c r="L287" s="129">
        <v>24</v>
      </c>
      <c r="M287" s="109">
        <f t="shared" ref="M287" si="127">IF(ISERROR(I287-K287),"",I287-K287)</f>
        <v>0.83333333333333337</v>
      </c>
      <c r="N287" s="130"/>
      <c r="O287" s="543"/>
      <c r="P287" s="543"/>
      <c r="Q287" s="543"/>
      <c r="R287" s="543"/>
      <c r="S287" s="543"/>
      <c r="T287" s="543"/>
      <c r="U287" s="543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552">
        <f t="shared" si="116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8">IF(ISERROR(I288-K288),"",I288-K288)</f>
        <v>0</v>
      </c>
      <c r="N288" s="130">
        <f t="shared" ref="N288:N290" si="129">SUM(O288:U288)</f>
        <v>0</v>
      </c>
      <c r="O288" s="543"/>
      <c r="P288" s="543"/>
      <c r="Q288" s="543"/>
      <c r="R288" s="543"/>
      <c r="S288" s="543"/>
      <c r="T288" s="543"/>
      <c r="U288" s="543"/>
      <c r="V288" s="132">
        <f t="shared" ref="V288:V290" si="130">SUM(X288:AA288)</f>
        <v>0</v>
      </c>
      <c r="W288" s="133" t="str">
        <f t="shared" ref="W288:W312" si="131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552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8"/>
        <v>0</v>
      </c>
      <c r="N289" s="130">
        <f t="shared" si="129"/>
        <v>0</v>
      </c>
      <c r="O289" s="543"/>
      <c r="P289" s="543"/>
      <c r="Q289" s="543"/>
      <c r="R289" s="543"/>
      <c r="S289" s="543"/>
      <c r="T289" s="543"/>
      <c r="U289" s="543"/>
      <c r="V289" s="132">
        <f t="shared" si="130"/>
        <v>0</v>
      </c>
      <c r="W289" s="133" t="str">
        <f t="shared" si="131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552">
        <f t="shared" si="116"/>
        <v>0</v>
      </c>
      <c r="I290" s="129"/>
      <c r="J290" s="130" t="str">
        <f t="array" ref="J290">IF(ISERROR(G290/I290),"",G290/I290)</f>
        <v/>
      </c>
      <c r="K290" s="552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543"/>
      <c r="P290" s="543"/>
      <c r="Q290" s="543"/>
      <c r="R290" s="543"/>
      <c r="S290" s="543"/>
      <c r="T290" s="543"/>
      <c r="U290" s="543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customHeight="1">
      <c r="A291" s="630" t="s">
        <v>224</v>
      </c>
      <c r="B291" s="631"/>
      <c r="C291" s="550" t="s">
        <v>202</v>
      </c>
      <c r="D291" s="143"/>
      <c r="E291" s="143"/>
      <c r="F291" s="144"/>
      <c r="G291" s="145">
        <f>SUM(G257:G290)</f>
        <v>421</v>
      </c>
      <c r="H291" s="146">
        <f>SUM(H257:H290)</f>
        <v>2106.1999999999998</v>
      </c>
      <c r="I291" s="146">
        <f>SUM(I257:I290)</f>
        <v>49</v>
      </c>
      <c r="J291" s="130">
        <f t="array" ref="J291">IF(ISERROR(G291/I291),"",G291/I291)</f>
        <v>8.591836734693878</v>
      </c>
      <c r="K291" s="146">
        <f>SUM(K257:K290)</f>
        <v>80.040860215053769</v>
      </c>
      <c r="L291" s="147"/>
      <c r="M291" s="150">
        <f t="shared" ref="M291:V291" si="132">SUM(M257:M290)</f>
        <v>-31.040860215053765</v>
      </c>
      <c r="N291" s="146">
        <f t="shared" si="132"/>
        <v>0</v>
      </c>
      <c r="O291" s="148">
        <f t="shared" si="132"/>
        <v>0</v>
      </c>
      <c r="P291" s="148">
        <f t="shared" si="132"/>
        <v>0</v>
      </c>
      <c r="Q291" s="148">
        <f t="shared" si="132"/>
        <v>0</v>
      </c>
      <c r="R291" s="148">
        <f t="shared" si="132"/>
        <v>0</v>
      </c>
      <c r="S291" s="148">
        <f t="shared" si="132"/>
        <v>0</v>
      </c>
      <c r="T291" s="148">
        <f t="shared" si="132"/>
        <v>0</v>
      </c>
      <c r="U291" s="148">
        <f t="shared" si="132"/>
        <v>0</v>
      </c>
      <c r="V291" s="149">
        <f t="shared" si="132"/>
        <v>0</v>
      </c>
      <c r="W291" s="133">
        <f t="shared" si="131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>
        <v>42723</v>
      </c>
      <c r="G292" s="128">
        <f>90*4+80</f>
        <v>440</v>
      </c>
      <c r="H292" s="552">
        <f t="shared" ref="H292:H306" si="133">D292*G292</f>
        <v>2213.2000000000003</v>
      </c>
      <c r="I292" s="129">
        <f>9*2</f>
        <v>18</v>
      </c>
      <c r="J292" s="130">
        <f t="array" ref="J292">IF(ISERROR(G292/I292),"",G292/I292)</f>
        <v>24.444444444444443</v>
      </c>
      <c r="K292" s="131">
        <f t="array" ref="K292">IF(ISERROR(G292/L292),"",G292/L292)</f>
        <v>17.600000000000001</v>
      </c>
      <c r="L292" s="129">
        <v>25</v>
      </c>
      <c r="M292" s="109">
        <f t="shared" ref="M292:M306" si="134">IF(ISERROR(I292-K292),"",I292-K292)</f>
        <v>0.39999999999999858</v>
      </c>
      <c r="N292" s="130">
        <f t="shared" ref="N292:N306" si="135">SUM(O292:U292)</f>
        <v>0</v>
      </c>
      <c r="O292" s="543"/>
      <c r="P292" s="543"/>
      <c r="Q292" s="543"/>
      <c r="R292" s="543"/>
      <c r="S292" s="543"/>
      <c r="T292" s="543"/>
      <c r="U292" s="543"/>
      <c r="V292" s="132">
        <f t="shared" ref="V292:V306" si="136">SUM(X292:AA292)</f>
        <v>0</v>
      </c>
      <c r="W292" s="133">
        <f t="shared" si="131"/>
        <v>0</v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552">
        <f t="shared" si="133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4"/>
        <v>0</v>
      </c>
      <c r="N293" s="130">
        <f t="shared" si="135"/>
        <v>0</v>
      </c>
      <c r="O293" s="543"/>
      <c r="P293" s="543"/>
      <c r="Q293" s="543"/>
      <c r="R293" s="543"/>
      <c r="S293" s="543"/>
      <c r="T293" s="543"/>
      <c r="U293" s="543"/>
      <c r="V293" s="132">
        <f t="shared" si="136"/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552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4"/>
        <v>0</v>
      </c>
      <c r="N294" s="130">
        <f t="shared" si="135"/>
        <v>0</v>
      </c>
      <c r="O294" s="543"/>
      <c r="P294" s="543"/>
      <c r="Q294" s="543"/>
      <c r="R294" s="543"/>
      <c r="S294" s="543"/>
      <c r="T294" s="543"/>
      <c r="U294" s="543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552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4"/>
        <v>0</v>
      </c>
      <c r="N295" s="130">
        <f t="shared" si="135"/>
        <v>0</v>
      </c>
      <c r="O295" s="543"/>
      <c r="P295" s="543"/>
      <c r="Q295" s="543"/>
      <c r="R295" s="543"/>
      <c r="S295" s="543"/>
      <c r="T295" s="543"/>
      <c r="U295" s="543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548" t="s">
        <v>203</v>
      </c>
      <c r="D296" s="108">
        <v>5.03</v>
      </c>
      <c r="E296" s="108"/>
      <c r="F296" s="127"/>
      <c r="G296" s="128"/>
      <c r="H296" s="552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543"/>
      <c r="P296" s="543"/>
      <c r="Q296" s="543"/>
      <c r="R296" s="543"/>
      <c r="S296" s="543"/>
      <c r="T296" s="543"/>
      <c r="U296" s="543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552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543"/>
      <c r="P297" s="543"/>
      <c r="Q297" s="543"/>
      <c r="R297" s="543"/>
      <c r="S297" s="543"/>
      <c r="T297" s="543"/>
      <c r="U297" s="543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552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543"/>
      <c r="P298" s="543"/>
      <c r="Q298" s="543"/>
      <c r="R298" s="543"/>
      <c r="S298" s="543"/>
      <c r="T298" s="543"/>
      <c r="U298" s="543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548" t="s">
        <v>228</v>
      </c>
      <c r="D299" s="108">
        <v>5.03</v>
      </c>
      <c r="E299" s="108"/>
      <c r="F299" s="127"/>
      <c r="G299" s="128"/>
      <c r="H299" s="552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543"/>
      <c r="P299" s="543"/>
      <c r="Q299" s="543"/>
      <c r="R299" s="543"/>
      <c r="S299" s="543"/>
      <c r="T299" s="543"/>
      <c r="U299" s="543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548" t="s">
        <v>212</v>
      </c>
      <c r="D300" s="108">
        <v>5.03</v>
      </c>
      <c r="E300" s="108"/>
      <c r="F300" s="127"/>
      <c r="G300" s="128"/>
      <c r="H300" s="552">
        <f t="shared" si="133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4"/>
        <v/>
      </c>
      <c r="N300" s="130">
        <f t="shared" si="135"/>
        <v>0</v>
      </c>
      <c r="O300" s="543"/>
      <c r="P300" s="543"/>
      <c r="Q300" s="543"/>
      <c r="R300" s="543"/>
      <c r="S300" s="543"/>
      <c r="T300" s="543"/>
      <c r="U300" s="543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548" t="s">
        <v>203</v>
      </c>
      <c r="D301" s="108">
        <v>5.03</v>
      </c>
      <c r="E301" s="108"/>
      <c r="F301" s="127"/>
      <c r="G301" s="128"/>
      <c r="H301" s="552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543"/>
      <c r="P301" s="543"/>
      <c r="Q301" s="543"/>
      <c r="R301" s="543"/>
      <c r="S301" s="543"/>
      <c r="T301" s="543"/>
      <c r="U301" s="543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548" t="s">
        <v>186</v>
      </c>
      <c r="D302" s="108">
        <v>5.03</v>
      </c>
      <c r="E302" s="108"/>
      <c r="F302" s="127"/>
      <c r="G302" s="128"/>
      <c r="H302" s="552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543"/>
      <c r="P302" s="543"/>
      <c r="Q302" s="543"/>
      <c r="R302" s="543"/>
      <c r="S302" s="543"/>
      <c r="T302" s="543"/>
      <c r="U302" s="543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548" t="s">
        <v>228</v>
      </c>
      <c r="D303" s="108">
        <v>5.03</v>
      </c>
      <c r="E303" s="108"/>
      <c r="F303" s="127"/>
      <c r="G303" s="128"/>
      <c r="H303" s="552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543"/>
      <c r="P303" s="543"/>
      <c r="Q303" s="543"/>
      <c r="R303" s="543"/>
      <c r="S303" s="543"/>
      <c r="T303" s="543"/>
      <c r="U303" s="543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548" t="s">
        <v>199</v>
      </c>
      <c r="D304" s="108">
        <v>5.03</v>
      </c>
      <c r="E304" s="108"/>
      <c r="F304" s="127"/>
      <c r="G304" s="128"/>
      <c r="H304" s="552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543"/>
      <c r="P304" s="543"/>
      <c r="Q304" s="543"/>
      <c r="R304" s="543"/>
      <c r="S304" s="543"/>
      <c r="T304" s="543"/>
      <c r="U304" s="543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552">
        <f t="shared" si="133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4"/>
        <v>0</v>
      </c>
      <c r="N305" s="130">
        <f t="shared" si="135"/>
        <v>0</v>
      </c>
      <c r="O305" s="543"/>
      <c r="P305" s="543"/>
      <c r="Q305" s="543"/>
      <c r="R305" s="543"/>
      <c r="S305" s="543"/>
      <c r="T305" s="543"/>
      <c r="U305" s="543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552">
        <f t="shared" si="133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4"/>
        <v>0</v>
      </c>
      <c r="N306" s="130">
        <f t="shared" si="135"/>
        <v>0</v>
      </c>
      <c r="O306" s="543"/>
      <c r="P306" s="543"/>
      <c r="Q306" s="543"/>
      <c r="R306" s="543"/>
      <c r="S306" s="543"/>
      <c r="T306" s="543"/>
      <c r="U306" s="543"/>
      <c r="V306" s="132">
        <f t="shared" si="136"/>
        <v>0</v>
      </c>
      <c r="W306" s="133" t="str">
        <f t="shared" si="131"/>
        <v/>
      </c>
      <c r="X306" s="132"/>
      <c r="Y306" s="132"/>
      <c r="Z306" s="132"/>
      <c r="AA306" s="132"/>
    </row>
    <row r="307" spans="1:27" ht="20.100000000000001" customHeight="1">
      <c r="A307" s="630" t="s">
        <v>231</v>
      </c>
      <c r="B307" s="631"/>
      <c r="C307" s="550" t="s">
        <v>202</v>
      </c>
      <c r="D307" s="143"/>
      <c r="E307" s="143"/>
      <c r="F307" s="144"/>
      <c r="G307" s="145">
        <f>SUM(G292:G306)</f>
        <v>440</v>
      </c>
      <c r="H307" s="146">
        <f>SUM(H292:H306)</f>
        <v>2213.2000000000003</v>
      </c>
      <c r="I307" s="146">
        <f>SUM(I292:I306)</f>
        <v>18</v>
      </c>
      <c r="J307" s="130">
        <f t="array" ref="J307">IF(ISERROR(G307/I307),"",G307/I307)</f>
        <v>24.444444444444443</v>
      </c>
      <c r="K307" s="146">
        <f>SUM(K292:K306)</f>
        <v>17.600000000000001</v>
      </c>
      <c r="L307" s="146"/>
      <c r="M307" s="150">
        <f>SUM(M292:M306)</f>
        <v>0.39999999999999858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>
        <f t="shared" si="131"/>
        <v>0</v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552">
        <f t="shared" ref="H308:H316" si="137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8">IF(ISERROR(I308-K308),"",I308-K308)</f>
        <v>0</v>
      </c>
      <c r="N308" s="130">
        <f t="shared" ref="N308:N312" si="139">SUM(O308:U308)</f>
        <v>0</v>
      </c>
      <c r="O308" s="543"/>
      <c r="P308" s="543"/>
      <c r="Q308" s="543"/>
      <c r="R308" s="543"/>
      <c r="S308" s="543"/>
      <c r="T308" s="543"/>
      <c r="U308" s="543"/>
      <c r="V308" s="132">
        <f t="shared" ref="V308:V312" si="140">SUM(X308:AA308)</f>
        <v>0</v>
      </c>
      <c r="W308" s="133" t="str">
        <f t="shared" si="131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552">
        <f t="shared" si="137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8"/>
        <v>0</v>
      </c>
      <c r="N309" s="130">
        <f t="shared" si="139"/>
        <v>0</v>
      </c>
      <c r="O309" s="543"/>
      <c r="P309" s="543"/>
      <c r="Q309" s="543"/>
      <c r="R309" s="543"/>
      <c r="S309" s="543"/>
      <c r="T309" s="543"/>
      <c r="U309" s="543"/>
      <c r="V309" s="132">
        <f t="shared" si="140"/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552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543"/>
      <c r="P310" s="543"/>
      <c r="Q310" s="543"/>
      <c r="R310" s="543"/>
      <c r="S310" s="543"/>
      <c r="T310" s="543"/>
      <c r="U310" s="543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552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543"/>
      <c r="P311" s="543"/>
      <c r="Q311" s="543"/>
      <c r="R311" s="543"/>
      <c r="S311" s="543"/>
      <c r="T311" s="543"/>
      <c r="U311" s="543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552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543"/>
      <c r="P312" s="543"/>
      <c r="Q312" s="543"/>
      <c r="R312" s="543"/>
      <c r="S312" s="543"/>
      <c r="T312" s="543"/>
      <c r="U312" s="543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552">
        <f t="shared" si="137"/>
        <v>0</v>
      </c>
      <c r="I313" s="129"/>
      <c r="J313" s="130"/>
      <c r="K313" s="131"/>
      <c r="L313" s="129">
        <v>13.5</v>
      </c>
      <c r="M313" s="109"/>
      <c r="N313" s="130"/>
      <c r="O313" s="543"/>
      <c r="P313" s="543"/>
      <c r="Q313" s="543"/>
      <c r="R313" s="543"/>
      <c r="S313" s="543"/>
      <c r="T313" s="543"/>
      <c r="U313" s="543"/>
      <c r="V313" s="132"/>
      <c r="W313" s="133"/>
      <c r="X313" s="132"/>
      <c r="Y313" s="132"/>
      <c r="Z313" s="132"/>
      <c r="AA313" s="132"/>
    </row>
    <row r="314" spans="1:27" ht="20.100000000000001" hidden="1" customHeight="1">
      <c r="A314" s="300">
        <v>30400020</v>
      </c>
      <c r="B314" s="134" t="s">
        <v>439</v>
      </c>
      <c r="C314" s="187" t="s">
        <v>74</v>
      </c>
      <c r="D314" s="108">
        <v>5.03</v>
      </c>
      <c r="E314" s="108"/>
      <c r="F314" s="127"/>
      <c r="G314" s="128"/>
      <c r="H314" s="552">
        <f t="shared" si="137"/>
        <v>0</v>
      </c>
      <c r="I314" s="129"/>
      <c r="J314" s="130"/>
      <c r="K314" s="131"/>
      <c r="L314" s="129">
        <v>13.5</v>
      </c>
      <c r="M314" s="109"/>
      <c r="N314" s="130"/>
      <c r="O314" s="543"/>
      <c r="P314" s="543"/>
      <c r="Q314" s="543"/>
      <c r="R314" s="543"/>
      <c r="S314" s="543"/>
      <c r="T314" s="543"/>
      <c r="U314" s="543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30400021</v>
      </c>
      <c r="B315" s="134" t="s">
        <v>439</v>
      </c>
      <c r="C315" s="187" t="s">
        <v>53</v>
      </c>
      <c r="D315" s="108">
        <v>5.03</v>
      </c>
      <c r="E315" s="108"/>
      <c r="F315" s="127"/>
      <c r="G315" s="128"/>
      <c r="H315" s="552">
        <f t="shared" si="137"/>
        <v>0</v>
      </c>
      <c r="I315" s="129"/>
      <c r="J315" s="130"/>
      <c r="K315" s="131"/>
      <c r="L315" s="129">
        <v>13.5</v>
      </c>
      <c r="M315" s="109"/>
      <c r="N315" s="130"/>
      <c r="O315" s="543"/>
      <c r="P315" s="543"/>
      <c r="Q315" s="543"/>
      <c r="R315" s="543"/>
      <c r="S315" s="543"/>
      <c r="T315" s="543"/>
      <c r="U315" s="543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552">
        <f t="shared" si="137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1">IF(ISERROR(I316-K316),"",I316-K316)</f>
        <v>0</v>
      </c>
      <c r="N316" s="130">
        <f t="shared" ref="N316" si="142">SUM(O316:U316)</f>
        <v>0</v>
      </c>
      <c r="O316" s="543"/>
      <c r="P316" s="543"/>
      <c r="Q316" s="543"/>
      <c r="R316" s="543"/>
      <c r="S316" s="543"/>
      <c r="T316" s="543"/>
      <c r="U316" s="543"/>
      <c r="V316" s="132">
        <f t="shared" ref="V316" si="143">SUM(X316:AA316)</f>
        <v>0</v>
      </c>
      <c r="W316" s="133" t="str">
        <f t="shared" ref="W316:W321" si="144">IF(ISERROR(V316/G316),"",V316/G316)</f>
        <v/>
      </c>
      <c r="X316" s="132"/>
      <c r="Y316" s="132"/>
      <c r="Z316" s="132"/>
      <c r="AA316" s="132"/>
    </row>
    <row r="317" spans="1:27" ht="20.100000000000001" hidden="1" customHeight="1">
      <c r="A317" s="630" t="s">
        <v>234</v>
      </c>
      <c r="B317" s="631"/>
      <c r="C317" s="550" t="s">
        <v>202</v>
      </c>
      <c r="D317" s="143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4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542"/>
      <c r="D318" s="108">
        <v>3.65</v>
      </c>
      <c r="E318" s="108"/>
      <c r="F318" s="153"/>
      <c r="G318" s="128"/>
      <c r="H318" s="552">
        <f t="shared" ref="H318:H331" si="145">D318*G318</f>
        <v>0</v>
      </c>
      <c r="I318" s="129"/>
      <c r="J318" s="130" t="str">
        <f t="array" ref="J318">IF(ISERROR(G318/I318),"",G318/I318)</f>
        <v/>
      </c>
      <c r="K318" s="552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543"/>
      <c r="P318" s="543"/>
      <c r="Q318" s="543"/>
      <c r="R318" s="543"/>
      <c r="S318" s="543"/>
      <c r="T318" s="543"/>
      <c r="U318" s="543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542"/>
      <c r="D319" s="108">
        <v>6.58</v>
      </c>
      <c r="E319" s="108"/>
      <c r="F319" s="127"/>
      <c r="G319" s="128"/>
      <c r="H319" s="552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543"/>
      <c r="P319" s="543"/>
      <c r="Q319" s="543"/>
      <c r="R319" s="543"/>
      <c r="S319" s="543"/>
      <c r="T319" s="543"/>
      <c r="U319" s="543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542"/>
      <c r="D320" s="108">
        <v>7.8</v>
      </c>
      <c r="E320" s="108"/>
      <c r="F320" s="127"/>
      <c r="G320" s="128"/>
      <c r="H320" s="552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543"/>
      <c r="P320" s="543"/>
      <c r="Q320" s="543"/>
      <c r="R320" s="543"/>
      <c r="S320" s="543"/>
      <c r="T320" s="543"/>
      <c r="U320" s="543"/>
      <c r="V320" s="132">
        <f t="shared" si="148"/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542"/>
      <c r="D321" s="108">
        <v>4.4000000000000004</v>
      </c>
      <c r="E321" s="108"/>
      <c r="F321" s="127"/>
      <c r="G321" s="128"/>
      <c r="H321" s="552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543"/>
      <c r="P321" s="543"/>
      <c r="Q321" s="543"/>
      <c r="R321" s="543"/>
      <c r="S321" s="543"/>
      <c r="T321" s="543"/>
      <c r="U321" s="543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542"/>
      <c r="D322" s="108"/>
      <c r="E322" s="108"/>
      <c r="F322" s="127"/>
      <c r="G322" s="128"/>
      <c r="H322" s="552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543"/>
      <c r="P322" s="543"/>
      <c r="Q322" s="543"/>
      <c r="R322" s="543"/>
      <c r="S322" s="543"/>
      <c r="T322" s="543"/>
      <c r="U322" s="543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542" t="s">
        <v>239</v>
      </c>
      <c r="C323" s="542" t="s">
        <v>179</v>
      </c>
      <c r="D323" s="108">
        <v>6.04</v>
      </c>
      <c r="E323" s="108"/>
      <c r="F323" s="127"/>
      <c r="G323" s="128"/>
      <c r="H323" s="552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543"/>
      <c r="P323" s="543"/>
      <c r="Q323" s="543"/>
      <c r="R323" s="543"/>
      <c r="S323" s="543"/>
      <c r="T323" s="543"/>
      <c r="U323" s="543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542" t="s">
        <v>239</v>
      </c>
      <c r="C324" s="542" t="s">
        <v>186</v>
      </c>
      <c r="D324" s="108">
        <v>6.04</v>
      </c>
      <c r="E324" s="108"/>
      <c r="F324" s="127"/>
      <c r="G324" s="128"/>
      <c r="H324" s="552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543"/>
      <c r="P324" s="543"/>
      <c r="Q324" s="543"/>
      <c r="R324" s="543"/>
      <c r="S324" s="543"/>
      <c r="T324" s="543"/>
      <c r="U324" s="543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542" t="s">
        <v>443</v>
      </c>
      <c r="C325" s="542" t="s">
        <v>179</v>
      </c>
      <c r="D325" s="108">
        <v>6</v>
      </c>
      <c r="E325" s="108"/>
      <c r="F325" s="127"/>
      <c r="G325" s="128"/>
      <c r="H325" s="552">
        <f t="shared" si="145"/>
        <v>0</v>
      </c>
      <c r="I325" s="129"/>
      <c r="J325" s="130"/>
      <c r="K325" s="131"/>
      <c r="L325" s="129"/>
      <c r="M325" s="109"/>
      <c r="N325" s="130"/>
      <c r="O325" s="543"/>
      <c r="P325" s="543"/>
      <c r="Q325" s="543"/>
      <c r="R325" s="543"/>
      <c r="S325" s="543"/>
      <c r="T325" s="543"/>
      <c r="U325" s="543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542" t="s">
        <v>443</v>
      </c>
      <c r="C326" s="542" t="s">
        <v>60</v>
      </c>
      <c r="D326" s="108">
        <v>6</v>
      </c>
      <c r="E326" s="108"/>
      <c r="F326" s="127"/>
      <c r="G326" s="128"/>
      <c r="H326" s="552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543"/>
      <c r="P326" s="543"/>
      <c r="Q326" s="543"/>
      <c r="R326" s="543"/>
      <c r="S326" s="543"/>
      <c r="T326" s="543"/>
      <c r="U326" s="543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544" t="s">
        <v>240</v>
      </c>
      <c r="C327" s="126"/>
      <c r="D327" s="108">
        <v>7.3</v>
      </c>
      <c r="E327" s="108"/>
      <c r="F327" s="127"/>
      <c r="G327" s="128"/>
      <c r="H327" s="552">
        <f t="shared" si="145"/>
        <v>0</v>
      </c>
      <c r="I327" s="129"/>
      <c r="J327" s="130"/>
      <c r="K327" s="131"/>
      <c r="L327" s="129"/>
      <c r="M327" s="109"/>
      <c r="N327" s="130"/>
      <c r="O327" s="543"/>
      <c r="P327" s="543"/>
      <c r="Q327" s="543"/>
      <c r="R327" s="543"/>
      <c r="S327" s="543"/>
      <c r="T327" s="543"/>
      <c r="U327" s="543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544" t="s">
        <v>241</v>
      </c>
      <c r="C328" s="126"/>
      <c r="D328" s="108">
        <f>78*120/1000</f>
        <v>9.36</v>
      </c>
      <c r="E328" s="108"/>
      <c r="F328" s="127"/>
      <c r="G328" s="128"/>
      <c r="H328" s="552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543"/>
      <c r="P328" s="543"/>
      <c r="Q328" s="543"/>
      <c r="R328" s="543"/>
      <c r="S328" s="543"/>
      <c r="T328" s="543"/>
      <c r="U328" s="543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544" t="s">
        <v>242</v>
      </c>
      <c r="C329" s="126"/>
      <c r="D329" s="108">
        <v>4.5</v>
      </c>
      <c r="E329" s="108"/>
      <c r="F329" s="127"/>
      <c r="G329" s="128"/>
      <c r="H329" s="552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543"/>
      <c r="P329" s="543"/>
      <c r="Q329" s="543"/>
      <c r="R329" s="543"/>
      <c r="S329" s="543"/>
      <c r="T329" s="543"/>
      <c r="U329" s="543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544" t="s">
        <v>243</v>
      </c>
      <c r="C330" s="126"/>
      <c r="D330" s="108">
        <v>4.5</v>
      </c>
      <c r="E330" s="108"/>
      <c r="F330" s="127"/>
      <c r="G330" s="128"/>
      <c r="H330" s="552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543"/>
      <c r="P330" s="543"/>
      <c r="Q330" s="543"/>
      <c r="R330" s="543"/>
      <c r="S330" s="543"/>
      <c r="T330" s="543"/>
      <c r="U330" s="543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552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543"/>
      <c r="P331" s="543"/>
      <c r="Q331" s="543"/>
      <c r="R331" s="543"/>
      <c r="S331" s="543"/>
      <c r="T331" s="543"/>
      <c r="U331" s="543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630" t="s">
        <v>244</v>
      </c>
      <c r="B332" s="631"/>
      <c r="C332" s="550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6">SUM(M318:M328)</f>
        <v>0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632" t="s">
        <v>246</v>
      </c>
      <c r="B333" s="633"/>
      <c r="C333" s="633"/>
      <c r="D333" s="633"/>
      <c r="E333" s="633"/>
      <c r="F333" s="634"/>
      <c r="G333" s="154">
        <f>SUM(G198,G256,G291,G307,G317,G332)</f>
        <v>3336</v>
      </c>
      <c r="H333" s="154">
        <f>SUM(H198,H256,H291,H307,H317,H332)</f>
        <v>16774.21</v>
      </c>
      <c r="I333" s="154">
        <f>SUM(I198,I256,I291,I307,I317,I332)</f>
        <v>133.5</v>
      </c>
      <c r="J333" s="155">
        <f t="array" ref="J333">IF(ISERROR(G333/I333),"",G333/I333)</f>
        <v>24.988764044943821</v>
      </c>
      <c r="K333" s="154">
        <f>SUM(K198,K256,K291,K307,K317,K332)</f>
        <v>167.73520410645648</v>
      </c>
      <c r="L333" s="155">
        <f>IF(ISERROR(G333/K333),"",G333/K333)</f>
        <v>19.888490420190752</v>
      </c>
      <c r="M333" s="154">
        <f t="shared" ref="M333:AA333" si="157">SUM(M198,M256,M291,M307,M317,M332)</f>
        <v>-34.235204106456479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635" t="s">
        <v>476</v>
      </c>
      <c r="B334" s="549" t="s">
        <v>247</v>
      </c>
      <c r="C334" s="638" t="s">
        <v>248</v>
      </c>
      <c r="D334" s="639"/>
      <c r="E334" s="640" t="s">
        <v>249</v>
      </c>
      <c r="F334" s="640"/>
      <c r="G334" s="643" t="s">
        <v>250</v>
      </c>
      <c r="H334" s="643"/>
      <c r="I334" s="640" t="s">
        <v>251</v>
      </c>
      <c r="J334" s="640"/>
      <c r="K334" s="640" t="s">
        <v>252</v>
      </c>
      <c r="L334" s="640"/>
      <c r="M334" s="640" t="s">
        <v>253</v>
      </c>
      <c r="N334" s="640"/>
      <c r="O334" s="640" t="s">
        <v>254</v>
      </c>
      <c r="P334" s="643" t="s">
        <v>255</v>
      </c>
      <c r="Q334" s="643"/>
      <c r="R334" s="643" t="s">
        <v>252</v>
      </c>
      <c r="S334" s="643"/>
      <c r="T334" s="643" t="s">
        <v>256</v>
      </c>
      <c r="U334" s="643"/>
      <c r="V334" s="643" t="s">
        <v>257</v>
      </c>
      <c r="W334" s="643"/>
      <c r="X334" s="643" t="s">
        <v>252</v>
      </c>
      <c r="Y334" s="643"/>
      <c r="Z334" s="643" t="s">
        <v>256</v>
      </c>
      <c r="AA334" s="643"/>
    </row>
    <row r="335" spans="1:27" ht="20.100000000000001" customHeight="1">
      <c r="A335" s="636"/>
      <c r="B335" s="549" t="s">
        <v>258</v>
      </c>
      <c r="C335" s="678">
        <v>1</v>
      </c>
      <c r="D335" s="679"/>
      <c r="E335" s="642">
        <f>C335*11</f>
        <v>11</v>
      </c>
      <c r="F335" s="642"/>
      <c r="G335" s="643">
        <v>1</v>
      </c>
      <c r="H335" s="643"/>
      <c r="I335" s="642">
        <f>G335*11</f>
        <v>11</v>
      </c>
      <c r="J335" s="642"/>
      <c r="K335" s="642">
        <f>E335-I335</f>
        <v>0</v>
      </c>
      <c r="L335" s="642"/>
      <c r="M335" s="644">
        <f>IF(ISERROR(K335/E335),"",K335/E335)</f>
        <v>0</v>
      </c>
      <c r="N335" s="644"/>
      <c r="O335" s="640"/>
      <c r="P335" s="643" t="s">
        <v>201</v>
      </c>
      <c r="Q335" s="643"/>
      <c r="R335" s="645">
        <f>SUM(O198:U198)</f>
        <v>0</v>
      </c>
      <c r="S335" s="645"/>
      <c r="T335" s="646" t="str">
        <f t="array" ref="T335">IF(ISERROR(R335/R342),"",R335/R342)</f>
        <v/>
      </c>
      <c r="U335" s="646"/>
      <c r="V335" s="643" t="s">
        <v>259</v>
      </c>
      <c r="W335" s="643"/>
      <c r="X335" s="680">
        <f>SUM(P197,P255,P290,P306,P316,P331)</f>
        <v>0</v>
      </c>
      <c r="Y335" s="681"/>
      <c r="Z335" s="646" t="str">
        <f t="array" ref="Z335">IF(ISERROR(X335/X342),"",X335/X342)</f>
        <v/>
      </c>
      <c r="AA335" s="646"/>
    </row>
    <row r="336" spans="1:27" ht="20.100000000000001" customHeight="1">
      <c r="A336" s="636"/>
      <c r="B336" s="549" t="s">
        <v>260</v>
      </c>
      <c r="C336" s="638">
        <v>0</v>
      </c>
      <c r="D336" s="639"/>
      <c r="E336" s="642">
        <f>C336*11</f>
        <v>0</v>
      </c>
      <c r="F336" s="642"/>
      <c r="G336" s="643">
        <v>0</v>
      </c>
      <c r="H336" s="643"/>
      <c r="I336" s="642">
        <f>G336*11</f>
        <v>0</v>
      </c>
      <c r="J336" s="642"/>
      <c r="K336" s="642">
        <f>E336-I336</f>
        <v>0</v>
      </c>
      <c r="L336" s="642"/>
      <c r="M336" s="644" t="str">
        <f>IF(ISERROR(K336/E336),"",K336/E336)</f>
        <v/>
      </c>
      <c r="N336" s="644"/>
      <c r="O336" s="640"/>
      <c r="P336" s="643" t="s">
        <v>216</v>
      </c>
      <c r="Q336" s="643"/>
      <c r="R336" s="645">
        <f>SUM(O256:U256)</f>
        <v>0</v>
      </c>
      <c r="S336" s="645"/>
      <c r="T336" s="646" t="str">
        <f>IF(ISERROR(R336/R342),"",R336/R342)</f>
        <v/>
      </c>
      <c r="U336" s="646"/>
      <c r="V336" s="643" t="s">
        <v>261</v>
      </c>
      <c r="W336" s="643"/>
      <c r="X336" s="680">
        <f>SUM(P198,P256,P291,P307,P317,P332)</f>
        <v>0</v>
      </c>
      <c r="Y336" s="681"/>
      <c r="Z336" s="646" t="str">
        <f>IF(ISERROR(X336/X342),"",X336/X342)</f>
        <v/>
      </c>
      <c r="AA336" s="646"/>
    </row>
    <row r="337" spans="1:27" ht="20.100000000000001" customHeight="1">
      <c r="A337" s="636"/>
      <c r="B337" s="549" t="s">
        <v>262</v>
      </c>
      <c r="C337" s="638">
        <v>0</v>
      </c>
      <c r="D337" s="639"/>
      <c r="E337" s="642">
        <f>C337*8</f>
        <v>0</v>
      </c>
      <c r="F337" s="642"/>
      <c r="G337" s="643">
        <v>1</v>
      </c>
      <c r="H337" s="643"/>
      <c r="I337" s="642">
        <f>G337*8</f>
        <v>8</v>
      </c>
      <c r="J337" s="642"/>
      <c r="K337" s="642">
        <f>E337-I337</f>
        <v>-8</v>
      </c>
      <c r="L337" s="642"/>
      <c r="M337" s="644" t="str">
        <f>IF(ISERROR(K337/E337),"",K337/E337)</f>
        <v/>
      </c>
      <c r="N337" s="644"/>
      <c r="O337" s="640"/>
      <c r="P337" s="643" t="s">
        <v>224</v>
      </c>
      <c r="Q337" s="643"/>
      <c r="R337" s="645">
        <f>SUM(O291:U291)</f>
        <v>0</v>
      </c>
      <c r="S337" s="645"/>
      <c r="T337" s="646" t="str">
        <f>IF(ISERROR(R337/R342),"",R337/R342)</f>
        <v/>
      </c>
      <c r="U337" s="646"/>
      <c r="V337" s="643" t="s">
        <v>263</v>
      </c>
      <c r="W337" s="643"/>
      <c r="X337" s="680">
        <f>SUM(P199,P257,P292,P308,P318,P333)</f>
        <v>0</v>
      </c>
      <c r="Y337" s="681"/>
      <c r="Z337" s="646" t="str">
        <f>IF(ISERROR(X337/X342),"",X337/X342)</f>
        <v/>
      </c>
      <c r="AA337" s="646"/>
    </row>
    <row r="338" spans="1:27" ht="20.100000000000001" customHeight="1">
      <c r="A338" s="636"/>
      <c r="B338" s="549" t="s">
        <v>264</v>
      </c>
      <c r="C338" s="638">
        <v>1</v>
      </c>
      <c r="D338" s="639"/>
      <c r="E338" s="642">
        <f>C338*11</f>
        <v>11</v>
      </c>
      <c r="F338" s="642"/>
      <c r="G338" s="643">
        <v>1</v>
      </c>
      <c r="H338" s="643"/>
      <c r="I338" s="642">
        <f>G338*11</f>
        <v>11</v>
      </c>
      <c r="J338" s="642"/>
      <c r="K338" s="642">
        <f>E338-I338</f>
        <v>0</v>
      </c>
      <c r="L338" s="642"/>
      <c r="M338" s="644">
        <f>IF(ISERROR(K338/E338),"",K338/E338)</f>
        <v>0</v>
      </c>
      <c r="N338" s="644"/>
      <c r="O338" s="640"/>
      <c r="P338" s="643" t="s">
        <v>231</v>
      </c>
      <c r="Q338" s="643"/>
      <c r="R338" s="645">
        <f>SUM(O307:U307)</f>
        <v>0</v>
      </c>
      <c r="S338" s="645"/>
      <c r="T338" s="646" t="str">
        <f>IF(ISERROR(R338/R342),"",R338/R342)</f>
        <v/>
      </c>
      <c r="U338" s="646"/>
      <c r="V338" s="643" t="s">
        <v>265</v>
      </c>
      <c r="W338" s="643"/>
      <c r="X338" s="680">
        <f>SUM(P201,P258,P293,P309,P319,P334)</f>
        <v>0</v>
      </c>
      <c r="Y338" s="681"/>
      <c r="Z338" s="646" t="str">
        <f>IF(ISERROR(X338/X342),"",X338/X342)</f>
        <v/>
      </c>
      <c r="AA338" s="646"/>
    </row>
    <row r="339" spans="1:27" ht="20.100000000000001" customHeight="1">
      <c r="A339" s="637"/>
      <c r="B339" s="549" t="s">
        <v>266</v>
      </c>
      <c r="C339" s="648">
        <f>SUM(C335:D338)</f>
        <v>2</v>
      </c>
      <c r="D339" s="649"/>
      <c r="E339" s="642">
        <f>SUM(E335:F338)</f>
        <v>22</v>
      </c>
      <c r="F339" s="642"/>
      <c r="G339" s="643">
        <f>SUM(G335:H338)</f>
        <v>3</v>
      </c>
      <c r="H339" s="643"/>
      <c r="I339" s="642">
        <f>SUM(I335:J338)</f>
        <v>30</v>
      </c>
      <c r="J339" s="642"/>
      <c r="K339" s="642">
        <f>SUM(K335:L338)</f>
        <v>-8</v>
      </c>
      <c r="L339" s="642"/>
      <c r="M339" s="644">
        <f>IF(ISERROR(K339/E339),"",K339/E339)</f>
        <v>-0.36363636363636365</v>
      </c>
      <c r="N339" s="644"/>
      <c r="O339" s="640"/>
      <c r="P339" s="643" t="s">
        <v>234</v>
      </c>
      <c r="Q339" s="643"/>
      <c r="R339" s="645">
        <f>SUM(O317:U317)</f>
        <v>0</v>
      </c>
      <c r="S339" s="645"/>
      <c r="T339" s="646" t="str">
        <f>IF(ISERROR(R339/R342),"",R339/R342)</f>
        <v/>
      </c>
      <c r="U339" s="646"/>
      <c r="V339" s="643" t="s">
        <v>267</v>
      </c>
      <c r="W339" s="643"/>
      <c r="X339" s="680">
        <f>SUM(P202,P259,P294,P310,P320,P335)</f>
        <v>0</v>
      </c>
      <c r="Y339" s="681"/>
      <c r="Z339" s="646" t="str">
        <f>IF(ISERROR(X339/X342),"",X339/X342)</f>
        <v/>
      </c>
      <c r="AA339" s="646"/>
    </row>
    <row r="340" spans="1:27" ht="20.100000000000001" customHeight="1">
      <c r="A340" s="309" t="s">
        <v>477</v>
      </c>
      <c r="B340" s="549">
        <f>G333</f>
        <v>3336</v>
      </c>
      <c r="C340" s="650" t="s">
        <v>269</v>
      </c>
      <c r="D340" s="651"/>
      <c r="E340" s="643">
        <f>H333</f>
        <v>16774.21</v>
      </c>
      <c r="F340" s="643"/>
      <c r="G340" s="643" t="s">
        <v>270</v>
      </c>
      <c r="H340" s="643"/>
      <c r="I340" s="652">
        <f>L333</f>
        <v>19.888490420190752</v>
      </c>
      <c r="J340" s="652"/>
      <c r="K340" s="640" t="s">
        <v>271</v>
      </c>
      <c r="L340" s="640"/>
      <c r="M340" s="652">
        <f>J333</f>
        <v>24.988764044943821</v>
      </c>
      <c r="N340" s="652"/>
      <c r="O340" s="640"/>
      <c r="P340" s="643" t="s">
        <v>244</v>
      </c>
      <c r="Q340" s="643"/>
      <c r="R340" s="645">
        <f>SUM(O332:U332)</f>
        <v>0</v>
      </c>
      <c r="S340" s="645"/>
      <c r="T340" s="646" t="str">
        <f>IF(ISERROR(R340/R342),"",R340/R342)</f>
        <v/>
      </c>
      <c r="U340" s="646"/>
      <c r="V340" s="643" t="s">
        <v>272</v>
      </c>
      <c r="W340" s="643"/>
      <c r="X340" s="680">
        <f>SUM(P203,P260,P295,P311,P321,P336)</f>
        <v>0</v>
      </c>
      <c r="Y340" s="681"/>
      <c r="Z340" s="646" t="str">
        <f>IF(ISERROR(X340/X342),"",X340/X342)</f>
        <v/>
      </c>
      <c r="AA340" s="646"/>
    </row>
    <row r="341" spans="1:27" ht="20.100000000000001" customHeight="1">
      <c r="A341" s="310" t="s">
        <v>478</v>
      </c>
      <c r="B341" s="549">
        <f>I333+C339</f>
        <v>135.5</v>
      </c>
      <c r="C341" s="653" t="s">
        <v>251</v>
      </c>
      <c r="D341" s="654"/>
      <c r="E341" s="655">
        <f>K333+I339</f>
        <v>197.73520410645648</v>
      </c>
      <c r="F341" s="655"/>
      <c r="G341" s="643" t="s">
        <v>274</v>
      </c>
      <c r="H341" s="643"/>
      <c r="I341" s="652">
        <f>B341-E341</f>
        <v>-62.235204106456479</v>
      </c>
      <c r="J341" s="652"/>
      <c r="K341" s="640" t="s">
        <v>275</v>
      </c>
      <c r="L341" s="640"/>
      <c r="M341" s="644">
        <f>IF(ISERROR(I341/E341),"",I341/E341)</f>
        <v>-0.31474013131698264</v>
      </c>
      <c r="N341" s="644"/>
      <c r="O341" s="640"/>
      <c r="P341" s="643" t="s">
        <v>245</v>
      </c>
      <c r="Q341" s="643"/>
      <c r="R341" s="645"/>
      <c r="S341" s="645"/>
      <c r="T341" s="646" t="str">
        <f>IF(ISERROR(R341/R342),"",R341/R342)</f>
        <v/>
      </c>
      <c r="U341" s="646"/>
      <c r="V341" s="643" t="s">
        <v>264</v>
      </c>
      <c r="W341" s="643"/>
      <c r="X341" s="680">
        <f>SUM(P204,P261,P296,P312,P322,P337)</f>
        <v>0</v>
      </c>
      <c r="Y341" s="681"/>
      <c r="Z341" s="646" t="str">
        <f>IF(ISERROR(X341/X342),"",X341/X342)</f>
        <v/>
      </c>
      <c r="AA341" s="646"/>
    </row>
    <row r="342" spans="1:27" ht="20.100000000000001" customHeight="1">
      <c r="A342" s="310" t="s">
        <v>479</v>
      </c>
      <c r="B342" s="549">
        <f>N333</f>
        <v>0</v>
      </c>
      <c r="C342" s="653" t="s">
        <v>277</v>
      </c>
      <c r="D342" s="654"/>
      <c r="E342" s="646">
        <f>IF(ISERROR(B342/B341),"",B342/B341)</f>
        <v>0</v>
      </c>
      <c r="F342" s="646"/>
      <c r="G342" s="643" t="s">
        <v>278</v>
      </c>
      <c r="H342" s="643"/>
      <c r="I342" s="640">
        <f>V333</f>
        <v>0</v>
      </c>
      <c r="J342" s="640"/>
      <c r="K342" s="640" t="s">
        <v>279</v>
      </c>
      <c r="L342" s="640"/>
      <c r="M342" s="644">
        <f t="array" ref="M342">IF(ISERROR(I342/B340),"",I342/B340)</f>
        <v>0</v>
      </c>
      <c r="N342" s="644"/>
      <c r="O342" s="640"/>
      <c r="P342" s="643" t="s">
        <v>266</v>
      </c>
      <c r="Q342" s="643"/>
      <c r="R342" s="645">
        <f>SUM(R335:S341)</f>
        <v>0</v>
      </c>
      <c r="S342" s="645"/>
      <c r="T342" s="646"/>
      <c r="U342" s="646"/>
      <c r="V342" s="643" t="s">
        <v>266</v>
      </c>
      <c r="W342" s="643"/>
      <c r="X342" s="647">
        <f>SUM(X335:Y341)</f>
        <v>0</v>
      </c>
      <c r="Y342" s="647"/>
      <c r="Z342" s="646"/>
      <c r="AA342" s="646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56" t="s">
        <v>480</v>
      </c>
      <c r="B344" s="659" t="s">
        <v>280</v>
      </c>
      <c r="C344" s="659" t="s">
        <v>281</v>
      </c>
      <c r="D344" s="659" t="s">
        <v>282</v>
      </c>
      <c r="E344" s="662" t="s">
        <v>283</v>
      </c>
      <c r="F344" s="675" t="s">
        <v>284</v>
      </c>
      <c r="G344" s="640" t="s">
        <v>285</v>
      </c>
      <c r="H344" s="640"/>
      <c r="I344" s="659" t="s">
        <v>286</v>
      </c>
      <c r="J344" s="665" t="s">
        <v>271</v>
      </c>
      <c r="K344" s="668" t="s">
        <v>287</v>
      </c>
      <c r="L344" s="659" t="s">
        <v>270</v>
      </c>
      <c r="M344" s="671" t="s">
        <v>288</v>
      </c>
      <c r="N344" s="673" t="s">
        <v>252</v>
      </c>
      <c r="O344" s="640" t="s">
        <v>289</v>
      </c>
      <c r="P344" s="640"/>
      <c r="Q344" s="640"/>
      <c r="R344" s="640"/>
      <c r="S344" s="640"/>
      <c r="T344" s="640"/>
      <c r="U344" s="640"/>
      <c r="V344" s="640" t="s">
        <v>290</v>
      </c>
      <c r="W344" s="673" t="s">
        <v>291</v>
      </c>
      <c r="X344" s="640" t="s">
        <v>292</v>
      </c>
      <c r="Y344" s="640"/>
      <c r="Z344" s="640"/>
      <c r="AA344" s="640"/>
    </row>
    <row r="345" spans="1:27" ht="21.95" customHeight="1">
      <c r="A345" s="657"/>
      <c r="B345" s="660"/>
      <c r="C345" s="660"/>
      <c r="D345" s="660"/>
      <c r="E345" s="663"/>
      <c r="F345" s="676"/>
      <c r="G345" s="640"/>
      <c r="H345" s="640"/>
      <c r="I345" s="660"/>
      <c r="J345" s="666"/>
      <c r="K345" s="669"/>
      <c r="L345" s="660"/>
      <c r="M345" s="672"/>
      <c r="N345" s="673"/>
      <c r="O345" s="640" t="s">
        <v>259</v>
      </c>
      <c r="P345" s="640" t="s">
        <v>261</v>
      </c>
      <c r="Q345" s="640" t="s">
        <v>263</v>
      </c>
      <c r="R345" s="674" t="s">
        <v>265</v>
      </c>
      <c r="S345" s="643" t="s">
        <v>267</v>
      </c>
      <c r="T345" s="640" t="s">
        <v>272</v>
      </c>
      <c r="U345" s="640" t="s">
        <v>264</v>
      </c>
      <c r="V345" s="640"/>
      <c r="W345" s="673"/>
      <c r="X345" s="640" t="s">
        <v>293</v>
      </c>
      <c r="Y345" s="640" t="s">
        <v>294</v>
      </c>
      <c r="Z345" s="640" t="s">
        <v>295</v>
      </c>
      <c r="AA345" s="640" t="s">
        <v>264</v>
      </c>
    </row>
    <row r="346" spans="1:27" ht="21.95" customHeight="1">
      <c r="A346" s="658"/>
      <c r="B346" s="661"/>
      <c r="C346" s="661"/>
      <c r="D346" s="661"/>
      <c r="E346" s="664"/>
      <c r="F346" s="677"/>
      <c r="G346" s="348" t="s">
        <v>296</v>
      </c>
      <c r="H346" s="542" t="s">
        <v>297</v>
      </c>
      <c r="I346" s="661"/>
      <c r="J346" s="667"/>
      <c r="K346" s="670"/>
      <c r="L346" s="661"/>
      <c r="M346" s="672"/>
      <c r="N346" s="673"/>
      <c r="O346" s="640"/>
      <c r="P346" s="640"/>
      <c r="Q346" s="640"/>
      <c r="R346" s="674"/>
      <c r="S346" s="643"/>
      <c r="T346" s="640"/>
      <c r="U346" s="640"/>
      <c r="V346" s="640"/>
      <c r="W346" s="673"/>
      <c r="X346" s="640"/>
      <c r="Y346" s="640"/>
      <c r="Z346" s="640"/>
      <c r="AA346" s="640"/>
    </row>
    <row r="347" spans="1:27" ht="20.100000000000001" hidden="1" customHeight="1">
      <c r="A347" s="299">
        <v>30100030</v>
      </c>
      <c r="B347" s="544" t="s">
        <v>178</v>
      </c>
      <c r="C347" s="126" t="s">
        <v>179</v>
      </c>
      <c r="D347" s="108">
        <v>5.03</v>
      </c>
      <c r="E347" s="108"/>
      <c r="F347" s="127"/>
      <c r="G347" s="128"/>
      <c r="H347" s="552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543"/>
      <c r="P347" s="543"/>
      <c r="Q347" s="543"/>
      <c r="R347" s="543"/>
      <c r="S347" s="543"/>
      <c r="T347" s="543"/>
      <c r="U347" s="543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552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543"/>
      <c r="P348" s="543"/>
      <c r="Q348" s="543"/>
      <c r="R348" s="543"/>
      <c r="S348" s="543"/>
      <c r="T348" s="543"/>
      <c r="U348" s="543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552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543"/>
      <c r="P349" s="543"/>
      <c r="Q349" s="543"/>
      <c r="R349" s="543"/>
      <c r="S349" s="543"/>
      <c r="T349" s="543"/>
      <c r="U349" s="543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552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543"/>
      <c r="P350" s="543"/>
      <c r="Q350" s="543"/>
      <c r="R350" s="543"/>
      <c r="S350" s="543"/>
      <c r="T350" s="543"/>
      <c r="U350" s="543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552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543"/>
      <c r="P351" s="543"/>
      <c r="Q351" s="543"/>
      <c r="R351" s="543"/>
      <c r="S351" s="543"/>
      <c r="T351" s="543"/>
      <c r="U351" s="543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552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543"/>
      <c r="P352" s="543"/>
      <c r="Q352" s="543"/>
      <c r="R352" s="543"/>
      <c r="S352" s="543"/>
      <c r="T352" s="543"/>
      <c r="U352" s="543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552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543"/>
      <c r="P353" s="543"/>
      <c r="Q353" s="543"/>
      <c r="R353" s="543"/>
      <c r="S353" s="543"/>
      <c r="T353" s="543"/>
      <c r="U353" s="543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552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543"/>
      <c r="P354" s="543"/>
      <c r="Q354" s="543"/>
      <c r="R354" s="543"/>
      <c r="S354" s="543"/>
      <c r="T354" s="543"/>
      <c r="U354" s="543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552">
        <f t="shared" si="158"/>
        <v>0</v>
      </c>
      <c r="I355" s="552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543"/>
      <c r="P355" s="543"/>
      <c r="Q355" s="543"/>
      <c r="R355" s="543"/>
      <c r="S355" s="543"/>
      <c r="T355" s="543"/>
      <c r="U355" s="543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552">
        <f t="shared" si="158"/>
        <v>0</v>
      </c>
      <c r="I356" s="552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543"/>
      <c r="P356" s="543"/>
      <c r="Q356" s="543"/>
      <c r="R356" s="543"/>
      <c r="S356" s="543"/>
      <c r="T356" s="543"/>
      <c r="U356" s="543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552">
        <f t="shared" si="158"/>
        <v>0</v>
      </c>
      <c r="I357" s="552"/>
      <c r="J357" s="130"/>
      <c r="K357" s="131"/>
      <c r="L357" s="129"/>
      <c r="M357" s="109"/>
      <c r="N357" s="130"/>
      <c r="O357" s="543"/>
      <c r="P357" s="543"/>
      <c r="Q357" s="543"/>
      <c r="R357" s="543"/>
      <c r="S357" s="543"/>
      <c r="T357" s="543"/>
      <c r="U357" s="543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552">
        <f t="shared" si="158"/>
        <v>0</v>
      </c>
      <c r="I358" s="552"/>
      <c r="J358" s="130"/>
      <c r="K358" s="131"/>
      <c r="L358" s="129"/>
      <c r="M358" s="109"/>
      <c r="N358" s="130"/>
      <c r="O358" s="543"/>
      <c r="P358" s="543"/>
      <c r="Q358" s="543"/>
      <c r="R358" s="543"/>
      <c r="S358" s="543"/>
      <c r="T358" s="543"/>
      <c r="U358" s="543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552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543"/>
      <c r="P359" s="543"/>
      <c r="Q359" s="543"/>
      <c r="R359" s="543"/>
      <c r="S359" s="543"/>
      <c r="T359" s="543"/>
      <c r="U359" s="543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552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543"/>
      <c r="P360" s="543"/>
      <c r="Q360" s="543"/>
      <c r="R360" s="543"/>
      <c r="S360" s="543"/>
      <c r="T360" s="543"/>
      <c r="U360" s="543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552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543"/>
      <c r="P361" s="543"/>
      <c r="Q361" s="543"/>
      <c r="R361" s="543"/>
      <c r="S361" s="543"/>
      <c r="T361" s="543"/>
      <c r="U361" s="543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542" t="s">
        <v>190</v>
      </c>
      <c r="D362" s="108">
        <v>4.8</v>
      </c>
      <c r="E362" s="108"/>
      <c r="F362" s="127"/>
      <c r="G362" s="128"/>
      <c r="H362" s="552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543"/>
      <c r="P362" s="543"/>
      <c r="Q362" s="543"/>
      <c r="R362" s="543"/>
      <c r="S362" s="543"/>
      <c r="T362" s="543"/>
      <c r="U362" s="543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542" t="s">
        <v>187</v>
      </c>
      <c r="D363" s="108">
        <v>4.8</v>
      </c>
      <c r="E363" s="108"/>
      <c r="F363" s="127"/>
      <c r="G363" s="128"/>
      <c r="H363" s="552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543"/>
      <c r="P363" s="543"/>
      <c r="Q363" s="543"/>
      <c r="R363" s="543"/>
      <c r="S363" s="543"/>
      <c r="T363" s="543"/>
      <c r="U363" s="543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542" t="s">
        <v>179</v>
      </c>
      <c r="D364" s="108">
        <v>4.8</v>
      </c>
      <c r="E364" s="108"/>
      <c r="F364" s="127"/>
      <c r="G364" s="128"/>
      <c r="H364" s="552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543"/>
      <c r="P364" s="543"/>
      <c r="Q364" s="543"/>
      <c r="R364" s="543"/>
      <c r="S364" s="543"/>
      <c r="T364" s="543"/>
      <c r="U364" s="543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542" t="s">
        <v>199</v>
      </c>
      <c r="D365" s="108">
        <v>4.8</v>
      </c>
      <c r="E365" s="108"/>
      <c r="F365" s="127"/>
      <c r="G365" s="128"/>
      <c r="H365" s="552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543"/>
      <c r="P365" s="543"/>
      <c r="Q365" s="543"/>
      <c r="R365" s="543"/>
      <c r="S365" s="543"/>
      <c r="T365" s="543"/>
      <c r="U365" s="543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552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543"/>
      <c r="P366" s="543"/>
      <c r="Q366" s="543"/>
      <c r="R366" s="543"/>
      <c r="S366" s="543"/>
      <c r="T366" s="543"/>
      <c r="U366" s="543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552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543"/>
      <c r="P367" s="543"/>
      <c r="Q367" s="543"/>
      <c r="R367" s="543"/>
      <c r="S367" s="543"/>
      <c r="T367" s="543"/>
      <c r="U367" s="543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630" t="s">
        <v>201</v>
      </c>
      <c r="B368" s="631"/>
      <c r="C368" s="550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544" t="s">
        <v>206</v>
      </c>
      <c r="C369" s="126" t="s">
        <v>199</v>
      </c>
      <c r="D369" s="108">
        <v>5.03</v>
      </c>
      <c r="E369" s="108"/>
      <c r="F369" s="127"/>
      <c r="G369" s="128"/>
      <c r="H369" s="552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547"/>
      <c r="P369" s="547"/>
      <c r="Q369" s="547"/>
      <c r="R369" s="547"/>
      <c r="S369" s="547"/>
      <c r="T369" s="547"/>
      <c r="U369" s="547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544" t="s">
        <v>425</v>
      </c>
      <c r="C370" s="187" t="s">
        <v>427</v>
      </c>
      <c r="D370" s="108">
        <v>5.03</v>
      </c>
      <c r="E370" s="108"/>
      <c r="F370" s="127"/>
      <c r="G370" s="128"/>
      <c r="H370" s="552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547"/>
      <c r="P370" s="547"/>
      <c r="Q370" s="547"/>
      <c r="R370" s="547"/>
      <c r="S370" s="547"/>
      <c r="T370" s="547"/>
      <c r="U370" s="547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544" t="s">
        <v>206</v>
      </c>
      <c r="C371" s="126" t="s">
        <v>186</v>
      </c>
      <c r="D371" s="108">
        <v>5.03</v>
      </c>
      <c r="E371" s="108"/>
      <c r="F371" s="127"/>
      <c r="G371" s="128"/>
      <c r="H371" s="552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547"/>
      <c r="P371" s="547"/>
      <c r="Q371" s="547"/>
      <c r="R371" s="547"/>
      <c r="S371" s="547"/>
      <c r="T371" s="547"/>
      <c r="U371" s="547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544" t="s">
        <v>206</v>
      </c>
      <c r="C372" s="126" t="s">
        <v>203</v>
      </c>
      <c r="D372" s="108">
        <v>5.03</v>
      </c>
      <c r="E372" s="108"/>
      <c r="F372" s="127"/>
      <c r="G372" s="128"/>
      <c r="H372" s="552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547"/>
      <c r="P372" s="547"/>
      <c r="Q372" s="547"/>
      <c r="R372" s="547"/>
      <c r="S372" s="547"/>
      <c r="T372" s="547"/>
      <c r="U372" s="547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544" t="s">
        <v>206</v>
      </c>
      <c r="C373" s="126" t="s">
        <v>207</v>
      </c>
      <c r="D373" s="108">
        <v>5.03</v>
      </c>
      <c r="E373" s="108"/>
      <c r="F373" s="127"/>
      <c r="G373" s="128"/>
      <c r="H373" s="552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547"/>
      <c r="P373" s="547"/>
      <c r="Q373" s="547"/>
      <c r="R373" s="547"/>
      <c r="S373" s="547"/>
      <c r="T373" s="547"/>
      <c r="U373" s="547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544" t="s">
        <v>414</v>
      </c>
      <c r="C374" s="187" t="s">
        <v>415</v>
      </c>
      <c r="D374" s="108"/>
      <c r="E374" s="108"/>
      <c r="F374" s="127"/>
      <c r="G374" s="128"/>
      <c r="H374" s="552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547"/>
      <c r="P374" s="547"/>
      <c r="Q374" s="547"/>
      <c r="R374" s="547"/>
      <c r="S374" s="547"/>
      <c r="T374" s="547"/>
      <c r="U374" s="547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544" t="s">
        <v>414</v>
      </c>
      <c r="C375" s="187" t="s">
        <v>416</v>
      </c>
      <c r="D375" s="108"/>
      <c r="E375" s="108"/>
      <c r="F375" s="127"/>
      <c r="G375" s="128"/>
      <c r="H375" s="552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547"/>
      <c r="P375" s="547"/>
      <c r="Q375" s="547"/>
      <c r="R375" s="547"/>
      <c r="S375" s="547"/>
      <c r="T375" s="547"/>
      <c r="U375" s="547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544" t="s">
        <v>414</v>
      </c>
      <c r="C376" s="187" t="s">
        <v>61</v>
      </c>
      <c r="D376" s="108"/>
      <c r="E376" s="108"/>
      <c r="F376" s="127"/>
      <c r="G376" s="128"/>
      <c r="H376" s="552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547"/>
      <c r="P376" s="547"/>
      <c r="Q376" s="547"/>
      <c r="R376" s="547"/>
      <c r="S376" s="547"/>
      <c r="T376" s="547"/>
      <c r="U376" s="547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544" t="s">
        <v>208</v>
      </c>
      <c r="C377" s="126" t="s">
        <v>179</v>
      </c>
      <c r="D377" s="108">
        <v>5.08</v>
      </c>
      <c r="E377" s="108"/>
      <c r="F377" s="127"/>
      <c r="G377" s="128"/>
      <c r="H377" s="552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547"/>
      <c r="P377" s="547"/>
      <c r="Q377" s="547"/>
      <c r="R377" s="547"/>
      <c r="S377" s="547"/>
      <c r="T377" s="547"/>
      <c r="U377" s="547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544" t="s">
        <v>208</v>
      </c>
      <c r="C378" s="126" t="s">
        <v>204</v>
      </c>
      <c r="D378" s="108">
        <v>5.08</v>
      </c>
      <c r="E378" s="108"/>
      <c r="F378" s="127"/>
      <c r="G378" s="128"/>
      <c r="H378" s="552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547"/>
      <c r="P378" s="547"/>
      <c r="Q378" s="547"/>
      <c r="R378" s="547"/>
      <c r="S378" s="547"/>
      <c r="T378" s="547"/>
      <c r="U378" s="547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544" t="s">
        <v>208</v>
      </c>
      <c r="C379" s="126" t="s">
        <v>205</v>
      </c>
      <c r="D379" s="108">
        <v>5.08</v>
      </c>
      <c r="E379" s="108"/>
      <c r="F379" s="127"/>
      <c r="G379" s="128"/>
      <c r="H379" s="552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547"/>
      <c r="P379" s="547"/>
      <c r="Q379" s="547"/>
      <c r="R379" s="547"/>
      <c r="S379" s="547"/>
      <c r="T379" s="547"/>
      <c r="U379" s="547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544" t="s">
        <v>208</v>
      </c>
      <c r="C380" s="126" t="s">
        <v>186</v>
      </c>
      <c r="D380" s="108">
        <v>5.08</v>
      </c>
      <c r="E380" s="108"/>
      <c r="F380" s="127"/>
      <c r="G380" s="128"/>
      <c r="H380" s="552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547"/>
      <c r="P380" s="547"/>
      <c r="Q380" s="547"/>
      <c r="R380" s="547"/>
      <c r="S380" s="547"/>
      <c r="T380" s="547"/>
      <c r="U380" s="547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544" t="s">
        <v>208</v>
      </c>
      <c r="C381" s="126" t="s">
        <v>203</v>
      </c>
      <c r="D381" s="108">
        <v>5.08</v>
      </c>
      <c r="E381" s="108"/>
      <c r="F381" s="127"/>
      <c r="G381" s="128"/>
      <c r="H381" s="552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547"/>
      <c r="P381" s="547"/>
      <c r="Q381" s="547"/>
      <c r="R381" s="547"/>
      <c r="S381" s="547"/>
      <c r="T381" s="547"/>
      <c r="U381" s="547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544" t="s">
        <v>208</v>
      </c>
      <c r="C382" s="126" t="s">
        <v>199</v>
      </c>
      <c r="D382" s="108">
        <v>5.08</v>
      </c>
      <c r="E382" s="108"/>
      <c r="F382" s="127"/>
      <c r="G382" s="128"/>
      <c r="H382" s="552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543"/>
      <c r="P382" s="543"/>
      <c r="Q382" s="543"/>
      <c r="R382" s="543"/>
      <c r="S382" s="543"/>
      <c r="T382" s="543"/>
      <c r="U382" s="543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544" t="s">
        <v>208</v>
      </c>
      <c r="C383" s="126" t="s">
        <v>187</v>
      </c>
      <c r="D383" s="108">
        <v>5.08</v>
      </c>
      <c r="E383" s="108"/>
      <c r="F383" s="127"/>
      <c r="G383" s="128"/>
      <c r="H383" s="552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547"/>
      <c r="P383" s="547"/>
      <c r="Q383" s="547"/>
      <c r="R383" s="547"/>
      <c r="S383" s="547"/>
      <c r="T383" s="547"/>
      <c r="U383" s="547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544" t="s">
        <v>208</v>
      </c>
      <c r="C384" s="126" t="s">
        <v>207</v>
      </c>
      <c r="D384" s="108">
        <v>5.08</v>
      </c>
      <c r="E384" s="108"/>
      <c r="F384" s="127"/>
      <c r="G384" s="128"/>
      <c r="H384" s="552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543"/>
      <c r="P384" s="543"/>
      <c r="Q384" s="543"/>
      <c r="R384" s="543"/>
      <c r="S384" s="543"/>
      <c r="T384" s="543"/>
      <c r="U384" s="543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544" t="s">
        <v>209</v>
      </c>
      <c r="C385" s="126" t="s">
        <v>194</v>
      </c>
      <c r="D385" s="108">
        <v>5.03</v>
      </c>
      <c r="E385" s="108"/>
      <c r="F385" s="127"/>
      <c r="G385" s="128"/>
      <c r="H385" s="552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547"/>
      <c r="P385" s="547"/>
      <c r="Q385" s="547"/>
      <c r="R385" s="547"/>
      <c r="S385" s="547"/>
      <c r="T385" s="547"/>
      <c r="U385" s="547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544" t="s">
        <v>209</v>
      </c>
      <c r="C386" s="126" t="s">
        <v>179</v>
      </c>
      <c r="D386" s="108">
        <v>5.03</v>
      </c>
      <c r="E386" s="108"/>
      <c r="F386" s="127"/>
      <c r="G386" s="128"/>
      <c r="H386" s="552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547"/>
      <c r="P386" s="547"/>
      <c r="Q386" s="547"/>
      <c r="R386" s="547"/>
      <c r="S386" s="547"/>
      <c r="T386" s="547"/>
      <c r="U386" s="547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544" t="s">
        <v>209</v>
      </c>
      <c r="C387" s="126" t="s">
        <v>195</v>
      </c>
      <c r="D387" s="108">
        <v>5.03</v>
      </c>
      <c r="E387" s="108"/>
      <c r="F387" s="127"/>
      <c r="G387" s="128"/>
      <c r="H387" s="552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547"/>
      <c r="P387" s="547"/>
      <c r="Q387" s="547"/>
      <c r="R387" s="547"/>
      <c r="S387" s="547"/>
      <c r="T387" s="547"/>
      <c r="U387" s="547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544" t="s">
        <v>209</v>
      </c>
      <c r="C388" s="126" t="s">
        <v>204</v>
      </c>
      <c r="D388" s="108">
        <v>5.03</v>
      </c>
      <c r="E388" s="108"/>
      <c r="F388" s="127"/>
      <c r="G388" s="128"/>
      <c r="H388" s="552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547"/>
      <c r="P388" s="547"/>
      <c r="Q388" s="547"/>
      <c r="R388" s="547"/>
      <c r="S388" s="547"/>
      <c r="T388" s="547"/>
      <c r="U388" s="547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544" t="s">
        <v>382</v>
      </c>
      <c r="C389" s="187" t="s">
        <v>383</v>
      </c>
      <c r="D389" s="108">
        <v>5.03</v>
      </c>
      <c r="E389" s="108"/>
      <c r="F389" s="127"/>
      <c r="G389" s="128"/>
      <c r="H389" s="552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547"/>
      <c r="P389" s="547"/>
      <c r="Q389" s="547"/>
      <c r="R389" s="547"/>
      <c r="S389" s="547"/>
      <c r="T389" s="547"/>
      <c r="U389" s="547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544" t="s">
        <v>382</v>
      </c>
      <c r="C390" s="187" t="s">
        <v>384</v>
      </c>
      <c r="D390" s="108">
        <v>5.03</v>
      </c>
      <c r="E390" s="108"/>
      <c r="F390" s="127"/>
      <c r="G390" s="128"/>
      <c r="H390" s="552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547"/>
      <c r="P390" s="547"/>
      <c r="Q390" s="547"/>
      <c r="R390" s="547"/>
      <c r="S390" s="547"/>
      <c r="T390" s="547"/>
      <c r="U390" s="547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544" t="s">
        <v>382</v>
      </c>
      <c r="C391" s="187" t="s">
        <v>389</v>
      </c>
      <c r="D391" s="108">
        <v>5.03</v>
      </c>
      <c r="E391" s="108"/>
      <c r="F391" s="127"/>
      <c r="G391" s="128"/>
      <c r="H391" s="552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547"/>
      <c r="P391" s="547"/>
      <c r="Q391" s="547"/>
      <c r="R391" s="547"/>
      <c r="S391" s="547"/>
      <c r="T391" s="547"/>
      <c r="U391" s="547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544" t="s">
        <v>382</v>
      </c>
      <c r="C392" s="187" t="s">
        <v>391</v>
      </c>
      <c r="D392" s="108">
        <v>5.03</v>
      </c>
      <c r="E392" s="108"/>
      <c r="F392" s="127"/>
      <c r="G392" s="128"/>
      <c r="H392" s="552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547"/>
      <c r="P392" s="547"/>
      <c r="Q392" s="547"/>
      <c r="R392" s="547"/>
      <c r="S392" s="547"/>
      <c r="T392" s="547"/>
      <c r="U392" s="547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544" t="s">
        <v>418</v>
      </c>
      <c r="C393" s="187" t="s">
        <v>364</v>
      </c>
      <c r="D393" s="108">
        <v>5.03</v>
      </c>
      <c r="E393" s="108"/>
      <c r="F393" s="127"/>
      <c r="G393" s="128"/>
      <c r="H393" s="552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547"/>
      <c r="P393" s="547"/>
      <c r="Q393" s="547"/>
      <c r="R393" s="547"/>
      <c r="S393" s="547"/>
      <c r="T393" s="547"/>
      <c r="U393" s="547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544" t="s">
        <v>418</v>
      </c>
      <c r="C394" s="187" t="s">
        <v>365</v>
      </c>
      <c r="D394" s="108">
        <v>5.03</v>
      </c>
      <c r="E394" s="108"/>
      <c r="F394" s="127"/>
      <c r="G394" s="128"/>
      <c r="H394" s="552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547"/>
      <c r="P394" s="547"/>
      <c r="Q394" s="547"/>
      <c r="R394" s="547"/>
      <c r="S394" s="547"/>
      <c r="T394" s="547"/>
      <c r="U394" s="547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544" t="s">
        <v>418</v>
      </c>
      <c r="C395" s="187" t="s">
        <v>366</v>
      </c>
      <c r="D395" s="108">
        <v>5.03</v>
      </c>
      <c r="E395" s="108"/>
      <c r="F395" s="127"/>
      <c r="G395" s="128"/>
      <c r="H395" s="552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547"/>
      <c r="P395" s="547"/>
      <c r="Q395" s="547"/>
      <c r="R395" s="547"/>
      <c r="S395" s="547"/>
      <c r="T395" s="547"/>
      <c r="U395" s="547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544" t="s">
        <v>418</v>
      </c>
      <c r="C396" s="187" t="s">
        <v>367</v>
      </c>
      <c r="D396" s="108">
        <v>5.03</v>
      </c>
      <c r="E396" s="108"/>
      <c r="F396" s="127"/>
      <c r="G396" s="128"/>
      <c r="H396" s="552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547"/>
      <c r="P396" s="547"/>
      <c r="Q396" s="547"/>
      <c r="R396" s="547"/>
      <c r="S396" s="547"/>
      <c r="T396" s="547"/>
      <c r="U396" s="547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552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543"/>
      <c r="P397" s="543"/>
      <c r="Q397" s="543"/>
      <c r="R397" s="543"/>
      <c r="S397" s="543"/>
      <c r="T397" s="543"/>
      <c r="U397" s="543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552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543"/>
      <c r="P398" s="543"/>
      <c r="Q398" s="543"/>
      <c r="R398" s="543"/>
      <c r="S398" s="543"/>
      <c r="T398" s="543"/>
      <c r="U398" s="543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552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543"/>
      <c r="P399" s="543"/>
      <c r="Q399" s="543"/>
      <c r="R399" s="543"/>
      <c r="S399" s="543"/>
      <c r="T399" s="543"/>
      <c r="U399" s="543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552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543"/>
      <c r="P400" s="543"/>
      <c r="Q400" s="543"/>
      <c r="R400" s="543"/>
      <c r="S400" s="543"/>
      <c r="T400" s="543"/>
      <c r="U400" s="543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552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543"/>
      <c r="P401" s="543"/>
      <c r="Q401" s="543"/>
      <c r="R401" s="543"/>
      <c r="S401" s="543"/>
      <c r="T401" s="543"/>
      <c r="U401" s="543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552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543"/>
      <c r="P402" s="543"/>
      <c r="Q402" s="543"/>
      <c r="R402" s="543"/>
      <c r="S402" s="543"/>
      <c r="T402" s="543"/>
      <c r="U402" s="543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552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543"/>
      <c r="P403" s="543"/>
      <c r="Q403" s="543"/>
      <c r="R403" s="543"/>
      <c r="S403" s="543"/>
      <c r="T403" s="543"/>
      <c r="U403" s="543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552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543"/>
      <c r="P404" s="543"/>
      <c r="Q404" s="543"/>
      <c r="R404" s="543"/>
      <c r="S404" s="543"/>
      <c r="T404" s="543"/>
      <c r="U404" s="543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552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543"/>
      <c r="P405" s="543"/>
      <c r="Q405" s="543"/>
      <c r="R405" s="543"/>
      <c r="S405" s="543"/>
      <c r="T405" s="543"/>
      <c r="U405" s="543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552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543"/>
      <c r="P406" s="543"/>
      <c r="Q406" s="543"/>
      <c r="R406" s="543"/>
      <c r="S406" s="543"/>
      <c r="T406" s="543"/>
      <c r="U406" s="543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552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543"/>
      <c r="P407" s="543"/>
      <c r="Q407" s="543"/>
      <c r="R407" s="543"/>
      <c r="S407" s="543"/>
      <c r="T407" s="543"/>
      <c r="U407" s="543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552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543"/>
      <c r="P408" s="543"/>
      <c r="Q408" s="543"/>
      <c r="R408" s="543"/>
      <c r="S408" s="543"/>
      <c r="T408" s="543"/>
      <c r="U408" s="543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552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543"/>
      <c r="P409" s="543"/>
      <c r="Q409" s="543"/>
      <c r="R409" s="543"/>
      <c r="S409" s="543"/>
      <c r="T409" s="543"/>
      <c r="U409" s="543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552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543"/>
      <c r="P410" s="543"/>
      <c r="Q410" s="543"/>
      <c r="R410" s="543"/>
      <c r="S410" s="543"/>
      <c r="T410" s="543"/>
      <c r="U410" s="543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552">
        <f t="shared" si="171"/>
        <v>0</v>
      </c>
      <c r="I411" s="129"/>
      <c r="J411" s="130"/>
      <c r="K411" s="131"/>
      <c r="L411" s="129"/>
      <c r="M411" s="109"/>
      <c r="N411" s="130"/>
      <c r="O411" s="543"/>
      <c r="P411" s="543"/>
      <c r="Q411" s="543"/>
      <c r="R411" s="543"/>
      <c r="S411" s="543"/>
      <c r="T411" s="543"/>
      <c r="U411" s="543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552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543"/>
      <c r="P412" s="543"/>
      <c r="Q412" s="543"/>
      <c r="R412" s="543"/>
      <c r="S412" s="543"/>
      <c r="T412" s="543"/>
      <c r="U412" s="543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552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543"/>
      <c r="P413" s="543"/>
      <c r="Q413" s="543"/>
      <c r="R413" s="543"/>
      <c r="S413" s="543"/>
      <c r="T413" s="543"/>
      <c r="U413" s="543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552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543"/>
      <c r="P414" s="543"/>
      <c r="Q414" s="543"/>
      <c r="R414" s="543"/>
      <c r="S414" s="543"/>
      <c r="T414" s="543"/>
      <c r="U414" s="543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552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543"/>
      <c r="P415" s="543"/>
      <c r="Q415" s="543"/>
      <c r="R415" s="543"/>
      <c r="S415" s="543"/>
      <c r="T415" s="543"/>
      <c r="U415" s="543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552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543"/>
      <c r="P416" s="543"/>
      <c r="Q416" s="543"/>
      <c r="R416" s="543"/>
      <c r="S416" s="543"/>
      <c r="T416" s="543"/>
      <c r="U416" s="543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552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543"/>
      <c r="P417" s="543"/>
      <c r="Q417" s="543"/>
      <c r="R417" s="543"/>
      <c r="S417" s="543"/>
      <c r="T417" s="543"/>
      <c r="U417" s="543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552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543"/>
      <c r="P418" s="543"/>
      <c r="Q418" s="543"/>
      <c r="R418" s="543"/>
      <c r="S418" s="543"/>
      <c r="T418" s="543"/>
      <c r="U418" s="543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552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543"/>
      <c r="P419" s="543"/>
      <c r="Q419" s="543"/>
      <c r="R419" s="543"/>
      <c r="S419" s="543"/>
      <c r="T419" s="543"/>
      <c r="U419" s="543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552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543"/>
      <c r="P420" s="543"/>
      <c r="Q420" s="543"/>
      <c r="R420" s="543"/>
      <c r="S420" s="543"/>
      <c r="T420" s="543"/>
      <c r="U420" s="543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552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543"/>
      <c r="P421" s="543"/>
      <c r="Q421" s="543"/>
      <c r="R421" s="543"/>
      <c r="S421" s="543"/>
      <c r="T421" s="543"/>
      <c r="U421" s="543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552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543"/>
      <c r="P422" s="543"/>
      <c r="Q422" s="543"/>
      <c r="R422" s="543"/>
      <c r="S422" s="543"/>
      <c r="T422" s="543"/>
      <c r="U422" s="543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552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543"/>
      <c r="P423" s="543"/>
      <c r="Q423" s="543"/>
      <c r="R423" s="543"/>
      <c r="S423" s="543"/>
      <c r="T423" s="543"/>
      <c r="U423" s="543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552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543"/>
      <c r="P424" s="543"/>
      <c r="Q424" s="543"/>
      <c r="R424" s="543"/>
      <c r="S424" s="543"/>
      <c r="T424" s="543"/>
      <c r="U424" s="543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552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543"/>
      <c r="P425" s="543"/>
      <c r="Q425" s="543"/>
      <c r="R425" s="543"/>
      <c r="S425" s="543"/>
      <c r="T425" s="543"/>
      <c r="U425" s="543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41" t="s">
        <v>216</v>
      </c>
      <c r="B426" s="641"/>
      <c r="C426" s="550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544" t="s">
        <v>217</v>
      </c>
      <c r="C427" s="126" t="s">
        <v>179</v>
      </c>
      <c r="D427" s="108">
        <v>5.03</v>
      </c>
      <c r="E427" s="108"/>
      <c r="F427" s="127"/>
      <c r="G427" s="128"/>
      <c r="H427" s="552">
        <f t="shared" ref="H427:H460" si="196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7">IF(ISERROR(I427-K427),"",I427-K427)</f>
        <v>0</v>
      </c>
      <c r="N427" s="130">
        <f t="shared" ref="N427:N434" si="198">SUM(O427:U427)</f>
        <v>0</v>
      </c>
      <c r="O427" s="543"/>
      <c r="P427" s="543"/>
      <c r="Q427" s="543"/>
      <c r="R427" s="543"/>
      <c r="S427" s="543"/>
      <c r="T427" s="543"/>
      <c r="U427" s="543"/>
      <c r="V427" s="132">
        <f t="shared" ref="V427:V433" si="199">SUM(X427:AA427)</f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544" t="s">
        <v>217</v>
      </c>
      <c r="C428" s="126" t="s">
        <v>186</v>
      </c>
      <c r="D428" s="108">
        <v>5.03</v>
      </c>
      <c r="E428" s="108"/>
      <c r="F428" s="127"/>
      <c r="G428" s="128"/>
      <c r="H428" s="552">
        <f t="shared" si="196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7"/>
        <v>0</v>
      </c>
      <c r="N428" s="130">
        <f t="shared" si="198"/>
        <v>0</v>
      </c>
      <c r="O428" s="543"/>
      <c r="P428" s="543"/>
      <c r="Q428" s="543"/>
      <c r="R428" s="543"/>
      <c r="S428" s="543"/>
      <c r="T428" s="543"/>
      <c r="U428" s="543"/>
      <c r="V428" s="132">
        <f t="shared" si="199"/>
        <v>0</v>
      </c>
      <c r="W428" s="133" t="str">
        <f t="shared" si="195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544" t="s">
        <v>217</v>
      </c>
      <c r="C429" s="126" t="s">
        <v>204</v>
      </c>
      <c r="D429" s="108">
        <v>5.03</v>
      </c>
      <c r="E429" s="108"/>
      <c r="F429" s="127"/>
      <c r="G429" s="128"/>
      <c r="H429" s="552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7"/>
        <v>0</v>
      </c>
      <c r="N429" s="130">
        <f t="shared" si="198"/>
        <v>0</v>
      </c>
      <c r="O429" s="543"/>
      <c r="P429" s="543"/>
      <c r="Q429" s="543"/>
      <c r="R429" s="543"/>
      <c r="S429" s="543"/>
      <c r="T429" s="543"/>
      <c r="U429" s="543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552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543"/>
      <c r="P430" s="543"/>
      <c r="Q430" s="543"/>
      <c r="R430" s="543"/>
      <c r="S430" s="543"/>
      <c r="T430" s="543"/>
      <c r="U430" s="543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552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7"/>
        <v>0</v>
      </c>
      <c r="N431" s="130">
        <f t="shared" si="198"/>
        <v>0</v>
      </c>
      <c r="O431" s="543"/>
      <c r="P431" s="543"/>
      <c r="Q431" s="543"/>
      <c r="R431" s="543"/>
      <c r="S431" s="543"/>
      <c r="T431" s="543"/>
      <c r="U431" s="543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>
        <v>42721</v>
      </c>
      <c r="G432" s="128">
        <f>108+85+26+108+89+42+108+61+108+108+104</f>
        <v>947</v>
      </c>
      <c r="H432" s="552">
        <f t="shared" si="196"/>
        <v>4763.41</v>
      </c>
      <c r="I432" s="129">
        <f>9.5*2+7*2+6*2+8*2+10</f>
        <v>71</v>
      </c>
      <c r="J432" s="130">
        <f t="array" ref="J432">IF(ISERROR(G432/I432),"",G432/I432)</f>
        <v>13.338028169014084</v>
      </c>
      <c r="K432" s="131">
        <f t="array" ref="K432">IF(ISERROR(G432/L432),"",G432/L432)</f>
        <v>101.8279569892473</v>
      </c>
      <c r="L432" s="129">
        <v>9.3000000000000007</v>
      </c>
      <c r="M432" s="109">
        <f t="shared" si="197"/>
        <v>-30.827956989247298</v>
      </c>
      <c r="N432" s="130">
        <f t="shared" si="198"/>
        <v>0</v>
      </c>
      <c r="O432" s="543"/>
      <c r="P432" s="543"/>
      <c r="Q432" s="543"/>
      <c r="R432" s="543"/>
      <c r="S432" s="543"/>
      <c r="T432" s="543"/>
      <c r="U432" s="543"/>
      <c r="V432" s="132">
        <f t="shared" si="199"/>
        <v>0</v>
      </c>
      <c r="W432" s="133">
        <f t="shared" si="195"/>
        <v>0</v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552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543"/>
      <c r="P433" s="543"/>
      <c r="Q433" s="543"/>
      <c r="R433" s="543"/>
      <c r="S433" s="543"/>
      <c r="T433" s="543"/>
      <c r="U433" s="543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552">
        <f t="shared" si="196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543"/>
      <c r="P434" s="543"/>
      <c r="Q434" s="543"/>
      <c r="R434" s="543"/>
      <c r="S434" s="543"/>
      <c r="T434" s="543"/>
      <c r="U434" s="543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552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543"/>
      <c r="P435" s="543"/>
      <c r="Q435" s="543"/>
      <c r="R435" s="543"/>
      <c r="S435" s="543"/>
      <c r="T435" s="543"/>
      <c r="U435" s="543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552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543"/>
      <c r="P436" s="543"/>
      <c r="Q436" s="543"/>
      <c r="R436" s="543"/>
      <c r="S436" s="543"/>
      <c r="T436" s="543"/>
      <c r="U436" s="543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552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543"/>
      <c r="P437" s="543"/>
      <c r="Q437" s="543"/>
      <c r="R437" s="543"/>
      <c r="S437" s="543"/>
      <c r="T437" s="543"/>
      <c r="U437" s="543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552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543"/>
      <c r="P438" s="543"/>
      <c r="Q438" s="543"/>
      <c r="R438" s="543"/>
      <c r="S438" s="543"/>
      <c r="T438" s="543"/>
      <c r="U438" s="543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552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543"/>
      <c r="P439" s="543"/>
      <c r="Q439" s="543"/>
      <c r="R439" s="543"/>
      <c r="S439" s="543"/>
      <c r="T439" s="543"/>
      <c r="U439" s="543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552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543"/>
      <c r="P440" s="543"/>
      <c r="Q440" s="543"/>
      <c r="R440" s="543"/>
      <c r="S440" s="543"/>
      <c r="T440" s="543"/>
      <c r="U440" s="543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552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543"/>
      <c r="P441" s="543"/>
      <c r="Q441" s="543"/>
      <c r="R441" s="543"/>
      <c r="S441" s="543"/>
      <c r="T441" s="543"/>
      <c r="U441" s="543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552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543"/>
      <c r="P442" s="543"/>
      <c r="Q442" s="543"/>
      <c r="R442" s="543"/>
      <c r="S442" s="543"/>
      <c r="T442" s="543"/>
      <c r="U442" s="543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544" t="s">
        <v>222</v>
      </c>
      <c r="C443" s="126" t="s">
        <v>181</v>
      </c>
      <c r="D443" s="108">
        <v>9.36</v>
      </c>
      <c r="E443" s="108"/>
      <c r="F443" s="127"/>
      <c r="G443" s="128"/>
      <c r="H443" s="552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543"/>
      <c r="P443" s="543"/>
      <c r="Q443" s="543"/>
      <c r="R443" s="543"/>
      <c r="S443" s="543"/>
      <c r="T443" s="543"/>
      <c r="U443" s="543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544" t="s">
        <v>222</v>
      </c>
      <c r="C444" s="126" t="s">
        <v>179</v>
      </c>
      <c r="D444" s="108">
        <v>9.36</v>
      </c>
      <c r="E444" s="108"/>
      <c r="F444" s="127"/>
      <c r="G444" s="128"/>
      <c r="H444" s="552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543"/>
      <c r="P444" s="543"/>
      <c r="Q444" s="543"/>
      <c r="R444" s="543"/>
      <c r="S444" s="543"/>
      <c r="T444" s="543"/>
      <c r="U444" s="543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544" t="s">
        <v>222</v>
      </c>
      <c r="C445" s="126" t="s">
        <v>221</v>
      </c>
      <c r="D445" s="108">
        <v>9.36</v>
      </c>
      <c r="E445" s="108"/>
      <c r="F445" s="127"/>
      <c r="G445" s="128"/>
      <c r="H445" s="552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543"/>
      <c r="P445" s="543"/>
      <c r="Q445" s="543"/>
      <c r="R445" s="543"/>
      <c r="S445" s="543"/>
      <c r="T445" s="543"/>
      <c r="U445" s="543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544" t="s">
        <v>222</v>
      </c>
      <c r="C446" s="126" t="s">
        <v>186</v>
      </c>
      <c r="D446" s="108">
        <v>9.36</v>
      </c>
      <c r="E446" s="108"/>
      <c r="F446" s="127"/>
      <c r="G446" s="128"/>
      <c r="H446" s="552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543"/>
      <c r="P446" s="543"/>
      <c r="Q446" s="543"/>
      <c r="R446" s="543"/>
      <c r="S446" s="543"/>
      <c r="T446" s="543"/>
      <c r="U446" s="543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544" t="s">
        <v>393</v>
      </c>
      <c r="C447" s="187" t="s">
        <v>395</v>
      </c>
      <c r="D447" s="108">
        <v>5</v>
      </c>
      <c r="E447" s="108"/>
      <c r="F447" s="127"/>
      <c r="G447" s="128"/>
      <c r="H447" s="552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543"/>
      <c r="P447" s="543"/>
      <c r="Q447" s="543"/>
      <c r="R447" s="543"/>
      <c r="S447" s="543"/>
      <c r="T447" s="543"/>
      <c r="U447" s="543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544" t="s">
        <v>393</v>
      </c>
      <c r="C448" s="187" t="s">
        <v>402</v>
      </c>
      <c r="D448" s="108">
        <v>5</v>
      </c>
      <c r="E448" s="108"/>
      <c r="F448" s="127"/>
      <c r="G448" s="128"/>
      <c r="H448" s="552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543"/>
      <c r="P448" s="543"/>
      <c r="Q448" s="543"/>
      <c r="R448" s="543"/>
      <c r="S448" s="543"/>
      <c r="T448" s="543"/>
      <c r="U448" s="543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544" t="s">
        <v>404</v>
      </c>
      <c r="C449" s="187" t="s">
        <v>405</v>
      </c>
      <c r="D449" s="108">
        <v>5</v>
      </c>
      <c r="E449" s="108"/>
      <c r="F449" s="127"/>
      <c r="G449" s="128"/>
      <c r="H449" s="552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543"/>
      <c r="P449" s="543"/>
      <c r="Q449" s="543"/>
      <c r="R449" s="543"/>
      <c r="S449" s="543"/>
      <c r="T449" s="543"/>
      <c r="U449" s="543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544" t="s">
        <v>342</v>
      </c>
      <c r="C450" s="187" t="s">
        <v>372</v>
      </c>
      <c r="D450" s="108">
        <v>5</v>
      </c>
      <c r="E450" s="108"/>
      <c r="F450" s="127"/>
      <c r="G450" s="128"/>
      <c r="H450" s="552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543"/>
      <c r="P450" s="543"/>
      <c r="Q450" s="543"/>
      <c r="R450" s="543"/>
      <c r="S450" s="543"/>
      <c r="T450" s="543"/>
      <c r="U450" s="543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544" t="s">
        <v>343</v>
      </c>
      <c r="C451" s="126" t="s">
        <v>345</v>
      </c>
      <c r="D451" s="108">
        <v>5</v>
      </c>
      <c r="E451" s="108"/>
      <c r="F451" s="127"/>
      <c r="G451" s="128"/>
      <c r="H451" s="552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543"/>
      <c r="P451" s="543"/>
      <c r="Q451" s="543"/>
      <c r="R451" s="543"/>
      <c r="S451" s="543"/>
      <c r="T451" s="543"/>
      <c r="U451" s="543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544" t="s">
        <v>343</v>
      </c>
      <c r="C452" s="126" t="s">
        <v>347</v>
      </c>
      <c r="D452" s="108">
        <v>5</v>
      </c>
      <c r="E452" s="108"/>
      <c r="F452" s="127"/>
      <c r="G452" s="128"/>
      <c r="H452" s="552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543"/>
      <c r="P452" s="543"/>
      <c r="Q452" s="543"/>
      <c r="R452" s="543"/>
      <c r="S452" s="543"/>
      <c r="T452" s="543"/>
      <c r="U452" s="543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552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543"/>
      <c r="P453" s="543"/>
      <c r="Q453" s="543"/>
      <c r="R453" s="543"/>
      <c r="S453" s="543"/>
      <c r="T453" s="543"/>
      <c r="U453" s="543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552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543"/>
      <c r="P454" s="543"/>
      <c r="Q454" s="543"/>
      <c r="R454" s="543"/>
      <c r="S454" s="543"/>
      <c r="T454" s="543"/>
      <c r="U454" s="543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552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543"/>
      <c r="P455" s="543"/>
      <c r="Q455" s="543"/>
      <c r="R455" s="543"/>
      <c r="S455" s="543"/>
      <c r="T455" s="543"/>
      <c r="U455" s="543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552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543"/>
      <c r="P456" s="543"/>
      <c r="Q456" s="543"/>
      <c r="R456" s="543"/>
      <c r="S456" s="543"/>
      <c r="T456" s="543"/>
      <c r="U456" s="543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552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543"/>
      <c r="P457" s="543"/>
      <c r="Q457" s="543"/>
      <c r="R457" s="543"/>
      <c r="S457" s="543"/>
      <c r="T457" s="543"/>
      <c r="U457" s="543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552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543"/>
      <c r="P458" s="543"/>
      <c r="Q458" s="543"/>
      <c r="R458" s="543"/>
      <c r="S458" s="543"/>
      <c r="T458" s="543"/>
      <c r="U458" s="543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552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543"/>
      <c r="P459" s="543"/>
      <c r="Q459" s="543"/>
      <c r="R459" s="543"/>
      <c r="S459" s="543"/>
      <c r="T459" s="543"/>
      <c r="U459" s="543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552">
        <f t="shared" si="196"/>
        <v>0</v>
      </c>
      <c r="I460" s="129"/>
      <c r="J460" s="130" t="str">
        <f t="array" ref="J460">IF(ISERROR(G460/I460),"",G460/I460)</f>
        <v/>
      </c>
      <c r="K460" s="552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543"/>
      <c r="P460" s="543"/>
      <c r="Q460" s="543"/>
      <c r="R460" s="543"/>
      <c r="S460" s="543"/>
      <c r="T460" s="543"/>
      <c r="U460" s="543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customHeight="1">
      <c r="A461" s="630" t="s">
        <v>224</v>
      </c>
      <c r="B461" s="631"/>
      <c r="C461" s="550" t="s">
        <v>202</v>
      </c>
      <c r="D461" s="143"/>
      <c r="E461" s="143"/>
      <c r="F461" s="144"/>
      <c r="G461" s="145">
        <f>SUM(G427:G460)</f>
        <v>947</v>
      </c>
      <c r="H461" s="146">
        <f>SUM(H427:H460)</f>
        <v>4763.41</v>
      </c>
      <c r="I461" s="146">
        <f>SUM(I427:I460)</f>
        <v>71</v>
      </c>
      <c r="J461" s="130">
        <f t="array" ref="J461">IF(ISERROR(G461/I461),"",G461/I461)</f>
        <v>13.338028169014084</v>
      </c>
      <c r="K461" s="146">
        <f>SUM(K427:K460)</f>
        <v>101.8279569892473</v>
      </c>
      <c r="L461" s="147"/>
      <c r="M461" s="150">
        <f t="shared" ref="M461:V461" si="210">SUM(M427:M460)</f>
        <v>-30.827956989247298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>
        <f t="shared" si="209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552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543"/>
      <c r="P462" s="543"/>
      <c r="Q462" s="543"/>
      <c r="R462" s="543"/>
      <c r="S462" s="543"/>
      <c r="T462" s="543"/>
      <c r="U462" s="543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552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543"/>
      <c r="P463" s="543"/>
      <c r="Q463" s="543"/>
      <c r="R463" s="543"/>
      <c r="S463" s="543"/>
      <c r="T463" s="543"/>
      <c r="U463" s="543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552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543"/>
      <c r="P464" s="543"/>
      <c r="Q464" s="543"/>
      <c r="R464" s="543"/>
      <c r="S464" s="543"/>
      <c r="T464" s="543"/>
      <c r="U464" s="543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552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543"/>
      <c r="P465" s="543"/>
      <c r="Q465" s="543"/>
      <c r="R465" s="543"/>
      <c r="S465" s="543"/>
      <c r="T465" s="543"/>
      <c r="U465" s="543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548" t="s">
        <v>203</v>
      </c>
      <c r="D466" s="108">
        <v>5.03</v>
      </c>
      <c r="E466" s="108"/>
      <c r="F466" s="127"/>
      <c r="G466" s="128"/>
      <c r="H466" s="552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543"/>
      <c r="P466" s="543"/>
      <c r="Q466" s="543"/>
      <c r="R466" s="543"/>
      <c r="S466" s="543"/>
      <c r="T466" s="543"/>
      <c r="U466" s="543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552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543"/>
      <c r="P467" s="543"/>
      <c r="Q467" s="543"/>
      <c r="R467" s="543"/>
      <c r="S467" s="543"/>
      <c r="T467" s="543"/>
      <c r="U467" s="543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552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543"/>
      <c r="P468" s="543"/>
      <c r="Q468" s="543"/>
      <c r="R468" s="543"/>
      <c r="S468" s="543"/>
      <c r="T468" s="543"/>
      <c r="U468" s="543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548" t="s">
        <v>228</v>
      </c>
      <c r="D469" s="108">
        <v>5.03</v>
      </c>
      <c r="E469" s="108"/>
      <c r="F469" s="127"/>
      <c r="G469" s="128"/>
      <c r="H469" s="552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543"/>
      <c r="P469" s="543"/>
      <c r="Q469" s="543"/>
      <c r="R469" s="543"/>
      <c r="S469" s="543"/>
      <c r="T469" s="543"/>
      <c r="U469" s="543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548" t="s">
        <v>212</v>
      </c>
      <c r="D470" s="108">
        <v>5.03</v>
      </c>
      <c r="E470" s="108"/>
      <c r="F470" s="127"/>
      <c r="G470" s="128"/>
      <c r="H470" s="552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543"/>
      <c r="P470" s="543"/>
      <c r="Q470" s="543"/>
      <c r="R470" s="543"/>
      <c r="S470" s="543"/>
      <c r="T470" s="543"/>
      <c r="U470" s="543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548" t="s">
        <v>203</v>
      </c>
      <c r="D471" s="108">
        <v>5.03</v>
      </c>
      <c r="E471" s="108"/>
      <c r="F471" s="127"/>
      <c r="G471" s="128"/>
      <c r="H471" s="552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543"/>
      <c r="P471" s="543"/>
      <c r="Q471" s="543"/>
      <c r="R471" s="543"/>
      <c r="S471" s="543"/>
      <c r="T471" s="543"/>
      <c r="U471" s="543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548" t="s">
        <v>186</v>
      </c>
      <c r="D472" s="108">
        <v>5.03</v>
      </c>
      <c r="E472" s="108"/>
      <c r="F472" s="127"/>
      <c r="G472" s="128"/>
      <c r="H472" s="552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543"/>
      <c r="P472" s="543"/>
      <c r="Q472" s="543"/>
      <c r="R472" s="543"/>
      <c r="S472" s="543"/>
      <c r="T472" s="543"/>
      <c r="U472" s="543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548" t="s">
        <v>228</v>
      </c>
      <c r="D473" s="108">
        <v>5.03</v>
      </c>
      <c r="E473" s="108"/>
      <c r="F473" s="127"/>
      <c r="G473" s="128"/>
      <c r="H473" s="552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543"/>
      <c r="P473" s="543"/>
      <c r="Q473" s="543"/>
      <c r="R473" s="543"/>
      <c r="S473" s="543"/>
      <c r="T473" s="543"/>
      <c r="U473" s="543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548" t="s">
        <v>199</v>
      </c>
      <c r="D474" s="108">
        <v>5.03</v>
      </c>
      <c r="E474" s="108"/>
      <c r="F474" s="127"/>
      <c r="G474" s="128"/>
      <c r="H474" s="552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543"/>
      <c r="P474" s="543"/>
      <c r="Q474" s="543"/>
      <c r="R474" s="543"/>
      <c r="S474" s="543"/>
      <c r="T474" s="543"/>
      <c r="U474" s="543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552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543"/>
      <c r="P475" s="543"/>
      <c r="Q475" s="543"/>
      <c r="R475" s="543"/>
      <c r="S475" s="543"/>
      <c r="T475" s="543"/>
      <c r="U475" s="543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552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543"/>
      <c r="P476" s="543"/>
      <c r="Q476" s="543"/>
      <c r="R476" s="543"/>
      <c r="S476" s="543"/>
      <c r="T476" s="543"/>
      <c r="U476" s="543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630" t="s">
        <v>231</v>
      </c>
      <c r="B477" s="631"/>
      <c r="C477" s="550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552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543"/>
      <c r="P478" s="543"/>
      <c r="Q478" s="543"/>
      <c r="R478" s="543"/>
      <c r="S478" s="543"/>
      <c r="T478" s="543"/>
      <c r="U478" s="543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552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543"/>
      <c r="P479" s="543"/>
      <c r="Q479" s="543"/>
      <c r="R479" s="543"/>
      <c r="S479" s="543"/>
      <c r="T479" s="543"/>
      <c r="U479" s="543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552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543"/>
      <c r="P480" s="543"/>
      <c r="Q480" s="543"/>
      <c r="R480" s="543"/>
      <c r="S480" s="543"/>
      <c r="T480" s="543"/>
      <c r="U480" s="543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552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543"/>
      <c r="P481" s="543"/>
      <c r="Q481" s="543"/>
      <c r="R481" s="543"/>
      <c r="S481" s="543"/>
      <c r="T481" s="543"/>
      <c r="U481" s="543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552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543"/>
      <c r="P482" s="543"/>
      <c r="Q482" s="543"/>
      <c r="R482" s="543"/>
      <c r="S482" s="543"/>
      <c r="T482" s="543"/>
      <c r="U482" s="543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552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543"/>
      <c r="P483" s="543"/>
      <c r="Q483" s="543"/>
      <c r="R483" s="543"/>
      <c r="S483" s="543"/>
      <c r="T483" s="543"/>
      <c r="U483" s="543"/>
      <c r="V483" s="132"/>
      <c r="W483" s="133"/>
      <c r="X483" s="132"/>
      <c r="Y483" s="132"/>
      <c r="Z483" s="132"/>
      <c r="AA483" s="132"/>
    </row>
    <row r="484" spans="1:27" ht="20.100000000000001" hidden="1" customHeight="1">
      <c r="A484" s="300">
        <v>30400020</v>
      </c>
      <c r="B484" s="134" t="s">
        <v>439</v>
      </c>
      <c r="C484" s="187" t="s">
        <v>74</v>
      </c>
      <c r="D484" s="108">
        <v>5.04</v>
      </c>
      <c r="E484" s="108"/>
      <c r="F484" s="127"/>
      <c r="G484" s="128"/>
      <c r="H484" s="552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543"/>
      <c r="P484" s="543"/>
      <c r="Q484" s="543"/>
      <c r="R484" s="543"/>
      <c r="S484" s="543"/>
      <c r="T484" s="543"/>
      <c r="U484" s="543"/>
      <c r="V484" s="132"/>
      <c r="W484" s="133"/>
      <c r="X484" s="132"/>
      <c r="Y484" s="132"/>
      <c r="Z484" s="132"/>
      <c r="AA484" s="132"/>
    </row>
    <row r="485" spans="1:27" ht="20.100000000000001" hidden="1" customHeight="1">
      <c r="A485" s="300">
        <v>30400021</v>
      </c>
      <c r="B485" s="134" t="s">
        <v>439</v>
      </c>
      <c r="C485" s="187" t="s">
        <v>53</v>
      </c>
      <c r="D485" s="108">
        <v>5.04</v>
      </c>
      <c r="E485" s="108"/>
      <c r="F485" s="127"/>
      <c r="G485" s="128"/>
      <c r="H485" s="552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543"/>
      <c r="P485" s="543"/>
      <c r="Q485" s="543"/>
      <c r="R485" s="543"/>
      <c r="S485" s="543"/>
      <c r="T485" s="543"/>
      <c r="U485" s="543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552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543"/>
      <c r="P486" s="543"/>
      <c r="Q486" s="543"/>
      <c r="R486" s="543"/>
      <c r="S486" s="543"/>
      <c r="T486" s="543"/>
      <c r="U486" s="543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30" t="s">
        <v>234</v>
      </c>
      <c r="B487" s="631"/>
      <c r="C487" s="550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542"/>
      <c r="D488" s="108">
        <v>3.65</v>
      </c>
      <c r="E488" s="108"/>
      <c r="F488" s="153"/>
      <c r="G488" s="128"/>
      <c r="H488" s="552">
        <f t="shared" ref="H488:H502" si="223">D488*G488</f>
        <v>0</v>
      </c>
      <c r="I488" s="129"/>
      <c r="J488" s="130" t="str">
        <f t="array" ref="J488">IF(ISERROR(G488/I488),"",G488/I488)</f>
        <v/>
      </c>
      <c r="K488" s="552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543"/>
      <c r="P488" s="543"/>
      <c r="Q488" s="543"/>
      <c r="R488" s="543"/>
      <c r="S488" s="543"/>
      <c r="T488" s="543"/>
      <c r="U488" s="543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542"/>
      <c r="D489" s="108">
        <v>6.58</v>
      </c>
      <c r="E489" s="108"/>
      <c r="F489" s="127"/>
      <c r="G489" s="128"/>
      <c r="H489" s="552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543"/>
      <c r="P489" s="543"/>
      <c r="Q489" s="543"/>
      <c r="R489" s="543"/>
      <c r="S489" s="543"/>
      <c r="T489" s="543"/>
      <c r="U489" s="543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542"/>
      <c r="D490" s="108">
        <v>7.8</v>
      </c>
      <c r="E490" s="108"/>
      <c r="F490" s="127"/>
      <c r="G490" s="128"/>
      <c r="H490" s="552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543"/>
      <c r="P490" s="543"/>
      <c r="Q490" s="543"/>
      <c r="R490" s="543"/>
      <c r="S490" s="543"/>
      <c r="T490" s="543"/>
      <c r="U490" s="543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542"/>
      <c r="D491" s="108">
        <v>4.4000000000000004</v>
      </c>
      <c r="E491" s="108"/>
      <c r="F491" s="127"/>
      <c r="G491" s="128"/>
      <c r="H491" s="552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543"/>
      <c r="P491" s="543"/>
      <c r="Q491" s="543"/>
      <c r="R491" s="543"/>
      <c r="S491" s="543"/>
      <c r="T491" s="543"/>
      <c r="U491" s="543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552">
        <f t="shared" si="223"/>
        <v>0</v>
      </c>
      <c r="I492" s="129"/>
      <c r="J492" s="130"/>
      <c r="K492" s="131"/>
      <c r="L492" s="129"/>
      <c r="M492" s="109"/>
      <c r="N492" s="130"/>
      <c r="O492" s="543"/>
      <c r="P492" s="543"/>
      <c r="Q492" s="543"/>
      <c r="R492" s="543"/>
      <c r="S492" s="543"/>
      <c r="T492" s="543"/>
      <c r="U492" s="543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542"/>
      <c r="D493" s="108"/>
      <c r="E493" s="108"/>
      <c r="F493" s="127"/>
      <c r="G493" s="128"/>
      <c r="H493" s="552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543"/>
      <c r="P493" s="543"/>
      <c r="Q493" s="543"/>
      <c r="R493" s="543"/>
      <c r="S493" s="543"/>
      <c r="T493" s="543"/>
      <c r="U493" s="543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542" t="s">
        <v>239</v>
      </c>
      <c r="C494" s="542" t="s">
        <v>179</v>
      </c>
      <c r="D494" s="108">
        <v>6.04</v>
      </c>
      <c r="E494" s="108"/>
      <c r="F494" s="127"/>
      <c r="G494" s="128"/>
      <c r="H494" s="552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543"/>
      <c r="P494" s="543"/>
      <c r="Q494" s="543"/>
      <c r="R494" s="543"/>
      <c r="S494" s="543"/>
      <c r="T494" s="543"/>
      <c r="U494" s="543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542" t="s">
        <v>239</v>
      </c>
      <c r="C495" s="542" t="s">
        <v>186</v>
      </c>
      <c r="D495" s="108">
        <v>6.04</v>
      </c>
      <c r="E495" s="108"/>
      <c r="F495" s="127"/>
      <c r="G495" s="128"/>
      <c r="H495" s="552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543"/>
      <c r="P495" s="543"/>
      <c r="Q495" s="543"/>
      <c r="R495" s="543"/>
      <c r="S495" s="543"/>
      <c r="T495" s="543"/>
      <c r="U495" s="543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542" t="s">
        <v>443</v>
      </c>
      <c r="C496" s="542" t="s">
        <v>179</v>
      </c>
      <c r="D496" s="108"/>
      <c r="E496" s="108"/>
      <c r="F496" s="127"/>
      <c r="G496" s="128"/>
      <c r="H496" s="552">
        <f t="shared" si="223"/>
        <v>0</v>
      </c>
      <c r="I496" s="129"/>
      <c r="J496" s="130"/>
      <c r="K496" s="131"/>
      <c r="L496" s="129"/>
      <c r="M496" s="109"/>
      <c r="N496" s="130"/>
      <c r="O496" s="543"/>
      <c r="P496" s="543"/>
      <c r="Q496" s="543"/>
      <c r="R496" s="543"/>
      <c r="S496" s="543"/>
      <c r="T496" s="543"/>
      <c r="U496" s="543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542" t="s">
        <v>443</v>
      </c>
      <c r="C497" s="542" t="s">
        <v>186</v>
      </c>
      <c r="D497" s="108"/>
      <c r="E497" s="108"/>
      <c r="F497" s="127"/>
      <c r="G497" s="128"/>
      <c r="H497" s="552">
        <f t="shared" si="223"/>
        <v>0</v>
      </c>
      <c r="I497" s="129"/>
      <c r="J497" s="130"/>
      <c r="K497" s="131"/>
      <c r="L497" s="129"/>
      <c r="M497" s="109"/>
      <c r="N497" s="130"/>
      <c r="O497" s="543"/>
      <c r="P497" s="543"/>
      <c r="Q497" s="543"/>
      <c r="R497" s="543"/>
      <c r="S497" s="543"/>
      <c r="T497" s="543"/>
      <c r="U497" s="543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544" t="s">
        <v>240</v>
      </c>
      <c r="C498" s="126"/>
      <c r="D498" s="108">
        <v>7.3</v>
      </c>
      <c r="E498" s="108"/>
      <c r="F498" s="127"/>
      <c r="G498" s="128"/>
      <c r="H498" s="552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543"/>
      <c r="P498" s="543"/>
      <c r="Q498" s="543"/>
      <c r="R498" s="543"/>
      <c r="S498" s="543"/>
      <c r="T498" s="543"/>
      <c r="U498" s="543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544" t="s">
        <v>241</v>
      </c>
      <c r="C499" s="126"/>
      <c r="D499" s="108">
        <f>78*120/1000</f>
        <v>9.36</v>
      </c>
      <c r="E499" s="108"/>
      <c r="F499" s="127"/>
      <c r="G499" s="128"/>
      <c r="H499" s="552">
        <f t="shared" si="223"/>
        <v>0</v>
      </c>
      <c r="I499" s="129"/>
      <c r="J499" s="130"/>
      <c r="K499" s="131"/>
      <c r="L499" s="129"/>
      <c r="M499" s="109"/>
      <c r="N499" s="130"/>
      <c r="O499" s="543"/>
      <c r="P499" s="543"/>
      <c r="Q499" s="543"/>
      <c r="R499" s="543"/>
      <c r="S499" s="543"/>
      <c r="T499" s="543"/>
      <c r="U499" s="543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544" t="s">
        <v>242</v>
      </c>
      <c r="C500" s="126"/>
      <c r="D500" s="108">
        <v>4.5</v>
      </c>
      <c r="E500" s="108"/>
      <c r="F500" s="127"/>
      <c r="G500" s="128"/>
      <c r="H500" s="552">
        <f t="shared" si="223"/>
        <v>0</v>
      </c>
      <c r="I500" s="129"/>
      <c r="J500" s="130"/>
      <c r="K500" s="131"/>
      <c r="L500" s="129"/>
      <c r="M500" s="109"/>
      <c r="N500" s="130"/>
      <c r="O500" s="543"/>
      <c r="P500" s="543"/>
      <c r="Q500" s="543"/>
      <c r="R500" s="543"/>
      <c r="S500" s="543"/>
      <c r="T500" s="543"/>
      <c r="U500" s="543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544" t="s">
        <v>243</v>
      </c>
      <c r="C501" s="126"/>
      <c r="D501" s="108">
        <v>4.5</v>
      </c>
      <c r="E501" s="108"/>
      <c r="F501" s="127"/>
      <c r="G501" s="128"/>
      <c r="H501" s="552">
        <f t="shared" si="223"/>
        <v>0</v>
      </c>
      <c r="I501" s="129"/>
      <c r="J501" s="130"/>
      <c r="K501" s="131"/>
      <c r="L501" s="129"/>
      <c r="M501" s="109"/>
      <c r="N501" s="130"/>
      <c r="O501" s="543"/>
      <c r="P501" s="543"/>
      <c r="Q501" s="543"/>
      <c r="R501" s="543"/>
      <c r="S501" s="543"/>
      <c r="T501" s="543"/>
      <c r="U501" s="543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544"/>
      <c r="C502" s="126"/>
      <c r="D502" s="108"/>
      <c r="E502" s="108"/>
      <c r="F502" s="127"/>
      <c r="G502" s="128"/>
      <c r="H502" s="552">
        <f t="shared" si="223"/>
        <v>0</v>
      </c>
      <c r="I502" s="129"/>
      <c r="J502" s="130"/>
      <c r="K502" s="131"/>
      <c r="L502" s="129"/>
      <c r="M502" s="109"/>
      <c r="N502" s="130"/>
      <c r="O502" s="543"/>
      <c r="P502" s="543"/>
      <c r="Q502" s="543"/>
      <c r="R502" s="543"/>
      <c r="S502" s="543"/>
      <c r="T502" s="543"/>
      <c r="U502" s="543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30" t="s">
        <v>244</v>
      </c>
      <c r="B503" s="631"/>
      <c r="C503" s="550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632" t="s">
        <v>246</v>
      </c>
      <c r="B504" s="633"/>
      <c r="C504" s="633"/>
      <c r="D504" s="633"/>
      <c r="E504" s="633"/>
      <c r="F504" s="634"/>
      <c r="G504" s="154">
        <f>SUM(G368,G426,G461,G477,G487,G503)</f>
        <v>947</v>
      </c>
      <c r="H504" s="154">
        <f>SUM(H368,H426,H461,H477,H487,H503)</f>
        <v>4763.41</v>
      </c>
      <c r="I504" s="154">
        <f>SUM(I368,I426,I461,I477,I487,I503)</f>
        <v>71</v>
      </c>
      <c r="J504" s="155">
        <f t="array" ref="J504">IF(ISERROR(G504/I504),"",G504/I504)</f>
        <v>13.338028169014084</v>
      </c>
      <c r="K504" s="154">
        <f>SUM(K368,K426,K461,K477,K487,K503)</f>
        <v>101.8279569892473</v>
      </c>
      <c r="L504" s="155">
        <f>IF(ISERROR(G504/K504),"",G504/K504)</f>
        <v>9.3000000000000007</v>
      </c>
      <c r="M504" s="154">
        <f t="shared" ref="M504:V504" si="236">SUM(M368,M426,M461,M477,M487,M503)</f>
        <v>-30.827956989247298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>
        <f t="shared" ref="W504" si="237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35" t="s">
        <v>476</v>
      </c>
      <c r="B505" s="549" t="s">
        <v>247</v>
      </c>
      <c r="C505" s="638" t="s">
        <v>248</v>
      </c>
      <c r="D505" s="639"/>
      <c r="E505" s="640" t="s">
        <v>249</v>
      </c>
      <c r="F505" s="640"/>
      <c r="G505" s="643" t="s">
        <v>250</v>
      </c>
      <c r="H505" s="643"/>
      <c r="I505" s="640" t="s">
        <v>251</v>
      </c>
      <c r="J505" s="640"/>
      <c r="K505" s="640" t="s">
        <v>252</v>
      </c>
      <c r="L505" s="640"/>
      <c r="M505" s="640" t="s">
        <v>253</v>
      </c>
      <c r="N505" s="640"/>
      <c r="O505" s="640" t="s">
        <v>254</v>
      </c>
      <c r="P505" s="643" t="s">
        <v>255</v>
      </c>
      <c r="Q505" s="643"/>
      <c r="R505" s="643" t="s">
        <v>252</v>
      </c>
      <c r="S505" s="643"/>
      <c r="T505" s="643" t="s">
        <v>256</v>
      </c>
      <c r="U505" s="643"/>
      <c r="V505" s="643" t="s">
        <v>257</v>
      </c>
      <c r="W505" s="643"/>
      <c r="X505" s="643" t="s">
        <v>252</v>
      </c>
      <c r="Y505" s="643"/>
      <c r="Z505" s="643" t="s">
        <v>256</v>
      </c>
      <c r="AA505" s="643"/>
    </row>
    <row r="506" spans="1:27" ht="20.100000000000001" customHeight="1">
      <c r="A506" s="636"/>
      <c r="B506" s="549" t="s">
        <v>258</v>
      </c>
      <c r="C506" s="638">
        <v>0</v>
      </c>
      <c r="D506" s="639"/>
      <c r="E506" s="642">
        <f>C506*11</f>
        <v>0</v>
      </c>
      <c r="F506" s="642"/>
      <c r="G506" s="643">
        <v>0</v>
      </c>
      <c r="H506" s="643"/>
      <c r="I506" s="642">
        <f>G506*11</f>
        <v>0</v>
      </c>
      <c r="J506" s="642"/>
      <c r="K506" s="642">
        <f>E506-I506</f>
        <v>0</v>
      </c>
      <c r="L506" s="642"/>
      <c r="M506" s="644" t="str">
        <f>IF(ISERROR(K506/E506),"",K506/E506)</f>
        <v/>
      </c>
      <c r="N506" s="644"/>
      <c r="O506" s="640"/>
      <c r="P506" s="643" t="s">
        <v>201</v>
      </c>
      <c r="Q506" s="643"/>
      <c r="R506" s="645">
        <f>SUM(O368:U368)</f>
        <v>0</v>
      </c>
      <c r="S506" s="645"/>
      <c r="T506" s="646" t="str">
        <f t="array" ref="T506">IF(ISERROR(R506/R513),"",R506/R513)</f>
        <v/>
      </c>
      <c r="U506" s="646"/>
      <c r="V506" s="643" t="s">
        <v>259</v>
      </c>
      <c r="W506" s="643"/>
      <c r="X506" s="647">
        <f>SUM(O368,O426,O461,O477,O487,O503)</f>
        <v>0</v>
      </c>
      <c r="Y506" s="647"/>
      <c r="Z506" s="646" t="str">
        <f t="array" ref="Z506">IF(ISERROR(X506/X513),"",X506/X513)</f>
        <v/>
      </c>
      <c r="AA506" s="646"/>
    </row>
    <row r="507" spans="1:27" ht="20.100000000000001" customHeight="1">
      <c r="A507" s="636"/>
      <c r="B507" s="549" t="s">
        <v>260</v>
      </c>
      <c r="C507" s="638">
        <v>0</v>
      </c>
      <c r="D507" s="639"/>
      <c r="E507" s="642">
        <f>C507*11</f>
        <v>0</v>
      </c>
      <c r="F507" s="642"/>
      <c r="G507" s="643">
        <v>0</v>
      </c>
      <c r="H507" s="643"/>
      <c r="I507" s="642">
        <f>G507*11</f>
        <v>0</v>
      </c>
      <c r="J507" s="642"/>
      <c r="K507" s="642">
        <f>E507-I507</f>
        <v>0</v>
      </c>
      <c r="L507" s="642"/>
      <c r="M507" s="644" t="str">
        <f>IF(ISERROR(K507/E507),"",K507/E507)</f>
        <v/>
      </c>
      <c r="N507" s="644"/>
      <c r="O507" s="640"/>
      <c r="P507" s="643" t="s">
        <v>216</v>
      </c>
      <c r="Q507" s="643"/>
      <c r="R507" s="645">
        <f>SUM(O426:U426)</f>
        <v>0</v>
      </c>
      <c r="S507" s="645"/>
      <c r="T507" s="646" t="str">
        <f>IF(ISERROR(R507/R513),"",R507/R513)</f>
        <v/>
      </c>
      <c r="U507" s="646"/>
      <c r="V507" s="643" t="s">
        <v>261</v>
      </c>
      <c r="W507" s="643"/>
      <c r="X507" s="647">
        <f>SUM(O369,O427,O462,O478,O488,O504)</f>
        <v>0</v>
      </c>
      <c r="Y507" s="647"/>
      <c r="Z507" s="646" t="str">
        <f>IF(ISERROR(X507/X513),"",X507/X513)</f>
        <v/>
      </c>
      <c r="AA507" s="646"/>
    </row>
    <row r="508" spans="1:27" ht="20.100000000000001" customHeight="1">
      <c r="A508" s="636"/>
      <c r="B508" s="549" t="s">
        <v>262</v>
      </c>
      <c r="C508" s="638">
        <v>0</v>
      </c>
      <c r="D508" s="639"/>
      <c r="E508" s="642">
        <f>C508*11</f>
        <v>0</v>
      </c>
      <c r="F508" s="642"/>
      <c r="G508" s="643">
        <v>0</v>
      </c>
      <c r="H508" s="643"/>
      <c r="I508" s="642">
        <f>G508*11</f>
        <v>0</v>
      </c>
      <c r="J508" s="642"/>
      <c r="K508" s="642">
        <f>E508-I508</f>
        <v>0</v>
      </c>
      <c r="L508" s="642"/>
      <c r="M508" s="644" t="str">
        <f>IF(ISERROR(K508/E508),"",K508/E508)</f>
        <v/>
      </c>
      <c r="N508" s="644"/>
      <c r="O508" s="640"/>
      <c r="P508" s="643" t="s">
        <v>224</v>
      </c>
      <c r="Q508" s="643"/>
      <c r="R508" s="645">
        <f>SUM(O461:U461)</f>
        <v>0</v>
      </c>
      <c r="S508" s="645"/>
      <c r="T508" s="646" t="str">
        <f>IF(ISERROR(R508/R513),"",R508/R513)</f>
        <v/>
      </c>
      <c r="U508" s="646"/>
      <c r="V508" s="643" t="s">
        <v>263</v>
      </c>
      <c r="W508" s="643"/>
      <c r="X508" s="647">
        <f>SUM(O371,O428,O463,O479,O489,O505)</f>
        <v>0</v>
      </c>
      <c r="Y508" s="647"/>
      <c r="Z508" s="646" t="str">
        <f>IF(ISERROR(X508/X513),"",X508/X513)</f>
        <v/>
      </c>
      <c r="AA508" s="646"/>
    </row>
    <row r="509" spans="1:27" ht="20.100000000000001" customHeight="1">
      <c r="A509" s="636"/>
      <c r="B509" s="549" t="s">
        <v>264</v>
      </c>
      <c r="C509" s="638">
        <v>1</v>
      </c>
      <c r="D509" s="639"/>
      <c r="E509" s="642">
        <f>C509*11</f>
        <v>11</v>
      </c>
      <c r="F509" s="642"/>
      <c r="G509" s="643">
        <v>1</v>
      </c>
      <c r="H509" s="643"/>
      <c r="I509" s="642">
        <f>G509*11</f>
        <v>11</v>
      </c>
      <c r="J509" s="642"/>
      <c r="K509" s="642">
        <f>E509-I509</f>
        <v>0</v>
      </c>
      <c r="L509" s="642"/>
      <c r="M509" s="644">
        <f>IF(ISERROR(K509/E509),"",K509/E509)</f>
        <v>0</v>
      </c>
      <c r="N509" s="644"/>
      <c r="O509" s="640"/>
      <c r="P509" s="643" t="s">
        <v>231</v>
      </c>
      <c r="Q509" s="643"/>
      <c r="R509" s="645">
        <f>SUM(O477:U477)</f>
        <v>0</v>
      </c>
      <c r="S509" s="645"/>
      <c r="T509" s="646" t="str">
        <f>IF(ISERROR(R509/R513),"",R509/R513)</f>
        <v/>
      </c>
      <c r="U509" s="646"/>
      <c r="V509" s="643" t="s">
        <v>265</v>
      </c>
      <c r="W509" s="643"/>
      <c r="X509" s="647">
        <f>SUM(O372,O429,O464,O480,O490,O506)</f>
        <v>0</v>
      </c>
      <c r="Y509" s="647"/>
      <c r="Z509" s="646" t="str">
        <f>IF(ISERROR(X509/X513),"",X509/X513)</f>
        <v/>
      </c>
      <c r="AA509" s="646"/>
    </row>
    <row r="510" spans="1:27" ht="20.100000000000001" customHeight="1">
      <c r="A510" s="637"/>
      <c r="B510" s="549" t="s">
        <v>266</v>
      </c>
      <c r="C510" s="648">
        <f>SUM(C506:D509)</f>
        <v>1</v>
      </c>
      <c r="D510" s="649"/>
      <c r="E510" s="642">
        <f>SUM(E506:F509)</f>
        <v>11</v>
      </c>
      <c r="F510" s="642"/>
      <c r="G510" s="643">
        <f>SUM(G506:H509)</f>
        <v>1</v>
      </c>
      <c r="H510" s="643"/>
      <c r="I510" s="642">
        <f>SUM(I506:J509)</f>
        <v>11</v>
      </c>
      <c r="J510" s="642"/>
      <c r="K510" s="642">
        <f>SUM(K506:L509)</f>
        <v>0</v>
      </c>
      <c r="L510" s="642"/>
      <c r="M510" s="644">
        <f>IF(ISERROR(K510/E510),"",K510/E510)</f>
        <v>0</v>
      </c>
      <c r="N510" s="644"/>
      <c r="O510" s="640"/>
      <c r="P510" s="643" t="s">
        <v>234</v>
      </c>
      <c r="Q510" s="643"/>
      <c r="R510" s="645">
        <f>SUM(O487:U487)</f>
        <v>0</v>
      </c>
      <c r="S510" s="645"/>
      <c r="T510" s="646" t="str">
        <f>IF(ISERROR(R510/R513),"",R510/R513)</f>
        <v/>
      </c>
      <c r="U510" s="646"/>
      <c r="V510" s="643" t="s">
        <v>267</v>
      </c>
      <c r="W510" s="643"/>
      <c r="X510" s="647">
        <f>SUM(O373,O430,O465,O481,O491,O507)</f>
        <v>0</v>
      </c>
      <c r="Y510" s="647"/>
      <c r="Z510" s="646" t="str">
        <f>IF(ISERROR(X510/X513),"",X510/X513)</f>
        <v/>
      </c>
      <c r="AA510" s="646"/>
    </row>
    <row r="511" spans="1:27" ht="20.100000000000001" customHeight="1">
      <c r="A511" s="307" t="s">
        <v>477</v>
      </c>
      <c r="B511" s="549">
        <f>G504</f>
        <v>947</v>
      </c>
      <c r="C511" s="650" t="s">
        <v>269</v>
      </c>
      <c r="D511" s="651"/>
      <c r="E511" s="643">
        <f>H504</f>
        <v>4763.41</v>
      </c>
      <c r="F511" s="643"/>
      <c r="G511" s="643" t="s">
        <v>270</v>
      </c>
      <c r="H511" s="643"/>
      <c r="I511" s="652">
        <f>L504</f>
        <v>9.3000000000000007</v>
      </c>
      <c r="J511" s="652"/>
      <c r="K511" s="640" t="s">
        <v>271</v>
      </c>
      <c r="L511" s="640"/>
      <c r="M511" s="652">
        <f>J504</f>
        <v>13.338028169014084</v>
      </c>
      <c r="N511" s="652"/>
      <c r="O511" s="640"/>
      <c r="P511" s="643" t="s">
        <v>244</v>
      </c>
      <c r="Q511" s="643"/>
      <c r="R511" s="645">
        <f>SUM(O503:U503)</f>
        <v>0</v>
      </c>
      <c r="S511" s="645"/>
      <c r="T511" s="646" t="str">
        <f>IF(ISERROR(R511/R513),"",R511/R513)</f>
        <v/>
      </c>
      <c r="U511" s="646"/>
      <c r="V511" s="643" t="s">
        <v>272</v>
      </c>
      <c r="W511" s="643"/>
      <c r="X511" s="647">
        <f>SUM(O374,O431,O466,O482,O492,O508)</f>
        <v>0</v>
      </c>
      <c r="Y511" s="647"/>
      <c r="Z511" s="646" t="str">
        <f>IF(ISERROR(X511/X513),"",X511/X513)</f>
        <v/>
      </c>
      <c r="AA511" s="646"/>
    </row>
    <row r="512" spans="1:27" ht="20.100000000000001" customHeight="1">
      <c r="A512" s="308" t="s">
        <v>478</v>
      </c>
      <c r="B512" s="549">
        <f>I504+C510</f>
        <v>72</v>
      </c>
      <c r="C512" s="653" t="s">
        <v>251</v>
      </c>
      <c r="D512" s="654"/>
      <c r="E512" s="655">
        <f>K504+I510</f>
        <v>112.8279569892473</v>
      </c>
      <c r="F512" s="655"/>
      <c r="G512" s="643" t="s">
        <v>274</v>
      </c>
      <c r="H512" s="643"/>
      <c r="I512" s="652">
        <f>B512-E512</f>
        <v>-40.827956989247298</v>
      </c>
      <c r="J512" s="652"/>
      <c r="K512" s="640" t="s">
        <v>275</v>
      </c>
      <c r="L512" s="640"/>
      <c r="M512" s="644">
        <f>IF(ISERROR(I512/E512),"",I512/E512)</f>
        <v>-0.3618602878109215</v>
      </c>
      <c r="N512" s="644"/>
      <c r="O512" s="640"/>
      <c r="P512" s="643" t="s">
        <v>245</v>
      </c>
      <c r="Q512" s="643"/>
      <c r="R512" s="645"/>
      <c r="S512" s="645"/>
      <c r="T512" s="646" t="str">
        <f>IF(ISERROR(R512/R513),"",R512/R513)</f>
        <v/>
      </c>
      <c r="U512" s="646"/>
      <c r="V512" s="643" t="s">
        <v>264</v>
      </c>
      <c r="W512" s="643"/>
      <c r="X512" s="647">
        <f>SUM(O375,O432,O467,O486,O493,O509)</f>
        <v>0</v>
      </c>
      <c r="Y512" s="647"/>
      <c r="Z512" s="646" t="str">
        <f>IF(ISERROR(X512/X513),"",X512/X513)</f>
        <v/>
      </c>
      <c r="AA512" s="646"/>
    </row>
    <row r="513" spans="1:27" ht="20.100000000000001" customHeight="1">
      <c r="A513" s="308" t="s">
        <v>479</v>
      </c>
      <c r="B513" s="549">
        <f>N504</f>
        <v>0</v>
      </c>
      <c r="C513" s="653" t="s">
        <v>277</v>
      </c>
      <c r="D513" s="654"/>
      <c r="E513" s="646">
        <f>IF(ISERROR(B513/B512),"",B513/B512)</f>
        <v>0</v>
      </c>
      <c r="F513" s="646"/>
      <c r="G513" s="643" t="s">
        <v>278</v>
      </c>
      <c r="H513" s="643"/>
      <c r="I513" s="640">
        <f>V504</f>
        <v>0</v>
      </c>
      <c r="J513" s="640"/>
      <c r="K513" s="640" t="s">
        <v>279</v>
      </c>
      <c r="L513" s="640"/>
      <c r="M513" s="644">
        <f t="array" ref="M513">IF(ISERROR(I513/B511),"",I513/B511)</f>
        <v>0</v>
      </c>
      <c r="N513" s="644"/>
      <c r="O513" s="640"/>
      <c r="P513" s="643" t="s">
        <v>266</v>
      </c>
      <c r="Q513" s="643"/>
      <c r="R513" s="645">
        <f>SUM(R506:S512)</f>
        <v>0</v>
      </c>
      <c r="S513" s="645"/>
      <c r="T513" s="646"/>
      <c r="U513" s="646"/>
      <c r="V513" s="643" t="s">
        <v>266</v>
      </c>
      <c r="W513" s="643"/>
      <c r="X513" s="647">
        <f>SUM(X506:Y512)</f>
        <v>0</v>
      </c>
      <c r="Y513" s="647"/>
      <c r="Z513" s="646"/>
      <c r="AA513" s="646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682" t="str">
        <f>IF(ISERROR(#REF!/#REF!),"",#REF!/#REF!)</f>
        <v/>
      </c>
      <c r="H514" s="682"/>
      <c r="I514" s="682"/>
      <c r="J514" s="125"/>
      <c r="K514" s="160"/>
      <c r="L514" s="122"/>
      <c r="M514" s="122"/>
      <c r="N514" s="682" t="str">
        <f>IF(ISERROR(G514/#REF!),"",G514/#REF!)</f>
        <v/>
      </c>
      <c r="O514" s="682"/>
      <c r="P514" s="682"/>
      <c r="Q514" s="682"/>
      <c r="R514" s="682"/>
      <c r="S514" s="551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685" t="s">
        <v>268</v>
      </c>
      <c r="B516" s="685"/>
      <c r="C516" s="638">
        <f>SUM(B170,B340,B511)</f>
        <v>6988</v>
      </c>
      <c r="D516" s="639"/>
      <c r="E516" s="685" t="s">
        <v>269</v>
      </c>
      <c r="F516" s="685"/>
      <c r="G516" s="655">
        <f>SUM(E170,E340,E511)</f>
        <v>35150.259999999995</v>
      </c>
      <c r="H516" s="655"/>
      <c r="I516" s="643" t="s">
        <v>270</v>
      </c>
      <c r="J516" s="685"/>
      <c r="K516" s="638">
        <f>IF(ISERROR(C516/G517),"",C516/G517)</f>
        <v>15.797513557917888</v>
      </c>
      <c r="L516" s="639"/>
      <c r="M516" s="643" t="s">
        <v>271</v>
      </c>
      <c r="N516" s="643"/>
      <c r="O516" s="680">
        <f t="array" ref="O516">IF(ISERROR(C516/C517),"",C516/C517)</f>
        <v>25.046594982078854</v>
      </c>
      <c r="P516" s="681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643" t="s">
        <v>273</v>
      </c>
      <c r="B517" s="643"/>
      <c r="C517" s="638">
        <f>SUM(B171,B341,B512)</f>
        <v>279</v>
      </c>
      <c r="D517" s="639"/>
      <c r="E517" s="643" t="s">
        <v>251</v>
      </c>
      <c r="F517" s="643"/>
      <c r="G517" s="655">
        <f>SUM(E171,E341,E512)</f>
        <v>442.34809322240062</v>
      </c>
      <c r="H517" s="655"/>
      <c r="I517" s="653" t="s">
        <v>274</v>
      </c>
      <c r="J517" s="654"/>
      <c r="K517" s="650">
        <f>C517-G517</f>
        <v>-163.34809322240062</v>
      </c>
      <c r="L517" s="651"/>
      <c r="M517" s="650" t="s">
        <v>275</v>
      </c>
      <c r="N517" s="651"/>
      <c r="O517" s="683">
        <f>IF(ISERROR(K517/C517),"",K517/C517)</f>
        <v>-0.58547703663942874</v>
      </c>
      <c r="P517" s="684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653" t="s">
        <v>276</v>
      </c>
      <c r="B518" s="654"/>
      <c r="C518" s="638">
        <f>SUM(B172,B342,B513)</f>
        <v>0</v>
      </c>
      <c r="D518" s="639"/>
      <c r="E518" s="653" t="s">
        <v>277</v>
      </c>
      <c r="F518" s="654"/>
      <c r="G518" s="646">
        <f>IF(ISERROR(C518/C517),"",C518/C517)</f>
        <v>0</v>
      </c>
      <c r="H518" s="646"/>
      <c r="I518" s="643" t="s">
        <v>278</v>
      </c>
      <c r="J518" s="685"/>
      <c r="K518" s="655">
        <f>SUM(I172,I342,I513)</f>
        <v>0</v>
      </c>
      <c r="L518" s="655"/>
      <c r="M518" s="685" t="s">
        <v>279</v>
      </c>
      <c r="N518" s="685"/>
      <c r="O518" s="683">
        <f t="array" ref="O518">IF(ISERROR(K518/C516),"",K518/C516)</f>
        <v>0</v>
      </c>
      <c r="P518" s="684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551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653" t="s">
        <v>298</v>
      </c>
      <c r="B520" s="654"/>
      <c r="C520" s="653" t="s">
        <v>299</v>
      </c>
      <c r="D520" s="654"/>
      <c r="E520" s="653" t="s">
        <v>256</v>
      </c>
      <c r="F520" s="654"/>
      <c r="G520" s="686" t="s">
        <v>254</v>
      </c>
      <c r="H520" s="687"/>
      <c r="I520" s="653" t="s">
        <v>255</v>
      </c>
      <c r="J520" s="651"/>
      <c r="K520" s="653" t="s">
        <v>300</v>
      </c>
      <c r="L520" s="654"/>
      <c r="M520" s="653" t="s">
        <v>256</v>
      </c>
      <c r="N520" s="654"/>
      <c r="O520" s="643" t="s">
        <v>257</v>
      </c>
      <c r="P520" s="643"/>
      <c r="Q520" s="653" t="s">
        <v>300</v>
      </c>
      <c r="R520" s="654"/>
      <c r="S520" s="653" t="s">
        <v>256</v>
      </c>
      <c r="T520" s="654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692" t="s">
        <v>201</v>
      </c>
      <c r="B521" s="654"/>
      <c r="C521" s="653">
        <f>SUM(G28,G198,G368)</f>
        <v>1205</v>
      </c>
      <c r="D521" s="654"/>
      <c r="E521" s="693">
        <f>IF(ISERROR(C521/C527),"",C521/C527)</f>
        <v>0.17243846594161419</v>
      </c>
      <c r="F521" s="694"/>
      <c r="G521" s="688"/>
      <c r="H521" s="689"/>
      <c r="I521" s="695" t="s">
        <v>301</v>
      </c>
      <c r="J521" s="696"/>
      <c r="K521" s="650">
        <f t="shared" ref="K521:K526" si="238">SUM(R165,U335,U506)</f>
        <v>0</v>
      </c>
      <c r="L521" s="651"/>
      <c r="M521" s="693" t="str">
        <f t="array" ref="M521">IF(ISERROR(K521/K527),"",K521/K527)</f>
        <v/>
      </c>
      <c r="N521" s="694"/>
      <c r="O521" s="643" t="s">
        <v>259</v>
      </c>
      <c r="P521" s="643"/>
      <c r="Q521" s="680">
        <f t="shared" ref="Q521:Q526" si="239">SUM(X165,AA335,AA506)</f>
        <v>0</v>
      </c>
      <c r="R521" s="681"/>
      <c r="S521" s="693" t="str">
        <f t="array" ref="S521">IF(ISERROR(Q521/Q527),"",Q521/Q527)</f>
        <v/>
      </c>
      <c r="T521" s="694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692" t="s">
        <v>216</v>
      </c>
      <c r="B522" s="654"/>
      <c r="C522" s="653">
        <f>SUM(G86,G256,G426)</f>
        <v>3377</v>
      </c>
      <c r="D522" s="654"/>
      <c r="E522" s="693">
        <f>IF(ISERROR(C522/C527),"",C522/C527)</f>
        <v>0.48325701202060678</v>
      </c>
      <c r="F522" s="694"/>
      <c r="G522" s="688"/>
      <c r="H522" s="689"/>
      <c r="I522" s="695" t="s">
        <v>302</v>
      </c>
      <c r="J522" s="696"/>
      <c r="K522" s="650">
        <f t="shared" si="238"/>
        <v>0</v>
      </c>
      <c r="L522" s="651"/>
      <c r="M522" s="693" t="str">
        <f>IF(ISERROR(K522/K527),"",K522/K527)</f>
        <v/>
      </c>
      <c r="N522" s="694"/>
      <c r="O522" s="643" t="s">
        <v>261</v>
      </c>
      <c r="P522" s="643"/>
      <c r="Q522" s="680">
        <f t="shared" si="239"/>
        <v>0</v>
      </c>
      <c r="R522" s="681"/>
      <c r="S522" s="693" t="str">
        <f>IF(ISERROR(Q522/Q527),"",Q522/Q527)</f>
        <v/>
      </c>
      <c r="T522" s="694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692" t="s">
        <v>224</v>
      </c>
      <c r="B523" s="654"/>
      <c r="C523" s="653">
        <f>SUM(G121,G291,G461)</f>
        <v>1368</v>
      </c>
      <c r="D523" s="654"/>
      <c r="E523" s="693">
        <f>IF(ISERROR(C523/C527),"",C523/C527)</f>
        <v>0.19576416714367487</v>
      </c>
      <c r="F523" s="694"/>
      <c r="G523" s="688"/>
      <c r="H523" s="689"/>
      <c r="I523" s="695" t="s">
        <v>303</v>
      </c>
      <c r="J523" s="696"/>
      <c r="K523" s="650">
        <f t="shared" si="238"/>
        <v>0</v>
      </c>
      <c r="L523" s="651"/>
      <c r="M523" s="693" t="str">
        <f>IF(ISERROR(K523/K527),"",K523/K527)</f>
        <v/>
      </c>
      <c r="N523" s="694"/>
      <c r="O523" s="643" t="s">
        <v>263</v>
      </c>
      <c r="P523" s="643"/>
      <c r="Q523" s="680">
        <f t="shared" si="239"/>
        <v>0</v>
      </c>
      <c r="R523" s="681"/>
      <c r="S523" s="693" t="str">
        <f>IF(ISERROR(Q523/Q527),"",Q523/Q527)</f>
        <v/>
      </c>
      <c r="T523" s="694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692" t="s">
        <v>231</v>
      </c>
      <c r="B524" s="654"/>
      <c r="C524" s="653">
        <f>SUM(G137,G307,G477)</f>
        <v>1038</v>
      </c>
      <c r="D524" s="654"/>
      <c r="E524" s="693">
        <f>IF(ISERROR(C524/C527),"",C524/C527)</f>
        <v>0.14854035489410417</v>
      </c>
      <c r="F524" s="694"/>
      <c r="G524" s="688"/>
      <c r="H524" s="689"/>
      <c r="I524" s="695" t="s">
        <v>304</v>
      </c>
      <c r="J524" s="696"/>
      <c r="K524" s="650">
        <f t="shared" si="238"/>
        <v>0</v>
      </c>
      <c r="L524" s="651"/>
      <c r="M524" s="693" t="str">
        <f>IF(ISERROR(K524/K527),"",K524/K527)</f>
        <v/>
      </c>
      <c r="N524" s="694"/>
      <c r="O524" s="643" t="s">
        <v>305</v>
      </c>
      <c r="P524" s="643"/>
      <c r="Q524" s="680">
        <f t="shared" si="239"/>
        <v>0</v>
      </c>
      <c r="R524" s="681"/>
      <c r="S524" s="693" t="str">
        <f>IF(ISERROR(Q524/Q527),"",Q524/Q527)</f>
        <v/>
      </c>
      <c r="T524" s="694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92" t="s">
        <v>234</v>
      </c>
      <c r="B525" s="654"/>
      <c r="C525" s="653">
        <f>SUM(G147,G317,G487)</f>
        <v>0</v>
      </c>
      <c r="D525" s="654"/>
      <c r="E525" s="693">
        <f>IF(ISERROR(C525/C527),"",C525/C527)</f>
        <v>0</v>
      </c>
      <c r="F525" s="694"/>
      <c r="G525" s="688"/>
      <c r="H525" s="689"/>
      <c r="I525" s="695" t="s">
        <v>306</v>
      </c>
      <c r="J525" s="696"/>
      <c r="K525" s="650">
        <f t="shared" si="238"/>
        <v>0</v>
      </c>
      <c r="L525" s="651"/>
      <c r="M525" s="693" t="str">
        <f>IF(ISERROR(K525/K527),"",K525/K527)</f>
        <v/>
      </c>
      <c r="N525" s="694"/>
      <c r="O525" s="643" t="s">
        <v>267</v>
      </c>
      <c r="P525" s="643"/>
      <c r="Q525" s="680">
        <f t="shared" si="239"/>
        <v>0</v>
      </c>
      <c r="R525" s="681"/>
      <c r="S525" s="693" t="str">
        <f>IF(ISERROR(Q525/Q527),"",Q525/Q527)</f>
        <v/>
      </c>
      <c r="T525" s="694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92" t="s">
        <v>244</v>
      </c>
      <c r="B526" s="654"/>
      <c r="C526" s="653">
        <f>SUM(G162,G332,G503)</f>
        <v>0</v>
      </c>
      <c r="D526" s="654"/>
      <c r="E526" s="693">
        <f>IF(ISERROR(C526/C527),"",C526/C527)</f>
        <v>0</v>
      </c>
      <c r="F526" s="694"/>
      <c r="G526" s="688"/>
      <c r="H526" s="689"/>
      <c r="I526" s="695" t="s">
        <v>307</v>
      </c>
      <c r="J526" s="696"/>
      <c r="K526" s="650">
        <f t="shared" si="238"/>
        <v>0</v>
      </c>
      <c r="L526" s="651"/>
      <c r="M526" s="693" t="str">
        <f>IF(ISERROR(K526/K527),"",K526/K527)</f>
        <v/>
      </c>
      <c r="N526" s="694"/>
      <c r="O526" s="643" t="s">
        <v>272</v>
      </c>
      <c r="P526" s="643"/>
      <c r="Q526" s="680">
        <f t="shared" si="239"/>
        <v>0</v>
      </c>
      <c r="R526" s="681"/>
      <c r="S526" s="693" t="str">
        <f>IF(ISERROR(Q526/Q527),"",Q526/Q527)</f>
        <v/>
      </c>
      <c r="T526" s="694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53" t="s">
        <v>266</v>
      </c>
      <c r="B527" s="654"/>
      <c r="C527" s="653">
        <f>SUM(C521:C526)</f>
        <v>6988</v>
      </c>
      <c r="D527" s="654"/>
      <c r="E527" s="693">
        <f>SUM(E521:F526)</f>
        <v>1</v>
      </c>
      <c r="F527" s="694"/>
      <c r="G527" s="690"/>
      <c r="H527" s="691"/>
      <c r="I527" s="653" t="s">
        <v>266</v>
      </c>
      <c r="J527" s="651"/>
      <c r="K527" s="650">
        <f>SUM(R172,U342,U513)</f>
        <v>0</v>
      </c>
      <c r="L527" s="651"/>
      <c r="M527" s="693"/>
      <c r="N527" s="694"/>
      <c r="O527" s="643" t="s">
        <v>266</v>
      </c>
      <c r="P527" s="643"/>
      <c r="Q527" s="680">
        <f>SUM(Q521:R526)</f>
        <v>0</v>
      </c>
      <c r="R527" s="681"/>
      <c r="S527" s="693">
        <f>SUM(S521:T526)</f>
        <v>0</v>
      </c>
      <c r="T527" s="694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695" t="s">
        <v>308</v>
      </c>
      <c r="B529" s="649"/>
      <c r="C529" s="542" t="s">
        <v>309</v>
      </c>
      <c r="D529" s="542" t="s">
        <v>310</v>
      </c>
      <c r="E529" s="542" t="s">
        <v>311</v>
      </c>
      <c r="F529" s="542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543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552" t="s">
        <v>322</v>
      </c>
      <c r="Q529" s="129" t="s">
        <v>323</v>
      </c>
      <c r="R529" s="109" t="s">
        <v>324</v>
      </c>
      <c r="S529" s="542" t="s">
        <v>325</v>
      </c>
      <c r="T529" s="542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697" t="s">
        <v>327</v>
      </c>
      <c r="B530" s="698"/>
      <c r="C530" s="106">
        <f>D530+E530+F530-G530-O530-P530</f>
        <v>38</v>
      </c>
      <c r="D530" s="106">
        <f>+'18'!C530</f>
        <v>33</v>
      </c>
      <c r="E530" s="106">
        <v>5</v>
      </c>
      <c r="F530" s="106"/>
      <c r="G530" s="107"/>
      <c r="H530" s="106"/>
      <c r="I530" s="106"/>
      <c r="J530" s="106">
        <f>C530-H530-I530</f>
        <v>38</v>
      </c>
      <c r="K530" s="106"/>
      <c r="L530" s="106"/>
      <c r="M530" s="106"/>
      <c r="N530" s="106"/>
      <c r="O530" s="106"/>
      <c r="P530" s="108"/>
      <c r="Q530" s="106">
        <f>J530-K530-L530</f>
        <v>38</v>
      </c>
      <c r="R530" s="109">
        <f>Q530*11-M530-N530</f>
        <v>418</v>
      </c>
      <c r="S530" s="545">
        <f t="array" ref="S530">IF(ISERROR(Q530/J530),"",Q530/J530)</f>
        <v>1</v>
      </c>
      <c r="T530" s="545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697" t="s">
        <v>328</v>
      </c>
      <c r="B531" s="698"/>
      <c r="C531" s="106">
        <f>D531+E531+F531-G531-O531-P531</f>
        <v>31</v>
      </c>
      <c r="D531" s="106">
        <f>+'18'!C531</f>
        <v>31</v>
      </c>
      <c r="E531" s="110"/>
      <c r="F531" s="110"/>
      <c r="G531" s="107"/>
      <c r="H531" s="106"/>
      <c r="I531" s="106"/>
      <c r="J531" s="106">
        <f>C531-H531-I531</f>
        <v>31</v>
      </c>
      <c r="K531" s="106"/>
      <c r="L531" s="106"/>
      <c r="M531" s="106"/>
      <c r="N531" s="106"/>
      <c r="O531" s="110"/>
      <c r="P531" s="111"/>
      <c r="Q531" s="106">
        <f>J531-K531-L531</f>
        <v>31</v>
      </c>
      <c r="R531" s="109">
        <f>Q531*11-M531-N531</f>
        <v>341</v>
      </c>
      <c r="S531" s="545">
        <f t="array" ref="S531">IF(ISERROR(Q531/J531),"",Q531/J531)</f>
        <v>1</v>
      </c>
      <c r="T531" s="545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697" t="s">
        <v>329</v>
      </c>
      <c r="B532" s="698"/>
      <c r="C532" s="106">
        <f>D532+E532+F532-G532-O532-P532</f>
        <v>10</v>
      </c>
      <c r="D532" s="106">
        <f>+'18'!C532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545">
        <f t="array" ref="S532">IF(ISERROR(Q532/J532),"",Q532/J532)</f>
        <v>1</v>
      </c>
      <c r="T532" s="545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699" t="s">
        <v>330</v>
      </c>
      <c r="B533" s="700"/>
      <c r="C533" s="112">
        <f>SUM(C530:C532)</f>
        <v>79</v>
      </c>
      <c r="D533" s="112">
        <f t="shared" ref="D533:N533" si="240">SUM(D530:D532)</f>
        <v>74</v>
      </c>
      <c r="E533" s="112">
        <f t="shared" si="240"/>
        <v>5</v>
      </c>
      <c r="F533" s="112">
        <f t="shared" si="240"/>
        <v>0</v>
      </c>
      <c r="G533" s="113">
        <f t="shared" si="240"/>
        <v>0</v>
      </c>
      <c r="H533" s="112">
        <f t="shared" si="240"/>
        <v>0</v>
      </c>
      <c r="I533" s="112">
        <f t="shared" si="240"/>
        <v>0</v>
      </c>
      <c r="J533" s="112">
        <f t="shared" si="240"/>
        <v>79</v>
      </c>
      <c r="K533" s="112">
        <f t="shared" si="240"/>
        <v>0</v>
      </c>
      <c r="L533" s="112">
        <f t="shared" si="240"/>
        <v>0</v>
      </c>
      <c r="M533" s="112">
        <f t="shared" si="240"/>
        <v>0</v>
      </c>
      <c r="N533" s="112">
        <f t="shared" si="240"/>
        <v>0</v>
      </c>
      <c r="O533" s="112">
        <f>SUM(O530:O532)</f>
        <v>0</v>
      </c>
      <c r="P533" s="112">
        <f>SUM(P530:P532)</f>
        <v>0</v>
      </c>
      <c r="Q533" s="112">
        <f>SUM(Q530:Q532)</f>
        <v>79</v>
      </c>
      <c r="R533" s="114">
        <f>SUM(R530:R532)</f>
        <v>869</v>
      </c>
      <c r="S533" s="115">
        <f t="array" ref="S533">IF(ISERROR(Q533/J533),"",Q533/J533)</f>
        <v>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525" activePane="bottomRight" state="frozen"/>
      <selection activeCell="F484" sqref="F484"/>
      <selection pane="topRight" activeCell="F484" sqref="F484"/>
      <selection pane="bottomLeft" activeCell="F484" sqref="F484"/>
      <selection pane="bottomRight" activeCell="E64" sqref="E6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07" t="s">
        <v>413</v>
      </c>
      <c r="B1" s="607"/>
      <c r="C1" s="607"/>
      <c r="D1" s="607"/>
      <c r="E1" s="607"/>
      <c r="F1" s="607"/>
      <c r="G1" s="607"/>
      <c r="H1" s="607"/>
      <c r="I1" s="607"/>
      <c r="J1" s="607"/>
      <c r="K1" s="607"/>
      <c r="L1" s="607"/>
      <c r="M1" s="607"/>
      <c r="N1" s="607"/>
      <c r="O1" s="607"/>
      <c r="P1" s="607"/>
      <c r="Q1" s="607"/>
      <c r="R1" s="607"/>
      <c r="S1" s="607"/>
      <c r="T1" s="607"/>
      <c r="U1" s="607"/>
      <c r="V1" s="607"/>
      <c r="W1" s="607"/>
      <c r="X1" s="607"/>
      <c r="Y1" s="607"/>
      <c r="Z1" s="607"/>
      <c r="AA1" s="607"/>
    </row>
    <row r="2" spans="1:27" ht="18.75">
      <c r="A2" s="608"/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09" t="s">
        <v>12</v>
      </c>
      <c r="B4" s="609" t="s">
        <v>25</v>
      </c>
      <c r="C4" s="609" t="s">
        <v>26</v>
      </c>
      <c r="D4" s="609" t="s">
        <v>27</v>
      </c>
      <c r="E4" s="612" t="s">
        <v>28</v>
      </c>
      <c r="F4" s="615" t="s">
        <v>29</v>
      </c>
      <c r="G4" s="618" t="s">
        <v>30</v>
      </c>
      <c r="H4" s="618"/>
      <c r="I4" s="609" t="s">
        <v>31</v>
      </c>
      <c r="J4" s="621" t="s">
        <v>32</v>
      </c>
      <c r="K4" s="624" t="s">
        <v>33</v>
      </c>
      <c r="L4" s="609" t="s">
        <v>34</v>
      </c>
      <c r="M4" s="627" t="s">
        <v>35</v>
      </c>
      <c r="N4" s="629" t="s">
        <v>36</v>
      </c>
      <c r="O4" s="618" t="s">
        <v>37</v>
      </c>
      <c r="P4" s="618"/>
      <c r="Q4" s="618"/>
      <c r="R4" s="618"/>
      <c r="S4" s="618"/>
      <c r="T4" s="618"/>
      <c r="U4" s="618"/>
      <c r="V4" s="618" t="s">
        <v>38</v>
      </c>
      <c r="W4" s="629" t="s">
        <v>39</v>
      </c>
      <c r="X4" s="618" t="s">
        <v>40</v>
      </c>
      <c r="Y4" s="618"/>
      <c r="Z4" s="618"/>
      <c r="AA4" s="618"/>
    </row>
    <row r="5" spans="1:27" s="104" customFormat="1" ht="15" customHeight="1">
      <c r="A5" s="610"/>
      <c r="B5" s="610"/>
      <c r="C5" s="610"/>
      <c r="D5" s="610"/>
      <c r="E5" s="613"/>
      <c r="F5" s="616"/>
      <c r="G5" s="618"/>
      <c r="H5" s="618"/>
      <c r="I5" s="610"/>
      <c r="J5" s="622"/>
      <c r="K5" s="625"/>
      <c r="L5" s="610"/>
      <c r="M5" s="628"/>
      <c r="N5" s="629"/>
      <c r="O5" s="618" t="s">
        <v>41</v>
      </c>
      <c r="P5" s="618" t="s">
        <v>42</v>
      </c>
      <c r="Q5" s="618" t="s">
        <v>43</v>
      </c>
      <c r="R5" s="619" t="s">
        <v>44</v>
      </c>
      <c r="S5" s="620" t="s">
        <v>45</v>
      </c>
      <c r="T5" s="618" t="s">
        <v>46</v>
      </c>
      <c r="U5" s="618" t="s">
        <v>47</v>
      </c>
      <c r="V5" s="618"/>
      <c r="W5" s="629"/>
      <c r="X5" s="618" t="s">
        <v>13</v>
      </c>
      <c r="Y5" s="618" t="s">
        <v>48</v>
      </c>
      <c r="Z5" s="618" t="s">
        <v>49</v>
      </c>
      <c r="AA5" s="618" t="s">
        <v>47</v>
      </c>
    </row>
    <row r="6" spans="1:27" s="104" customFormat="1" ht="27.75" customHeight="1">
      <c r="A6" s="611"/>
      <c r="B6" s="611"/>
      <c r="C6" s="611"/>
      <c r="D6" s="611"/>
      <c r="E6" s="614"/>
      <c r="F6" s="617"/>
      <c r="G6" s="350" t="s">
        <v>50</v>
      </c>
      <c r="H6" s="564" t="s">
        <v>51</v>
      </c>
      <c r="I6" s="611"/>
      <c r="J6" s="623"/>
      <c r="K6" s="626"/>
      <c r="L6" s="611"/>
      <c r="M6" s="628"/>
      <c r="N6" s="629"/>
      <c r="O6" s="618"/>
      <c r="P6" s="618"/>
      <c r="Q6" s="618"/>
      <c r="R6" s="619"/>
      <c r="S6" s="620"/>
      <c r="T6" s="618"/>
      <c r="U6" s="618"/>
      <c r="V6" s="618"/>
      <c r="W6" s="629"/>
      <c r="X6" s="618"/>
      <c r="Y6" s="618"/>
      <c r="Z6" s="618"/>
      <c r="AA6" s="618"/>
    </row>
    <row r="7" spans="1:27" ht="20.100000000000001" hidden="1" customHeight="1">
      <c r="A7" s="299">
        <v>30100030</v>
      </c>
      <c r="B7" s="553" t="s">
        <v>178</v>
      </c>
      <c r="C7" s="126" t="s">
        <v>179</v>
      </c>
      <c r="D7" s="108">
        <v>5.03</v>
      </c>
      <c r="E7" s="108"/>
      <c r="F7" s="127"/>
      <c r="G7" s="128"/>
      <c r="H7" s="554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562"/>
      <c r="P7" s="562"/>
      <c r="Q7" s="562"/>
      <c r="R7" s="562"/>
      <c r="S7" s="562"/>
      <c r="T7" s="562"/>
      <c r="U7" s="562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554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562"/>
      <c r="Q8" s="562"/>
      <c r="R8" s="562"/>
      <c r="S8" s="562"/>
      <c r="T8" s="562"/>
      <c r="U8" s="562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554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562"/>
      <c r="P9" s="562"/>
      <c r="Q9" s="562"/>
      <c r="R9" s="562"/>
      <c r="S9" s="562"/>
      <c r="T9" s="562"/>
      <c r="U9" s="562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554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562"/>
      <c r="P10" s="562"/>
      <c r="Q10" s="562"/>
      <c r="R10" s="562"/>
      <c r="S10" s="562"/>
      <c r="T10" s="562"/>
      <c r="U10" s="562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554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562"/>
      <c r="P11" s="562"/>
      <c r="Q11" s="562"/>
      <c r="R11" s="562"/>
      <c r="S11" s="562"/>
      <c r="T11" s="562"/>
      <c r="U11" s="562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554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562"/>
      <c r="P12" s="562"/>
      <c r="Q12" s="562"/>
      <c r="R12" s="562"/>
      <c r="S12" s="562"/>
      <c r="T12" s="562"/>
      <c r="U12" s="562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554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562"/>
      <c r="P13" s="562"/>
      <c r="Q13" s="562"/>
      <c r="R13" s="562"/>
      <c r="S13" s="562"/>
      <c r="T13" s="562"/>
      <c r="U13" s="562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554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562"/>
      <c r="P14" s="562"/>
      <c r="Q14" s="562"/>
      <c r="R14" s="562"/>
      <c r="S14" s="562"/>
      <c r="T14" s="562"/>
      <c r="U14" s="562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>
        <v>42723</v>
      </c>
      <c r="G15" s="128">
        <f>26+100*6</f>
        <v>626</v>
      </c>
      <c r="H15" s="554">
        <f t="shared" si="0"/>
        <v>3155.04</v>
      </c>
      <c r="I15" s="554">
        <f>11.5*5</f>
        <v>57.5</v>
      </c>
      <c r="J15" s="130">
        <f t="array" ref="J15">IF(ISERROR(G15/I15),"",G15/I15)</f>
        <v>10.88695652173913</v>
      </c>
      <c r="K15" s="131">
        <f t="array" ref="K15">IF(ISERROR(G15/L15),"",G15/L15)</f>
        <v>36.823529411764703</v>
      </c>
      <c r="L15" s="129">
        <v>17</v>
      </c>
      <c r="M15" s="109">
        <f t="shared" si="1"/>
        <v>20.676470588235297</v>
      </c>
      <c r="N15" s="130">
        <f t="shared" si="4"/>
        <v>0</v>
      </c>
      <c r="O15" s="562"/>
      <c r="P15" s="562"/>
      <c r="Q15" s="562"/>
      <c r="R15" s="562"/>
      <c r="S15" s="562"/>
      <c r="T15" s="562"/>
      <c r="U15" s="562"/>
      <c r="V15" s="132">
        <f>SUM(X15:AA15)</f>
        <v>0</v>
      </c>
      <c r="W15" s="133">
        <f>IF(ISERROR(V15/G15),"",V15/G15)</f>
        <v>0</v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554">
        <f t="shared" si="0"/>
        <v>0</v>
      </c>
      <c r="I16" s="554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562"/>
      <c r="P16" s="562"/>
      <c r="Q16" s="562"/>
      <c r="R16" s="562"/>
      <c r="S16" s="562"/>
      <c r="T16" s="562"/>
      <c r="U16" s="562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>
        <v>42721</v>
      </c>
      <c r="G17" s="128">
        <v>106</v>
      </c>
      <c r="H17" s="554">
        <f t="shared" si="0"/>
        <v>533.18000000000006</v>
      </c>
      <c r="I17" s="129">
        <f>7.5*3</f>
        <v>22.5</v>
      </c>
      <c r="J17" s="130">
        <f t="array" ref="J17">IF(ISERROR(G17/I17),"",G17/I17)</f>
        <v>4.7111111111111112</v>
      </c>
      <c r="K17" s="131">
        <f t="array" ref="K17">IF(ISERROR(G17/L17),"",G17/L17)</f>
        <v>6.2352941176470589</v>
      </c>
      <c r="L17" s="129">
        <v>17</v>
      </c>
      <c r="M17" s="109">
        <f t="shared" si="1"/>
        <v>16.264705882352942</v>
      </c>
      <c r="N17" s="130">
        <f t="shared" si="4"/>
        <v>0</v>
      </c>
      <c r="O17" s="562"/>
      <c r="P17" s="562"/>
      <c r="Q17" s="562"/>
      <c r="R17" s="562"/>
      <c r="S17" s="562"/>
      <c r="T17" s="562"/>
      <c r="U17" s="562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554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562"/>
      <c r="P18" s="562"/>
      <c r="Q18" s="562"/>
      <c r="R18" s="562"/>
      <c r="S18" s="562"/>
      <c r="T18" s="562"/>
      <c r="U18" s="562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554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562"/>
      <c r="P19" s="562"/>
      <c r="Q19" s="562"/>
      <c r="R19" s="562"/>
      <c r="S19" s="562"/>
      <c r="T19" s="562"/>
      <c r="U19" s="562"/>
      <c r="V19" s="132">
        <f t="shared" ref="V19:V21" si="5">SUM(X19:AA19)</f>
        <v>0</v>
      </c>
      <c r="W19" s="555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554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562"/>
      <c r="P20" s="562"/>
      <c r="Q20" s="562"/>
      <c r="R20" s="562"/>
      <c r="S20" s="562"/>
      <c r="T20" s="562"/>
      <c r="U20" s="562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554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562"/>
      <c r="P21" s="562"/>
      <c r="Q21" s="562"/>
      <c r="R21" s="562"/>
      <c r="S21" s="562"/>
      <c r="T21" s="562"/>
      <c r="U21" s="562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560" t="s">
        <v>190</v>
      </c>
      <c r="D22" s="108">
        <v>4.8</v>
      </c>
      <c r="E22" s="108"/>
      <c r="F22" s="127"/>
      <c r="G22" s="128"/>
      <c r="H22" s="554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562"/>
      <c r="P22" s="562"/>
      <c r="Q22" s="562"/>
      <c r="R22" s="562"/>
      <c r="S22" s="562"/>
      <c r="T22" s="562"/>
      <c r="U22" s="562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560" t="s">
        <v>187</v>
      </c>
      <c r="D23" s="108">
        <v>4.8</v>
      </c>
      <c r="E23" s="108"/>
      <c r="F23" s="127"/>
      <c r="G23" s="128"/>
      <c r="H23" s="554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562"/>
      <c r="P23" s="562"/>
      <c r="Q23" s="562"/>
      <c r="R23" s="562"/>
      <c r="S23" s="562"/>
      <c r="T23" s="562"/>
      <c r="U23" s="562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560" t="s">
        <v>179</v>
      </c>
      <c r="D24" s="108">
        <v>4.8</v>
      </c>
      <c r="E24" s="108"/>
      <c r="F24" s="127"/>
      <c r="G24" s="128"/>
      <c r="H24" s="554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562"/>
      <c r="P24" s="562"/>
      <c r="Q24" s="562"/>
      <c r="R24" s="562"/>
      <c r="S24" s="562"/>
      <c r="T24" s="562"/>
      <c r="U24" s="562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560" t="s">
        <v>199</v>
      </c>
      <c r="D25" s="108">
        <v>4.8</v>
      </c>
      <c r="E25" s="108"/>
      <c r="F25" s="127"/>
      <c r="G25" s="128"/>
      <c r="H25" s="554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562"/>
      <c r="P25" s="562"/>
      <c r="Q25" s="562"/>
      <c r="R25" s="562"/>
      <c r="S25" s="562"/>
      <c r="T25" s="562"/>
      <c r="U25" s="562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554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562"/>
      <c r="P26" s="562"/>
      <c r="Q26" s="562"/>
      <c r="R26" s="562"/>
      <c r="S26" s="562"/>
      <c r="T26" s="562"/>
      <c r="U26" s="562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554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562"/>
      <c r="P27" s="562"/>
      <c r="Q27" s="562"/>
      <c r="R27" s="562"/>
      <c r="S27" s="562"/>
      <c r="T27" s="562"/>
      <c r="U27" s="562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30" t="s">
        <v>201</v>
      </c>
      <c r="B28" s="631"/>
      <c r="C28" s="563" t="s">
        <v>202</v>
      </c>
      <c r="D28" s="143"/>
      <c r="E28" s="143"/>
      <c r="F28" s="144"/>
      <c r="G28" s="145">
        <f>SUM(G7:G27)</f>
        <v>732</v>
      </c>
      <c r="H28" s="146">
        <f>SUM(H7:H27)</f>
        <v>3688.2200000000003</v>
      </c>
      <c r="I28" s="146">
        <f>SUM(I7:I27)</f>
        <v>80</v>
      </c>
      <c r="J28" s="130">
        <f t="array" ref="J28">IF(ISERROR(G28/I28),"",G28/I28)</f>
        <v>9.15</v>
      </c>
      <c r="K28" s="146">
        <f>SUM(K7:K27)</f>
        <v>43.058823529411761</v>
      </c>
      <c r="L28" s="147"/>
      <c r="M28" s="146">
        <f t="shared" ref="M28:V28" si="10">SUM(M7:M27)</f>
        <v>36.941176470588239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553" t="s">
        <v>206</v>
      </c>
      <c r="C29" s="126" t="s">
        <v>199</v>
      </c>
      <c r="D29" s="108">
        <v>5.03</v>
      </c>
      <c r="E29" s="108"/>
      <c r="F29" s="127"/>
      <c r="G29" s="128"/>
      <c r="H29" s="554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558"/>
      <c r="P29" s="558"/>
      <c r="Q29" s="558"/>
      <c r="R29" s="558"/>
      <c r="S29" s="558"/>
      <c r="T29" s="558"/>
      <c r="U29" s="558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553" t="s">
        <v>425</v>
      </c>
      <c r="C30" s="187" t="s">
        <v>427</v>
      </c>
      <c r="D30" s="108">
        <v>5.03</v>
      </c>
      <c r="E30" s="108"/>
      <c r="F30" s="127"/>
      <c r="G30" s="128"/>
      <c r="H30" s="554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558"/>
      <c r="P30" s="558"/>
      <c r="Q30" s="558"/>
      <c r="R30" s="558"/>
      <c r="S30" s="558"/>
      <c r="T30" s="558"/>
      <c r="U30" s="558"/>
      <c r="V30" s="132"/>
      <c r="W30" s="133"/>
      <c r="X30" s="132"/>
      <c r="Y30" s="132"/>
      <c r="Z30" s="132"/>
      <c r="AA30" s="132"/>
    </row>
    <row r="31" spans="1:27" ht="20.100000000000001" customHeight="1">
      <c r="A31" s="300">
        <v>30100010</v>
      </c>
      <c r="B31" s="553" t="s">
        <v>206</v>
      </c>
      <c r="C31" s="126" t="s">
        <v>186</v>
      </c>
      <c r="D31" s="108">
        <v>5.03</v>
      </c>
      <c r="E31" s="108"/>
      <c r="F31" s="127">
        <v>42724</v>
      </c>
      <c r="G31" s="128">
        <f>73+108*7</f>
        <v>829</v>
      </c>
      <c r="H31" s="554">
        <f t="shared" si="11"/>
        <v>4169.87</v>
      </c>
      <c r="I31" s="129">
        <v>16</v>
      </c>
      <c r="J31" s="130">
        <f t="array" ref="J31">IF(ISERROR(G31/I31),"",G31/I31)</f>
        <v>51.8125</v>
      </c>
      <c r="K31" s="131">
        <f t="array" ref="K31">IF(ISERROR(G31/L31),"",G31/L31)</f>
        <v>15.942307692307692</v>
      </c>
      <c r="L31" s="129">
        <v>52</v>
      </c>
      <c r="M31" s="109">
        <f t="shared" ref="M31:M33" si="15">IF(ISERROR(I31-K31),"",I31-K31)</f>
        <v>5.7692307692308376E-2</v>
      </c>
      <c r="N31" s="130">
        <f t="shared" ref="N31:N33" si="16">SUM(O31:U31)</f>
        <v>0</v>
      </c>
      <c r="O31" s="558"/>
      <c r="P31" s="558"/>
      <c r="Q31" s="558"/>
      <c r="R31" s="558"/>
      <c r="S31" s="558"/>
      <c r="T31" s="558"/>
      <c r="U31" s="558"/>
      <c r="V31" s="132">
        <f t="shared" ref="V31:V33" si="17">SUM(X31:AA31)</f>
        <v>0</v>
      </c>
      <c r="W31" s="133">
        <f t="shared" ref="W31:W33" si="18">IF(ISERROR(V31/G31),"",V31/G31)</f>
        <v>0</v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553" t="s">
        <v>206</v>
      </c>
      <c r="C32" s="126" t="s">
        <v>203</v>
      </c>
      <c r="D32" s="108">
        <v>5.03</v>
      </c>
      <c r="E32" s="108"/>
      <c r="F32" s="127"/>
      <c r="G32" s="128"/>
      <c r="H32" s="554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558"/>
      <c r="P32" s="558"/>
      <c r="Q32" s="558"/>
      <c r="R32" s="558"/>
      <c r="S32" s="558"/>
      <c r="T32" s="558"/>
      <c r="U32" s="558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553" t="s">
        <v>206</v>
      </c>
      <c r="C33" s="126" t="s">
        <v>207</v>
      </c>
      <c r="D33" s="108">
        <v>5.03</v>
      </c>
      <c r="E33" s="108"/>
      <c r="F33" s="127"/>
      <c r="G33" s="128"/>
      <c r="H33" s="554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558"/>
      <c r="P33" s="558"/>
      <c r="Q33" s="558"/>
      <c r="R33" s="558"/>
      <c r="S33" s="558"/>
      <c r="T33" s="558"/>
      <c r="U33" s="558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553" t="s">
        <v>414</v>
      </c>
      <c r="C34" s="187" t="s">
        <v>415</v>
      </c>
      <c r="D34" s="108">
        <v>5.03</v>
      </c>
      <c r="E34" s="108"/>
      <c r="F34" s="127"/>
      <c r="G34" s="128"/>
      <c r="H34" s="554">
        <f t="shared" si="11"/>
        <v>0</v>
      </c>
      <c r="I34" s="129"/>
      <c r="J34" s="130"/>
      <c r="K34" s="131"/>
      <c r="L34" s="129">
        <v>52</v>
      </c>
      <c r="M34" s="109"/>
      <c r="N34" s="130"/>
      <c r="O34" s="558"/>
      <c r="P34" s="558"/>
      <c r="Q34" s="558"/>
      <c r="R34" s="558"/>
      <c r="S34" s="558"/>
      <c r="T34" s="558"/>
      <c r="U34" s="558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553" t="s">
        <v>414</v>
      </c>
      <c r="C35" s="187" t="s">
        <v>416</v>
      </c>
      <c r="D35" s="108">
        <v>5.03</v>
      </c>
      <c r="E35" s="108"/>
      <c r="F35" s="127"/>
      <c r="G35" s="128"/>
      <c r="H35" s="554">
        <f t="shared" si="11"/>
        <v>0</v>
      </c>
      <c r="I35" s="129"/>
      <c r="J35" s="130"/>
      <c r="K35" s="131"/>
      <c r="L35" s="129">
        <v>52</v>
      </c>
      <c r="M35" s="109"/>
      <c r="N35" s="130"/>
      <c r="O35" s="558"/>
      <c r="P35" s="558"/>
      <c r="Q35" s="558"/>
      <c r="R35" s="558"/>
      <c r="S35" s="558"/>
      <c r="T35" s="558"/>
      <c r="U35" s="558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553" t="s">
        <v>414</v>
      </c>
      <c r="C36" s="187" t="s">
        <v>61</v>
      </c>
      <c r="D36" s="108">
        <v>5.03</v>
      </c>
      <c r="E36" s="108"/>
      <c r="F36" s="127"/>
      <c r="G36" s="128"/>
      <c r="H36" s="554">
        <f t="shared" si="11"/>
        <v>0</v>
      </c>
      <c r="I36" s="129"/>
      <c r="J36" s="130"/>
      <c r="K36" s="131"/>
      <c r="L36" s="129">
        <v>52</v>
      </c>
      <c r="M36" s="109"/>
      <c r="N36" s="130"/>
      <c r="O36" s="558"/>
      <c r="P36" s="558"/>
      <c r="Q36" s="558"/>
      <c r="R36" s="558"/>
      <c r="S36" s="558"/>
      <c r="T36" s="558"/>
      <c r="U36" s="558"/>
      <c r="V36" s="132"/>
      <c r="W36" s="133"/>
      <c r="X36" s="132"/>
      <c r="Y36" s="132"/>
      <c r="Z36" s="132"/>
      <c r="AA36" s="132"/>
    </row>
    <row r="37" spans="1:27" ht="20.100000000000001" customHeight="1">
      <c r="A37" s="300">
        <v>30100027</v>
      </c>
      <c r="B37" s="553" t="s">
        <v>208</v>
      </c>
      <c r="C37" s="126" t="s">
        <v>179</v>
      </c>
      <c r="D37" s="108">
        <v>5.08</v>
      </c>
      <c r="E37" s="108"/>
      <c r="F37" s="127">
        <v>42724</v>
      </c>
      <c r="G37" s="128">
        <f>108+109+108+108</f>
        <v>433</v>
      </c>
      <c r="H37" s="554">
        <f t="shared" si="11"/>
        <v>2199.64</v>
      </c>
      <c r="I37" s="129">
        <f>7*3</f>
        <v>21</v>
      </c>
      <c r="J37" s="130">
        <f t="array" ref="J37">IF(ISERROR(G37/I37),"",G37/I37)</f>
        <v>20.61904761904762</v>
      </c>
      <c r="K37" s="131">
        <f t="array" ref="K37">IF(ISERROR(G37/L37),"",G37/L37)</f>
        <v>20.61904761904762</v>
      </c>
      <c r="L37" s="129">
        <v>21</v>
      </c>
      <c r="M37" s="109">
        <f t="shared" ref="M37:M66" si="19">IF(ISERROR(I37-K37),"",I37-K37)</f>
        <v>0.3809523809523796</v>
      </c>
      <c r="N37" s="130">
        <f t="shared" ref="N37:N52" si="20">SUM(O37:U37)</f>
        <v>0</v>
      </c>
      <c r="O37" s="558"/>
      <c r="P37" s="558"/>
      <c r="Q37" s="558"/>
      <c r="R37" s="558"/>
      <c r="S37" s="558"/>
      <c r="T37" s="558"/>
      <c r="U37" s="558"/>
      <c r="V37" s="132">
        <f t="shared" ref="V37:V48" si="21">SUM(X37:AA37)</f>
        <v>0</v>
      </c>
      <c r="W37" s="133">
        <f t="shared" ref="W37:W48" si="22">IF(ISERROR(V37/G37),"",V37/G37)</f>
        <v>0</v>
      </c>
      <c r="X37" s="132"/>
      <c r="Y37" s="132"/>
      <c r="Z37" s="132"/>
      <c r="AA37" s="132"/>
    </row>
    <row r="38" spans="1:27" ht="20.100000000000001" customHeight="1">
      <c r="A38" s="300">
        <v>30100023</v>
      </c>
      <c r="B38" s="553" t="s">
        <v>208</v>
      </c>
      <c r="C38" s="126" t="s">
        <v>204</v>
      </c>
      <c r="D38" s="108">
        <v>5.08</v>
      </c>
      <c r="E38" s="108"/>
      <c r="F38" s="127">
        <v>42724</v>
      </c>
      <c r="G38" s="128">
        <f>108+65+108*2+92</f>
        <v>481</v>
      </c>
      <c r="H38" s="554">
        <f t="shared" si="11"/>
        <v>2443.48</v>
      </c>
      <c r="I38" s="129">
        <f>4.5*4</f>
        <v>18</v>
      </c>
      <c r="J38" s="130">
        <f t="array" ref="J38">IF(ISERROR(G38/I38),"",G38/I38)</f>
        <v>26.722222222222221</v>
      </c>
      <c r="K38" s="131">
        <f t="array" ref="K38">IF(ISERROR(G38/L38),"",G38/L38)</f>
        <v>22.904761904761905</v>
      </c>
      <c r="L38" s="129">
        <v>21</v>
      </c>
      <c r="M38" s="109">
        <f t="shared" si="19"/>
        <v>-4.9047619047619051</v>
      </c>
      <c r="N38" s="130">
        <f t="shared" si="20"/>
        <v>0</v>
      </c>
      <c r="O38" s="558"/>
      <c r="P38" s="558"/>
      <c r="Q38" s="558"/>
      <c r="R38" s="558"/>
      <c r="S38" s="558"/>
      <c r="T38" s="558"/>
      <c r="U38" s="558"/>
      <c r="V38" s="132">
        <f t="shared" si="21"/>
        <v>0</v>
      </c>
      <c r="W38" s="133">
        <f t="shared" si="22"/>
        <v>0</v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553" t="s">
        <v>208</v>
      </c>
      <c r="C39" s="126" t="s">
        <v>205</v>
      </c>
      <c r="D39" s="108">
        <v>5.08</v>
      </c>
      <c r="E39" s="108"/>
      <c r="F39" s="127"/>
      <c r="G39" s="128"/>
      <c r="H39" s="554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558"/>
      <c r="P39" s="558"/>
      <c r="Q39" s="558"/>
      <c r="R39" s="558"/>
      <c r="S39" s="558"/>
      <c r="T39" s="558"/>
      <c r="U39" s="558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553" t="s">
        <v>208</v>
      </c>
      <c r="C40" s="126" t="s">
        <v>186</v>
      </c>
      <c r="D40" s="108">
        <v>5.08</v>
      </c>
      <c r="E40" s="108"/>
      <c r="F40" s="127"/>
      <c r="G40" s="128"/>
      <c r="H40" s="554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558"/>
      <c r="P40" s="558"/>
      <c r="Q40" s="558"/>
      <c r="R40" s="558"/>
      <c r="S40" s="558"/>
      <c r="T40" s="558"/>
      <c r="U40" s="558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553" t="s">
        <v>208</v>
      </c>
      <c r="C41" s="126" t="s">
        <v>203</v>
      </c>
      <c r="D41" s="108">
        <v>5.08</v>
      </c>
      <c r="E41" s="108"/>
      <c r="F41" s="127"/>
      <c r="G41" s="128"/>
      <c r="H41" s="554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558"/>
      <c r="P41" s="558"/>
      <c r="Q41" s="558"/>
      <c r="R41" s="558"/>
      <c r="S41" s="558"/>
      <c r="T41" s="558"/>
      <c r="U41" s="558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553" t="s">
        <v>208</v>
      </c>
      <c r="C42" s="126" t="s">
        <v>199</v>
      </c>
      <c r="D42" s="108">
        <v>5.08</v>
      </c>
      <c r="E42" s="108"/>
      <c r="F42" s="127"/>
      <c r="G42" s="128"/>
      <c r="H42" s="554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562"/>
      <c r="P42" s="562"/>
      <c r="Q42" s="562"/>
      <c r="R42" s="562"/>
      <c r="S42" s="562"/>
      <c r="T42" s="562"/>
      <c r="U42" s="562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553" t="s">
        <v>208</v>
      </c>
      <c r="C43" s="126" t="s">
        <v>187</v>
      </c>
      <c r="D43" s="108">
        <v>5.08</v>
      </c>
      <c r="E43" s="108"/>
      <c r="F43" s="127"/>
      <c r="G43" s="128"/>
      <c r="H43" s="554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558"/>
      <c r="P43" s="558"/>
      <c r="Q43" s="558"/>
      <c r="R43" s="558"/>
      <c r="S43" s="558"/>
      <c r="T43" s="558"/>
      <c r="U43" s="558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553" t="s">
        <v>208</v>
      </c>
      <c r="C44" s="126" t="s">
        <v>207</v>
      </c>
      <c r="D44" s="108">
        <v>5.08</v>
      </c>
      <c r="E44" s="108"/>
      <c r="F44" s="127"/>
      <c r="G44" s="128"/>
      <c r="H44" s="554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562"/>
      <c r="P44" s="562"/>
      <c r="Q44" s="562"/>
      <c r="R44" s="562"/>
      <c r="S44" s="562"/>
      <c r="T44" s="562"/>
      <c r="U44" s="562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553" t="s">
        <v>209</v>
      </c>
      <c r="C45" s="126" t="s">
        <v>194</v>
      </c>
      <c r="D45" s="108">
        <v>5.03</v>
      </c>
      <c r="E45" s="108"/>
      <c r="F45" s="127"/>
      <c r="G45" s="128"/>
      <c r="H45" s="554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558"/>
      <c r="P45" s="558"/>
      <c r="Q45" s="558"/>
      <c r="R45" s="558"/>
      <c r="S45" s="558"/>
      <c r="T45" s="558"/>
      <c r="U45" s="558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553" t="s">
        <v>209</v>
      </c>
      <c r="C46" s="126" t="s">
        <v>179</v>
      </c>
      <c r="D46" s="108">
        <v>5.03</v>
      </c>
      <c r="E46" s="108"/>
      <c r="F46" s="127"/>
      <c r="G46" s="128"/>
      <c r="H46" s="554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558"/>
      <c r="P46" s="558"/>
      <c r="Q46" s="558"/>
      <c r="R46" s="558"/>
      <c r="S46" s="558"/>
      <c r="T46" s="558"/>
      <c r="U46" s="558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553" t="s">
        <v>209</v>
      </c>
      <c r="C47" s="126" t="s">
        <v>195</v>
      </c>
      <c r="D47" s="108">
        <v>5.03</v>
      </c>
      <c r="E47" s="108"/>
      <c r="F47" s="127"/>
      <c r="G47" s="128"/>
      <c r="H47" s="554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558"/>
      <c r="P47" s="558"/>
      <c r="Q47" s="558"/>
      <c r="R47" s="558"/>
      <c r="S47" s="558"/>
      <c r="T47" s="558"/>
      <c r="U47" s="558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553" t="s">
        <v>209</v>
      </c>
      <c r="C48" s="126" t="s">
        <v>204</v>
      </c>
      <c r="D48" s="108">
        <v>5.03</v>
      </c>
      <c r="E48" s="108"/>
      <c r="F48" s="127"/>
      <c r="G48" s="128"/>
      <c r="H48" s="554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558"/>
      <c r="P48" s="558"/>
      <c r="Q48" s="558"/>
      <c r="R48" s="558"/>
      <c r="S48" s="558"/>
      <c r="T48" s="558"/>
      <c r="U48" s="558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553" t="s">
        <v>382</v>
      </c>
      <c r="C49" s="187" t="s">
        <v>383</v>
      </c>
      <c r="D49" s="108">
        <v>5.03</v>
      </c>
      <c r="E49" s="108"/>
      <c r="F49" s="127"/>
      <c r="G49" s="128"/>
      <c r="H49" s="554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558"/>
      <c r="P49" s="558"/>
      <c r="Q49" s="558"/>
      <c r="R49" s="558"/>
      <c r="S49" s="558"/>
      <c r="T49" s="558"/>
      <c r="U49" s="558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553" t="s">
        <v>382</v>
      </c>
      <c r="C50" s="187" t="s">
        <v>384</v>
      </c>
      <c r="D50" s="108">
        <v>5.03</v>
      </c>
      <c r="E50" s="108"/>
      <c r="F50" s="127"/>
      <c r="G50" s="128"/>
      <c r="H50" s="554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558"/>
      <c r="P50" s="558"/>
      <c r="Q50" s="558"/>
      <c r="R50" s="558"/>
      <c r="S50" s="558"/>
      <c r="T50" s="558"/>
      <c r="U50" s="558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553" t="s">
        <v>382</v>
      </c>
      <c r="C51" s="187" t="s">
        <v>389</v>
      </c>
      <c r="D51" s="108">
        <v>5.03</v>
      </c>
      <c r="E51" s="108"/>
      <c r="F51" s="127"/>
      <c r="G51" s="128"/>
      <c r="H51" s="554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558"/>
      <c r="P51" s="558"/>
      <c r="Q51" s="558"/>
      <c r="R51" s="558"/>
      <c r="S51" s="558"/>
      <c r="T51" s="558"/>
      <c r="U51" s="558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553" t="s">
        <v>382</v>
      </c>
      <c r="C52" s="187" t="s">
        <v>391</v>
      </c>
      <c r="D52" s="108">
        <v>5.03</v>
      </c>
      <c r="E52" s="108"/>
      <c r="F52" s="127"/>
      <c r="G52" s="128"/>
      <c r="H52" s="554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558"/>
      <c r="P52" s="558"/>
      <c r="Q52" s="558"/>
      <c r="R52" s="558"/>
      <c r="S52" s="558"/>
      <c r="T52" s="558"/>
      <c r="U52" s="558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553" t="s">
        <v>418</v>
      </c>
      <c r="C53" s="187" t="s">
        <v>364</v>
      </c>
      <c r="D53" s="108">
        <v>5.03</v>
      </c>
      <c r="E53" s="108"/>
      <c r="F53" s="127"/>
      <c r="G53" s="128"/>
      <c r="H53" s="554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558"/>
      <c r="P53" s="558"/>
      <c r="Q53" s="558"/>
      <c r="R53" s="558"/>
      <c r="S53" s="558"/>
      <c r="T53" s="558"/>
      <c r="U53" s="558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553" t="s">
        <v>418</v>
      </c>
      <c r="C54" s="187" t="s">
        <v>365</v>
      </c>
      <c r="D54" s="108">
        <v>5.03</v>
      </c>
      <c r="E54" s="108"/>
      <c r="F54" s="127"/>
      <c r="G54" s="128"/>
      <c r="H54" s="554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558"/>
      <c r="P54" s="558"/>
      <c r="Q54" s="558"/>
      <c r="R54" s="558"/>
      <c r="S54" s="558"/>
      <c r="T54" s="558"/>
      <c r="U54" s="558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553" t="s">
        <v>418</v>
      </c>
      <c r="C55" s="187" t="s">
        <v>366</v>
      </c>
      <c r="D55" s="108">
        <v>5.03</v>
      </c>
      <c r="E55" s="108"/>
      <c r="F55" s="127"/>
      <c r="G55" s="128"/>
      <c r="H55" s="554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558"/>
      <c r="P55" s="558"/>
      <c r="Q55" s="558"/>
      <c r="R55" s="558"/>
      <c r="S55" s="558"/>
      <c r="T55" s="558"/>
      <c r="U55" s="558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553" t="s">
        <v>418</v>
      </c>
      <c r="C56" s="187" t="s">
        <v>367</v>
      </c>
      <c r="D56" s="108">
        <v>5.03</v>
      </c>
      <c r="E56" s="108"/>
      <c r="F56" s="127"/>
      <c r="G56" s="128"/>
      <c r="H56" s="554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558"/>
      <c r="P56" s="558"/>
      <c r="Q56" s="558"/>
      <c r="R56" s="558"/>
      <c r="S56" s="558"/>
      <c r="T56" s="558"/>
      <c r="U56" s="558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554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562"/>
      <c r="P57" s="562"/>
      <c r="Q57" s="562"/>
      <c r="R57" s="562"/>
      <c r="S57" s="562"/>
      <c r="T57" s="562"/>
      <c r="U57" s="562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554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562"/>
      <c r="P58" s="562"/>
      <c r="Q58" s="562"/>
      <c r="R58" s="562"/>
      <c r="S58" s="562"/>
      <c r="T58" s="562"/>
      <c r="U58" s="562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554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562"/>
      <c r="P59" s="562"/>
      <c r="Q59" s="562"/>
      <c r="R59" s="562"/>
      <c r="S59" s="562"/>
      <c r="T59" s="562"/>
      <c r="U59" s="562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554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562"/>
      <c r="P60" s="562"/>
      <c r="Q60" s="562"/>
      <c r="R60" s="562"/>
      <c r="S60" s="562"/>
      <c r="T60" s="562"/>
      <c r="U60" s="562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554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562"/>
      <c r="P61" s="562"/>
      <c r="Q61" s="562"/>
      <c r="R61" s="562"/>
      <c r="S61" s="562"/>
      <c r="T61" s="562"/>
      <c r="U61" s="562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554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562"/>
      <c r="P62" s="562"/>
      <c r="Q62" s="562"/>
      <c r="R62" s="562"/>
      <c r="S62" s="562"/>
      <c r="T62" s="562"/>
      <c r="U62" s="562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554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562"/>
      <c r="P63" s="562"/>
      <c r="Q63" s="562"/>
      <c r="R63" s="562"/>
      <c r="S63" s="562"/>
      <c r="T63" s="562"/>
      <c r="U63" s="562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>
        <v>42723</v>
      </c>
      <c r="G64" s="128">
        <f>61+90*7</f>
        <v>691</v>
      </c>
      <c r="H64" s="554">
        <f t="shared" si="11"/>
        <v>3475.73</v>
      </c>
      <c r="I64" s="129">
        <v>6.5</v>
      </c>
      <c r="J64" s="130">
        <f t="array" ref="J64">IF(ISERROR(G64/I64),"",G64/I64)</f>
        <v>106.30769230769231</v>
      </c>
      <c r="K64" s="131">
        <f t="array" ref="K64">IF(ISERROR(G64/L64),"",G64/L64)</f>
        <v>13.82</v>
      </c>
      <c r="L64" s="129">
        <v>50</v>
      </c>
      <c r="M64" s="109">
        <f t="shared" si="19"/>
        <v>-7.32</v>
      </c>
      <c r="N64" s="130">
        <f t="shared" si="23"/>
        <v>0</v>
      </c>
      <c r="O64" s="562"/>
      <c r="P64" s="562"/>
      <c r="Q64" s="562"/>
      <c r="R64" s="562"/>
      <c r="S64" s="562"/>
      <c r="T64" s="562"/>
      <c r="U64" s="562"/>
      <c r="V64" s="132">
        <f t="shared" si="24"/>
        <v>0</v>
      </c>
      <c r="W64" s="133">
        <f t="shared" si="25"/>
        <v>0</v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554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562"/>
      <c r="P65" s="562"/>
      <c r="Q65" s="562"/>
      <c r="R65" s="562"/>
      <c r="S65" s="562"/>
      <c r="T65" s="562"/>
      <c r="U65" s="562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>
        <v>42723</v>
      </c>
      <c r="G66" s="128">
        <f>90+67</f>
        <v>157</v>
      </c>
      <c r="H66" s="554">
        <f t="shared" si="11"/>
        <v>789.71</v>
      </c>
      <c r="I66" s="129">
        <v>2</v>
      </c>
      <c r="J66" s="130">
        <f t="array" ref="J66">IF(ISERROR(G66/I66),"",G66/I66)</f>
        <v>78.5</v>
      </c>
      <c r="K66" s="131">
        <f t="array" ref="K66">IF(ISERROR(G66/L66),"",G66/L66)</f>
        <v>3.14</v>
      </c>
      <c r="L66" s="129">
        <v>50</v>
      </c>
      <c r="M66" s="109">
        <f t="shared" si="19"/>
        <v>-1.1400000000000001</v>
      </c>
      <c r="N66" s="130">
        <f t="shared" si="23"/>
        <v>0</v>
      </c>
      <c r="O66" s="562"/>
      <c r="P66" s="562"/>
      <c r="Q66" s="562"/>
      <c r="R66" s="562"/>
      <c r="S66" s="562"/>
      <c r="T66" s="562"/>
      <c r="U66" s="562"/>
      <c r="V66" s="132">
        <f t="shared" si="24"/>
        <v>0</v>
      </c>
      <c r="W66" s="133">
        <f t="shared" si="25"/>
        <v>0</v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554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562"/>
      <c r="P67" s="562"/>
      <c r="Q67" s="562"/>
      <c r="R67" s="562"/>
      <c r="S67" s="562"/>
      <c r="T67" s="562"/>
      <c r="U67" s="562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554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562"/>
      <c r="P68" s="562"/>
      <c r="Q68" s="562"/>
      <c r="R68" s="562"/>
      <c r="S68" s="562"/>
      <c r="T68" s="562"/>
      <c r="U68" s="562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554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562"/>
      <c r="P69" s="562"/>
      <c r="Q69" s="562"/>
      <c r="R69" s="562"/>
      <c r="S69" s="562"/>
      <c r="T69" s="562"/>
      <c r="U69" s="562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554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562"/>
      <c r="P70" s="562"/>
      <c r="Q70" s="562"/>
      <c r="R70" s="562"/>
      <c r="S70" s="562"/>
      <c r="T70" s="562"/>
      <c r="U70" s="562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554">
        <f t="shared" si="11"/>
        <v>0</v>
      </c>
      <c r="I71" s="129"/>
      <c r="J71" s="130"/>
      <c r="K71" s="131"/>
      <c r="L71" s="129"/>
      <c r="M71" s="109"/>
      <c r="N71" s="130"/>
      <c r="O71" s="562"/>
      <c r="P71" s="562"/>
      <c r="Q71" s="562"/>
      <c r="R71" s="562"/>
      <c r="S71" s="562"/>
      <c r="T71" s="562"/>
      <c r="U71" s="562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554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562"/>
      <c r="P72" s="562"/>
      <c r="Q72" s="562"/>
      <c r="R72" s="562"/>
      <c r="S72" s="562"/>
      <c r="T72" s="562"/>
      <c r="U72" s="562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554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562"/>
      <c r="P73" s="562"/>
      <c r="Q73" s="562"/>
      <c r="R73" s="562"/>
      <c r="S73" s="562"/>
      <c r="T73" s="562"/>
      <c r="U73" s="562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554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562"/>
      <c r="P74" s="562"/>
      <c r="Q74" s="562"/>
      <c r="R74" s="562"/>
      <c r="S74" s="562"/>
      <c r="T74" s="562"/>
      <c r="U74" s="562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554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562"/>
      <c r="P75" s="562"/>
      <c r="Q75" s="562"/>
      <c r="R75" s="562"/>
      <c r="S75" s="562"/>
      <c r="T75" s="562"/>
      <c r="U75" s="562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554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562"/>
      <c r="P76" s="562"/>
      <c r="Q76" s="562"/>
      <c r="R76" s="562"/>
      <c r="S76" s="562"/>
      <c r="T76" s="562"/>
      <c r="U76" s="562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554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562"/>
      <c r="P77" s="562"/>
      <c r="Q77" s="562"/>
      <c r="R77" s="562"/>
      <c r="S77" s="562"/>
      <c r="T77" s="562"/>
      <c r="U77" s="562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554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562"/>
      <c r="P78" s="562"/>
      <c r="Q78" s="562"/>
      <c r="R78" s="562"/>
      <c r="S78" s="562"/>
      <c r="T78" s="562"/>
      <c r="U78" s="562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554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562"/>
      <c r="P79" s="562"/>
      <c r="Q79" s="562"/>
      <c r="R79" s="562"/>
      <c r="S79" s="562"/>
      <c r="T79" s="562"/>
      <c r="U79" s="562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554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562"/>
      <c r="P80" s="562"/>
      <c r="Q80" s="562"/>
      <c r="R80" s="562"/>
      <c r="S80" s="562"/>
      <c r="T80" s="562"/>
      <c r="U80" s="562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554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562"/>
      <c r="P81" s="562"/>
      <c r="Q81" s="562"/>
      <c r="R81" s="562"/>
      <c r="S81" s="562"/>
      <c r="T81" s="562"/>
      <c r="U81" s="562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554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562"/>
      <c r="P82" s="562"/>
      <c r="Q82" s="562"/>
      <c r="R82" s="562"/>
      <c r="S82" s="562"/>
      <c r="T82" s="562"/>
      <c r="U82" s="562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554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562"/>
      <c r="P83" s="562"/>
      <c r="Q83" s="562"/>
      <c r="R83" s="562"/>
      <c r="S83" s="562"/>
      <c r="T83" s="562"/>
      <c r="U83" s="562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554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562"/>
      <c r="P84" s="562"/>
      <c r="Q84" s="562"/>
      <c r="R84" s="562"/>
      <c r="S84" s="562"/>
      <c r="T84" s="562"/>
      <c r="U84" s="562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554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562"/>
      <c r="P85" s="562"/>
      <c r="Q85" s="562"/>
      <c r="R85" s="562"/>
      <c r="S85" s="562"/>
      <c r="T85" s="562"/>
      <c r="U85" s="562"/>
      <c r="V85" s="132"/>
      <c r="W85" s="133"/>
      <c r="X85" s="132"/>
      <c r="Y85" s="132"/>
      <c r="Z85" s="132"/>
      <c r="AA85" s="132"/>
    </row>
    <row r="86" spans="1:27" ht="20.100000000000001" customHeight="1">
      <c r="A86" s="641" t="s">
        <v>216</v>
      </c>
      <c r="B86" s="641"/>
      <c r="C86" s="563" t="s">
        <v>202</v>
      </c>
      <c r="D86" s="143"/>
      <c r="E86" s="143"/>
      <c r="F86" s="144"/>
      <c r="G86" s="145">
        <f>SUM(G29:G85)</f>
        <v>2591</v>
      </c>
      <c r="H86" s="146">
        <f>SUM(H29:H85)</f>
        <v>13078.43</v>
      </c>
      <c r="I86" s="146">
        <f>SUM(I29:I85)</f>
        <v>63.5</v>
      </c>
      <c r="J86" s="130">
        <f t="array" ref="J86">IF(ISERROR(G86/I86),"",G86/I86)</f>
        <v>40.803149606299215</v>
      </c>
      <c r="K86" s="146">
        <f>SUM(K29:K85)</f>
        <v>76.42611721611722</v>
      </c>
      <c r="L86" s="147"/>
      <c r="M86" s="150">
        <f t="shared" ref="M86:V86" si="34">SUM(M29:M85)</f>
        <v>-12.926117216117218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553" t="s">
        <v>217</v>
      </c>
      <c r="C87" s="126" t="s">
        <v>179</v>
      </c>
      <c r="D87" s="108">
        <v>5.03</v>
      </c>
      <c r="E87" s="108"/>
      <c r="F87" s="127"/>
      <c r="G87" s="128"/>
      <c r="H87" s="554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562"/>
      <c r="P87" s="562"/>
      <c r="Q87" s="562"/>
      <c r="R87" s="562"/>
      <c r="S87" s="562"/>
      <c r="T87" s="562"/>
      <c r="U87" s="562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553" t="s">
        <v>217</v>
      </c>
      <c r="C88" s="126" t="s">
        <v>186</v>
      </c>
      <c r="D88" s="108">
        <v>5.03</v>
      </c>
      <c r="E88" s="108"/>
      <c r="F88" s="127"/>
      <c r="G88" s="128"/>
      <c r="H88" s="554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562"/>
      <c r="P88" s="562"/>
      <c r="Q88" s="562"/>
      <c r="R88" s="562"/>
      <c r="S88" s="562"/>
      <c r="T88" s="562"/>
      <c r="U88" s="562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553" t="s">
        <v>217</v>
      </c>
      <c r="C89" s="126" t="s">
        <v>204</v>
      </c>
      <c r="D89" s="108">
        <v>5.03</v>
      </c>
      <c r="E89" s="108"/>
      <c r="F89" s="127"/>
      <c r="G89" s="128"/>
      <c r="H89" s="554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562"/>
      <c r="P89" s="562"/>
      <c r="Q89" s="562"/>
      <c r="R89" s="562"/>
      <c r="S89" s="562"/>
      <c r="T89" s="562"/>
      <c r="U89" s="562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554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562"/>
      <c r="P90" s="562"/>
      <c r="Q90" s="562"/>
      <c r="R90" s="562"/>
      <c r="S90" s="562"/>
      <c r="T90" s="562"/>
      <c r="U90" s="562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>
        <v>42724</v>
      </c>
      <c r="G91" s="128">
        <f>74+64</f>
        <v>138</v>
      </c>
      <c r="H91" s="554">
        <f t="shared" si="36"/>
        <v>694.14</v>
      </c>
      <c r="I91" s="129">
        <f>7*3</f>
        <v>21</v>
      </c>
      <c r="J91" s="130">
        <f t="array" ref="J91">IF(ISERROR(G91/I91),"",G91/I91)</f>
        <v>6.5714285714285712</v>
      </c>
      <c r="K91" s="131">
        <f t="array" ref="K91">IF(ISERROR(G91/L91),"",G91/L91)</f>
        <v>14.838709677419354</v>
      </c>
      <c r="L91" s="129">
        <v>9.3000000000000007</v>
      </c>
      <c r="M91" s="109">
        <f t="shared" si="37"/>
        <v>6.1612903225806459</v>
      </c>
      <c r="N91" s="130">
        <f t="shared" si="38"/>
        <v>0</v>
      </c>
      <c r="O91" s="562"/>
      <c r="P91" s="562"/>
      <c r="Q91" s="562"/>
      <c r="R91" s="562"/>
      <c r="S91" s="562"/>
      <c r="T91" s="562"/>
      <c r="U91" s="562"/>
      <c r="V91" s="132">
        <f t="shared" si="39"/>
        <v>0</v>
      </c>
      <c r="W91" s="133">
        <f t="shared" si="35"/>
        <v>0</v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554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562"/>
      <c r="P92" s="562"/>
      <c r="Q92" s="562"/>
      <c r="R92" s="562"/>
      <c r="S92" s="562"/>
      <c r="T92" s="562"/>
      <c r="U92" s="562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554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562"/>
      <c r="P93" s="562"/>
      <c r="Q93" s="562"/>
      <c r="R93" s="562"/>
      <c r="S93" s="562"/>
      <c r="T93" s="562"/>
      <c r="U93" s="562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554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562"/>
      <c r="P94" s="562"/>
      <c r="Q94" s="562"/>
      <c r="R94" s="562"/>
      <c r="S94" s="562"/>
      <c r="T94" s="562"/>
      <c r="U94" s="562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554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562"/>
      <c r="P95" s="562"/>
      <c r="Q95" s="562"/>
      <c r="R95" s="562"/>
      <c r="S95" s="562"/>
      <c r="T95" s="562"/>
      <c r="U95" s="562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554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562"/>
      <c r="P96" s="562"/>
      <c r="Q96" s="562"/>
      <c r="R96" s="562"/>
      <c r="S96" s="562"/>
      <c r="T96" s="562"/>
      <c r="U96" s="562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554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562"/>
      <c r="P97" s="562"/>
      <c r="Q97" s="562"/>
      <c r="R97" s="562"/>
      <c r="S97" s="562"/>
      <c r="T97" s="562"/>
      <c r="U97" s="562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554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562"/>
      <c r="P98" s="562"/>
      <c r="Q98" s="562"/>
      <c r="R98" s="562"/>
      <c r="S98" s="562"/>
      <c r="T98" s="562"/>
      <c r="U98" s="562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554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562"/>
      <c r="P99" s="562"/>
      <c r="Q99" s="562"/>
      <c r="R99" s="562"/>
      <c r="S99" s="562"/>
      <c r="T99" s="562"/>
      <c r="U99" s="562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554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562"/>
      <c r="P100" s="562"/>
      <c r="Q100" s="562"/>
      <c r="R100" s="562"/>
      <c r="S100" s="562"/>
      <c r="T100" s="562"/>
      <c r="U100" s="562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554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562"/>
      <c r="P101" s="562"/>
      <c r="Q101" s="562"/>
      <c r="R101" s="562"/>
      <c r="S101" s="562"/>
      <c r="T101" s="562"/>
      <c r="U101" s="562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554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562"/>
      <c r="P102" s="562"/>
      <c r="Q102" s="562"/>
      <c r="R102" s="562"/>
      <c r="S102" s="562"/>
      <c r="T102" s="562"/>
      <c r="U102" s="562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553" t="s">
        <v>222</v>
      </c>
      <c r="C103" s="126" t="s">
        <v>181</v>
      </c>
      <c r="D103" s="108">
        <v>10.199999999999999</v>
      </c>
      <c r="E103" s="108"/>
      <c r="F103" s="127"/>
      <c r="G103" s="128"/>
      <c r="H103" s="554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562"/>
      <c r="P103" s="562"/>
      <c r="Q103" s="562"/>
      <c r="R103" s="562"/>
      <c r="S103" s="562"/>
      <c r="T103" s="562"/>
      <c r="U103" s="562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553" t="s">
        <v>222</v>
      </c>
      <c r="C104" s="126" t="s">
        <v>179</v>
      </c>
      <c r="D104" s="108">
        <v>10.199999999999999</v>
      </c>
      <c r="E104" s="108"/>
      <c r="F104" s="127"/>
      <c r="G104" s="128"/>
      <c r="H104" s="554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562"/>
      <c r="P104" s="562"/>
      <c r="Q104" s="562"/>
      <c r="R104" s="562"/>
      <c r="S104" s="562"/>
      <c r="T104" s="562"/>
      <c r="U104" s="562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553" t="s">
        <v>222</v>
      </c>
      <c r="C105" s="126" t="s">
        <v>221</v>
      </c>
      <c r="D105" s="108">
        <v>10.199999999999999</v>
      </c>
      <c r="E105" s="108"/>
      <c r="F105" s="127"/>
      <c r="G105" s="128"/>
      <c r="H105" s="554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562"/>
      <c r="P105" s="562"/>
      <c r="Q105" s="562"/>
      <c r="R105" s="562"/>
      <c r="S105" s="562"/>
      <c r="T105" s="562"/>
      <c r="U105" s="562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553" t="s">
        <v>222</v>
      </c>
      <c r="C106" s="126" t="s">
        <v>186</v>
      </c>
      <c r="D106" s="108">
        <v>10.199999999999999</v>
      </c>
      <c r="E106" s="108"/>
      <c r="F106" s="127"/>
      <c r="G106" s="128"/>
      <c r="H106" s="554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562"/>
      <c r="P106" s="562"/>
      <c r="Q106" s="562"/>
      <c r="R106" s="562"/>
      <c r="S106" s="562"/>
      <c r="T106" s="562"/>
      <c r="U106" s="562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553" t="s">
        <v>393</v>
      </c>
      <c r="C107" s="187" t="s">
        <v>395</v>
      </c>
      <c r="D107" s="108">
        <v>5</v>
      </c>
      <c r="E107" s="108"/>
      <c r="F107" s="127"/>
      <c r="G107" s="128"/>
      <c r="H107" s="554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562"/>
      <c r="P107" s="562"/>
      <c r="Q107" s="562"/>
      <c r="R107" s="562"/>
      <c r="S107" s="562"/>
      <c r="T107" s="562"/>
      <c r="U107" s="562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553" t="s">
        <v>393</v>
      </c>
      <c r="C108" s="187" t="s">
        <v>402</v>
      </c>
      <c r="D108" s="108">
        <v>5</v>
      </c>
      <c r="E108" s="108"/>
      <c r="F108" s="127"/>
      <c r="G108" s="128"/>
      <c r="H108" s="554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562"/>
      <c r="P108" s="562"/>
      <c r="Q108" s="562"/>
      <c r="R108" s="562"/>
      <c r="S108" s="562"/>
      <c r="T108" s="562"/>
      <c r="U108" s="562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553" t="s">
        <v>404</v>
      </c>
      <c r="C109" s="187" t="s">
        <v>405</v>
      </c>
      <c r="D109" s="108">
        <v>5</v>
      </c>
      <c r="E109" s="108"/>
      <c r="F109" s="127"/>
      <c r="G109" s="128"/>
      <c r="H109" s="554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562"/>
      <c r="P109" s="562"/>
      <c r="Q109" s="562"/>
      <c r="R109" s="562"/>
      <c r="S109" s="562"/>
      <c r="T109" s="562"/>
      <c r="U109" s="562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553" t="s">
        <v>492</v>
      </c>
      <c r="C110" s="187" t="s">
        <v>372</v>
      </c>
      <c r="D110" s="108">
        <v>5</v>
      </c>
      <c r="E110" s="108"/>
      <c r="F110" s="127"/>
      <c r="G110" s="128"/>
      <c r="H110" s="554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562"/>
      <c r="P110" s="562"/>
      <c r="Q110" s="562"/>
      <c r="R110" s="562"/>
      <c r="S110" s="562"/>
      <c r="T110" s="562"/>
      <c r="U110" s="562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553" t="s">
        <v>343</v>
      </c>
      <c r="C111" s="126" t="s">
        <v>345</v>
      </c>
      <c r="D111" s="108">
        <v>5</v>
      </c>
      <c r="E111" s="108"/>
      <c r="F111" s="127"/>
      <c r="G111" s="128"/>
      <c r="H111" s="554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562"/>
      <c r="P111" s="562"/>
      <c r="Q111" s="562"/>
      <c r="R111" s="562"/>
      <c r="S111" s="562"/>
      <c r="T111" s="562"/>
      <c r="U111" s="562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553" t="s">
        <v>343</v>
      </c>
      <c r="C112" s="126" t="s">
        <v>347</v>
      </c>
      <c r="D112" s="108">
        <v>5</v>
      </c>
      <c r="E112" s="108"/>
      <c r="F112" s="127"/>
      <c r="G112" s="128"/>
      <c r="H112" s="554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562"/>
      <c r="P112" s="562"/>
      <c r="Q112" s="562"/>
      <c r="R112" s="562"/>
      <c r="S112" s="562"/>
      <c r="T112" s="562"/>
      <c r="U112" s="562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554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562"/>
      <c r="P113" s="562"/>
      <c r="Q113" s="562"/>
      <c r="R113" s="562"/>
      <c r="S113" s="562"/>
      <c r="T113" s="562"/>
      <c r="U113" s="562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554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562"/>
      <c r="P114" s="562"/>
      <c r="Q114" s="562"/>
      <c r="R114" s="562"/>
      <c r="S114" s="562"/>
      <c r="T114" s="562"/>
      <c r="U114" s="562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554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562"/>
      <c r="P115" s="562"/>
      <c r="Q115" s="562"/>
      <c r="R115" s="562"/>
      <c r="S115" s="562"/>
      <c r="T115" s="562"/>
      <c r="U115" s="562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554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562"/>
      <c r="P116" s="562"/>
      <c r="Q116" s="562"/>
      <c r="R116" s="562"/>
      <c r="S116" s="562"/>
      <c r="T116" s="562"/>
      <c r="U116" s="562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554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562"/>
      <c r="P117" s="562"/>
      <c r="Q117" s="562"/>
      <c r="R117" s="562"/>
      <c r="S117" s="562"/>
      <c r="T117" s="562"/>
      <c r="U117" s="562"/>
      <c r="V117" s="132"/>
      <c r="W117" s="133"/>
      <c r="X117" s="132"/>
      <c r="Y117" s="132"/>
      <c r="Z117" s="132"/>
      <c r="AA117" s="132"/>
    </row>
    <row r="118" spans="1:27" ht="20.10000000000000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>
        <v>42723</v>
      </c>
      <c r="G118" s="128">
        <f>76+100+64+100</f>
        <v>340</v>
      </c>
      <c r="H118" s="554">
        <f t="shared" si="36"/>
        <v>1723.8000000000002</v>
      </c>
      <c r="I118" s="129">
        <f>7.5*4+4*3</f>
        <v>42</v>
      </c>
      <c r="J118" s="130">
        <f t="array" ref="J118">IF(ISERROR(G118/I118),"",G118/I118)</f>
        <v>8.0952380952380949</v>
      </c>
      <c r="K118" s="131">
        <f t="array" ref="K118">IF(ISERROR(G118/L118),"",G118/L118)</f>
        <v>37.777777777777779</v>
      </c>
      <c r="L118" s="129">
        <v>9</v>
      </c>
      <c r="M118" s="109">
        <f t="shared" ref="M118:M120" si="46">IF(ISERROR(I118-K118),"",I118-K118)</f>
        <v>4.2222222222222214</v>
      </c>
      <c r="N118" s="130">
        <f t="shared" ref="N118:N120" si="47">SUM(O118:U118)</f>
        <v>0</v>
      </c>
      <c r="O118" s="562"/>
      <c r="P118" s="562"/>
      <c r="Q118" s="562"/>
      <c r="R118" s="562"/>
      <c r="S118" s="562"/>
      <c r="T118" s="562"/>
      <c r="U118" s="562"/>
      <c r="V118" s="132">
        <f t="shared" ref="V118:V120" si="48">SUM(X118:AA118)</f>
        <v>0</v>
      </c>
      <c r="W118" s="133">
        <f t="shared" ref="W118:W142" si="49">IF(ISERROR(V118/G118),"",V118/G118)</f>
        <v>0</v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554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562"/>
      <c r="P119" s="562"/>
      <c r="Q119" s="562"/>
      <c r="R119" s="562"/>
      <c r="S119" s="562"/>
      <c r="T119" s="562"/>
      <c r="U119" s="562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554">
        <f t="shared" si="36"/>
        <v>0</v>
      </c>
      <c r="I120" s="129"/>
      <c r="J120" s="130" t="str">
        <f t="array" ref="J120">IF(ISERROR(G120/I120),"",G120/I120)</f>
        <v/>
      </c>
      <c r="K120" s="554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562"/>
      <c r="P120" s="562"/>
      <c r="Q120" s="562"/>
      <c r="R120" s="562"/>
      <c r="S120" s="562"/>
      <c r="T120" s="562"/>
      <c r="U120" s="562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30" t="s">
        <v>224</v>
      </c>
      <c r="B121" s="631"/>
      <c r="C121" s="563" t="s">
        <v>202</v>
      </c>
      <c r="D121" s="143"/>
      <c r="E121" s="143"/>
      <c r="F121" s="144"/>
      <c r="G121" s="145">
        <f>SUM(G87:G120)</f>
        <v>478</v>
      </c>
      <c r="H121" s="146">
        <f>SUM(H87:H120)</f>
        <v>2417.94</v>
      </c>
      <c r="I121" s="146">
        <f>SUM(I87:I120)</f>
        <v>63</v>
      </c>
      <c r="J121" s="130">
        <f t="array" ref="J121">IF(ISERROR(G121/I121),"",G121/I121)</f>
        <v>7.587301587301587</v>
      </c>
      <c r="K121" s="146">
        <f>SUM(K87:K120)</f>
        <v>52.616487455197131</v>
      </c>
      <c r="L121" s="147"/>
      <c r="M121" s="150">
        <f t="shared" ref="M121:V121" si="50">SUM(M87:M120)</f>
        <v>10.383512544802867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554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562"/>
      <c r="P122" s="562"/>
      <c r="Q122" s="562"/>
      <c r="R122" s="562"/>
      <c r="S122" s="562"/>
      <c r="T122" s="562"/>
      <c r="U122" s="562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554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562"/>
      <c r="P123" s="562"/>
      <c r="Q123" s="562"/>
      <c r="R123" s="562"/>
      <c r="S123" s="562"/>
      <c r="T123" s="562"/>
      <c r="U123" s="562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554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562"/>
      <c r="P124" s="562"/>
      <c r="Q124" s="562"/>
      <c r="R124" s="562"/>
      <c r="S124" s="562"/>
      <c r="T124" s="562"/>
      <c r="U124" s="562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554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562"/>
      <c r="P125" s="562"/>
      <c r="Q125" s="562"/>
      <c r="R125" s="562"/>
      <c r="S125" s="562"/>
      <c r="T125" s="562"/>
      <c r="U125" s="562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559" t="s">
        <v>203</v>
      </c>
      <c r="D126" s="108">
        <v>5.03</v>
      </c>
      <c r="E126" s="108"/>
      <c r="F126" s="127"/>
      <c r="G126" s="128"/>
      <c r="H126" s="554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562"/>
      <c r="P126" s="562"/>
      <c r="Q126" s="562"/>
      <c r="R126" s="562"/>
      <c r="S126" s="562"/>
      <c r="T126" s="562"/>
      <c r="U126" s="562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554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562"/>
      <c r="P127" s="562"/>
      <c r="Q127" s="562"/>
      <c r="R127" s="562"/>
      <c r="S127" s="562"/>
      <c r="T127" s="562"/>
      <c r="U127" s="562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554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562"/>
      <c r="P128" s="562"/>
      <c r="Q128" s="562"/>
      <c r="R128" s="562"/>
      <c r="S128" s="562"/>
      <c r="T128" s="562"/>
      <c r="U128" s="562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559" t="s">
        <v>228</v>
      </c>
      <c r="D129" s="108">
        <v>5.03</v>
      </c>
      <c r="E129" s="108"/>
      <c r="F129" s="127"/>
      <c r="G129" s="128"/>
      <c r="H129" s="554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562"/>
      <c r="P129" s="562"/>
      <c r="Q129" s="562"/>
      <c r="R129" s="562"/>
      <c r="S129" s="562"/>
      <c r="T129" s="562"/>
      <c r="U129" s="562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559" t="s">
        <v>212</v>
      </c>
      <c r="D130" s="108">
        <v>5.03</v>
      </c>
      <c r="E130" s="108"/>
      <c r="F130" s="127"/>
      <c r="G130" s="128"/>
      <c r="H130" s="554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562"/>
      <c r="P130" s="562"/>
      <c r="Q130" s="562"/>
      <c r="R130" s="562"/>
      <c r="S130" s="562"/>
      <c r="T130" s="562"/>
      <c r="U130" s="562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559" t="s">
        <v>203</v>
      </c>
      <c r="D131" s="108">
        <v>5.03</v>
      </c>
      <c r="E131" s="108"/>
      <c r="F131" s="127"/>
      <c r="G131" s="128"/>
      <c r="H131" s="554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562"/>
      <c r="P131" s="562"/>
      <c r="Q131" s="562"/>
      <c r="R131" s="562"/>
      <c r="S131" s="562"/>
      <c r="T131" s="562"/>
      <c r="U131" s="562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559" t="s">
        <v>186</v>
      </c>
      <c r="D132" s="108">
        <v>5.03</v>
      </c>
      <c r="E132" s="108"/>
      <c r="F132" s="127"/>
      <c r="G132" s="128"/>
      <c r="H132" s="554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562"/>
      <c r="P132" s="562"/>
      <c r="Q132" s="562"/>
      <c r="R132" s="562"/>
      <c r="S132" s="562"/>
      <c r="T132" s="562"/>
      <c r="U132" s="562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559" t="s">
        <v>228</v>
      </c>
      <c r="D133" s="108">
        <v>5.03</v>
      </c>
      <c r="E133" s="108"/>
      <c r="F133" s="127"/>
      <c r="G133" s="128"/>
      <c r="H133" s="554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562"/>
      <c r="P133" s="562"/>
      <c r="Q133" s="562"/>
      <c r="R133" s="562"/>
      <c r="S133" s="562"/>
      <c r="T133" s="562"/>
      <c r="U133" s="562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559" t="s">
        <v>199</v>
      </c>
      <c r="D134" s="108">
        <v>5.03</v>
      </c>
      <c r="E134" s="108"/>
      <c r="F134" s="127"/>
      <c r="G134" s="128"/>
      <c r="H134" s="554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562"/>
      <c r="P134" s="562"/>
      <c r="Q134" s="562"/>
      <c r="R134" s="562"/>
      <c r="S134" s="562"/>
      <c r="T134" s="562"/>
      <c r="U134" s="562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554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562"/>
      <c r="P135" s="562"/>
      <c r="Q135" s="562"/>
      <c r="R135" s="562"/>
      <c r="S135" s="562"/>
      <c r="T135" s="562"/>
      <c r="U135" s="562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554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562"/>
      <c r="P136" s="562"/>
      <c r="Q136" s="562"/>
      <c r="R136" s="562"/>
      <c r="S136" s="562"/>
      <c r="T136" s="562"/>
      <c r="U136" s="562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630" t="s">
        <v>231</v>
      </c>
      <c r="B137" s="631"/>
      <c r="C137" s="563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554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562"/>
      <c r="P138" s="562"/>
      <c r="Q138" s="562"/>
      <c r="R138" s="562"/>
      <c r="S138" s="562"/>
      <c r="T138" s="562"/>
      <c r="U138" s="562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554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562"/>
      <c r="P139" s="562"/>
      <c r="Q139" s="562"/>
      <c r="R139" s="562"/>
      <c r="S139" s="562"/>
      <c r="T139" s="562"/>
      <c r="U139" s="562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554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562"/>
      <c r="P140" s="562"/>
      <c r="Q140" s="562"/>
      <c r="R140" s="562"/>
      <c r="S140" s="562"/>
      <c r="T140" s="562"/>
      <c r="U140" s="562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554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562"/>
      <c r="P141" s="562"/>
      <c r="Q141" s="562"/>
      <c r="R141" s="562"/>
      <c r="S141" s="562"/>
      <c r="T141" s="562"/>
      <c r="U141" s="562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554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562"/>
      <c r="P142" s="562"/>
      <c r="Q142" s="562"/>
      <c r="R142" s="562"/>
      <c r="S142" s="562"/>
      <c r="T142" s="562"/>
      <c r="U142" s="562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554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562"/>
      <c r="P143" s="562"/>
      <c r="Q143" s="562"/>
      <c r="R143" s="562"/>
      <c r="S143" s="562"/>
      <c r="T143" s="562"/>
      <c r="U143" s="562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554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562"/>
      <c r="P144" s="562"/>
      <c r="Q144" s="562"/>
      <c r="R144" s="562"/>
      <c r="S144" s="562"/>
      <c r="T144" s="562"/>
      <c r="U144" s="562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30040021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554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562"/>
      <c r="P145" s="562"/>
      <c r="Q145" s="562"/>
      <c r="R145" s="562"/>
      <c r="S145" s="562"/>
      <c r="T145" s="562"/>
      <c r="U145" s="562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554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562"/>
      <c r="P146" s="562"/>
      <c r="Q146" s="562"/>
      <c r="R146" s="562"/>
      <c r="S146" s="562"/>
      <c r="T146" s="562"/>
      <c r="U146" s="562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hidden="1" customHeight="1">
      <c r="A147" s="630" t="s">
        <v>234</v>
      </c>
      <c r="B147" s="631"/>
      <c r="C147" s="563" t="s">
        <v>202</v>
      </c>
      <c r="D147" s="143"/>
      <c r="E147" s="143"/>
      <c r="F147" s="144"/>
      <c r="G147" s="145">
        <f>SUM(G138:G146)</f>
        <v>0</v>
      </c>
      <c r="H147" s="146">
        <f>SUM(H138:H146)</f>
        <v>0</v>
      </c>
      <c r="I147" s="146">
        <f>SUM(I138:I146)</f>
        <v>0</v>
      </c>
      <c r="J147" s="130" t="str">
        <f t="array" ref="J147">IF(ISERROR(G147/I147),"",G147/I147)</f>
        <v/>
      </c>
      <c r="K147" s="146">
        <f>SUM(K138:K146)</f>
        <v>0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 t="str">
        <f t="shared" si="62"/>
        <v/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560"/>
      <c r="D148" s="108">
        <v>3.65</v>
      </c>
      <c r="E148" s="108"/>
      <c r="F148" s="153"/>
      <c r="G148" s="128"/>
      <c r="H148" s="554">
        <f t="shared" ref="H148:H161" si="63">D148*G148</f>
        <v>0</v>
      </c>
      <c r="I148" s="129"/>
      <c r="J148" s="130" t="str">
        <f t="array" ref="J148">IF(ISERROR(G148/I148),"",G148/I148)</f>
        <v/>
      </c>
      <c r="K148" s="554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562"/>
      <c r="P148" s="562"/>
      <c r="Q148" s="562"/>
      <c r="R148" s="562"/>
      <c r="S148" s="562"/>
      <c r="T148" s="562"/>
      <c r="U148" s="562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560"/>
      <c r="D149" s="108">
        <v>6.58</v>
      </c>
      <c r="E149" s="108"/>
      <c r="F149" s="127"/>
      <c r="G149" s="128"/>
      <c r="H149" s="554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562"/>
      <c r="P149" s="562"/>
      <c r="Q149" s="562"/>
      <c r="R149" s="562"/>
      <c r="S149" s="562"/>
      <c r="T149" s="562"/>
      <c r="U149" s="562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560"/>
      <c r="D150" s="108">
        <v>7.8</v>
      </c>
      <c r="E150" s="108"/>
      <c r="F150" s="127"/>
      <c r="G150" s="128"/>
      <c r="H150" s="554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562"/>
      <c r="P150" s="562"/>
      <c r="Q150" s="562"/>
      <c r="R150" s="562"/>
      <c r="S150" s="562"/>
      <c r="T150" s="562"/>
      <c r="U150" s="562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560"/>
      <c r="D151" s="108">
        <v>4.4000000000000004</v>
      </c>
      <c r="E151" s="108"/>
      <c r="F151" s="127"/>
      <c r="G151" s="128"/>
      <c r="H151" s="554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562"/>
      <c r="P151" s="562"/>
      <c r="Q151" s="562"/>
      <c r="R151" s="562"/>
      <c r="S151" s="562"/>
      <c r="T151" s="562"/>
      <c r="U151" s="562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554">
        <f t="shared" si="63"/>
        <v>0</v>
      </c>
      <c r="I152" s="129"/>
      <c r="J152" s="130"/>
      <c r="K152" s="131"/>
      <c r="L152" s="129">
        <v>6</v>
      </c>
      <c r="M152" s="109"/>
      <c r="N152" s="130"/>
      <c r="O152" s="562"/>
      <c r="P152" s="562"/>
      <c r="Q152" s="562"/>
      <c r="R152" s="562"/>
      <c r="S152" s="562"/>
      <c r="T152" s="562"/>
      <c r="U152" s="562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560" t="s">
        <v>239</v>
      </c>
      <c r="C153" s="560" t="s">
        <v>179</v>
      </c>
      <c r="D153" s="108">
        <v>6.04</v>
      </c>
      <c r="E153" s="108"/>
      <c r="F153" s="127"/>
      <c r="G153" s="128"/>
      <c r="H153" s="554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562"/>
      <c r="P153" s="562"/>
      <c r="Q153" s="562"/>
      <c r="R153" s="562"/>
      <c r="S153" s="562"/>
      <c r="T153" s="562"/>
      <c r="U153" s="562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560" t="s">
        <v>239</v>
      </c>
      <c r="C154" s="560" t="s">
        <v>186</v>
      </c>
      <c r="D154" s="108">
        <v>6.04</v>
      </c>
      <c r="E154" s="108"/>
      <c r="F154" s="127"/>
      <c r="G154" s="128"/>
      <c r="H154" s="554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562"/>
      <c r="P154" s="562"/>
      <c r="Q154" s="562"/>
      <c r="R154" s="562"/>
      <c r="S154" s="562"/>
      <c r="T154" s="562"/>
      <c r="U154" s="562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560" t="s">
        <v>443</v>
      </c>
      <c r="C155" s="560" t="s">
        <v>179</v>
      </c>
      <c r="D155" s="108">
        <v>6</v>
      </c>
      <c r="E155" s="108"/>
      <c r="F155" s="127"/>
      <c r="G155" s="128"/>
      <c r="H155" s="554">
        <f t="shared" si="63"/>
        <v>0</v>
      </c>
      <c r="I155" s="129"/>
      <c r="J155" s="130"/>
      <c r="K155" s="131"/>
      <c r="L155" s="129"/>
      <c r="M155" s="109"/>
      <c r="N155" s="130"/>
      <c r="O155" s="562"/>
      <c r="P155" s="562"/>
      <c r="Q155" s="562"/>
      <c r="R155" s="562"/>
      <c r="S155" s="562"/>
      <c r="T155" s="562"/>
      <c r="U155" s="562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560" t="s">
        <v>443</v>
      </c>
      <c r="C156" s="560" t="s">
        <v>60</v>
      </c>
      <c r="D156" s="108">
        <v>6</v>
      </c>
      <c r="E156" s="108"/>
      <c r="F156" s="127"/>
      <c r="G156" s="128"/>
      <c r="H156" s="554">
        <f t="shared" si="63"/>
        <v>0</v>
      </c>
      <c r="I156" s="129"/>
      <c r="J156" s="130"/>
      <c r="K156" s="131"/>
      <c r="L156" s="129">
        <v>6</v>
      </c>
      <c r="M156" s="109"/>
      <c r="N156" s="130"/>
      <c r="O156" s="562"/>
      <c r="P156" s="562"/>
      <c r="Q156" s="562"/>
      <c r="R156" s="562"/>
      <c r="S156" s="562"/>
      <c r="T156" s="562"/>
      <c r="U156" s="562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553" t="s">
        <v>240</v>
      </c>
      <c r="C157" s="126"/>
      <c r="D157" s="108">
        <v>7.3</v>
      </c>
      <c r="E157" s="108"/>
      <c r="F157" s="127"/>
      <c r="G157" s="128"/>
      <c r="H157" s="554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562"/>
      <c r="P157" s="562"/>
      <c r="Q157" s="562"/>
      <c r="R157" s="562"/>
      <c r="S157" s="562"/>
      <c r="T157" s="562"/>
      <c r="U157" s="562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553" t="s">
        <v>241</v>
      </c>
      <c r="C158" s="126"/>
      <c r="D158" s="108">
        <f>78*120/1000</f>
        <v>9.36</v>
      </c>
      <c r="E158" s="108"/>
      <c r="F158" s="127"/>
      <c r="G158" s="128"/>
      <c r="H158" s="554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562"/>
      <c r="P158" s="562"/>
      <c r="Q158" s="562"/>
      <c r="R158" s="562"/>
      <c r="S158" s="562"/>
      <c r="T158" s="562"/>
      <c r="U158" s="562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553" t="s">
        <v>242</v>
      </c>
      <c r="C159" s="126"/>
      <c r="D159" s="108">
        <v>4.5</v>
      </c>
      <c r="E159" s="108"/>
      <c r="F159" s="127"/>
      <c r="G159" s="128"/>
      <c r="H159" s="554">
        <f t="shared" si="63"/>
        <v>0</v>
      </c>
      <c r="I159" s="129"/>
      <c r="J159" s="130"/>
      <c r="K159" s="131"/>
      <c r="L159" s="129"/>
      <c r="M159" s="109"/>
      <c r="N159" s="130"/>
      <c r="O159" s="562"/>
      <c r="P159" s="562"/>
      <c r="Q159" s="562"/>
      <c r="R159" s="562"/>
      <c r="S159" s="562"/>
      <c r="T159" s="562"/>
      <c r="U159" s="562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553" t="s">
        <v>243</v>
      </c>
      <c r="C160" s="126"/>
      <c r="D160" s="108">
        <v>4.5</v>
      </c>
      <c r="E160" s="108"/>
      <c r="F160" s="127"/>
      <c r="G160" s="128"/>
      <c r="H160" s="554">
        <f t="shared" si="63"/>
        <v>0</v>
      </c>
      <c r="I160" s="129"/>
      <c r="J160" s="130"/>
      <c r="K160" s="131"/>
      <c r="L160" s="129"/>
      <c r="M160" s="109"/>
      <c r="N160" s="130"/>
      <c r="O160" s="562"/>
      <c r="P160" s="562"/>
      <c r="Q160" s="562"/>
      <c r="R160" s="562"/>
      <c r="S160" s="562"/>
      <c r="T160" s="562"/>
      <c r="U160" s="562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554">
        <f t="shared" si="63"/>
        <v>0</v>
      </c>
      <c r="I161" s="129"/>
      <c r="J161" s="130"/>
      <c r="K161" s="131"/>
      <c r="L161" s="129"/>
      <c r="M161" s="109"/>
      <c r="N161" s="130"/>
      <c r="O161" s="562"/>
      <c r="P161" s="562"/>
      <c r="Q161" s="562"/>
      <c r="R161" s="562"/>
      <c r="S161" s="562"/>
      <c r="T161" s="562"/>
      <c r="U161" s="562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630" t="s">
        <v>244</v>
      </c>
      <c r="B162" s="631"/>
      <c r="C162" s="563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32" t="s">
        <v>246</v>
      </c>
      <c r="B163" s="633"/>
      <c r="C163" s="633"/>
      <c r="D163" s="633"/>
      <c r="E163" s="633"/>
      <c r="F163" s="634"/>
      <c r="G163" s="154">
        <f>SUM(G28,G86,G121,G137,G147,G162)</f>
        <v>3801</v>
      </c>
      <c r="H163" s="154">
        <f>SUM(H28,H86,H121,H137,H147,H162)</f>
        <v>19184.59</v>
      </c>
      <c r="I163" s="154">
        <f>SUM(I28,I86,I121,I137,I147,I162)</f>
        <v>206.5</v>
      </c>
      <c r="J163" s="155">
        <f t="array" ref="J163">IF(ISERROR(G163/I163),"",G163/I163)</f>
        <v>18.406779661016948</v>
      </c>
      <c r="K163" s="154">
        <f>SUM(K28,K86,K121,K137,K147,K162)</f>
        <v>172.1014282007261</v>
      </c>
      <c r="L163" s="155">
        <f>IF(ISERROR(G163/K163),"",G163/K163)</f>
        <v>22.085813230828048</v>
      </c>
      <c r="M163" s="154">
        <f t="shared" ref="M163:AA163" si="76">SUM(M28,M86,M121,M137,M147,M162)</f>
        <v>34.398571799273888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635" t="s">
        <v>476</v>
      </c>
      <c r="B164" s="556" t="s">
        <v>247</v>
      </c>
      <c r="C164" s="638" t="s">
        <v>248</v>
      </c>
      <c r="D164" s="639"/>
      <c r="E164" s="640" t="s">
        <v>249</v>
      </c>
      <c r="F164" s="640"/>
      <c r="G164" s="643" t="s">
        <v>250</v>
      </c>
      <c r="H164" s="643"/>
      <c r="I164" s="640" t="s">
        <v>251</v>
      </c>
      <c r="J164" s="640"/>
      <c r="K164" s="640" t="s">
        <v>252</v>
      </c>
      <c r="L164" s="640"/>
      <c r="M164" s="640" t="s">
        <v>253</v>
      </c>
      <c r="N164" s="640"/>
      <c r="O164" s="640" t="s">
        <v>254</v>
      </c>
      <c r="P164" s="643" t="s">
        <v>255</v>
      </c>
      <c r="Q164" s="643"/>
      <c r="R164" s="643" t="s">
        <v>252</v>
      </c>
      <c r="S164" s="643"/>
      <c r="T164" s="643" t="s">
        <v>256</v>
      </c>
      <c r="U164" s="643"/>
      <c r="V164" s="643" t="s">
        <v>257</v>
      </c>
      <c r="W164" s="643"/>
      <c r="X164" s="643" t="s">
        <v>252</v>
      </c>
      <c r="Y164" s="643"/>
      <c r="Z164" s="643" t="s">
        <v>256</v>
      </c>
      <c r="AA164" s="643"/>
    </row>
    <row r="165" spans="1:27" ht="20.100000000000001" customHeight="1">
      <c r="A165" s="636"/>
      <c r="B165" s="556" t="s">
        <v>258</v>
      </c>
      <c r="C165" s="638">
        <v>1</v>
      </c>
      <c r="D165" s="639"/>
      <c r="E165" s="642">
        <f>C165*11</f>
        <v>11</v>
      </c>
      <c r="F165" s="642"/>
      <c r="G165" s="643">
        <v>1</v>
      </c>
      <c r="H165" s="643"/>
      <c r="I165" s="642">
        <f>G165*11</f>
        <v>11</v>
      </c>
      <c r="J165" s="642"/>
      <c r="K165" s="642">
        <f>E165-I165</f>
        <v>0</v>
      </c>
      <c r="L165" s="642"/>
      <c r="M165" s="644">
        <f>IF(ISERROR(K165/E165),"",K165/E165)</f>
        <v>0</v>
      </c>
      <c r="N165" s="644"/>
      <c r="O165" s="640"/>
      <c r="P165" s="643" t="s">
        <v>201</v>
      </c>
      <c r="Q165" s="643"/>
      <c r="R165" s="645">
        <f>SUM(O28:U28)</f>
        <v>0</v>
      </c>
      <c r="S165" s="645"/>
      <c r="T165" s="646" t="str">
        <f t="array" ref="T165">IF(ISERROR(R165/R172),"",R165/R172)</f>
        <v/>
      </c>
      <c r="U165" s="646"/>
      <c r="V165" s="643" t="s">
        <v>259</v>
      </c>
      <c r="W165" s="643"/>
      <c r="X165" s="647">
        <f>SUM(P27,P85,P120,P136,P146,P160)</f>
        <v>0</v>
      </c>
      <c r="Y165" s="647"/>
      <c r="Z165" s="646" t="str">
        <f t="array" ref="Z165">IF(ISERROR(X165/X172),"",X165/X172)</f>
        <v/>
      </c>
      <c r="AA165" s="646"/>
    </row>
    <row r="166" spans="1:27" ht="20.100000000000001" customHeight="1">
      <c r="A166" s="636"/>
      <c r="B166" s="556" t="s">
        <v>260</v>
      </c>
      <c r="C166" s="638">
        <v>1</v>
      </c>
      <c r="D166" s="639"/>
      <c r="E166" s="642">
        <f>C166*11</f>
        <v>11</v>
      </c>
      <c r="F166" s="642"/>
      <c r="G166" s="643">
        <v>1</v>
      </c>
      <c r="H166" s="643"/>
      <c r="I166" s="642">
        <f>G166*11</f>
        <v>11</v>
      </c>
      <c r="J166" s="642"/>
      <c r="K166" s="642">
        <f>E166-I166</f>
        <v>0</v>
      </c>
      <c r="L166" s="642"/>
      <c r="M166" s="644">
        <f>IF(ISERROR(K166/E166),"",K166/E166)</f>
        <v>0</v>
      </c>
      <c r="N166" s="644"/>
      <c r="O166" s="640"/>
      <c r="P166" s="643" t="s">
        <v>216</v>
      </c>
      <c r="Q166" s="643"/>
      <c r="R166" s="645">
        <f>SUM(O86:U86)</f>
        <v>0</v>
      </c>
      <c r="S166" s="645"/>
      <c r="T166" s="646" t="str">
        <f>IF(ISERROR(R166/R172),"",R166/R172)</f>
        <v/>
      </c>
      <c r="U166" s="646"/>
      <c r="V166" s="643" t="s">
        <v>261</v>
      </c>
      <c r="W166" s="643"/>
      <c r="X166" s="647">
        <f>SUM(P28,P86,P121,P137,P147,P162)</f>
        <v>0</v>
      </c>
      <c r="Y166" s="647"/>
      <c r="Z166" s="646" t="str">
        <f>IF(ISERROR(X166/X172),"",X166/X172)</f>
        <v/>
      </c>
      <c r="AA166" s="646"/>
    </row>
    <row r="167" spans="1:27" ht="20.100000000000001" customHeight="1">
      <c r="A167" s="636"/>
      <c r="B167" s="556" t="s">
        <v>262</v>
      </c>
      <c r="C167" s="638">
        <v>1</v>
      </c>
      <c r="D167" s="639"/>
      <c r="E167" s="642">
        <f>C167*8</f>
        <v>8</v>
      </c>
      <c r="F167" s="642"/>
      <c r="G167" s="643">
        <v>1</v>
      </c>
      <c r="H167" s="643"/>
      <c r="I167" s="642">
        <f>G167*8</f>
        <v>8</v>
      </c>
      <c r="J167" s="642"/>
      <c r="K167" s="642">
        <f>E167-I167</f>
        <v>0</v>
      </c>
      <c r="L167" s="642"/>
      <c r="M167" s="644">
        <f>IF(ISERROR(K167/E167),"",K167/E167)</f>
        <v>0</v>
      </c>
      <c r="N167" s="644"/>
      <c r="O167" s="640"/>
      <c r="P167" s="643" t="s">
        <v>224</v>
      </c>
      <c r="Q167" s="643"/>
      <c r="R167" s="645">
        <f>SUM(O121:U121)</f>
        <v>0</v>
      </c>
      <c r="S167" s="645"/>
      <c r="T167" s="646" t="str">
        <f>IF(ISERROR(R167/R172),"",R167/R172)</f>
        <v/>
      </c>
      <c r="U167" s="646"/>
      <c r="V167" s="643" t="s">
        <v>263</v>
      </c>
      <c r="W167" s="643"/>
      <c r="X167" s="647">
        <f>SUM(P29,P87,P122,P138,P148,P163)</f>
        <v>0</v>
      </c>
      <c r="Y167" s="647"/>
      <c r="Z167" s="646" t="str">
        <f>IF(ISERROR(X167/X172),"",X167/X172)</f>
        <v/>
      </c>
      <c r="AA167" s="646"/>
    </row>
    <row r="168" spans="1:27" ht="20.100000000000001" customHeight="1">
      <c r="A168" s="636"/>
      <c r="B168" s="556" t="s">
        <v>264</v>
      </c>
      <c r="C168" s="638">
        <v>1</v>
      </c>
      <c r="D168" s="639"/>
      <c r="E168" s="642">
        <f>C168*11</f>
        <v>11</v>
      </c>
      <c r="F168" s="642"/>
      <c r="G168" s="643">
        <v>1</v>
      </c>
      <c r="H168" s="643"/>
      <c r="I168" s="642">
        <f>G168*11</f>
        <v>11</v>
      </c>
      <c r="J168" s="642"/>
      <c r="K168" s="642">
        <f>E168-I168</f>
        <v>0</v>
      </c>
      <c r="L168" s="642"/>
      <c r="M168" s="644">
        <f>IF(ISERROR(K168/E168),"",K168/E168)</f>
        <v>0</v>
      </c>
      <c r="N168" s="644"/>
      <c r="O168" s="640"/>
      <c r="P168" s="643" t="s">
        <v>231</v>
      </c>
      <c r="Q168" s="643"/>
      <c r="R168" s="645">
        <f>SUM(O137:U137)</f>
        <v>0</v>
      </c>
      <c r="S168" s="645"/>
      <c r="T168" s="646" t="str">
        <f>IF(ISERROR(R168/R172),"",R168/R172)</f>
        <v/>
      </c>
      <c r="U168" s="646"/>
      <c r="V168" s="643" t="s">
        <v>265</v>
      </c>
      <c r="W168" s="643"/>
      <c r="X168" s="647">
        <f>SUM(P31,P88,P123,P139,P149,P164)</f>
        <v>0</v>
      </c>
      <c r="Y168" s="647"/>
      <c r="Z168" s="646" t="str">
        <f>IF(ISERROR(X168/X172),"",X168/X172)</f>
        <v/>
      </c>
      <c r="AA168" s="646"/>
    </row>
    <row r="169" spans="1:27" ht="20.100000000000001" customHeight="1">
      <c r="A169" s="637"/>
      <c r="B169" s="556" t="s">
        <v>266</v>
      </c>
      <c r="C169" s="648">
        <f>SUM(C165:D168)</f>
        <v>4</v>
      </c>
      <c r="D169" s="649"/>
      <c r="E169" s="642">
        <f>SUM(E165:F168)</f>
        <v>41</v>
      </c>
      <c r="F169" s="642"/>
      <c r="G169" s="643">
        <f>SUM(G165:H168)</f>
        <v>4</v>
      </c>
      <c r="H169" s="643"/>
      <c r="I169" s="642">
        <f>SUM(I165:J168)</f>
        <v>41</v>
      </c>
      <c r="J169" s="642"/>
      <c r="K169" s="642">
        <f>SUM(K165:L168)</f>
        <v>0</v>
      </c>
      <c r="L169" s="642"/>
      <c r="M169" s="644">
        <f>IF(ISERROR(K169/E169),"",K169/E169)</f>
        <v>0</v>
      </c>
      <c r="N169" s="644"/>
      <c r="O169" s="640"/>
      <c r="P169" s="643" t="s">
        <v>234</v>
      </c>
      <c r="Q169" s="643"/>
      <c r="R169" s="645">
        <f>SUM(O147:U147)</f>
        <v>0</v>
      </c>
      <c r="S169" s="645"/>
      <c r="T169" s="646" t="str">
        <f>IF(ISERROR(R169/R172),"",R169/R172)</f>
        <v/>
      </c>
      <c r="U169" s="646"/>
      <c r="V169" s="643" t="s">
        <v>267</v>
      </c>
      <c r="W169" s="643"/>
      <c r="X169" s="647">
        <f>SUM(P32,P89,P124,P140,P150,P165)</f>
        <v>0</v>
      </c>
      <c r="Y169" s="647"/>
      <c r="Z169" s="646" t="str">
        <f>IF(ISERROR(X169/X172),"",X169/X172)</f>
        <v/>
      </c>
      <c r="AA169" s="646"/>
    </row>
    <row r="170" spans="1:27" ht="20.100000000000001" customHeight="1">
      <c r="A170" s="307" t="s">
        <v>477</v>
      </c>
      <c r="B170" s="556">
        <f>G163</f>
        <v>3801</v>
      </c>
      <c r="C170" s="650" t="s">
        <v>269</v>
      </c>
      <c r="D170" s="651"/>
      <c r="E170" s="643">
        <f>H163</f>
        <v>19184.59</v>
      </c>
      <c r="F170" s="643"/>
      <c r="G170" s="643" t="s">
        <v>270</v>
      </c>
      <c r="H170" s="643"/>
      <c r="I170" s="652">
        <f>L163</f>
        <v>22.085813230828048</v>
      </c>
      <c r="J170" s="652"/>
      <c r="K170" s="640" t="s">
        <v>271</v>
      </c>
      <c r="L170" s="640"/>
      <c r="M170" s="652">
        <f>J163</f>
        <v>18.406779661016948</v>
      </c>
      <c r="N170" s="652"/>
      <c r="O170" s="640"/>
      <c r="P170" s="643" t="s">
        <v>244</v>
      </c>
      <c r="Q170" s="643"/>
      <c r="R170" s="645">
        <f>SUM(O162:U162)</f>
        <v>0</v>
      </c>
      <c r="S170" s="645"/>
      <c r="T170" s="646" t="str">
        <f>IF(ISERROR(R170/R172),"",R170/R172)</f>
        <v/>
      </c>
      <c r="U170" s="646"/>
      <c r="V170" s="643" t="s">
        <v>272</v>
      </c>
      <c r="W170" s="643"/>
      <c r="X170" s="647">
        <f>SUM(P33,P90,P125,P141,P151,P166)</f>
        <v>0</v>
      </c>
      <c r="Y170" s="647"/>
      <c r="Z170" s="646" t="str">
        <f>IF(ISERROR(X170/X172),"",X170/X172)</f>
        <v/>
      </c>
      <c r="AA170" s="646"/>
    </row>
    <row r="171" spans="1:27" ht="20.100000000000001" customHeight="1">
      <c r="A171" s="308" t="s">
        <v>478</v>
      </c>
      <c r="B171" s="556">
        <f>I163+C169</f>
        <v>210.5</v>
      </c>
      <c r="C171" s="653" t="s">
        <v>251</v>
      </c>
      <c r="D171" s="654"/>
      <c r="E171" s="655">
        <f>K163+I169</f>
        <v>213.1014282007261</v>
      </c>
      <c r="F171" s="655"/>
      <c r="G171" s="643" t="s">
        <v>274</v>
      </c>
      <c r="H171" s="643"/>
      <c r="I171" s="652">
        <f>B171-E171</f>
        <v>-2.6014282007261045</v>
      </c>
      <c r="J171" s="652"/>
      <c r="K171" s="640" t="s">
        <v>275</v>
      </c>
      <c r="L171" s="640"/>
      <c r="M171" s="644">
        <f>IF(ISERROR(I171/E171),"",I171/E171)</f>
        <v>-1.2207464880412475E-2</v>
      </c>
      <c r="N171" s="644"/>
      <c r="O171" s="640"/>
      <c r="P171" s="643" t="s">
        <v>245</v>
      </c>
      <c r="Q171" s="643"/>
      <c r="R171" s="645"/>
      <c r="S171" s="645"/>
      <c r="T171" s="646" t="str">
        <f>IF(ISERROR(R171/R172),"",R171/R172)</f>
        <v/>
      </c>
      <c r="U171" s="646"/>
      <c r="V171" s="643" t="s">
        <v>264</v>
      </c>
      <c r="W171" s="643"/>
      <c r="X171" s="647"/>
      <c r="Y171" s="647"/>
      <c r="Z171" s="646" t="str">
        <f>IF(ISERROR(X171/X172),"",X171/X172)</f>
        <v/>
      </c>
      <c r="AA171" s="646"/>
    </row>
    <row r="172" spans="1:27" ht="20.100000000000001" customHeight="1">
      <c r="A172" s="308" t="s">
        <v>479</v>
      </c>
      <c r="B172" s="556">
        <f>N163</f>
        <v>0</v>
      </c>
      <c r="C172" s="653" t="s">
        <v>277</v>
      </c>
      <c r="D172" s="654"/>
      <c r="E172" s="646">
        <f>IF(ISERROR(B172/B171),"",B172/B171)</f>
        <v>0</v>
      </c>
      <c r="F172" s="646"/>
      <c r="G172" s="643" t="s">
        <v>278</v>
      </c>
      <c r="H172" s="643"/>
      <c r="I172" s="640">
        <f>V163</f>
        <v>0</v>
      </c>
      <c r="J172" s="640"/>
      <c r="K172" s="640" t="s">
        <v>279</v>
      </c>
      <c r="L172" s="640"/>
      <c r="M172" s="644">
        <f t="array" ref="M172">IF(ISERROR(I172/B170),"",I172/B170)</f>
        <v>0</v>
      </c>
      <c r="N172" s="644"/>
      <c r="O172" s="640"/>
      <c r="P172" s="643" t="s">
        <v>266</v>
      </c>
      <c r="Q172" s="643"/>
      <c r="R172" s="645">
        <f>SUM(R165:S171)</f>
        <v>0</v>
      </c>
      <c r="S172" s="645"/>
      <c r="T172" s="646"/>
      <c r="U172" s="646"/>
      <c r="V172" s="643" t="s">
        <v>266</v>
      </c>
      <c r="W172" s="643"/>
      <c r="X172" s="647">
        <f>SUM(X165:Y171)</f>
        <v>0</v>
      </c>
      <c r="Y172" s="647"/>
      <c r="Z172" s="646"/>
      <c r="AA172" s="646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56" t="s">
        <v>480</v>
      </c>
      <c r="B174" s="659" t="s">
        <v>280</v>
      </c>
      <c r="C174" s="659" t="s">
        <v>281</v>
      </c>
      <c r="D174" s="659" t="s">
        <v>282</v>
      </c>
      <c r="E174" s="662" t="s">
        <v>283</v>
      </c>
      <c r="F174" s="675" t="s">
        <v>284</v>
      </c>
      <c r="G174" s="640" t="s">
        <v>285</v>
      </c>
      <c r="H174" s="640"/>
      <c r="I174" s="659" t="s">
        <v>286</v>
      </c>
      <c r="J174" s="665" t="s">
        <v>271</v>
      </c>
      <c r="K174" s="668" t="s">
        <v>287</v>
      </c>
      <c r="L174" s="659" t="s">
        <v>270</v>
      </c>
      <c r="M174" s="671" t="s">
        <v>288</v>
      </c>
      <c r="N174" s="673" t="s">
        <v>252</v>
      </c>
      <c r="O174" s="640" t="s">
        <v>289</v>
      </c>
      <c r="P174" s="640"/>
      <c r="Q174" s="640"/>
      <c r="R174" s="640"/>
      <c r="S174" s="640"/>
      <c r="T174" s="640"/>
      <c r="U174" s="640"/>
      <c r="V174" s="640" t="s">
        <v>290</v>
      </c>
      <c r="W174" s="673" t="s">
        <v>291</v>
      </c>
      <c r="X174" s="640" t="s">
        <v>292</v>
      </c>
      <c r="Y174" s="640"/>
      <c r="Z174" s="640"/>
      <c r="AA174" s="640"/>
    </row>
    <row r="175" spans="1:27" ht="21.95" customHeight="1">
      <c r="A175" s="657"/>
      <c r="B175" s="660"/>
      <c r="C175" s="660"/>
      <c r="D175" s="660"/>
      <c r="E175" s="663"/>
      <c r="F175" s="676"/>
      <c r="G175" s="640"/>
      <c r="H175" s="640"/>
      <c r="I175" s="660"/>
      <c r="J175" s="666"/>
      <c r="K175" s="669"/>
      <c r="L175" s="660"/>
      <c r="M175" s="672"/>
      <c r="N175" s="673"/>
      <c r="O175" s="640" t="s">
        <v>259</v>
      </c>
      <c r="P175" s="640" t="s">
        <v>261</v>
      </c>
      <c r="Q175" s="640" t="s">
        <v>263</v>
      </c>
      <c r="R175" s="674" t="s">
        <v>265</v>
      </c>
      <c r="S175" s="643" t="s">
        <v>267</v>
      </c>
      <c r="T175" s="640" t="s">
        <v>272</v>
      </c>
      <c r="U175" s="640" t="s">
        <v>264</v>
      </c>
      <c r="V175" s="640"/>
      <c r="W175" s="673"/>
      <c r="X175" s="640" t="s">
        <v>293</v>
      </c>
      <c r="Y175" s="640" t="s">
        <v>294</v>
      </c>
      <c r="Z175" s="640" t="s">
        <v>295</v>
      </c>
      <c r="AA175" s="640" t="s">
        <v>264</v>
      </c>
    </row>
    <row r="176" spans="1:27" ht="21.95" customHeight="1">
      <c r="A176" s="658"/>
      <c r="B176" s="661"/>
      <c r="C176" s="661"/>
      <c r="D176" s="661"/>
      <c r="E176" s="664"/>
      <c r="F176" s="677"/>
      <c r="G176" s="348" t="s">
        <v>532</v>
      </c>
      <c r="H176" s="560" t="s">
        <v>297</v>
      </c>
      <c r="I176" s="661"/>
      <c r="J176" s="667"/>
      <c r="K176" s="670"/>
      <c r="L176" s="661"/>
      <c r="M176" s="672"/>
      <c r="N176" s="673"/>
      <c r="O176" s="640"/>
      <c r="P176" s="640"/>
      <c r="Q176" s="640"/>
      <c r="R176" s="674"/>
      <c r="S176" s="643"/>
      <c r="T176" s="640"/>
      <c r="U176" s="640"/>
      <c r="V176" s="640"/>
      <c r="W176" s="673"/>
      <c r="X176" s="640"/>
      <c r="Y176" s="640"/>
      <c r="Z176" s="640"/>
      <c r="AA176" s="640"/>
    </row>
    <row r="177" spans="1:27" ht="20.100000000000001" hidden="1" customHeight="1">
      <c r="A177" s="299">
        <v>30100030</v>
      </c>
      <c r="B177" s="553" t="s">
        <v>178</v>
      </c>
      <c r="C177" s="126" t="s">
        <v>179</v>
      </c>
      <c r="D177" s="108">
        <v>5.03</v>
      </c>
      <c r="E177" s="108"/>
      <c r="F177" s="127"/>
      <c r="G177" s="128"/>
      <c r="H177" s="554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562"/>
      <c r="P177" s="562"/>
      <c r="Q177" s="562"/>
      <c r="R177" s="562"/>
      <c r="S177" s="562"/>
      <c r="T177" s="562"/>
      <c r="U177" s="562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554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562"/>
      <c r="P178" s="562"/>
      <c r="Q178" s="562"/>
      <c r="R178" s="562"/>
      <c r="S178" s="562"/>
      <c r="T178" s="562"/>
      <c r="U178" s="562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554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562"/>
      <c r="P179" s="562"/>
      <c r="Q179" s="562"/>
      <c r="R179" s="562"/>
      <c r="S179" s="562"/>
      <c r="T179" s="562"/>
      <c r="U179" s="562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554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562"/>
      <c r="P180" s="562"/>
      <c r="Q180" s="562"/>
      <c r="R180" s="562"/>
      <c r="S180" s="562"/>
      <c r="T180" s="562"/>
      <c r="U180" s="562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554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562"/>
      <c r="P181" s="562"/>
      <c r="Q181" s="562"/>
      <c r="R181" s="562"/>
      <c r="S181" s="562"/>
      <c r="T181" s="562"/>
      <c r="U181" s="562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554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562"/>
      <c r="P182" s="562"/>
      <c r="Q182" s="562"/>
      <c r="R182" s="562"/>
      <c r="S182" s="562"/>
      <c r="T182" s="562"/>
      <c r="U182" s="562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554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562"/>
      <c r="P183" s="562"/>
      <c r="Q183" s="562"/>
      <c r="R183" s="562"/>
      <c r="S183" s="562"/>
      <c r="T183" s="562"/>
      <c r="U183" s="562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554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562"/>
      <c r="P184" s="562"/>
      <c r="Q184" s="562"/>
      <c r="R184" s="562"/>
      <c r="S184" s="562"/>
      <c r="T184" s="562"/>
      <c r="U184" s="562"/>
      <c r="V184" s="132"/>
      <c r="W184" s="133"/>
      <c r="X184" s="132"/>
      <c r="Y184" s="132"/>
      <c r="Z184" s="132"/>
      <c r="AA184" s="132"/>
    </row>
    <row r="185" spans="1:27" ht="20.10000000000000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>
        <v>42715</v>
      </c>
      <c r="G185" s="128">
        <f>6*100+100*2</f>
        <v>800</v>
      </c>
      <c r="H185" s="554">
        <f t="shared" si="77"/>
        <v>4032</v>
      </c>
      <c r="I185" s="554">
        <f>11*5</f>
        <v>55</v>
      </c>
      <c r="J185" s="130">
        <f t="array" ref="J185">IF(ISERROR(G185/I185),"",G185/I185)</f>
        <v>14.545454545454545</v>
      </c>
      <c r="K185" s="131">
        <f t="array" ref="K185">IF(ISERROR(G185/L185),"",G185/L185)</f>
        <v>47.058823529411768</v>
      </c>
      <c r="L185" s="129">
        <v>17</v>
      </c>
      <c r="M185" s="109">
        <f t="shared" si="78"/>
        <v>7.941176470588232</v>
      </c>
      <c r="N185" s="130">
        <f t="shared" si="81"/>
        <v>0</v>
      </c>
      <c r="O185" s="562"/>
      <c r="P185" s="562"/>
      <c r="Q185" s="562"/>
      <c r="R185" s="562"/>
      <c r="S185" s="562"/>
      <c r="T185" s="562"/>
      <c r="U185" s="562"/>
      <c r="V185" s="132">
        <f>SUM(X185:AA185)</f>
        <v>0</v>
      </c>
      <c r="W185" s="133">
        <f>IF(ISERROR(V185/G185),"",V185/G185)</f>
        <v>0</v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554">
        <f t="shared" si="77"/>
        <v>0</v>
      </c>
      <c r="I186" s="554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562"/>
      <c r="P186" s="562"/>
      <c r="Q186" s="562"/>
      <c r="R186" s="562"/>
      <c r="S186" s="562"/>
      <c r="T186" s="562"/>
      <c r="U186" s="562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554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562"/>
      <c r="P187" s="562"/>
      <c r="Q187" s="562"/>
      <c r="R187" s="562"/>
      <c r="S187" s="562"/>
      <c r="T187" s="562"/>
      <c r="U187" s="562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554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562"/>
      <c r="P188" s="562"/>
      <c r="Q188" s="562"/>
      <c r="R188" s="562"/>
      <c r="S188" s="562"/>
      <c r="T188" s="562"/>
      <c r="U188" s="562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554">
        <f t="shared" ref="H189:H197" si="82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3">IF(ISERROR(I189-K189),"",I189-K189)</f>
        <v>0</v>
      </c>
      <c r="N189" s="130">
        <f t="shared" ref="N189:N191" si="84">SUM(O189:U189)</f>
        <v>0</v>
      </c>
      <c r="O189" s="562"/>
      <c r="P189" s="562"/>
      <c r="Q189" s="562"/>
      <c r="R189" s="562"/>
      <c r="S189" s="562"/>
      <c r="T189" s="562"/>
      <c r="U189" s="562"/>
      <c r="V189" s="132">
        <f t="shared" ref="V189:V191" si="85">SUM(X189:AA189)</f>
        <v>0</v>
      </c>
      <c r="W189" s="133" t="str">
        <f t="shared" ref="W189:W191" si="86">IF(ISERROR(V189/G189),"",V189/G189)</f>
        <v/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554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562"/>
      <c r="P190" s="562"/>
      <c r="Q190" s="562"/>
      <c r="R190" s="562"/>
      <c r="S190" s="562"/>
      <c r="T190" s="562"/>
      <c r="U190" s="562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554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562"/>
      <c r="P191" s="562"/>
      <c r="Q191" s="562"/>
      <c r="R191" s="562"/>
      <c r="S191" s="562"/>
      <c r="T191" s="562"/>
      <c r="U191" s="562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560" t="s">
        <v>190</v>
      </c>
      <c r="D192" s="108">
        <v>4.8</v>
      </c>
      <c r="E192" s="108"/>
      <c r="F192" s="127"/>
      <c r="G192" s="128"/>
      <c r="H192" s="554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562"/>
      <c r="P192" s="562"/>
      <c r="Q192" s="562"/>
      <c r="R192" s="562"/>
      <c r="S192" s="562"/>
      <c r="T192" s="562"/>
      <c r="U192" s="562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560" t="s">
        <v>187</v>
      </c>
      <c r="D193" s="108">
        <v>4.8</v>
      </c>
      <c r="E193" s="108"/>
      <c r="F193" s="127"/>
      <c r="G193" s="128"/>
      <c r="H193" s="554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562"/>
      <c r="P193" s="562"/>
      <c r="Q193" s="562"/>
      <c r="R193" s="562"/>
      <c r="S193" s="562"/>
      <c r="T193" s="562"/>
      <c r="U193" s="562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560" t="s">
        <v>179</v>
      </c>
      <c r="D194" s="108">
        <v>4.8</v>
      </c>
      <c r="E194" s="108"/>
      <c r="F194" s="127"/>
      <c r="G194" s="128"/>
      <c r="H194" s="554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562"/>
      <c r="P194" s="562"/>
      <c r="Q194" s="562"/>
      <c r="R194" s="562"/>
      <c r="S194" s="562"/>
      <c r="T194" s="562"/>
      <c r="U194" s="562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560" t="s">
        <v>199</v>
      </c>
      <c r="D195" s="108">
        <v>4.8</v>
      </c>
      <c r="E195" s="108"/>
      <c r="F195" s="127"/>
      <c r="G195" s="128"/>
      <c r="H195" s="554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562"/>
      <c r="P195" s="562"/>
      <c r="Q195" s="562"/>
      <c r="R195" s="562"/>
      <c r="S195" s="562"/>
      <c r="T195" s="562"/>
      <c r="U195" s="562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554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562"/>
      <c r="P196" s="562"/>
      <c r="Q196" s="562"/>
      <c r="R196" s="562"/>
      <c r="S196" s="562"/>
      <c r="T196" s="562"/>
      <c r="U196" s="562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554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562"/>
      <c r="P197" s="562"/>
      <c r="Q197" s="562"/>
      <c r="R197" s="562"/>
      <c r="S197" s="562"/>
      <c r="T197" s="562"/>
      <c r="U197" s="562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customHeight="1">
      <c r="A198" s="630" t="s">
        <v>201</v>
      </c>
      <c r="B198" s="631"/>
      <c r="C198" s="563" t="s">
        <v>202</v>
      </c>
      <c r="D198" s="143"/>
      <c r="E198" s="143"/>
      <c r="F198" s="144"/>
      <c r="G198" s="145">
        <f>SUM(G177:G197)</f>
        <v>800</v>
      </c>
      <c r="H198" s="146">
        <f>SUM(H177:H197)</f>
        <v>4032</v>
      </c>
      <c r="I198" s="146">
        <f>SUM(I177:I197)</f>
        <v>55</v>
      </c>
      <c r="J198" s="130">
        <f t="array" ref="J198">IF(ISERROR(G198/I198),"",G198/I198)</f>
        <v>14.545454545454545</v>
      </c>
      <c r="K198" s="146">
        <f>SUM(K177:K197)</f>
        <v>47.058823529411768</v>
      </c>
      <c r="L198" s="147"/>
      <c r="M198" s="150">
        <f t="shared" ref="M198:AA198" si="90">SUM(M177:M197)</f>
        <v>7.941176470588232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553" t="s">
        <v>206</v>
      </c>
      <c r="C199" s="126" t="s">
        <v>199</v>
      </c>
      <c r="D199" s="108">
        <v>5.03</v>
      </c>
      <c r="E199" s="108"/>
      <c r="F199" s="127"/>
      <c r="G199" s="128"/>
      <c r="H199" s="554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558"/>
      <c r="P199" s="558"/>
      <c r="Q199" s="558"/>
      <c r="R199" s="558"/>
      <c r="S199" s="558"/>
      <c r="T199" s="558"/>
      <c r="U199" s="558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553" t="s">
        <v>425</v>
      </c>
      <c r="C200" s="187" t="s">
        <v>427</v>
      </c>
      <c r="D200" s="108">
        <v>5.03</v>
      </c>
      <c r="E200" s="108"/>
      <c r="F200" s="127"/>
      <c r="G200" s="128"/>
      <c r="H200" s="554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558"/>
      <c r="P200" s="558"/>
      <c r="Q200" s="558"/>
      <c r="R200" s="558"/>
      <c r="S200" s="558"/>
      <c r="T200" s="558"/>
      <c r="U200" s="558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553" t="s">
        <v>206</v>
      </c>
      <c r="C201" s="126" t="s">
        <v>186</v>
      </c>
      <c r="D201" s="108">
        <v>5.03</v>
      </c>
      <c r="E201" s="108"/>
      <c r="F201" s="127"/>
      <c r="G201" s="128"/>
      <c r="H201" s="554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558"/>
      <c r="P201" s="558"/>
      <c r="Q201" s="558"/>
      <c r="R201" s="558"/>
      <c r="S201" s="558"/>
      <c r="T201" s="558"/>
      <c r="U201" s="558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553" t="s">
        <v>206</v>
      </c>
      <c r="C202" s="126" t="s">
        <v>203</v>
      </c>
      <c r="D202" s="108">
        <v>5.03</v>
      </c>
      <c r="E202" s="108"/>
      <c r="F202" s="127"/>
      <c r="G202" s="128"/>
      <c r="H202" s="554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558"/>
      <c r="P202" s="558"/>
      <c r="Q202" s="558"/>
      <c r="R202" s="558"/>
      <c r="S202" s="558"/>
      <c r="T202" s="558"/>
      <c r="U202" s="558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553" t="s">
        <v>206</v>
      </c>
      <c r="C203" s="126" t="s">
        <v>207</v>
      </c>
      <c r="D203" s="108">
        <v>5.03</v>
      </c>
      <c r="E203" s="108"/>
      <c r="F203" s="127"/>
      <c r="G203" s="128"/>
      <c r="H203" s="554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0">IF(ISERROR(I203-K203),"",I203-K203)</f>
        <v>0</v>
      </c>
      <c r="N203" s="130">
        <f t="shared" si="97"/>
        <v>0</v>
      </c>
      <c r="O203" s="558"/>
      <c r="P203" s="558"/>
      <c r="Q203" s="558"/>
      <c r="R203" s="558"/>
      <c r="S203" s="558"/>
      <c r="T203" s="558"/>
      <c r="U203" s="558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553" t="s">
        <v>414</v>
      </c>
      <c r="C204" s="187" t="s">
        <v>415</v>
      </c>
      <c r="D204" s="108">
        <v>5.03</v>
      </c>
      <c r="E204" s="108"/>
      <c r="F204" s="127"/>
      <c r="G204" s="128"/>
      <c r="H204" s="554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558"/>
      <c r="P204" s="558"/>
      <c r="Q204" s="558"/>
      <c r="R204" s="558"/>
      <c r="S204" s="558"/>
      <c r="T204" s="558"/>
      <c r="U204" s="558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553" t="s">
        <v>414</v>
      </c>
      <c r="C205" s="187" t="s">
        <v>416</v>
      </c>
      <c r="D205" s="108">
        <v>5.03</v>
      </c>
      <c r="E205" s="108"/>
      <c r="F205" s="127"/>
      <c r="G205" s="128"/>
      <c r="H205" s="554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558"/>
      <c r="P205" s="558"/>
      <c r="Q205" s="558"/>
      <c r="R205" s="558"/>
      <c r="S205" s="558"/>
      <c r="T205" s="558"/>
      <c r="U205" s="558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553" t="s">
        <v>414</v>
      </c>
      <c r="C206" s="187" t="s">
        <v>61</v>
      </c>
      <c r="D206" s="108">
        <v>5.03</v>
      </c>
      <c r="E206" s="108"/>
      <c r="F206" s="127"/>
      <c r="G206" s="128"/>
      <c r="H206" s="554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558"/>
      <c r="P206" s="558"/>
      <c r="Q206" s="558"/>
      <c r="R206" s="558"/>
      <c r="S206" s="558"/>
      <c r="T206" s="558"/>
      <c r="U206" s="558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553" t="s">
        <v>208</v>
      </c>
      <c r="C207" s="126" t="s">
        <v>179</v>
      </c>
      <c r="D207" s="108">
        <v>5.08</v>
      </c>
      <c r="E207" s="108"/>
      <c r="F207" s="127"/>
      <c r="G207" s="128"/>
      <c r="H207" s="554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7" si="101">IF(ISERROR(I207-K207),"",I207-K207)</f>
        <v>0</v>
      </c>
      <c r="N207" s="130">
        <f t="shared" ref="N207:N236" si="102">SUM(O207:U207)</f>
        <v>0</v>
      </c>
      <c r="O207" s="558"/>
      <c r="P207" s="558"/>
      <c r="Q207" s="558"/>
      <c r="R207" s="558"/>
      <c r="S207" s="558"/>
      <c r="T207" s="558"/>
      <c r="U207" s="558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customHeight="1">
      <c r="A208" s="300">
        <v>30100023</v>
      </c>
      <c r="B208" s="553" t="s">
        <v>208</v>
      </c>
      <c r="C208" s="126" t="s">
        <v>204</v>
      </c>
      <c r="D208" s="108">
        <v>5.08</v>
      </c>
      <c r="E208" s="108"/>
      <c r="F208" s="127">
        <v>42724</v>
      </c>
      <c r="G208" s="128">
        <f>108*6+16+108</f>
        <v>772</v>
      </c>
      <c r="H208" s="554">
        <f t="shared" si="91"/>
        <v>3921.76</v>
      </c>
      <c r="I208" s="129">
        <f>3.5*3</f>
        <v>10.5</v>
      </c>
      <c r="J208" s="130">
        <f t="array" ref="J208">IF(ISERROR(G208/I208),"",G208/I208)</f>
        <v>73.523809523809518</v>
      </c>
      <c r="K208" s="131">
        <f t="array" ref="K208">IF(ISERROR(G208/L208),"",G208/L208)</f>
        <v>36.761904761904759</v>
      </c>
      <c r="L208" s="129">
        <v>21</v>
      </c>
      <c r="M208" s="109">
        <f t="shared" si="101"/>
        <v>-26.261904761904759</v>
      </c>
      <c r="N208" s="130">
        <f t="shared" si="102"/>
        <v>0</v>
      </c>
      <c r="O208" s="558"/>
      <c r="P208" s="558"/>
      <c r="Q208" s="558"/>
      <c r="R208" s="558"/>
      <c r="S208" s="558"/>
      <c r="T208" s="558"/>
      <c r="U208" s="558"/>
      <c r="V208" s="132">
        <f t="shared" si="103"/>
        <v>0</v>
      </c>
      <c r="W208" s="133">
        <f t="shared" si="104"/>
        <v>0</v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553" t="s">
        <v>208</v>
      </c>
      <c r="C209" s="126" t="s">
        <v>205</v>
      </c>
      <c r="D209" s="108">
        <v>5.08</v>
      </c>
      <c r="E209" s="108"/>
      <c r="F209" s="127"/>
      <c r="G209" s="128"/>
      <c r="H209" s="554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558"/>
      <c r="P209" s="558"/>
      <c r="Q209" s="558"/>
      <c r="R209" s="558"/>
      <c r="S209" s="558"/>
      <c r="T209" s="558"/>
      <c r="U209" s="558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553" t="s">
        <v>208</v>
      </c>
      <c r="C210" s="126" t="s">
        <v>186</v>
      </c>
      <c r="D210" s="108">
        <v>5.08</v>
      </c>
      <c r="E210" s="108"/>
      <c r="F210" s="127"/>
      <c r="G210" s="128"/>
      <c r="H210" s="554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558"/>
      <c r="P210" s="558"/>
      <c r="Q210" s="558"/>
      <c r="R210" s="558"/>
      <c r="S210" s="558"/>
      <c r="T210" s="558"/>
      <c r="U210" s="558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553" t="s">
        <v>208</v>
      </c>
      <c r="C211" s="126" t="s">
        <v>203</v>
      </c>
      <c r="D211" s="108">
        <v>5.08</v>
      </c>
      <c r="E211" s="108"/>
      <c r="F211" s="127"/>
      <c r="G211" s="128"/>
      <c r="H211" s="554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558"/>
      <c r="P211" s="558"/>
      <c r="Q211" s="558"/>
      <c r="R211" s="558"/>
      <c r="S211" s="558"/>
      <c r="T211" s="558"/>
      <c r="U211" s="558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553" t="s">
        <v>208</v>
      </c>
      <c r="C212" s="126" t="s">
        <v>199</v>
      </c>
      <c r="D212" s="108">
        <v>5.08</v>
      </c>
      <c r="E212" s="108"/>
      <c r="F212" s="127"/>
      <c r="G212" s="128"/>
      <c r="H212" s="554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562"/>
      <c r="P212" s="562"/>
      <c r="Q212" s="562"/>
      <c r="R212" s="562"/>
      <c r="S212" s="562"/>
      <c r="T212" s="562"/>
      <c r="U212" s="562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553" t="s">
        <v>208</v>
      </c>
      <c r="C213" s="126" t="s">
        <v>187</v>
      </c>
      <c r="D213" s="108">
        <v>5.08</v>
      </c>
      <c r="E213" s="108"/>
      <c r="F213" s="127"/>
      <c r="G213" s="128"/>
      <c r="H213" s="554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558"/>
      <c r="P213" s="558"/>
      <c r="Q213" s="558"/>
      <c r="R213" s="558"/>
      <c r="S213" s="558"/>
      <c r="T213" s="558"/>
      <c r="U213" s="558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553" t="s">
        <v>208</v>
      </c>
      <c r="C214" s="126" t="s">
        <v>207</v>
      </c>
      <c r="D214" s="108">
        <v>5.08</v>
      </c>
      <c r="E214" s="108"/>
      <c r="F214" s="127"/>
      <c r="G214" s="128"/>
      <c r="H214" s="554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562"/>
      <c r="P214" s="562"/>
      <c r="Q214" s="562"/>
      <c r="R214" s="562"/>
      <c r="S214" s="562"/>
      <c r="T214" s="562"/>
      <c r="U214" s="562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553" t="s">
        <v>209</v>
      </c>
      <c r="C215" s="126" t="s">
        <v>194</v>
      </c>
      <c r="D215" s="108">
        <v>5.03</v>
      </c>
      <c r="E215" s="108"/>
      <c r="F215" s="127"/>
      <c r="G215" s="128"/>
      <c r="H215" s="554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558"/>
      <c r="P215" s="558"/>
      <c r="Q215" s="558"/>
      <c r="R215" s="558"/>
      <c r="S215" s="558"/>
      <c r="T215" s="558"/>
      <c r="U215" s="558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553" t="s">
        <v>209</v>
      </c>
      <c r="C216" s="126" t="s">
        <v>179</v>
      </c>
      <c r="D216" s="108">
        <v>5.03</v>
      </c>
      <c r="E216" s="108"/>
      <c r="F216" s="127"/>
      <c r="G216" s="128"/>
      <c r="H216" s="554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558"/>
      <c r="P216" s="558"/>
      <c r="Q216" s="558"/>
      <c r="R216" s="558"/>
      <c r="S216" s="558"/>
      <c r="T216" s="558"/>
      <c r="U216" s="558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553" t="s">
        <v>209</v>
      </c>
      <c r="C217" s="126" t="s">
        <v>195</v>
      </c>
      <c r="D217" s="108">
        <v>5.03</v>
      </c>
      <c r="E217" s="108"/>
      <c r="F217" s="127"/>
      <c r="G217" s="128"/>
      <c r="H217" s="554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558"/>
      <c r="P217" s="558"/>
      <c r="Q217" s="558"/>
      <c r="R217" s="558"/>
      <c r="S217" s="558"/>
      <c r="T217" s="558"/>
      <c r="U217" s="558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553" t="s">
        <v>209</v>
      </c>
      <c r="C218" s="126" t="s">
        <v>204</v>
      </c>
      <c r="D218" s="108">
        <v>5.03</v>
      </c>
      <c r="E218" s="108"/>
      <c r="F218" s="127"/>
      <c r="G218" s="128"/>
      <c r="H218" s="554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558"/>
      <c r="P218" s="558"/>
      <c r="Q218" s="558"/>
      <c r="R218" s="558"/>
      <c r="S218" s="558"/>
      <c r="T218" s="558"/>
      <c r="U218" s="558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553" t="s">
        <v>382</v>
      </c>
      <c r="C219" s="187" t="s">
        <v>383</v>
      </c>
      <c r="D219" s="108">
        <v>5.03</v>
      </c>
      <c r="E219" s="108"/>
      <c r="F219" s="127"/>
      <c r="G219" s="128"/>
      <c r="H219" s="554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558"/>
      <c r="P219" s="558"/>
      <c r="Q219" s="558"/>
      <c r="R219" s="558"/>
      <c r="S219" s="558"/>
      <c r="T219" s="558"/>
      <c r="U219" s="558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553" t="s">
        <v>382</v>
      </c>
      <c r="C220" s="187" t="s">
        <v>384</v>
      </c>
      <c r="D220" s="108">
        <v>5.03</v>
      </c>
      <c r="E220" s="108"/>
      <c r="F220" s="127"/>
      <c r="G220" s="128"/>
      <c r="H220" s="554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558"/>
      <c r="P220" s="558"/>
      <c r="Q220" s="558"/>
      <c r="R220" s="558"/>
      <c r="S220" s="558"/>
      <c r="T220" s="558"/>
      <c r="U220" s="558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553" t="s">
        <v>382</v>
      </c>
      <c r="C221" s="187" t="s">
        <v>389</v>
      </c>
      <c r="D221" s="108">
        <v>5.03</v>
      </c>
      <c r="E221" s="108"/>
      <c r="F221" s="127"/>
      <c r="G221" s="128"/>
      <c r="H221" s="554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558"/>
      <c r="P221" s="558"/>
      <c r="Q221" s="558"/>
      <c r="R221" s="558"/>
      <c r="S221" s="558"/>
      <c r="T221" s="558"/>
      <c r="U221" s="558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553" t="s">
        <v>382</v>
      </c>
      <c r="C222" s="187" t="s">
        <v>391</v>
      </c>
      <c r="D222" s="108">
        <v>5.03</v>
      </c>
      <c r="E222" s="108"/>
      <c r="F222" s="127"/>
      <c r="G222" s="128"/>
      <c r="H222" s="554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558"/>
      <c r="P222" s="558"/>
      <c r="Q222" s="558"/>
      <c r="R222" s="558"/>
      <c r="S222" s="558"/>
      <c r="T222" s="558"/>
      <c r="U222" s="558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553" t="s">
        <v>418</v>
      </c>
      <c r="C223" s="187" t="s">
        <v>364</v>
      </c>
      <c r="D223" s="108">
        <v>5.03</v>
      </c>
      <c r="E223" s="108"/>
      <c r="F223" s="127"/>
      <c r="G223" s="128"/>
      <c r="H223" s="554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558"/>
      <c r="P223" s="558"/>
      <c r="Q223" s="558"/>
      <c r="R223" s="558"/>
      <c r="S223" s="558"/>
      <c r="T223" s="558"/>
      <c r="U223" s="558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553" t="s">
        <v>418</v>
      </c>
      <c r="C224" s="187" t="s">
        <v>365</v>
      </c>
      <c r="D224" s="108">
        <v>5.03</v>
      </c>
      <c r="E224" s="108"/>
      <c r="F224" s="127"/>
      <c r="G224" s="128"/>
      <c r="H224" s="554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558"/>
      <c r="P224" s="558"/>
      <c r="Q224" s="558"/>
      <c r="R224" s="558"/>
      <c r="S224" s="558"/>
      <c r="T224" s="558"/>
      <c r="U224" s="558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553" t="s">
        <v>418</v>
      </c>
      <c r="C225" s="187" t="s">
        <v>366</v>
      </c>
      <c r="D225" s="108">
        <v>5.03</v>
      </c>
      <c r="E225" s="108"/>
      <c r="F225" s="127"/>
      <c r="G225" s="128"/>
      <c r="H225" s="554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558"/>
      <c r="P225" s="558"/>
      <c r="Q225" s="558"/>
      <c r="R225" s="558"/>
      <c r="S225" s="558"/>
      <c r="T225" s="558"/>
      <c r="U225" s="558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553" t="s">
        <v>418</v>
      </c>
      <c r="C226" s="187" t="s">
        <v>367</v>
      </c>
      <c r="D226" s="108">
        <v>5.03</v>
      </c>
      <c r="E226" s="108"/>
      <c r="F226" s="127"/>
      <c r="G226" s="128"/>
      <c r="H226" s="554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558"/>
      <c r="P226" s="558"/>
      <c r="Q226" s="558"/>
      <c r="R226" s="558"/>
      <c r="S226" s="558"/>
      <c r="T226" s="558"/>
      <c r="U226" s="558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554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562"/>
      <c r="P227" s="562"/>
      <c r="Q227" s="562"/>
      <c r="R227" s="562"/>
      <c r="S227" s="562"/>
      <c r="T227" s="562"/>
      <c r="U227" s="562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554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562"/>
      <c r="P228" s="562"/>
      <c r="Q228" s="562"/>
      <c r="R228" s="562"/>
      <c r="S228" s="562"/>
      <c r="T228" s="562"/>
      <c r="U228" s="562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554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562"/>
      <c r="P229" s="562"/>
      <c r="Q229" s="562"/>
      <c r="R229" s="562"/>
      <c r="S229" s="562"/>
      <c r="T229" s="562"/>
      <c r="U229" s="562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554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562"/>
      <c r="P230" s="562"/>
      <c r="Q230" s="562"/>
      <c r="R230" s="562"/>
      <c r="S230" s="562"/>
      <c r="T230" s="562"/>
      <c r="U230" s="562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554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562"/>
      <c r="P231" s="562"/>
      <c r="Q231" s="562"/>
      <c r="R231" s="562"/>
      <c r="S231" s="562"/>
      <c r="T231" s="562"/>
      <c r="U231" s="562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554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562"/>
      <c r="P232" s="562"/>
      <c r="Q232" s="562"/>
      <c r="R232" s="562"/>
      <c r="S232" s="562"/>
      <c r="T232" s="562"/>
      <c r="U232" s="562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554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562"/>
      <c r="P233" s="562"/>
      <c r="Q233" s="562"/>
      <c r="R233" s="562"/>
      <c r="S233" s="562"/>
      <c r="T233" s="562"/>
      <c r="U233" s="562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>
        <v>42723</v>
      </c>
      <c r="G234" s="128">
        <f>90*8+35</f>
        <v>755</v>
      </c>
      <c r="H234" s="554">
        <f t="shared" si="91"/>
        <v>3797.65</v>
      </c>
      <c r="I234" s="129">
        <v>9</v>
      </c>
      <c r="J234" s="130">
        <f t="array" ref="J234">IF(ISERROR(G234/I234),"",G234/I234)</f>
        <v>83.888888888888886</v>
      </c>
      <c r="K234" s="131">
        <f t="array" ref="K234">IF(ISERROR(G234/L234),"",G234/L234)</f>
        <v>15.1</v>
      </c>
      <c r="L234" s="129">
        <v>50</v>
      </c>
      <c r="M234" s="109">
        <f t="shared" si="101"/>
        <v>-6.1</v>
      </c>
      <c r="N234" s="130">
        <f t="shared" si="102"/>
        <v>0</v>
      </c>
      <c r="O234" s="562"/>
      <c r="P234" s="562"/>
      <c r="Q234" s="562"/>
      <c r="R234" s="562"/>
      <c r="S234" s="562"/>
      <c r="T234" s="562"/>
      <c r="U234" s="562"/>
      <c r="V234" s="132">
        <f t="shared" si="105"/>
        <v>0</v>
      </c>
      <c r="W234" s="133">
        <f t="shared" si="106"/>
        <v>0</v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554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562"/>
      <c r="P235" s="562"/>
      <c r="Q235" s="562"/>
      <c r="R235" s="562"/>
      <c r="S235" s="562"/>
      <c r="T235" s="562"/>
      <c r="U235" s="562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554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562"/>
      <c r="P236" s="562"/>
      <c r="Q236" s="562"/>
      <c r="R236" s="562"/>
      <c r="S236" s="562"/>
      <c r="T236" s="562"/>
      <c r="U236" s="562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>
        <v>42723</v>
      </c>
      <c r="G237" s="128">
        <v>85</v>
      </c>
      <c r="H237" s="554">
        <f t="shared" si="91"/>
        <v>427.55</v>
      </c>
      <c r="I237" s="129">
        <v>2</v>
      </c>
      <c r="J237" s="130">
        <f t="array" ref="J237">IF(ISERROR(G237/I237),"",G237/I237)</f>
        <v>42.5</v>
      </c>
      <c r="K237" s="131">
        <f t="array" ref="K237">IF(ISERROR(G237/L237),"",G237/L237)</f>
        <v>1.7</v>
      </c>
      <c r="L237" s="129">
        <v>50</v>
      </c>
      <c r="M237" s="109">
        <f t="shared" si="101"/>
        <v>0.30000000000000004</v>
      </c>
      <c r="N237" s="130"/>
      <c r="O237" s="562"/>
      <c r="P237" s="562"/>
      <c r="Q237" s="562"/>
      <c r="R237" s="562"/>
      <c r="S237" s="562"/>
      <c r="T237" s="562"/>
      <c r="U237" s="562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554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7">IF(ISERROR(I238-K238),"",I238-K238)</f>
        <v>0</v>
      </c>
      <c r="N238" s="130"/>
      <c r="O238" s="562"/>
      <c r="P238" s="562"/>
      <c r="Q238" s="562"/>
      <c r="R238" s="562"/>
      <c r="S238" s="562"/>
      <c r="T238" s="562"/>
      <c r="U238" s="562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554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7"/>
        <v>0</v>
      </c>
      <c r="N239" s="130">
        <f t="shared" ref="N239:N240" si="108">SUM(O239:U239)</f>
        <v>0</v>
      </c>
      <c r="O239" s="562"/>
      <c r="P239" s="562"/>
      <c r="Q239" s="562"/>
      <c r="R239" s="562"/>
      <c r="S239" s="562"/>
      <c r="T239" s="562"/>
      <c r="U239" s="562"/>
      <c r="V239" s="132">
        <f t="shared" ref="V239:V240" si="109">SUM(X239:AA239)</f>
        <v>0</v>
      </c>
      <c r="W239" s="133" t="str">
        <f t="shared" ref="W239:W240" si="110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554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562"/>
      <c r="P240" s="562"/>
      <c r="Q240" s="562"/>
      <c r="R240" s="562"/>
      <c r="S240" s="562"/>
      <c r="T240" s="562"/>
      <c r="U240" s="562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554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562"/>
      <c r="P241" s="562"/>
      <c r="Q241" s="562"/>
      <c r="R241" s="562"/>
      <c r="S241" s="562"/>
      <c r="T241" s="562"/>
      <c r="U241" s="562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554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562"/>
      <c r="P242" s="562"/>
      <c r="Q242" s="562"/>
      <c r="R242" s="562"/>
      <c r="S242" s="562"/>
      <c r="T242" s="562"/>
      <c r="U242" s="562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554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562"/>
      <c r="P243" s="562"/>
      <c r="Q243" s="562"/>
      <c r="R243" s="562"/>
      <c r="S243" s="562"/>
      <c r="T243" s="562"/>
      <c r="U243" s="562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554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562"/>
      <c r="P244" s="562"/>
      <c r="Q244" s="562"/>
      <c r="R244" s="562"/>
      <c r="S244" s="562"/>
      <c r="T244" s="562"/>
      <c r="U244" s="562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554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562"/>
      <c r="P245" s="562"/>
      <c r="Q245" s="562"/>
      <c r="R245" s="562"/>
      <c r="S245" s="562"/>
      <c r="T245" s="562"/>
      <c r="U245" s="562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554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562"/>
      <c r="P246" s="562"/>
      <c r="Q246" s="562"/>
      <c r="R246" s="562"/>
      <c r="S246" s="562"/>
      <c r="T246" s="562"/>
      <c r="U246" s="562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554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562"/>
      <c r="P247" s="562"/>
      <c r="Q247" s="562"/>
      <c r="R247" s="562"/>
      <c r="S247" s="562"/>
      <c r="T247" s="562"/>
      <c r="U247" s="562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554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562"/>
      <c r="P248" s="562"/>
      <c r="Q248" s="562"/>
      <c r="R248" s="562"/>
      <c r="S248" s="562"/>
      <c r="T248" s="562"/>
      <c r="U248" s="562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554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562"/>
      <c r="P249" s="562"/>
      <c r="Q249" s="562"/>
      <c r="R249" s="562"/>
      <c r="S249" s="562"/>
      <c r="T249" s="562"/>
      <c r="U249" s="562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554">
        <f t="shared" si="91"/>
        <v>0</v>
      </c>
      <c r="I250" s="129"/>
      <c r="J250" s="130"/>
      <c r="K250" s="131"/>
      <c r="L250" s="129">
        <v>4</v>
      </c>
      <c r="M250" s="109"/>
      <c r="N250" s="130"/>
      <c r="O250" s="562"/>
      <c r="P250" s="562"/>
      <c r="Q250" s="562"/>
      <c r="R250" s="562"/>
      <c r="S250" s="562"/>
      <c r="T250" s="562"/>
      <c r="U250" s="562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554">
        <f t="shared" si="91"/>
        <v>0</v>
      </c>
      <c r="I251" s="129"/>
      <c r="J251" s="130"/>
      <c r="K251" s="131"/>
      <c r="L251" s="129">
        <v>4</v>
      </c>
      <c r="M251" s="109"/>
      <c r="N251" s="130"/>
      <c r="O251" s="562"/>
      <c r="P251" s="562"/>
      <c r="Q251" s="562"/>
      <c r="R251" s="562"/>
      <c r="S251" s="562"/>
      <c r="T251" s="562"/>
      <c r="U251" s="562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554">
        <f t="shared" si="91"/>
        <v>0</v>
      </c>
      <c r="I252" s="129"/>
      <c r="J252" s="130"/>
      <c r="K252" s="131"/>
      <c r="L252" s="129">
        <v>4</v>
      </c>
      <c r="M252" s="109"/>
      <c r="N252" s="130"/>
      <c r="O252" s="562"/>
      <c r="P252" s="562"/>
      <c r="Q252" s="562"/>
      <c r="R252" s="562"/>
      <c r="S252" s="562"/>
      <c r="T252" s="562"/>
      <c r="U252" s="562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554">
        <f t="shared" si="91"/>
        <v>0</v>
      </c>
      <c r="I253" s="129"/>
      <c r="J253" s="130"/>
      <c r="K253" s="131"/>
      <c r="L253" s="129">
        <v>4</v>
      </c>
      <c r="M253" s="109"/>
      <c r="N253" s="130"/>
      <c r="O253" s="562"/>
      <c r="P253" s="562"/>
      <c r="Q253" s="562"/>
      <c r="R253" s="562"/>
      <c r="S253" s="562"/>
      <c r="T253" s="562"/>
      <c r="U253" s="562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554">
        <f t="shared" si="91"/>
        <v>0</v>
      </c>
      <c r="I254" s="129"/>
      <c r="J254" s="130"/>
      <c r="K254" s="131"/>
      <c r="L254" s="129">
        <v>4</v>
      </c>
      <c r="M254" s="109"/>
      <c r="N254" s="130"/>
      <c r="O254" s="562"/>
      <c r="P254" s="562"/>
      <c r="Q254" s="562"/>
      <c r="R254" s="562"/>
      <c r="S254" s="562"/>
      <c r="T254" s="562"/>
      <c r="U254" s="562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554">
        <f t="shared" si="91"/>
        <v>0</v>
      </c>
      <c r="I255" s="129"/>
      <c r="J255" s="130"/>
      <c r="K255" s="131"/>
      <c r="L255" s="129">
        <v>4</v>
      </c>
      <c r="M255" s="109"/>
      <c r="N255" s="130"/>
      <c r="O255" s="562"/>
      <c r="P255" s="562"/>
      <c r="Q255" s="562"/>
      <c r="R255" s="562"/>
      <c r="S255" s="562"/>
      <c r="T255" s="562"/>
      <c r="U255" s="562"/>
      <c r="V255" s="132"/>
      <c r="W255" s="133"/>
      <c r="X255" s="132"/>
      <c r="Y255" s="132"/>
      <c r="Z255" s="132"/>
      <c r="AA255" s="132"/>
    </row>
    <row r="256" spans="1:27" ht="20.100000000000001" customHeight="1">
      <c r="A256" s="641" t="s">
        <v>216</v>
      </c>
      <c r="B256" s="641"/>
      <c r="C256" s="563" t="s">
        <v>202</v>
      </c>
      <c r="D256" s="143"/>
      <c r="E256" s="143"/>
      <c r="F256" s="144"/>
      <c r="G256" s="145">
        <f>SUM(G199:G255)</f>
        <v>1612</v>
      </c>
      <c r="H256" s="146">
        <f>SUM(H199:H255)</f>
        <v>8146.96</v>
      </c>
      <c r="I256" s="146">
        <f>SUM(I199:I255)</f>
        <v>21.5</v>
      </c>
      <c r="J256" s="130">
        <f t="array" ref="J256">IF(ISERROR(G256/I256),"",G256/I256)</f>
        <v>74.976744186046517</v>
      </c>
      <c r="K256" s="146">
        <f>SUM(K199:K255)</f>
        <v>53.561904761904763</v>
      </c>
      <c r="L256" s="147"/>
      <c r="M256" s="150">
        <f t="shared" ref="M256:V256" si="114">SUM(M199:M255)</f>
        <v>-32.061904761904763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>
        <f t="shared" ref="W256:W263" si="115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553" t="s">
        <v>217</v>
      </c>
      <c r="C257" s="126" t="s">
        <v>179</v>
      </c>
      <c r="D257" s="108">
        <v>5.03</v>
      </c>
      <c r="E257" s="108"/>
      <c r="F257" s="127"/>
      <c r="G257" s="128"/>
      <c r="H257" s="554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562"/>
      <c r="P257" s="562"/>
      <c r="Q257" s="562"/>
      <c r="R257" s="562"/>
      <c r="S257" s="562"/>
      <c r="T257" s="562"/>
      <c r="U257" s="562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553" t="s">
        <v>217</v>
      </c>
      <c r="C258" s="126" t="s">
        <v>186</v>
      </c>
      <c r="D258" s="108">
        <v>5.03</v>
      </c>
      <c r="E258" s="108"/>
      <c r="F258" s="127"/>
      <c r="G258" s="128"/>
      <c r="H258" s="554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562"/>
      <c r="P258" s="562"/>
      <c r="Q258" s="562"/>
      <c r="R258" s="562"/>
      <c r="S258" s="562"/>
      <c r="T258" s="562"/>
      <c r="U258" s="562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553" t="s">
        <v>217</v>
      </c>
      <c r="C259" s="126" t="s">
        <v>204</v>
      </c>
      <c r="D259" s="108">
        <v>5.03</v>
      </c>
      <c r="E259" s="108"/>
      <c r="F259" s="127"/>
      <c r="G259" s="128"/>
      <c r="H259" s="554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562"/>
      <c r="P259" s="562"/>
      <c r="Q259" s="562"/>
      <c r="R259" s="562"/>
      <c r="S259" s="562"/>
      <c r="T259" s="562"/>
      <c r="U259" s="562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554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562"/>
      <c r="P260" s="562"/>
      <c r="Q260" s="562"/>
      <c r="R260" s="562"/>
      <c r="S260" s="562"/>
      <c r="T260" s="562"/>
      <c r="U260" s="562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554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562"/>
      <c r="P261" s="562"/>
      <c r="Q261" s="562"/>
      <c r="R261" s="562"/>
      <c r="S261" s="562"/>
      <c r="T261" s="562"/>
      <c r="U261" s="562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554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562"/>
      <c r="P262" s="562"/>
      <c r="Q262" s="562"/>
      <c r="R262" s="562"/>
      <c r="S262" s="562"/>
      <c r="T262" s="562"/>
      <c r="U262" s="562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554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562"/>
      <c r="P263" s="562"/>
      <c r="Q263" s="562"/>
      <c r="R263" s="562"/>
      <c r="S263" s="562"/>
      <c r="T263" s="562"/>
      <c r="U263" s="562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554">
        <f t="shared" si="116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562"/>
      <c r="P264" s="562"/>
      <c r="Q264" s="562"/>
      <c r="R264" s="562"/>
      <c r="S264" s="562"/>
      <c r="T264" s="562"/>
      <c r="U264" s="562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554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562"/>
      <c r="P265" s="562"/>
      <c r="Q265" s="562"/>
      <c r="R265" s="562"/>
      <c r="S265" s="562"/>
      <c r="T265" s="562"/>
      <c r="U265" s="562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554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562"/>
      <c r="P266" s="562"/>
      <c r="Q266" s="562"/>
      <c r="R266" s="562"/>
      <c r="S266" s="562"/>
      <c r="T266" s="562"/>
      <c r="U266" s="562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554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562"/>
      <c r="P267" s="562"/>
      <c r="Q267" s="562"/>
      <c r="R267" s="562"/>
      <c r="S267" s="562"/>
      <c r="T267" s="562"/>
      <c r="U267" s="562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554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562"/>
      <c r="P268" s="562"/>
      <c r="Q268" s="562"/>
      <c r="R268" s="562"/>
      <c r="S268" s="562"/>
      <c r="T268" s="562"/>
      <c r="U268" s="562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554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0">IF(ISERROR(I269-K269),"",I269-K269)</f>
        <v>0</v>
      </c>
      <c r="N269" s="130">
        <f t="shared" ref="N269:N284" si="121">SUM(O269:U269)</f>
        <v>0</v>
      </c>
      <c r="O269" s="562"/>
      <c r="P269" s="562"/>
      <c r="Q269" s="562"/>
      <c r="R269" s="562"/>
      <c r="S269" s="562"/>
      <c r="T269" s="562"/>
      <c r="U269" s="562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554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562"/>
      <c r="P270" s="562"/>
      <c r="Q270" s="562"/>
      <c r="R270" s="562"/>
      <c r="S270" s="562"/>
      <c r="T270" s="562"/>
      <c r="U270" s="562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554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562"/>
      <c r="P271" s="562"/>
      <c r="Q271" s="562"/>
      <c r="R271" s="562"/>
      <c r="S271" s="562"/>
      <c r="T271" s="562"/>
      <c r="U271" s="562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554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562"/>
      <c r="P272" s="562"/>
      <c r="Q272" s="562"/>
      <c r="R272" s="562"/>
      <c r="S272" s="562"/>
      <c r="T272" s="562"/>
      <c r="U272" s="562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553" t="s">
        <v>222</v>
      </c>
      <c r="C273" s="126" t="s">
        <v>181</v>
      </c>
      <c r="D273" s="108">
        <v>9.36</v>
      </c>
      <c r="E273" s="108"/>
      <c r="F273" s="127"/>
      <c r="G273" s="128"/>
      <c r="H273" s="554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562"/>
      <c r="P273" s="562"/>
      <c r="Q273" s="562"/>
      <c r="R273" s="562"/>
      <c r="S273" s="562"/>
      <c r="T273" s="562"/>
      <c r="U273" s="562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553" t="s">
        <v>222</v>
      </c>
      <c r="C274" s="126" t="s">
        <v>179</v>
      </c>
      <c r="D274" s="108">
        <v>9.36</v>
      </c>
      <c r="E274" s="108"/>
      <c r="F274" s="127"/>
      <c r="G274" s="128"/>
      <c r="H274" s="554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562"/>
      <c r="P274" s="562"/>
      <c r="Q274" s="562"/>
      <c r="R274" s="562"/>
      <c r="S274" s="562"/>
      <c r="T274" s="562"/>
      <c r="U274" s="562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553" t="s">
        <v>222</v>
      </c>
      <c r="C275" s="126" t="s">
        <v>221</v>
      </c>
      <c r="D275" s="108">
        <v>9.36</v>
      </c>
      <c r="E275" s="108"/>
      <c r="F275" s="127"/>
      <c r="G275" s="128"/>
      <c r="H275" s="554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562"/>
      <c r="P275" s="562"/>
      <c r="Q275" s="562"/>
      <c r="R275" s="562"/>
      <c r="S275" s="562"/>
      <c r="T275" s="562"/>
      <c r="U275" s="562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553" t="s">
        <v>222</v>
      </c>
      <c r="C276" s="126" t="s">
        <v>186</v>
      </c>
      <c r="D276" s="108">
        <v>9.36</v>
      </c>
      <c r="E276" s="108"/>
      <c r="F276" s="127"/>
      <c r="G276" s="128"/>
      <c r="H276" s="554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562"/>
      <c r="P276" s="562"/>
      <c r="Q276" s="562"/>
      <c r="R276" s="562"/>
      <c r="S276" s="562"/>
      <c r="T276" s="562"/>
      <c r="U276" s="562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customHeight="1">
      <c r="A277" s="299">
        <v>30400026</v>
      </c>
      <c r="B277" s="553" t="s">
        <v>393</v>
      </c>
      <c r="C277" s="187" t="s">
        <v>395</v>
      </c>
      <c r="D277" s="108">
        <v>5</v>
      </c>
      <c r="E277" s="108"/>
      <c r="F277" s="127">
        <v>42715</v>
      </c>
      <c r="G277" s="128">
        <v>21</v>
      </c>
      <c r="H277" s="554">
        <f t="shared" si="116"/>
        <v>105</v>
      </c>
      <c r="I277" s="129">
        <f>1*4</f>
        <v>4</v>
      </c>
      <c r="J277" s="130">
        <f t="array" ref="J277">IF(ISERROR(G277/I277),"",G277/I277)</f>
        <v>5.25</v>
      </c>
      <c r="K277" s="131">
        <f t="array" ref="K277">IF(ISERROR(G277/L277),"",G277/L277)</f>
        <v>4.2</v>
      </c>
      <c r="L277" s="129">
        <v>5</v>
      </c>
      <c r="M277" s="109">
        <f t="shared" si="120"/>
        <v>-0.20000000000000018</v>
      </c>
      <c r="N277" s="130">
        <f t="shared" si="121"/>
        <v>0</v>
      </c>
      <c r="O277" s="562"/>
      <c r="P277" s="562"/>
      <c r="Q277" s="562"/>
      <c r="R277" s="562"/>
      <c r="S277" s="562"/>
      <c r="T277" s="562"/>
      <c r="U277" s="562"/>
      <c r="V277" s="132"/>
      <c r="W277" s="133"/>
      <c r="X277" s="132"/>
      <c r="Y277" s="132"/>
      <c r="Z277" s="132"/>
      <c r="AA277" s="132"/>
    </row>
    <row r="278" spans="1:27" ht="20.100000000000001" customHeight="1">
      <c r="A278" s="299">
        <v>30400028</v>
      </c>
      <c r="B278" s="553" t="s">
        <v>393</v>
      </c>
      <c r="C278" s="187" t="s">
        <v>402</v>
      </c>
      <c r="D278" s="108">
        <v>5</v>
      </c>
      <c r="E278" s="108"/>
      <c r="F278" s="127">
        <v>42716</v>
      </c>
      <c r="G278" s="128">
        <v>90</v>
      </c>
      <c r="H278" s="554">
        <f t="shared" si="116"/>
        <v>450</v>
      </c>
      <c r="I278" s="129">
        <f>2*4</f>
        <v>8</v>
      </c>
      <c r="J278" s="130">
        <f t="array" ref="J278">IF(ISERROR(G278/I278),"",G278/I278)</f>
        <v>11.25</v>
      </c>
      <c r="K278" s="131">
        <f t="array" ref="K278">IF(ISERROR(G278/L278),"",G278/L278)</f>
        <v>18</v>
      </c>
      <c r="L278" s="129">
        <v>5</v>
      </c>
      <c r="M278" s="109">
        <f t="shared" si="120"/>
        <v>-10</v>
      </c>
      <c r="N278" s="130">
        <f t="shared" si="121"/>
        <v>0</v>
      </c>
      <c r="O278" s="562"/>
      <c r="P278" s="562"/>
      <c r="Q278" s="562"/>
      <c r="R278" s="562"/>
      <c r="S278" s="562"/>
      <c r="T278" s="562"/>
      <c r="U278" s="562"/>
      <c r="V278" s="132"/>
      <c r="W278" s="133"/>
      <c r="X278" s="132"/>
      <c r="Y278" s="132"/>
      <c r="Z278" s="132"/>
      <c r="AA278" s="132"/>
    </row>
    <row r="279" spans="1:27" ht="20.100000000000001" customHeight="1">
      <c r="A279" s="299">
        <v>30400027</v>
      </c>
      <c r="B279" s="553" t="s">
        <v>404</v>
      </c>
      <c r="C279" s="187" t="s">
        <v>405</v>
      </c>
      <c r="D279" s="108">
        <v>5</v>
      </c>
      <c r="E279" s="108"/>
      <c r="F279" s="127">
        <v>42715</v>
      </c>
      <c r="G279" s="128">
        <f>77-2</f>
        <v>75</v>
      </c>
      <c r="H279" s="554">
        <f t="shared" si="116"/>
        <v>375</v>
      </c>
      <c r="I279" s="129">
        <f>2.5*4</f>
        <v>10</v>
      </c>
      <c r="J279" s="130">
        <f t="array" ref="J279">IF(ISERROR(G279/I279),"",G279/I279)</f>
        <v>7.5</v>
      </c>
      <c r="K279" s="131">
        <f t="array" ref="K279">IF(ISERROR(G279/L279),"",G279/L279)</f>
        <v>15</v>
      </c>
      <c r="L279" s="129">
        <v>5</v>
      </c>
      <c r="M279" s="109">
        <f t="shared" si="120"/>
        <v>-5</v>
      </c>
      <c r="N279" s="130">
        <f t="shared" si="121"/>
        <v>0</v>
      </c>
      <c r="O279" s="562"/>
      <c r="P279" s="562"/>
      <c r="Q279" s="562"/>
      <c r="R279" s="562"/>
      <c r="S279" s="562"/>
      <c r="T279" s="562"/>
      <c r="U279" s="562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553" t="s">
        <v>342</v>
      </c>
      <c r="C280" s="187" t="s">
        <v>372</v>
      </c>
      <c r="D280" s="108">
        <v>5</v>
      </c>
      <c r="E280" s="108"/>
      <c r="F280" s="127"/>
      <c r="G280" s="128"/>
      <c r="H280" s="554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562"/>
      <c r="P280" s="562"/>
      <c r="Q280" s="562"/>
      <c r="R280" s="562"/>
      <c r="S280" s="562"/>
      <c r="T280" s="562"/>
      <c r="U280" s="562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553" t="s">
        <v>343</v>
      </c>
      <c r="C281" s="126" t="s">
        <v>345</v>
      </c>
      <c r="D281" s="108">
        <v>5</v>
      </c>
      <c r="E281" s="108"/>
      <c r="F281" s="127"/>
      <c r="G281" s="128"/>
      <c r="H281" s="554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562"/>
      <c r="P281" s="562"/>
      <c r="Q281" s="562"/>
      <c r="R281" s="562"/>
      <c r="S281" s="562"/>
      <c r="T281" s="562"/>
      <c r="U281" s="562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553" t="s">
        <v>343</v>
      </c>
      <c r="C282" s="126" t="s">
        <v>347</v>
      </c>
      <c r="D282" s="108">
        <v>5</v>
      </c>
      <c r="E282" s="108"/>
      <c r="F282" s="127"/>
      <c r="G282" s="128"/>
      <c r="H282" s="554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562"/>
      <c r="P282" s="562"/>
      <c r="Q282" s="562"/>
      <c r="R282" s="562"/>
      <c r="S282" s="562"/>
      <c r="T282" s="562"/>
      <c r="U282" s="562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554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562"/>
      <c r="P283" s="562"/>
      <c r="Q283" s="562"/>
      <c r="R283" s="562"/>
      <c r="S283" s="562"/>
      <c r="T283" s="562"/>
      <c r="U283" s="562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554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562"/>
      <c r="P284" s="562"/>
      <c r="Q284" s="562"/>
      <c r="R284" s="562"/>
      <c r="S284" s="562"/>
      <c r="T284" s="562"/>
      <c r="U284" s="562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/>
      <c r="G285" s="128"/>
      <c r="H285" s="554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562"/>
      <c r="P285" s="562"/>
      <c r="Q285" s="562"/>
      <c r="R285" s="562"/>
      <c r="S285" s="562"/>
      <c r="T285" s="562"/>
      <c r="U285" s="562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554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562"/>
      <c r="P286" s="562"/>
      <c r="Q286" s="562"/>
      <c r="R286" s="562"/>
      <c r="S286" s="562"/>
      <c r="T286" s="562"/>
      <c r="U286" s="562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554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562"/>
      <c r="P287" s="562"/>
      <c r="Q287" s="562"/>
      <c r="R287" s="562"/>
      <c r="S287" s="562"/>
      <c r="T287" s="562"/>
      <c r="U287" s="562"/>
      <c r="V287" s="132"/>
      <c r="W287" s="133"/>
      <c r="X287" s="132"/>
      <c r="Y287" s="132"/>
      <c r="Z287" s="132"/>
      <c r="AA287" s="132"/>
    </row>
    <row r="288" spans="1:27" ht="20.10000000000000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>
        <v>42723</v>
      </c>
      <c r="G288" s="128">
        <v>24</v>
      </c>
      <c r="H288" s="554">
        <f t="shared" si="116"/>
        <v>121.68</v>
      </c>
      <c r="I288" s="129">
        <f>4*4</f>
        <v>16</v>
      </c>
      <c r="J288" s="130">
        <f t="array" ref="J288">IF(ISERROR(G288/I288),"",G288/I288)</f>
        <v>1.5</v>
      </c>
      <c r="K288" s="131">
        <f t="array" ref="K288">IF(ISERROR(G288/L288),"",G288/L288)</f>
        <v>2.6666666666666665</v>
      </c>
      <c r="L288" s="129">
        <v>9</v>
      </c>
      <c r="M288" s="109">
        <f t="shared" ref="M288:M290" si="127">IF(ISERROR(I288-K288),"",I288-K288)</f>
        <v>13.333333333333334</v>
      </c>
      <c r="N288" s="130">
        <f t="shared" ref="N288:N290" si="128">SUM(O288:U288)</f>
        <v>0</v>
      </c>
      <c r="O288" s="562"/>
      <c r="P288" s="562"/>
      <c r="Q288" s="562"/>
      <c r="R288" s="562"/>
      <c r="S288" s="562"/>
      <c r="T288" s="562"/>
      <c r="U288" s="562"/>
      <c r="V288" s="132">
        <f t="shared" ref="V288:V290" si="129">SUM(X288:AA288)</f>
        <v>0</v>
      </c>
      <c r="W288" s="133">
        <f t="shared" ref="W288:W312" si="130">IF(ISERROR(V288/G288),"",V288/G288)</f>
        <v>0</v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554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562"/>
      <c r="P289" s="562"/>
      <c r="Q289" s="562"/>
      <c r="R289" s="562"/>
      <c r="S289" s="562"/>
      <c r="T289" s="562"/>
      <c r="U289" s="562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554">
        <f t="shared" si="116"/>
        <v>0</v>
      </c>
      <c r="I290" s="129"/>
      <c r="J290" s="130" t="str">
        <f t="array" ref="J290">IF(ISERROR(G290/I290),"",G290/I290)</f>
        <v/>
      </c>
      <c r="K290" s="554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562"/>
      <c r="P290" s="562"/>
      <c r="Q290" s="562"/>
      <c r="R290" s="562"/>
      <c r="S290" s="562"/>
      <c r="T290" s="562"/>
      <c r="U290" s="562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630" t="s">
        <v>224</v>
      </c>
      <c r="B291" s="631"/>
      <c r="C291" s="563" t="s">
        <v>202</v>
      </c>
      <c r="D291" s="143"/>
      <c r="E291" s="143"/>
      <c r="F291" s="144"/>
      <c r="G291" s="145">
        <f>SUM(G257:G290)</f>
        <v>210</v>
      </c>
      <c r="H291" s="146">
        <f>SUM(H257:H290)</f>
        <v>1051.68</v>
      </c>
      <c r="I291" s="146">
        <f>SUM(I257:I290)</f>
        <v>38</v>
      </c>
      <c r="J291" s="130">
        <f t="array" ref="J291">IF(ISERROR(G291/I291),"",G291/I291)</f>
        <v>5.5263157894736841</v>
      </c>
      <c r="K291" s="146">
        <f>SUM(K257:K290)</f>
        <v>39.866666666666667</v>
      </c>
      <c r="L291" s="147"/>
      <c r="M291" s="150">
        <f t="shared" ref="M291:V291" si="131">SUM(M257:M290)</f>
        <v>-1.8666666666666654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>
        <f t="shared" si="130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>
        <v>42723</v>
      </c>
      <c r="G292" s="128">
        <v>9</v>
      </c>
      <c r="H292" s="554">
        <f t="shared" ref="H292:H306" si="132">D292*G292</f>
        <v>45.27</v>
      </c>
      <c r="I292" s="129">
        <f>0.5*2</f>
        <v>1</v>
      </c>
      <c r="J292" s="130">
        <f t="array" ref="J292">IF(ISERROR(G292/I292),"",G292/I292)</f>
        <v>9</v>
      </c>
      <c r="K292" s="131">
        <f t="array" ref="K292">IF(ISERROR(G292/L292),"",G292/L292)</f>
        <v>0.36</v>
      </c>
      <c r="L292" s="129">
        <v>25</v>
      </c>
      <c r="M292" s="109">
        <f t="shared" ref="M292:M306" si="133">IF(ISERROR(I292-K292),"",I292-K292)</f>
        <v>0.64</v>
      </c>
      <c r="N292" s="130">
        <f t="shared" ref="N292:N306" si="134">SUM(O292:U292)</f>
        <v>0</v>
      </c>
      <c r="O292" s="562"/>
      <c r="P292" s="562"/>
      <c r="Q292" s="562"/>
      <c r="R292" s="562"/>
      <c r="S292" s="562"/>
      <c r="T292" s="562"/>
      <c r="U292" s="562"/>
      <c r="V292" s="132">
        <f t="shared" ref="V292:V306" si="135">SUM(X292:AA292)</f>
        <v>0</v>
      </c>
      <c r="W292" s="133">
        <f t="shared" si="130"/>
        <v>0</v>
      </c>
      <c r="X292" s="132"/>
      <c r="Y292" s="132"/>
      <c r="Z292" s="132"/>
      <c r="AA292" s="132"/>
    </row>
    <row r="293" spans="1:27" ht="20.10000000000000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>
        <v>42723</v>
      </c>
      <c r="G293" s="128">
        <f>90+18+37</f>
        <v>145</v>
      </c>
      <c r="H293" s="554">
        <f t="shared" si="132"/>
        <v>729.35</v>
      </c>
      <c r="I293" s="129">
        <f>6*2</f>
        <v>12</v>
      </c>
      <c r="J293" s="130">
        <f t="array" ref="J293">IF(ISERROR(G293/I293),"",G293/I293)</f>
        <v>12.083333333333334</v>
      </c>
      <c r="K293" s="131">
        <f t="array" ref="K293">IF(ISERROR(G293/L293),"",G293/L293)</f>
        <v>5.8</v>
      </c>
      <c r="L293" s="129">
        <v>25</v>
      </c>
      <c r="M293" s="109">
        <f t="shared" si="133"/>
        <v>6.2</v>
      </c>
      <c r="N293" s="130">
        <f t="shared" si="134"/>
        <v>0</v>
      </c>
      <c r="O293" s="562"/>
      <c r="P293" s="562"/>
      <c r="Q293" s="562"/>
      <c r="R293" s="562"/>
      <c r="S293" s="562"/>
      <c r="T293" s="562"/>
      <c r="U293" s="562"/>
      <c r="V293" s="132">
        <f t="shared" si="135"/>
        <v>0</v>
      </c>
      <c r="W293" s="133">
        <f t="shared" si="130"/>
        <v>0</v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554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3"/>
        <v>0</v>
      </c>
      <c r="N294" s="130">
        <f t="shared" si="134"/>
        <v>0</v>
      </c>
      <c r="O294" s="562"/>
      <c r="P294" s="562"/>
      <c r="Q294" s="562"/>
      <c r="R294" s="562"/>
      <c r="S294" s="562"/>
      <c r="T294" s="562"/>
      <c r="U294" s="562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554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562"/>
      <c r="P295" s="562"/>
      <c r="Q295" s="562"/>
      <c r="R295" s="562"/>
      <c r="S295" s="562"/>
      <c r="T295" s="562"/>
      <c r="U295" s="562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559" t="s">
        <v>203</v>
      </c>
      <c r="D296" s="108">
        <v>5.03</v>
      </c>
      <c r="E296" s="108"/>
      <c r="F296" s="127"/>
      <c r="G296" s="128"/>
      <c r="H296" s="554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562"/>
      <c r="P296" s="562"/>
      <c r="Q296" s="562"/>
      <c r="R296" s="562"/>
      <c r="S296" s="562"/>
      <c r="T296" s="562"/>
      <c r="U296" s="562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554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562"/>
      <c r="P297" s="562"/>
      <c r="Q297" s="562"/>
      <c r="R297" s="562"/>
      <c r="S297" s="562"/>
      <c r="T297" s="562"/>
      <c r="U297" s="562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554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562"/>
      <c r="P298" s="562"/>
      <c r="Q298" s="562"/>
      <c r="R298" s="562"/>
      <c r="S298" s="562"/>
      <c r="T298" s="562"/>
      <c r="U298" s="562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559" t="s">
        <v>228</v>
      </c>
      <c r="D299" s="108">
        <v>5.03</v>
      </c>
      <c r="E299" s="108"/>
      <c r="F299" s="127"/>
      <c r="G299" s="128"/>
      <c r="H299" s="554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562"/>
      <c r="P299" s="562"/>
      <c r="Q299" s="562"/>
      <c r="R299" s="562"/>
      <c r="S299" s="562"/>
      <c r="T299" s="562"/>
      <c r="U299" s="562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559" t="s">
        <v>212</v>
      </c>
      <c r="D300" s="108">
        <v>5.03</v>
      </c>
      <c r="E300" s="108"/>
      <c r="F300" s="127"/>
      <c r="G300" s="128"/>
      <c r="H300" s="554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562"/>
      <c r="P300" s="562"/>
      <c r="Q300" s="562"/>
      <c r="R300" s="562"/>
      <c r="S300" s="562"/>
      <c r="T300" s="562"/>
      <c r="U300" s="562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559" t="s">
        <v>203</v>
      </c>
      <c r="D301" s="108">
        <v>5.03</v>
      </c>
      <c r="E301" s="108"/>
      <c r="F301" s="127"/>
      <c r="G301" s="128"/>
      <c r="H301" s="554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562"/>
      <c r="P301" s="562"/>
      <c r="Q301" s="562"/>
      <c r="R301" s="562"/>
      <c r="S301" s="562"/>
      <c r="T301" s="562"/>
      <c r="U301" s="562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559" t="s">
        <v>186</v>
      </c>
      <c r="D302" s="108">
        <v>5.03</v>
      </c>
      <c r="E302" s="108"/>
      <c r="F302" s="127"/>
      <c r="G302" s="128"/>
      <c r="H302" s="554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562"/>
      <c r="P302" s="562"/>
      <c r="Q302" s="562"/>
      <c r="R302" s="562"/>
      <c r="S302" s="562"/>
      <c r="T302" s="562"/>
      <c r="U302" s="562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559" t="s">
        <v>228</v>
      </c>
      <c r="D303" s="108">
        <v>5.03</v>
      </c>
      <c r="E303" s="108"/>
      <c r="F303" s="127"/>
      <c r="G303" s="128"/>
      <c r="H303" s="554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562"/>
      <c r="P303" s="562"/>
      <c r="Q303" s="562"/>
      <c r="R303" s="562"/>
      <c r="S303" s="562"/>
      <c r="T303" s="562"/>
      <c r="U303" s="562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559" t="s">
        <v>199</v>
      </c>
      <c r="D304" s="108">
        <v>5.03</v>
      </c>
      <c r="E304" s="108"/>
      <c r="F304" s="127"/>
      <c r="G304" s="128"/>
      <c r="H304" s="554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562"/>
      <c r="P304" s="562"/>
      <c r="Q304" s="562"/>
      <c r="R304" s="562"/>
      <c r="S304" s="562"/>
      <c r="T304" s="562"/>
      <c r="U304" s="562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554">
        <f t="shared" si="132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3"/>
        <v>0</v>
      </c>
      <c r="N305" s="130">
        <f t="shared" si="134"/>
        <v>0</v>
      </c>
      <c r="O305" s="562"/>
      <c r="P305" s="562"/>
      <c r="Q305" s="562"/>
      <c r="R305" s="562"/>
      <c r="S305" s="562"/>
      <c r="T305" s="562"/>
      <c r="U305" s="562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554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562"/>
      <c r="P306" s="562"/>
      <c r="Q306" s="562"/>
      <c r="R306" s="562"/>
      <c r="S306" s="562"/>
      <c r="T306" s="562"/>
      <c r="U306" s="562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customHeight="1">
      <c r="A307" s="630" t="s">
        <v>231</v>
      </c>
      <c r="B307" s="631"/>
      <c r="C307" s="563" t="s">
        <v>202</v>
      </c>
      <c r="D307" s="143"/>
      <c r="E307" s="143"/>
      <c r="F307" s="144"/>
      <c r="G307" s="145">
        <f>SUM(G292:G306)</f>
        <v>154</v>
      </c>
      <c r="H307" s="146">
        <f>SUM(H292:H306)</f>
        <v>774.62</v>
      </c>
      <c r="I307" s="146">
        <f>SUM(I292:I306)</f>
        <v>13</v>
      </c>
      <c r="J307" s="130">
        <f t="array" ref="J307">IF(ISERROR(G307/I307),"",G307/I307)</f>
        <v>11.846153846153847</v>
      </c>
      <c r="K307" s="146">
        <f>SUM(K292:K306)</f>
        <v>6.16</v>
      </c>
      <c r="L307" s="146"/>
      <c r="M307" s="150">
        <f>SUM(M292:M306)</f>
        <v>6.84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>
        <f t="shared" si="130"/>
        <v>0</v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554">
        <f t="shared" ref="H308:H316" si="136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7">IF(ISERROR(I308-K308),"",I308-K308)</f>
        <v>0</v>
      </c>
      <c r="N308" s="130">
        <f t="shared" ref="N308:N312" si="138">SUM(O308:U308)</f>
        <v>0</v>
      </c>
      <c r="O308" s="562"/>
      <c r="P308" s="562"/>
      <c r="Q308" s="562"/>
      <c r="R308" s="562"/>
      <c r="S308" s="562"/>
      <c r="T308" s="562"/>
      <c r="U308" s="562"/>
      <c r="V308" s="132">
        <f t="shared" ref="V308:V312" si="139">SUM(X308:AA308)</f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554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562"/>
      <c r="P309" s="562"/>
      <c r="Q309" s="562"/>
      <c r="R309" s="562"/>
      <c r="S309" s="562"/>
      <c r="T309" s="562"/>
      <c r="U309" s="562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554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562"/>
      <c r="P310" s="562"/>
      <c r="Q310" s="562"/>
      <c r="R310" s="562"/>
      <c r="S310" s="562"/>
      <c r="T310" s="562"/>
      <c r="U310" s="562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554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562"/>
      <c r="P311" s="562"/>
      <c r="Q311" s="562"/>
      <c r="R311" s="562"/>
      <c r="S311" s="562"/>
      <c r="T311" s="562"/>
      <c r="U311" s="562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554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562"/>
      <c r="P312" s="562"/>
      <c r="Q312" s="562"/>
      <c r="R312" s="562"/>
      <c r="S312" s="562"/>
      <c r="T312" s="562"/>
      <c r="U312" s="562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554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562"/>
      <c r="P313" s="562"/>
      <c r="Q313" s="562"/>
      <c r="R313" s="562"/>
      <c r="S313" s="562"/>
      <c r="T313" s="562"/>
      <c r="U313" s="562"/>
      <c r="V313" s="132"/>
      <c r="W313" s="133"/>
      <c r="X313" s="132"/>
      <c r="Y313" s="132"/>
      <c r="Z313" s="132"/>
      <c r="AA313" s="132"/>
    </row>
    <row r="314" spans="1:27" ht="20.100000000000001" hidden="1" customHeight="1">
      <c r="A314" s="300">
        <v>30400020</v>
      </c>
      <c r="B314" s="134" t="s">
        <v>439</v>
      </c>
      <c r="C314" s="187" t="s">
        <v>74</v>
      </c>
      <c r="D314" s="108">
        <v>5.03</v>
      </c>
      <c r="E314" s="108"/>
      <c r="F314" s="127"/>
      <c r="G314" s="128"/>
      <c r="H314" s="554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562"/>
      <c r="P314" s="562"/>
      <c r="Q314" s="562"/>
      <c r="R314" s="562"/>
      <c r="S314" s="562"/>
      <c r="T314" s="562"/>
      <c r="U314" s="562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30400021</v>
      </c>
      <c r="B315" s="134" t="s">
        <v>439</v>
      </c>
      <c r="C315" s="187" t="s">
        <v>53</v>
      </c>
      <c r="D315" s="108">
        <v>5.03</v>
      </c>
      <c r="E315" s="108"/>
      <c r="F315" s="127"/>
      <c r="G315" s="128"/>
      <c r="H315" s="554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562"/>
      <c r="P315" s="562"/>
      <c r="Q315" s="562"/>
      <c r="R315" s="562"/>
      <c r="S315" s="562"/>
      <c r="T315" s="562"/>
      <c r="U315" s="562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554">
        <f t="shared" si="136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0">IF(ISERROR(I316-K316),"",I316-K316)</f>
        <v>0</v>
      </c>
      <c r="N316" s="130">
        <f t="shared" ref="N316" si="141">SUM(O316:U316)</f>
        <v>0</v>
      </c>
      <c r="O316" s="562"/>
      <c r="P316" s="562"/>
      <c r="Q316" s="562"/>
      <c r="R316" s="562"/>
      <c r="S316" s="562"/>
      <c r="T316" s="562"/>
      <c r="U316" s="562"/>
      <c r="V316" s="132">
        <f t="shared" ref="V316" si="142">SUM(X316:AA316)</f>
        <v>0</v>
      </c>
      <c r="W316" s="133" t="str">
        <f t="shared" ref="W316:W321" si="143">IF(ISERROR(V316/G316),"",V316/G316)</f>
        <v/>
      </c>
      <c r="X316" s="132"/>
      <c r="Y316" s="132"/>
      <c r="Z316" s="132"/>
      <c r="AA316" s="132"/>
    </row>
    <row r="317" spans="1:27" ht="20.100000000000001" hidden="1" customHeight="1">
      <c r="A317" s="630" t="s">
        <v>234</v>
      </c>
      <c r="B317" s="631"/>
      <c r="C317" s="563" t="s">
        <v>202</v>
      </c>
      <c r="D317" s="143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3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560"/>
      <c r="D318" s="108">
        <v>3.65</v>
      </c>
      <c r="E318" s="108"/>
      <c r="F318" s="153"/>
      <c r="G318" s="128"/>
      <c r="H318" s="554">
        <f t="shared" ref="H318:H331" si="144">D318*G318</f>
        <v>0</v>
      </c>
      <c r="I318" s="129"/>
      <c r="J318" s="130" t="str">
        <f t="array" ref="J318">IF(ISERROR(G318/I318),"",G318/I318)</f>
        <v/>
      </c>
      <c r="K318" s="554">
        <f t="array" ref="K318">IF(ISERROR(G318/L318),"",G318/L318)</f>
        <v>0</v>
      </c>
      <c r="L318" s="129">
        <v>5</v>
      </c>
      <c r="M318" s="109">
        <f t="shared" ref="M318:M321" si="145">IF(ISERROR(I318-K318),"",I318-K318)</f>
        <v>0</v>
      </c>
      <c r="N318" s="130">
        <f t="shared" ref="N318:N321" si="146">SUM(O318:U318)</f>
        <v>0</v>
      </c>
      <c r="O318" s="562"/>
      <c r="P318" s="562"/>
      <c r="Q318" s="562"/>
      <c r="R318" s="562"/>
      <c r="S318" s="562"/>
      <c r="T318" s="562"/>
      <c r="U318" s="562"/>
      <c r="V318" s="132">
        <f t="shared" ref="V318:V321" si="147">SUM(X318:AA318)</f>
        <v>0</v>
      </c>
      <c r="W318" s="133" t="str">
        <f t="shared" si="143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560"/>
      <c r="D319" s="108">
        <v>6.58</v>
      </c>
      <c r="E319" s="108"/>
      <c r="F319" s="127"/>
      <c r="G319" s="128"/>
      <c r="H319" s="554">
        <f t="shared" si="144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5"/>
        <v>0</v>
      </c>
      <c r="N319" s="130">
        <f t="shared" si="146"/>
        <v>0</v>
      </c>
      <c r="O319" s="562"/>
      <c r="P319" s="562"/>
      <c r="Q319" s="562"/>
      <c r="R319" s="562"/>
      <c r="S319" s="562"/>
      <c r="T319" s="562"/>
      <c r="U319" s="562"/>
      <c r="V319" s="132">
        <f t="shared" si="147"/>
        <v>0</v>
      </c>
      <c r="W319" s="133" t="str">
        <f t="shared" si="143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560"/>
      <c r="D320" s="108">
        <v>7.8</v>
      </c>
      <c r="E320" s="108"/>
      <c r="F320" s="127"/>
      <c r="G320" s="128"/>
      <c r="H320" s="554">
        <f t="shared" si="144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5"/>
        <v>0</v>
      </c>
      <c r="N320" s="130">
        <f t="shared" si="146"/>
        <v>0</v>
      </c>
      <c r="O320" s="562"/>
      <c r="P320" s="562"/>
      <c r="Q320" s="562"/>
      <c r="R320" s="562"/>
      <c r="S320" s="562"/>
      <c r="T320" s="562"/>
      <c r="U320" s="562"/>
      <c r="V320" s="132">
        <f t="shared" si="147"/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560"/>
      <c r="D321" s="108">
        <v>4.4000000000000004</v>
      </c>
      <c r="E321" s="108"/>
      <c r="F321" s="127"/>
      <c r="G321" s="128"/>
      <c r="H321" s="554">
        <f t="shared" si="144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5"/>
        <v>0</v>
      </c>
      <c r="N321" s="130">
        <f t="shared" si="146"/>
        <v>0</v>
      </c>
      <c r="O321" s="562"/>
      <c r="P321" s="562"/>
      <c r="Q321" s="562"/>
      <c r="R321" s="562"/>
      <c r="S321" s="562"/>
      <c r="T321" s="562"/>
      <c r="U321" s="562"/>
      <c r="V321" s="132">
        <f t="shared" si="147"/>
        <v>0</v>
      </c>
      <c r="W321" s="133" t="str">
        <f t="shared" si="143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560"/>
      <c r="D322" s="108"/>
      <c r="E322" s="108"/>
      <c r="F322" s="127"/>
      <c r="G322" s="128"/>
      <c r="H322" s="554">
        <f t="shared" si="144"/>
        <v>0</v>
      </c>
      <c r="I322" s="129"/>
      <c r="J322" s="130"/>
      <c r="K322" s="131"/>
      <c r="L322" s="129">
        <v>6</v>
      </c>
      <c r="M322" s="109"/>
      <c r="N322" s="130"/>
      <c r="O322" s="562"/>
      <c r="P322" s="562"/>
      <c r="Q322" s="562"/>
      <c r="R322" s="562"/>
      <c r="S322" s="562"/>
      <c r="T322" s="562"/>
      <c r="U322" s="562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560" t="s">
        <v>239</v>
      </c>
      <c r="C323" s="560" t="s">
        <v>179</v>
      </c>
      <c r="D323" s="108">
        <v>6.04</v>
      </c>
      <c r="E323" s="108"/>
      <c r="F323" s="127"/>
      <c r="G323" s="128"/>
      <c r="H323" s="554">
        <f t="shared" si="144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8">IF(ISERROR(I323-K323),"",I323-K323)</f>
        <v>0</v>
      </c>
      <c r="N323" s="130">
        <f t="shared" ref="N323:N324" si="149">SUM(O323:U323)</f>
        <v>0</v>
      </c>
      <c r="O323" s="562"/>
      <c r="P323" s="562"/>
      <c r="Q323" s="562"/>
      <c r="R323" s="562"/>
      <c r="S323" s="562"/>
      <c r="T323" s="562"/>
      <c r="U323" s="562"/>
      <c r="V323" s="132">
        <f t="shared" ref="V323:V324" si="150">SUM(X323:AA323)</f>
        <v>0</v>
      </c>
      <c r="W323" s="133" t="str">
        <f t="shared" ref="W323:W324" si="151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560" t="s">
        <v>239</v>
      </c>
      <c r="C324" s="560" t="s">
        <v>186</v>
      </c>
      <c r="D324" s="108">
        <v>6.04</v>
      </c>
      <c r="E324" s="108"/>
      <c r="F324" s="127"/>
      <c r="G324" s="128"/>
      <c r="H324" s="554">
        <f t="shared" si="144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8"/>
        <v>0</v>
      </c>
      <c r="N324" s="130">
        <f t="shared" si="149"/>
        <v>0</v>
      </c>
      <c r="O324" s="562"/>
      <c r="P324" s="562"/>
      <c r="Q324" s="562"/>
      <c r="R324" s="562"/>
      <c r="S324" s="562"/>
      <c r="T324" s="562"/>
      <c r="U324" s="562"/>
      <c r="V324" s="132">
        <f t="shared" si="150"/>
        <v>0</v>
      </c>
      <c r="W324" s="133" t="str">
        <f t="shared" si="151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560" t="s">
        <v>443</v>
      </c>
      <c r="C325" s="560" t="s">
        <v>179</v>
      </c>
      <c r="D325" s="108">
        <v>6</v>
      </c>
      <c r="E325" s="108"/>
      <c r="F325" s="127"/>
      <c r="G325" s="128"/>
      <c r="H325" s="554">
        <f t="shared" si="144"/>
        <v>0</v>
      </c>
      <c r="I325" s="129"/>
      <c r="J325" s="130"/>
      <c r="K325" s="131"/>
      <c r="L325" s="129"/>
      <c r="M325" s="109"/>
      <c r="N325" s="130"/>
      <c r="O325" s="562"/>
      <c r="P325" s="562"/>
      <c r="Q325" s="562"/>
      <c r="R325" s="562"/>
      <c r="S325" s="562"/>
      <c r="T325" s="562"/>
      <c r="U325" s="562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560" t="s">
        <v>443</v>
      </c>
      <c r="C326" s="560" t="s">
        <v>60</v>
      </c>
      <c r="D326" s="108">
        <v>6</v>
      </c>
      <c r="E326" s="108"/>
      <c r="F326" s="127"/>
      <c r="G326" s="128"/>
      <c r="H326" s="554">
        <f t="shared" si="144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562"/>
      <c r="P326" s="562"/>
      <c r="Q326" s="562"/>
      <c r="R326" s="562"/>
      <c r="S326" s="562"/>
      <c r="T326" s="562"/>
      <c r="U326" s="562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553" t="s">
        <v>240</v>
      </c>
      <c r="C327" s="126"/>
      <c r="D327" s="108">
        <v>7.3</v>
      </c>
      <c r="E327" s="108"/>
      <c r="F327" s="127"/>
      <c r="G327" s="128"/>
      <c r="H327" s="554">
        <f t="shared" si="144"/>
        <v>0</v>
      </c>
      <c r="I327" s="129"/>
      <c r="J327" s="130"/>
      <c r="K327" s="131"/>
      <c r="L327" s="129"/>
      <c r="M327" s="109"/>
      <c r="N327" s="130"/>
      <c r="O327" s="562"/>
      <c r="P327" s="562"/>
      <c r="Q327" s="562"/>
      <c r="R327" s="562"/>
      <c r="S327" s="562"/>
      <c r="T327" s="562"/>
      <c r="U327" s="562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553" t="s">
        <v>241</v>
      </c>
      <c r="C328" s="126"/>
      <c r="D328" s="108">
        <f>78*120/1000</f>
        <v>9.36</v>
      </c>
      <c r="E328" s="108"/>
      <c r="F328" s="127"/>
      <c r="G328" s="128"/>
      <c r="H328" s="554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2">SUM(O328:U328)</f>
        <v>0</v>
      </c>
      <c r="O328" s="562"/>
      <c r="P328" s="562"/>
      <c r="Q328" s="562"/>
      <c r="R328" s="562"/>
      <c r="S328" s="562"/>
      <c r="T328" s="562"/>
      <c r="U328" s="562"/>
      <c r="V328" s="132">
        <f t="shared" ref="V328" si="153">SUM(X328:AA328)</f>
        <v>0</v>
      </c>
      <c r="W328" s="133" t="str">
        <f t="shared" ref="W328" si="154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553" t="s">
        <v>242</v>
      </c>
      <c r="C329" s="126"/>
      <c r="D329" s="108">
        <v>4.5</v>
      </c>
      <c r="E329" s="108"/>
      <c r="F329" s="127"/>
      <c r="G329" s="128"/>
      <c r="H329" s="554">
        <f t="shared" si="144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562"/>
      <c r="P329" s="562"/>
      <c r="Q329" s="562"/>
      <c r="R329" s="562"/>
      <c r="S329" s="562"/>
      <c r="T329" s="562"/>
      <c r="U329" s="562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553" t="s">
        <v>243</v>
      </c>
      <c r="C330" s="126"/>
      <c r="D330" s="108">
        <v>4.5</v>
      </c>
      <c r="E330" s="108"/>
      <c r="F330" s="127"/>
      <c r="G330" s="128"/>
      <c r="H330" s="554">
        <f t="shared" si="144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562"/>
      <c r="P330" s="562"/>
      <c r="Q330" s="562"/>
      <c r="R330" s="562"/>
      <c r="S330" s="562"/>
      <c r="T330" s="562"/>
      <c r="U330" s="562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554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562"/>
      <c r="P331" s="562"/>
      <c r="Q331" s="562"/>
      <c r="R331" s="562"/>
      <c r="S331" s="562"/>
      <c r="T331" s="562"/>
      <c r="U331" s="562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630" t="s">
        <v>244</v>
      </c>
      <c r="B332" s="631"/>
      <c r="C332" s="563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5">SUM(M318:M328)</f>
        <v>0</v>
      </c>
      <c r="N332" s="146">
        <f t="shared" si="155"/>
        <v>0</v>
      </c>
      <c r="O332" s="148">
        <f t="shared" si="155"/>
        <v>0</v>
      </c>
      <c r="P332" s="148">
        <f t="shared" si="155"/>
        <v>0</v>
      </c>
      <c r="Q332" s="148">
        <f t="shared" si="155"/>
        <v>0</v>
      </c>
      <c r="R332" s="148">
        <f t="shared" si="155"/>
        <v>0</v>
      </c>
      <c r="S332" s="148">
        <f t="shared" si="155"/>
        <v>0</v>
      </c>
      <c r="T332" s="148">
        <f t="shared" si="155"/>
        <v>0</v>
      </c>
      <c r="U332" s="148">
        <f t="shared" si="155"/>
        <v>0</v>
      </c>
      <c r="V332" s="149">
        <f t="shared" si="155"/>
        <v>0</v>
      </c>
      <c r="W332" s="133">
        <f t="shared" si="155"/>
        <v>0</v>
      </c>
      <c r="X332" s="149">
        <f t="shared" si="155"/>
        <v>0</v>
      </c>
      <c r="Y332" s="149">
        <f t="shared" si="155"/>
        <v>0</v>
      </c>
      <c r="Z332" s="149">
        <f t="shared" si="155"/>
        <v>0</v>
      </c>
      <c r="AA332" s="149">
        <f t="shared" si="155"/>
        <v>0</v>
      </c>
    </row>
    <row r="333" spans="1:27" ht="20.100000000000001" customHeight="1">
      <c r="A333" s="632" t="s">
        <v>246</v>
      </c>
      <c r="B333" s="633"/>
      <c r="C333" s="633"/>
      <c r="D333" s="633"/>
      <c r="E333" s="633"/>
      <c r="F333" s="634"/>
      <c r="G333" s="154">
        <f>SUM(G198,G256,G291,G307,G317,G332)</f>
        <v>2776</v>
      </c>
      <c r="H333" s="154">
        <f>SUM(H198,H256,H291,H307,H317,H332)</f>
        <v>14005.26</v>
      </c>
      <c r="I333" s="154">
        <f>SUM(I198,I256,I291,I307,I317,I332)</f>
        <v>127.5</v>
      </c>
      <c r="J333" s="155">
        <f t="array" ref="J333">IF(ISERROR(G333/I333),"",G333/I333)</f>
        <v>21.772549019607844</v>
      </c>
      <c r="K333" s="154">
        <f>SUM(K198,K256,K291,K307,K317,K332)</f>
        <v>146.64739495798321</v>
      </c>
      <c r="L333" s="155">
        <f>IF(ISERROR(G333/K333),"",G333/K333)</f>
        <v>18.929760060145412</v>
      </c>
      <c r="M333" s="154">
        <f t="shared" ref="M333:AA333" si="156">SUM(M198,M256,M291,M307,M317,M332)</f>
        <v>-19.147394957983199</v>
      </c>
      <c r="N333" s="154">
        <f t="shared" si="156"/>
        <v>0</v>
      </c>
      <c r="O333" s="154">
        <f t="shared" si="156"/>
        <v>0</v>
      </c>
      <c r="P333" s="154">
        <f t="shared" si="156"/>
        <v>0</v>
      </c>
      <c r="Q333" s="154">
        <f t="shared" si="156"/>
        <v>0</v>
      </c>
      <c r="R333" s="154">
        <f t="shared" si="156"/>
        <v>0</v>
      </c>
      <c r="S333" s="154">
        <f t="shared" si="156"/>
        <v>0</v>
      </c>
      <c r="T333" s="154">
        <f t="shared" si="156"/>
        <v>0</v>
      </c>
      <c r="U333" s="154">
        <f t="shared" si="156"/>
        <v>0</v>
      </c>
      <c r="V333" s="154">
        <f t="shared" si="156"/>
        <v>0</v>
      </c>
      <c r="W333" s="154">
        <f t="shared" si="156"/>
        <v>0</v>
      </c>
      <c r="X333" s="154">
        <f t="shared" si="156"/>
        <v>0</v>
      </c>
      <c r="Y333" s="154">
        <f t="shared" si="156"/>
        <v>0</v>
      </c>
      <c r="Z333" s="154">
        <f t="shared" si="156"/>
        <v>0</v>
      </c>
      <c r="AA333" s="154">
        <f t="shared" si="156"/>
        <v>0</v>
      </c>
    </row>
    <row r="334" spans="1:27" ht="20.100000000000001" customHeight="1">
      <c r="A334" s="635" t="s">
        <v>476</v>
      </c>
      <c r="B334" s="556" t="s">
        <v>247</v>
      </c>
      <c r="C334" s="638" t="s">
        <v>248</v>
      </c>
      <c r="D334" s="639"/>
      <c r="E334" s="640" t="s">
        <v>249</v>
      </c>
      <c r="F334" s="640"/>
      <c r="G334" s="643" t="s">
        <v>250</v>
      </c>
      <c r="H334" s="643"/>
      <c r="I334" s="640" t="s">
        <v>251</v>
      </c>
      <c r="J334" s="640"/>
      <c r="K334" s="640" t="s">
        <v>252</v>
      </c>
      <c r="L334" s="640"/>
      <c r="M334" s="640" t="s">
        <v>253</v>
      </c>
      <c r="N334" s="640"/>
      <c r="O334" s="640" t="s">
        <v>254</v>
      </c>
      <c r="P334" s="643" t="s">
        <v>255</v>
      </c>
      <c r="Q334" s="643"/>
      <c r="R334" s="643" t="s">
        <v>252</v>
      </c>
      <c r="S334" s="643"/>
      <c r="T334" s="643" t="s">
        <v>256</v>
      </c>
      <c r="U334" s="643"/>
      <c r="V334" s="643" t="s">
        <v>257</v>
      </c>
      <c r="W334" s="643"/>
      <c r="X334" s="643" t="s">
        <v>252</v>
      </c>
      <c r="Y334" s="643"/>
      <c r="Z334" s="643" t="s">
        <v>256</v>
      </c>
      <c r="AA334" s="643"/>
    </row>
    <row r="335" spans="1:27" ht="20.100000000000001" customHeight="1">
      <c r="A335" s="636"/>
      <c r="B335" s="556" t="s">
        <v>258</v>
      </c>
      <c r="C335" s="678">
        <v>1</v>
      </c>
      <c r="D335" s="679"/>
      <c r="E335" s="642">
        <f>C335*11</f>
        <v>11</v>
      </c>
      <c r="F335" s="642"/>
      <c r="G335" s="643">
        <v>1</v>
      </c>
      <c r="H335" s="643"/>
      <c r="I335" s="642">
        <f>G335*11</f>
        <v>11</v>
      </c>
      <c r="J335" s="642"/>
      <c r="K335" s="642">
        <f>E335-I335</f>
        <v>0</v>
      </c>
      <c r="L335" s="642"/>
      <c r="M335" s="644">
        <f>IF(ISERROR(K335/E335),"",K335/E335)</f>
        <v>0</v>
      </c>
      <c r="N335" s="644"/>
      <c r="O335" s="640"/>
      <c r="P335" s="643" t="s">
        <v>201</v>
      </c>
      <c r="Q335" s="643"/>
      <c r="R335" s="645">
        <f>SUM(O198:U198)</f>
        <v>0</v>
      </c>
      <c r="S335" s="645"/>
      <c r="T335" s="646" t="str">
        <f t="array" ref="T335">IF(ISERROR(R335/R342),"",R335/R342)</f>
        <v/>
      </c>
      <c r="U335" s="646"/>
      <c r="V335" s="643" t="s">
        <v>259</v>
      </c>
      <c r="W335" s="643"/>
      <c r="X335" s="680">
        <f>SUM(P197,P255,P290,P306,P316,P331)</f>
        <v>0</v>
      </c>
      <c r="Y335" s="681"/>
      <c r="Z335" s="646" t="str">
        <f t="array" ref="Z335">IF(ISERROR(X335/X342),"",X335/X342)</f>
        <v/>
      </c>
      <c r="AA335" s="646"/>
    </row>
    <row r="336" spans="1:27" ht="20.100000000000001" customHeight="1">
      <c r="A336" s="636"/>
      <c r="B336" s="556" t="s">
        <v>260</v>
      </c>
      <c r="C336" s="638">
        <v>0</v>
      </c>
      <c r="D336" s="639"/>
      <c r="E336" s="642">
        <f>C336*11</f>
        <v>0</v>
      </c>
      <c r="F336" s="642"/>
      <c r="G336" s="643">
        <v>0</v>
      </c>
      <c r="H336" s="643"/>
      <c r="I336" s="642">
        <f>G336*11</f>
        <v>0</v>
      </c>
      <c r="J336" s="642"/>
      <c r="K336" s="642">
        <f>E336-I336</f>
        <v>0</v>
      </c>
      <c r="L336" s="642"/>
      <c r="M336" s="644" t="str">
        <f>IF(ISERROR(K336/E336),"",K336/E336)</f>
        <v/>
      </c>
      <c r="N336" s="644"/>
      <c r="O336" s="640"/>
      <c r="P336" s="643" t="s">
        <v>216</v>
      </c>
      <c r="Q336" s="643"/>
      <c r="R336" s="645">
        <f>SUM(O256:U256)</f>
        <v>0</v>
      </c>
      <c r="S336" s="645"/>
      <c r="T336" s="646" t="str">
        <f>IF(ISERROR(R336/R342),"",R336/R342)</f>
        <v/>
      </c>
      <c r="U336" s="646"/>
      <c r="V336" s="643" t="s">
        <v>261</v>
      </c>
      <c r="W336" s="643"/>
      <c r="X336" s="680">
        <f>SUM(P198,P256,P291,P307,P317,P332)</f>
        <v>0</v>
      </c>
      <c r="Y336" s="681"/>
      <c r="Z336" s="646" t="str">
        <f>IF(ISERROR(X336/X342),"",X336/X342)</f>
        <v/>
      </c>
      <c r="AA336" s="646"/>
    </row>
    <row r="337" spans="1:27" ht="20.100000000000001" customHeight="1">
      <c r="A337" s="636"/>
      <c r="B337" s="556" t="s">
        <v>262</v>
      </c>
      <c r="C337" s="638">
        <v>0</v>
      </c>
      <c r="D337" s="639"/>
      <c r="E337" s="642">
        <f>C337*8</f>
        <v>0</v>
      </c>
      <c r="F337" s="642"/>
      <c r="G337" s="643">
        <v>1</v>
      </c>
      <c r="H337" s="643"/>
      <c r="I337" s="642">
        <f>G337*8</f>
        <v>8</v>
      </c>
      <c r="J337" s="642"/>
      <c r="K337" s="642">
        <f>E337-I337</f>
        <v>-8</v>
      </c>
      <c r="L337" s="642"/>
      <c r="M337" s="644" t="str">
        <f>IF(ISERROR(K337/E337),"",K337/E337)</f>
        <v/>
      </c>
      <c r="N337" s="644"/>
      <c r="O337" s="640"/>
      <c r="P337" s="643" t="s">
        <v>224</v>
      </c>
      <c r="Q337" s="643"/>
      <c r="R337" s="645">
        <f>SUM(O291:U291)</f>
        <v>0</v>
      </c>
      <c r="S337" s="645"/>
      <c r="T337" s="646" t="str">
        <f>IF(ISERROR(R337/R342),"",R337/R342)</f>
        <v/>
      </c>
      <c r="U337" s="646"/>
      <c r="V337" s="643" t="s">
        <v>263</v>
      </c>
      <c r="W337" s="643"/>
      <c r="X337" s="680">
        <f>SUM(P199,P257,P292,P308,P318,P333)</f>
        <v>0</v>
      </c>
      <c r="Y337" s="681"/>
      <c r="Z337" s="646" t="str">
        <f>IF(ISERROR(X337/X342),"",X337/X342)</f>
        <v/>
      </c>
      <c r="AA337" s="646"/>
    </row>
    <row r="338" spans="1:27" ht="20.100000000000001" customHeight="1">
      <c r="A338" s="636"/>
      <c r="B338" s="556" t="s">
        <v>264</v>
      </c>
      <c r="C338" s="638">
        <v>1</v>
      </c>
      <c r="D338" s="639"/>
      <c r="E338" s="642">
        <f>C338*11</f>
        <v>11</v>
      </c>
      <c r="F338" s="642"/>
      <c r="G338" s="643">
        <v>1</v>
      </c>
      <c r="H338" s="643"/>
      <c r="I338" s="642">
        <f>G338*11</f>
        <v>11</v>
      </c>
      <c r="J338" s="642"/>
      <c r="K338" s="642">
        <f>E338-I338</f>
        <v>0</v>
      </c>
      <c r="L338" s="642"/>
      <c r="M338" s="644">
        <f>IF(ISERROR(K338/E338),"",K338/E338)</f>
        <v>0</v>
      </c>
      <c r="N338" s="644"/>
      <c r="O338" s="640"/>
      <c r="P338" s="643" t="s">
        <v>231</v>
      </c>
      <c r="Q338" s="643"/>
      <c r="R338" s="645">
        <f>SUM(O307:U307)</f>
        <v>0</v>
      </c>
      <c r="S338" s="645"/>
      <c r="T338" s="646" t="str">
        <f>IF(ISERROR(R338/R342),"",R338/R342)</f>
        <v/>
      </c>
      <c r="U338" s="646"/>
      <c r="V338" s="643" t="s">
        <v>265</v>
      </c>
      <c r="W338" s="643"/>
      <c r="X338" s="680">
        <f>SUM(P201,P258,P293,P309,P319,P334)</f>
        <v>0</v>
      </c>
      <c r="Y338" s="681"/>
      <c r="Z338" s="646" t="str">
        <f>IF(ISERROR(X338/X342),"",X338/X342)</f>
        <v/>
      </c>
      <c r="AA338" s="646"/>
    </row>
    <row r="339" spans="1:27" ht="20.100000000000001" customHeight="1">
      <c r="A339" s="637"/>
      <c r="B339" s="556" t="s">
        <v>266</v>
      </c>
      <c r="C339" s="648">
        <f>SUM(C335:D338)</f>
        <v>2</v>
      </c>
      <c r="D339" s="649"/>
      <c r="E339" s="642">
        <f>SUM(E335:F338)</f>
        <v>22</v>
      </c>
      <c r="F339" s="642"/>
      <c r="G339" s="643">
        <f>SUM(G335:H338)</f>
        <v>3</v>
      </c>
      <c r="H339" s="643"/>
      <c r="I339" s="642">
        <f>SUM(I335:J338)</f>
        <v>30</v>
      </c>
      <c r="J339" s="642"/>
      <c r="K339" s="642">
        <f>SUM(K335:L338)</f>
        <v>-8</v>
      </c>
      <c r="L339" s="642"/>
      <c r="M339" s="644">
        <f>IF(ISERROR(K339/E339),"",K339/E339)</f>
        <v>-0.36363636363636365</v>
      </c>
      <c r="N339" s="644"/>
      <c r="O339" s="640"/>
      <c r="P339" s="643" t="s">
        <v>234</v>
      </c>
      <c r="Q339" s="643"/>
      <c r="R339" s="645">
        <f>SUM(O317:U317)</f>
        <v>0</v>
      </c>
      <c r="S339" s="645"/>
      <c r="T339" s="646" t="str">
        <f>IF(ISERROR(R339/R342),"",R339/R342)</f>
        <v/>
      </c>
      <c r="U339" s="646"/>
      <c r="V339" s="643" t="s">
        <v>267</v>
      </c>
      <c r="W339" s="643"/>
      <c r="X339" s="680">
        <f>SUM(P202,P259,P294,P310,P320,P335)</f>
        <v>0</v>
      </c>
      <c r="Y339" s="681"/>
      <c r="Z339" s="646" t="str">
        <f>IF(ISERROR(X339/X342),"",X339/X342)</f>
        <v/>
      </c>
      <c r="AA339" s="646"/>
    </row>
    <row r="340" spans="1:27" ht="20.100000000000001" customHeight="1">
      <c r="A340" s="309" t="s">
        <v>477</v>
      </c>
      <c r="B340" s="556">
        <f>G333</f>
        <v>2776</v>
      </c>
      <c r="C340" s="650" t="s">
        <v>269</v>
      </c>
      <c r="D340" s="651"/>
      <c r="E340" s="643">
        <f>H333</f>
        <v>14005.26</v>
      </c>
      <c r="F340" s="643"/>
      <c r="G340" s="643" t="s">
        <v>270</v>
      </c>
      <c r="H340" s="643"/>
      <c r="I340" s="652">
        <f>L333</f>
        <v>18.929760060145412</v>
      </c>
      <c r="J340" s="652"/>
      <c r="K340" s="640" t="s">
        <v>271</v>
      </c>
      <c r="L340" s="640"/>
      <c r="M340" s="652">
        <f>J333</f>
        <v>21.772549019607844</v>
      </c>
      <c r="N340" s="652"/>
      <c r="O340" s="640"/>
      <c r="P340" s="643" t="s">
        <v>244</v>
      </c>
      <c r="Q340" s="643"/>
      <c r="R340" s="645">
        <f>SUM(O332:U332)</f>
        <v>0</v>
      </c>
      <c r="S340" s="645"/>
      <c r="T340" s="646" t="str">
        <f>IF(ISERROR(R340/R342),"",R340/R342)</f>
        <v/>
      </c>
      <c r="U340" s="646"/>
      <c r="V340" s="643" t="s">
        <v>272</v>
      </c>
      <c r="W340" s="643"/>
      <c r="X340" s="680">
        <f>SUM(P203,P260,P295,P311,P321,P336)</f>
        <v>0</v>
      </c>
      <c r="Y340" s="681"/>
      <c r="Z340" s="646" t="str">
        <f>IF(ISERROR(X340/X342),"",X340/X342)</f>
        <v/>
      </c>
      <c r="AA340" s="646"/>
    </row>
    <row r="341" spans="1:27" ht="20.100000000000001" customHeight="1">
      <c r="A341" s="310" t="s">
        <v>478</v>
      </c>
      <c r="B341" s="556">
        <f>I333+C339</f>
        <v>129.5</v>
      </c>
      <c r="C341" s="653" t="s">
        <v>251</v>
      </c>
      <c r="D341" s="654"/>
      <c r="E341" s="655">
        <f>K333+I339</f>
        <v>176.64739495798321</v>
      </c>
      <c r="F341" s="655"/>
      <c r="G341" s="643" t="s">
        <v>274</v>
      </c>
      <c r="H341" s="643"/>
      <c r="I341" s="652">
        <f>B341-E341</f>
        <v>-47.147394957983209</v>
      </c>
      <c r="J341" s="652"/>
      <c r="K341" s="640" t="s">
        <v>275</v>
      </c>
      <c r="L341" s="640"/>
      <c r="M341" s="644">
        <f>IF(ISERROR(I341/E341),"",I341/E341)</f>
        <v>-0.26690116188352248</v>
      </c>
      <c r="N341" s="644"/>
      <c r="O341" s="640"/>
      <c r="P341" s="643" t="s">
        <v>245</v>
      </c>
      <c r="Q341" s="643"/>
      <c r="R341" s="645"/>
      <c r="S341" s="645"/>
      <c r="T341" s="646" t="str">
        <f>IF(ISERROR(R341/R342),"",R341/R342)</f>
        <v/>
      </c>
      <c r="U341" s="646"/>
      <c r="V341" s="643" t="s">
        <v>264</v>
      </c>
      <c r="W341" s="643"/>
      <c r="X341" s="680">
        <f>SUM(P204,P261,P296,P312,P322,P337)</f>
        <v>0</v>
      </c>
      <c r="Y341" s="681"/>
      <c r="Z341" s="646" t="str">
        <f>IF(ISERROR(X341/X342),"",X341/X342)</f>
        <v/>
      </c>
      <c r="AA341" s="646"/>
    </row>
    <row r="342" spans="1:27" ht="20.100000000000001" customHeight="1">
      <c r="A342" s="310" t="s">
        <v>479</v>
      </c>
      <c r="B342" s="556">
        <f>N333</f>
        <v>0</v>
      </c>
      <c r="C342" s="653" t="s">
        <v>277</v>
      </c>
      <c r="D342" s="654"/>
      <c r="E342" s="646">
        <f>IF(ISERROR(B342/B341),"",B342/B341)</f>
        <v>0</v>
      </c>
      <c r="F342" s="646"/>
      <c r="G342" s="643" t="s">
        <v>278</v>
      </c>
      <c r="H342" s="643"/>
      <c r="I342" s="640">
        <f>V333</f>
        <v>0</v>
      </c>
      <c r="J342" s="640"/>
      <c r="K342" s="640" t="s">
        <v>279</v>
      </c>
      <c r="L342" s="640"/>
      <c r="M342" s="644">
        <f t="array" ref="M342">IF(ISERROR(I342/B340),"",I342/B340)</f>
        <v>0</v>
      </c>
      <c r="N342" s="644"/>
      <c r="O342" s="640"/>
      <c r="P342" s="643" t="s">
        <v>266</v>
      </c>
      <c r="Q342" s="643"/>
      <c r="R342" s="645">
        <f>SUM(R335:S341)</f>
        <v>0</v>
      </c>
      <c r="S342" s="645"/>
      <c r="T342" s="646"/>
      <c r="U342" s="646"/>
      <c r="V342" s="643" t="s">
        <v>266</v>
      </c>
      <c r="W342" s="643"/>
      <c r="X342" s="647">
        <f>SUM(X335:Y341)</f>
        <v>0</v>
      </c>
      <c r="Y342" s="647"/>
      <c r="Z342" s="646"/>
      <c r="AA342" s="646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56" t="s">
        <v>480</v>
      </c>
      <c r="B344" s="659" t="s">
        <v>280</v>
      </c>
      <c r="C344" s="659" t="s">
        <v>281</v>
      </c>
      <c r="D344" s="659" t="s">
        <v>282</v>
      </c>
      <c r="E344" s="662" t="s">
        <v>283</v>
      </c>
      <c r="F344" s="675" t="s">
        <v>284</v>
      </c>
      <c r="G344" s="640" t="s">
        <v>285</v>
      </c>
      <c r="H344" s="640"/>
      <c r="I344" s="659" t="s">
        <v>286</v>
      </c>
      <c r="J344" s="665" t="s">
        <v>271</v>
      </c>
      <c r="K344" s="668" t="s">
        <v>287</v>
      </c>
      <c r="L344" s="659" t="s">
        <v>270</v>
      </c>
      <c r="M344" s="671" t="s">
        <v>288</v>
      </c>
      <c r="N344" s="673" t="s">
        <v>252</v>
      </c>
      <c r="O344" s="640" t="s">
        <v>289</v>
      </c>
      <c r="P344" s="640"/>
      <c r="Q344" s="640"/>
      <c r="R344" s="640"/>
      <c r="S344" s="640"/>
      <c r="T344" s="640"/>
      <c r="U344" s="640"/>
      <c r="V344" s="640" t="s">
        <v>290</v>
      </c>
      <c r="W344" s="673" t="s">
        <v>291</v>
      </c>
      <c r="X344" s="640" t="s">
        <v>292</v>
      </c>
      <c r="Y344" s="640"/>
      <c r="Z344" s="640"/>
      <c r="AA344" s="640"/>
    </row>
    <row r="345" spans="1:27" ht="21.95" customHeight="1">
      <c r="A345" s="657"/>
      <c r="B345" s="660"/>
      <c r="C345" s="660"/>
      <c r="D345" s="660"/>
      <c r="E345" s="663"/>
      <c r="F345" s="676"/>
      <c r="G345" s="640"/>
      <c r="H345" s="640"/>
      <c r="I345" s="660"/>
      <c r="J345" s="666"/>
      <c r="K345" s="669"/>
      <c r="L345" s="660"/>
      <c r="M345" s="672"/>
      <c r="N345" s="673"/>
      <c r="O345" s="640" t="s">
        <v>259</v>
      </c>
      <c r="P345" s="640" t="s">
        <v>261</v>
      </c>
      <c r="Q345" s="640" t="s">
        <v>263</v>
      </c>
      <c r="R345" s="674" t="s">
        <v>265</v>
      </c>
      <c r="S345" s="643" t="s">
        <v>267</v>
      </c>
      <c r="T345" s="640" t="s">
        <v>272</v>
      </c>
      <c r="U345" s="640" t="s">
        <v>264</v>
      </c>
      <c r="V345" s="640"/>
      <c r="W345" s="673"/>
      <c r="X345" s="640" t="s">
        <v>293</v>
      </c>
      <c r="Y345" s="640" t="s">
        <v>294</v>
      </c>
      <c r="Z345" s="640" t="s">
        <v>295</v>
      </c>
      <c r="AA345" s="640" t="s">
        <v>264</v>
      </c>
    </row>
    <row r="346" spans="1:27" ht="21.95" customHeight="1">
      <c r="A346" s="658"/>
      <c r="B346" s="661"/>
      <c r="C346" s="661"/>
      <c r="D346" s="661"/>
      <c r="E346" s="664"/>
      <c r="F346" s="677"/>
      <c r="G346" s="348" t="s">
        <v>532</v>
      </c>
      <c r="H346" s="560" t="s">
        <v>297</v>
      </c>
      <c r="I346" s="661"/>
      <c r="J346" s="667"/>
      <c r="K346" s="670"/>
      <c r="L346" s="661"/>
      <c r="M346" s="672"/>
      <c r="N346" s="673"/>
      <c r="O346" s="640"/>
      <c r="P346" s="640"/>
      <c r="Q346" s="640"/>
      <c r="R346" s="674"/>
      <c r="S346" s="643"/>
      <c r="T346" s="640"/>
      <c r="U346" s="640"/>
      <c r="V346" s="640"/>
      <c r="W346" s="673"/>
      <c r="X346" s="640"/>
      <c r="Y346" s="640"/>
      <c r="Z346" s="640"/>
      <c r="AA346" s="640"/>
    </row>
    <row r="347" spans="1:27" ht="20.100000000000001" hidden="1" customHeight="1">
      <c r="A347" s="299">
        <v>30100030</v>
      </c>
      <c r="B347" s="553" t="s">
        <v>178</v>
      </c>
      <c r="C347" s="126" t="s">
        <v>179</v>
      </c>
      <c r="D347" s="108">
        <v>5.03</v>
      </c>
      <c r="E347" s="108"/>
      <c r="F347" s="127"/>
      <c r="G347" s="128"/>
      <c r="H347" s="554">
        <f t="shared" ref="H347:H367" si="157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8">IF(ISERROR(I347-K347),"",I347-K347)</f>
        <v>0</v>
      </c>
      <c r="N347" s="130">
        <f t="shared" ref="N347:N352" si="159">SUM(O347:U347)</f>
        <v>0</v>
      </c>
      <c r="O347" s="562"/>
      <c r="P347" s="562"/>
      <c r="Q347" s="562"/>
      <c r="R347" s="562"/>
      <c r="S347" s="562"/>
      <c r="T347" s="562"/>
      <c r="U347" s="562"/>
      <c r="V347" s="132">
        <f t="shared" ref="V347:V352" si="160">SUM(X347:AA347)</f>
        <v>0</v>
      </c>
      <c r="W347" s="133" t="str">
        <f t="shared" ref="W347:W352" si="161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554">
        <f t="shared" si="157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8"/>
        <v>0</v>
      </c>
      <c r="N348" s="130">
        <f t="shared" si="159"/>
        <v>0</v>
      </c>
      <c r="O348" s="562"/>
      <c r="P348" s="562"/>
      <c r="Q348" s="562"/>
      <c r="R348" s="562"/>
      <c r="S348" s="562"/>
      <c r="T348" s="562"/>
      <c r="U348" s="562"/>
      <c r="V348" s="132">
        <f t="shared" si="160"/>
        <v>0</v>
      </c>
      <c r="W348" s="133" t="str">
        <f t="shared" si="161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554">
        <f t="shared" si="157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8"/>
        <v>0</v>
      </c>
      <c r="N349" s="130">
        <f t="shared" si="159"/>
        <v>0</v>
      </c>
      <c r="O349" s="562"/>
      <c r="P349" s="562"/>
      <c r="Q349" s="562"/>
      <c r="R349" s="562"/>
      <c r="S349" s="562"/>
      <c r="T349" s="562"/>
      <c r="U349" s="562"/>
      <c r="V349" s="132">
        <f t="shared" si="160"/>
        <v>0</v>
      </c>
      <c r="W349" s="133" t="str">
        <f t="shared" si="161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554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562"/>
      <c r="P350" s="562"/>
      <c r="Q350" s="562"/>
      <c r="R350" s="562"/>
      <c r="S350" s="562"/>
      <c r="T350" s="562"/>
      <c r="U350" s="562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554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8"/>
        <v>0</v>
      </c>
      <c r="N351" s="130">
        <f t="shared" si="159"/>
        <v>0</v>
      </c>
      <c r="O351" s="562"/>
      <c r="P351" s="562"/>
      <c r="Q351" s="562"/>
      <c r="R351" s="562"/>
      <c r="S351" s="562"/>
      <c r="T351" s="562"/>
      <c r="U351" s="562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554">
        <f t="shared" si="157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562"/>
      <c r="P352" s="562"/>
      <c r="Q352" s="562"/>
      <c r="R352" s="562"/>
      <c r="S352" s="562"/>
      <c r="T352" s="562"/>
      <c r="U352" s="562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554">
        <f t="shared" si="157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8"/>
        <v>0</v>
      </c>
      <c r="N353" s="130"/>
      <c r="O353" s="562"/>
      <c r="P353" s="562"/>
      <c r="Q353" s="562"/>
      <c r="R353" s="562"/>
      <c r="S353" s="562"/>
      <c r="T353" s="562"/>
      <c r="U353" s="562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554">
        <f t="shared" si="157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8"/>
        <v>0</v>
      </c>
      <c r="N354" s="130"/>
      <c r="O354" s="562"/>
      <c r="P354" s="562"/>
      <c r="Q354" s="562"/>
      <c r="R354" s="562"/>
      <c r="S354" s="562"/>
      <c r="T354" s="562"/>
      <c r="U354" s="562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554">
        <f t="shared" si="157"/>
        <v>0</v>
      </c>
      <c r="I355" s="554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8"/>
        <v>0</v>
      </c>
      <c r="N355" s="130">
        <f>SUM(O355:U355)</f>
        <v>0</v>
      </c>
      <c r="O355" s="562"/>
      <c r="P355" s="562"/>
      <c r="Q355" s="562"/>
      <c r="R355" s="562"/>
      <c r="S355" s="562"/>
      <c r="T355" s="562"/>
      <c r="U355" s="562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554">
        <f t="shared" si="157"/>
        <v>0</v>
      </c>
      <c r="I356" s="554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8"/>
        <v>0</v>
      </c>
      <c r="N356" s="130">
        <f>SUM(O356:U356)</f>
        <v>0</v>
      </c>
      <c r="O356" s="562"/>
      <c r="P356" s="562"/>
      <c r="Q356" s="562"/>
      <c r="R356" s="562"/>
      <c r="S356" s="562"/>
      <c r="T356" s="562"/>
      <c r="U356" s="562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554">
        <f t="shared" si="157"/>
        <v>0</v>
      </c>
      <c r="I357" s="554"/>
      <c r="J357" s="130"/>
      <c r="K357" s="131"/>
      <c r="L357" s="129"/>
      <c r="M357" s="109"/>
      <c r="N357" s="130"/>
      <c r="O357" s="562"/>
      <c r="P357" s="562"/>
      <c r="Q357" s="562"/>
      <c r="R357" s="562"/>
      <c r="S357" s="562"/>
      <c r="T357" s="562"/>
      <c r="U357" s="562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554">
        <f t="shared" si="157"/>
        <v>0</v>
      </c>
      <c r="I358" s="554"/>
      <c r="J358" s="130"/>
      <c r="K358" s="131"/>
      <c r="L358" s="129"/>
      <c r="M358" s="109"/>
      <c r="N358" s="130"/>
      <c r="O358" s="562"/>
      <c r="P358" s="562"/>
      <c r="Q358" s="562"/>
      <c r="R358" s="562"/>
      <c r="S358" s="562"/>
      <c r="T358" s="562"/>
      <c r="U358" s="562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554">
        <f t="shared" si="157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2">IF(ISERROR(I359-K359),"",I359-K359)</f>
        <v>0</v>
      </c>
      <c r="N359" s="130">
        <f t="shared" ref="N359:N361" si="163">SUM(O359:U359)</f>
        <v>0</v>
      </c>
      <c r="O359" s="562"/>
      <c r="P359" s="562"/>
      <c r="Q359" s="562"/>
      <c r="R359" s="562"/>
      <c r="S359" s="562"/>
      <c r="T359" s="562"/>
      <c r="U359" s="562"/>
      <c r="V359" s="132">
        <f t="shared" ref="V359:V361" si="164">SUM(X359:AA359)</f>
        <v>0</v>
      </c>
      <c r="W359" s="133" t="str">
        <f t="shared" ref="W359:W361" si="165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554">
        <f t="shared" si="157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2"/>
        <v>0</v>
      </c>
      <c r="N360" s="130">
        <f t="shared" si="163"/>
        <v>0</v>
      </c>
      <c r="O360" s="562"/>
      <c r="P360" s="562"/>
      <c r="Q360" s="562"/>
      <c r="R360" s="562"/>
      <c r="S360" s="562"/>
      <c r="T360" s="562"/>
      <c r="U360" s="562"/>
      <c r="V360" s="132">
        <f t="shared" si="164"/>
        <v>0</v>
      </c>
      <c r="W360" s="133" t="str">
        <f t="shared" si="165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554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2"/>
        <v>0</v>
      </c>
      <c r="N361" s="130">
        <f t="shared" si="163"/>
        <v>0</v>
      </c>
      <c r="O361" s="562"/>
      <c r="P361" s="562"/>
      <c r="Q361" s="562"/>
      <c r="R361" s="562"/>
      <c r="S361" s="562"/>
      <c r="T361" s="562"/>
      <c r="U361" s="562"/>
      <c r="V361" s="132">
        <f t="shared" si="164"/>
        <v>0</v>
      </c>
      <c r="W361" s="133" t="str">
        <f t="shared" si="165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560" t="s">
        <v>190</v>
      </c>
      <c r="D362" s="108">
        <v>4.8</v>
      </c>
      <c r="E362" s="108"/>
      <c r="F362" s="127"/>
      <c r="G362" s="128"/>
      <c r="H362" s="554">
        <f t="shared" si="157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2"/>
        <v>0</v>
      </c>
      <c r="N362" s="130"/>
      <c r="O362" s="562"/>
      <c r="P362" s="562"/>
      <c r="Q362" s="562"/>
      <c r="R362" s="562"/>
      <c r="S362" s="562"/>
      <c r="T362" s="562"/>
      <c r="U362" s="562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560" t="s">
        <v>187</v>
      </c>
      <c r="D363" s="108">
        <v>4.8</v>
      </c>
      <c r="E363" s="108"/>
      <c r="F363" s="127"/>
      <c r="G363" s="128"/>
      <c r="H363" s="554">
        <f t="shared" si="157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2"/>
        <v>0</v>
      </c>
      <c r="N363" s="130"/>
      <c r="O363" s="562"/>
      <c r="P363" s="562"/>
      <c r="Q363" s="562"/>
      <c r="R363" s="562"/>
      <c r="S363" s="562"/>
      <c r="T363" s="562"/>
      <c r="U363" s="562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560" t="s">
        <v>179</v>
      </c>
      <c r="D364" s="108">
        <v>4.8</v>
      </c>
      <c r="E364" s="108"/>
      <c r="F364" s="127"/>
      <c r="G364" s="128"/>
      <c r="H364" s="554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562"/>
      <c r="P364" s="562"/>
      <c r="Q364" s="562"/>
      <c r="R364" s="562"/>
      <c r="S364" s="562"/>
      <c r="T364" s="562"/>
      <c r="U364" s="562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560" t="s">
        <v>199</v>
      </c>
      <c r="D365" s="108">
        <v>4.8</v>
      </c>
      <c r="E365" s="108"/>
      <c r="F365" s="127"/>
      <c r="G365" s="128"/>
      <c r="H365" s="554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562"/>
      <c r="P365" s="562"/>
      <c r="Q365" s="562"/>
      <c r="R365" s="562"/>
      <c r="S365" s="562"/>
      <c r="T365" s="562"/>
      <c r="U365" s="562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554">
        <f t="shared" si="157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2"/>
        <v>0</v>
      </c>
      <c r="N366" s="130">
        <f t="shared" ref="N366:N367" si="166">SUM(O366:U366)</f>
        <v>0</v>
      </c>
      <c r="O366" s="562"/>
      <c r="P366" s="562"/>
      <c r="Q366" s="562"/>
      <c r="R366" s="562"/>
      <c r="S366" s="562"/>
      <c r="T366" s="562"/>
      <c r="U366" s="562"/>
      <c r="V366" s="132">
        <f t="shared" ref="V366:V367" si="167">SUM(X366:AA366)</f>
        <v>0</v>
      </c>
      <c r="W366" s="133" t="str">
        <f t="shared" ref="W366:W367" si="168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554">
        <f t="shared" si="157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2"/>
        <v>0</v>
      </c>
      <c r="N367" s="130">
        <f t="shared" si="166"/>
        <v>0</v>
      </c>
      <c r="O367" s="562"/>
      <c r="P367" s="562"/>
      <c r="Q367" s="562"/>
      <c r="R367" s="562"/>
      <c r="S367" s="562"/>
      <c r="T367" s="562"/>
      <c r="U367" s="562"/>
      <c r="V367" s="132">
        <f t="shared" si="167"/>
        <v>0</v>
      </c>
      <c r="W367" s="133" t="str">
        <f t="shared" si="168"/>
        <v/>
      </c>
      <c r="X367" s="132"/>
      <c r="Y367" s="132"/>
      <c r="Z367" s="132"/>
      <c r="AA367" s="132"/>
    </row>
    <row r="368" spans="1:27" ht="20.100000000000001" hidden="1" customHeight="1">
      <c r="A368" s="630" t="s">
        <v>201</v>
      </c>
      <c r="B368" s="631"/>
      <c r="C368" s="563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69">SUM(M347:M367)</f>
        <v>0</v>
      </c>
      <c r="N368" s="146">
        <f t="shared" si="169"/>
        <v>0</v>
      </c>
      <c r="O368" s="148">
        <f t="shared" si="169"/>
        <v>0</v>
      </c>
      <c r="P368" s="148">
        <f t="shared" si="169"/>
        <v>0</v>
      </c>
      <c r="Q368" s="148">
        <f t="shared" si="169"/>
        <v>0</v>
      </c>
      <c r="R368" s="148">
        <f t="shared" si="169"/>
        <v>0</v>
      </c>
      <c r="S368" s="148">
        <f t="shared" si="169"/>
        <v>0</v>
      </c>
      <c r="T368" s="148">
        <f t="shared" si="169"/>
        <v>0</v>
      </c>
      <c r="U368" s="148">
        <f t="shared" si="169"/>
        <v>0</v>
      </c>
      <c r="V368" s="149">
        <f t="shared" si="169"/>
        <v>0</v>
      </c>
      <c r="W368" s="133">
        <f t="shared" si="169"/>
        <v>0</v>
      </c>
      <c r="X368" s="149">
        <f t="shared" si="169"/>
        <v>0</v>
      </c>
      <c r="Y368" s="149">
        <f t="shared" si="169"/>
        <v>0</v>
      </c>
      <c r="Z368" s="149">
        <f t="shared" si="169"/>
        <v>0</v>
      </c>
      <c r="AA368" s="149">
        <f t="shared" si="169"/>
        <v>0</v>
      </c>
    </row>
    <row r="369" spans="1:27" ht="20.100000000000001" hidden="1" customHeight="1">
      <c r="A369" s="300">
        <v>30100012</v>
      </c>
      <c r="B369" s="553" t="s">
        <v>206</v>
      </c>
      <c r="C369" s="126" t="s">
        <v>199</v>
      </c>
      <c r="D369" s="108">
        <v>5.03</v>
      </c>
      <c r="E369" s="108"/>
      <c r="F369" s="127"/>
      <c r="G369" s="128"/>
      <c r="H369" s="554">
        <f t="shared" ref="H369:H425" si="170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1">IF(ISERROR(I369-K369),"",I369-K369)</f>
        <v>0</v>
      </c>
      <c r="N369" s="130">
        <f t="shared" ref="N369" si="172">SUM(O369:U369)</f>
        <v>0</v>
      </c>
      <c r="O369" s="558"/>
      <c r="P369" s="558"/>
      <c r="Q369" s="558"/>
      <c r="R369" s="558"/>
      <c r="S369" s="558"/>
      <c r="T369" s="558"/>
      <c r="U369" s="558"/>
      <c r="V369" s="132">
        <f t="shared" ref="V369" si="173">SUM(X369:AA369)</f>
        <v>0</v>
      </c>
      <c r="W369" s="133" t="str">
        <f t="shared" ref="W369" si="174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553" t="s">
        <v>425</v>
      </c>
      <c r="C370" s="187" t="s">
        <v>427</v>
      </c>
      <c r="D370" s="108">
        <v>5.03</v>
      </c>
      <c r="E370" s="108"/>
      <c r="F370" s="127"/>
      <c r="G370" s="128"/>
      <c r="H370" s="554">
        <f t="shared" si="170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558"/>
      <c r="P370" s="558"/>
      <c r="Q370" s="558"/>
      <c r="R370" s="558"/>
      <c r="S370" s="558"/>
      <c r="T370" s="558"/>
      <c r="U370" s="558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553" t="s">
        <v>206</v>
      </c>
      <c r="C371" s="126" t="s">
        <v>186</v>
      </c>
      <c r="D371" s="108">
        <v>5.03</v>
      </c>
      <c r="E371" s="108"/>
      <c r="F371" s="127"/>
      <c r="G371" s="128"/>
      <c r="H371" s="554">
        <f t="shared" si="170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5">IF(ISERROR(I371-K371),"",I371-K371)</f>
        <v>0</v>
      </c>
      <c r="N371" s="130">
        <f t="shared" ref="N371:N373" si="176">SUM(O371:U371)</f>
        <v>0</v>
      </c>
      <c r="O371" s="558"/>
      <c r="P371" s="558"/>
      <c r="Q371" s="558"/>
      <c r="R371" s="558"/>
      <c r="S371" s="558"/>
      <c r="T371" s="558"/>
      <c r="U371" s="558"/>
      <c r="V371" s="132">
        <f t="shared" ref="V371:V373" si="177">SUM(X371:AA371)</f>
        <v>0</v>
      </c>
      <c r="W371" s="133" t="str">
        <f t="shared" ref="W371:W373" si="178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553" t="s">
        <v>206</v>
      </c>
      <c r="C372" s="126" t="s">
        <v>203</v>
      </c>
      <c r="D372" s="108">
        <v>5.03</v>
      </c>
      <c r="E372" s="108"/>
      <c r="F372" s="127"/>
      <c r="G372" s="128"/>
      <c r="H372" s="554">
        <f t="shared" si="170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5"/>
        <v>0</v>
      </c>
      <c r="N372" s="130">
        <f t="shared" si="176"/>
        <v>0</v>
      </c>
      <c r="O372" s="558"/>
      <c r="P372" s="558"/>
      <c r="Q372" s="558"/>
      <c r="R372" s="558"/>
      <c r="S372" s="558"/>
      <c r="T372" s="558"/>
      <c r="U372" s="558"/>
      <c r="V372" s="132">
        <f t="shared" si="177"/>
        <v>0</v>
      </c>
      <c r="W372" s="133" t="str">
        <f t="shared" si="178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553" t="s">
        <v>206</v>
      </c>
      <c r="C373" s="126" t="s">
        <v>207</v>
      </c>
      <c r="D373" s="108">
        <v>5.03</v>
      </c>
      <c r="E373" s="108"/>
      <c r="F373" s="127"/>
      <c r="G373" s="128"/>
      <c r="H373" s="554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5"/>
        <v>0</v>
      </c>
      <c r="N373" s="130">
        <f t="shared" si="176"/>
        <v>0</v>
      </c>
      <c r="O373" s="558"/>
      <c r="P373" s="558"/>
      <c r="Q373" s="558"/>
      <c r="R373" s="558"/>
      <c r="S373" s="558"/>
      <c r="T373" s="558"/>
      <c r="U373" s="558"/>
      <c r="V373" s="132">
        <f t="shared" si="177"/>
        <v>0</v>
      </c>
      <c r="W373" s="133" t="str">
        <f t="shared" si="178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553" t="s">
        <v>414</v>
      </c>
      <c r="C374" s="187" t="s">
        <v>415</v>
      </c>
      <c r="D374" s="108"/>
      <c r="E374" s="108"/>
      <c r="F374" s="127"/>
      <c r="G374" s="128"/>
      <c r="H374" s="554">
        <f t="shared" si="170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/>
      <c r="O374" s="558"/>
      <c r="P374" s="558"/>
      <c r="Q374" s="558"/>
      <c r="R374" s="558"/>
      <c r="S374" s="558"/>
      <c r="T374" s="558"/>
      <c r="U374" s="558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553" t="s">
        <v>414</v>
      </c>
      <c r="C375" s="187" t="s">
        <v>416</v>
      </c>
      <c r="D375" s="108"/>
      <c r="E375" s="108"/>
      <c r="F375" s="127"/>
      <c r="G375" s="128"/>
      <c r="H375" s="554">
        <f t="shared" si="170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/>
      <c r="O375" s="558"/>
      <c r="P375" s="558"/>
      <c r="Q375" s="558"/>
      <c r="R375" s="558"/>
      <c r="S375" s="558"/>
      <c r="T375" s="558"/>
      <c r="U375" s="558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553" t="s">
        <v>414</v>
      </c>
      <c r="C376" s="187" t="s">
        <v>61</v>
      </c>
      <c r="D376" s="108"/>
      <c r="E376" s="108"/>
      <c r="F376" s="127"/>
      <c r="G376" s="128"/>
      <c r="H376" s="554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558"/>
      <c r="P376" s="558"/>
      <c r="Q376" s="558"/>
      <c r="R376" s="558"/>
      <c r="S376" s="558"/>
      <c r="T376" s="558"/>
      <c r="U376" s="558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553" t="s">
        <v>208</v>
      </c>
      <c r="C377" s="126" t="s">
        <v>179</v>
      </c>
      <c r="D377" s="108">
        <v>5.08</v>
      </c>
      <c r="E377" s="108"/>
      <c r="F377" s="127"/>
      <c r="G377" s="128"/>
      <c r="H377" s="554">
        <f t="shared" si="170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5"/>
        <v>0</v>
      </c>
      <c r="N377" s="130">
        <f t="shared" ref="N377:N392" si="179">SUM(O377:U377)</f>
        <v>0</v>
      </c>
      <c r="O377" s="558"/>
      <c r="P377" s="558"/>
      <c r="Q377" s="558"/>
      <c r="R377" s="558"/>
      <c r="S377" s="558"/>
      <c r="T377" s="558"/>
      <c r="U377" s="558"/>
      <c r="V377" s="132">
        <f t="shared" ref="V377:V388" si="180">SUM(X377:AA377)</f>
        <v>0</v>
      </c>
      <c r="W377" s="133" t="str">
        <f t="shared" ref="W377:W388" si="181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553" t="s">
        <v>208</v>
      </c>
      <c r="C378" s="126" t="s">
        <v>204</v>
      </c>
      <c r="D378" s="108">
        <v>5.08</v>
      </c>
      <c r="E378" s="108"/>
      <c r="F378" s="127"/>
      <c r="G378" s="128"/>
      <c r="H378" s="554">
        <f t="shared" si="170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5"/>
        <v>0</v>
      </c>
      <c r="N378" s="130">
        <f t="shared" si="179"/>
        <v>0</v>
      </c>
      <c r="O378" s="558"/>
      <c r="P378" s="558"/>
      <c r="Q378" s="558"/>
      <c r="R378" s="558"/>
      <c r="S378" s="558"/>
      <c r="T378" s="558"/>
      <c r="U378" s="558"/>
      <c r="V378" s="132">
        <f t="shared" si="180"/>
        <v>0</v>
      </c>
      <c r="W378" s="133" t="str">
        <f t="shared" si="181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553" t="s">
        <v>208</v>
      </c>
      <c r="C379" s="126" t="s">
        <v>205</v>
      </c>
      <c r="D379" s="108">
        <v>5.08</v>
      </c>
      <c r="E379" s="108"/>
      <c r="F379" s="127"/>
      <c r="G379" s="128"/>
      <c r="H379" s="554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si="179"/>
        <v>0</v>
      </c>
      <c r="O379" s="558"/>
      <c r="P379" s="558"/>
      <c r="Q379" s="558"/>
      <c r="R379" s="558"/>
      <c r="S379" s="558"/>
      <c r="T379" s="558"/>
      <c r="U379" s="558"/>
      <c r="V379" s="132">
        <f t="shared" si="180"/>
        <v>0</v>
      </c>
      <c r="W379" s="133" t="str">
        <f t="shared" si="181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553" t="s">
        <v>208</v>
      </c>
      <c r="C380" s="126" t="s">
        <v>186</v>
      </c>
      <c r="D380" s="108">
        <v>5.08</v>
      </c>
      <c r="E380" s="108"/>
      <c r="F380" s="127"/>
      <c r="G380" s="128"/>
      <c r="H380" s="554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558"/>
      <c r="P380" s="558"/>
      <c r="Q380" s="558"/>
      <c r="R380" s="558"/>
      <c r="S380" s="558"/>
      <c r="T380" s="558"/>
      <c r="U380" s="558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553" t="s">
        <v>208</v>
      </c>
      <c r="C381" s="126" t="s">
        <v>203</v>
      </c>
      <c r="D381" s="108">
        <v>5.08</v>
      </c>
      <c r="E381" s="108"/>
      <c r="F381" s="127"/>
      <c r="G381" s="128"/>
      <c r="H381" s="554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558"/>
      <c r="P381" s="558"/>
      <c r="Q381" s="558"/>
      <c r="R381" s="558"/>
      <c r="S381" s="558"/>
      <c r="T381" s="558"/>
      <c r="U381" s="558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553" t="s">
        <v>208</v>
      </c>
      <c r="C382" s="126" t="s">
        <v>199</v>
      </c>
      <c r="D382" s="108">
        <v>5.08</v>
      </c>
      <c r="E382" s="108"/>
      <c r="F382" s="127"/>
      <c r="G382" s="128"/>
      <c r="H382" s="554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562"/>
      <c r="P382" s="562"/>
      <c r="Q382" s="562"/>
      <c r="R382" s="562"/>
      <c r="S382" s="562"/>
      <c r="T382" s="562"/>
      <c r="U382" s="562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553" t="s">
        <v>208</v>
      </c>
      <c r="C383" s="126" t="s">
        <v>187</v>
      </c>
      <c r="D383" s="108">
        <v>5.08</v>
      </c>
      <c r="E383" s="108"/>
      <c r="F383" s="127"/>
      <c r="G383" s="128"/>
      <c r="H383" s="554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558"/>
      <c r="P383" s="558"/>
      <c r="Q383" s="558"/>
      <c r="R383" s="558"/>
      <c r="S383" s="558"/>
      <c r="T383" s="558"/>
      <c r="U383" s="558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553" t="s">
        <v>208</v>
      </c>
      <c r="C384" s="126" t="s">
        <v>207</v>
      </c>
      <c r="D384" s="108">
        <v>5.08</v>
      </c>
      <c r="E384" s="108"/>
      <c r="F384" s="127"/>
      <c r="G384" s="128"/>
      <c r="H384" s="554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562"/>
      <c r="P384" s="562"/>
      <c r="Q384" s="562"/>
      <c r="R384" s="562"/>
      <c r="S384" s="562"/>
      <c r="T384" s="562"/>
      <c r="U384" s="562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553" t="s">
        <v>209</v>
      </c>
      <c r="C385" s="126" t="s">
        <v>194</v>
      </c>
      <c r="D385" s="108">
        <v>5.03</v>
      </c>
      <c r="E385" s="108"/>
      <c r="F385" s="127"/>
      <c r="G385" s="128"/>
      <c r="H385" s="554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5"/>
        <v>0</v>
      </c>
      <c r="N385" s="130">
        <f t="shared" si="179"/>
        <v>0</v>
      </c>
      <c r="O385" s="558"/>
      <c r="P385" s="558"/>
      <c r="Q385" s="558"/>
      <c r="R385" s="558"/>
      <c r="S385" s="558"/>
      <c r="T385" s="558"/>
      <c r="U385" s="558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553" t="s">
        <v>209</v>
      </c>
      <c r="C386" s="126" t="s">
        <v>179</v>
      </c>
      <c r="D386" s="108">
        <v>5.03</v>
      </c>
      <c r="E386" s="108"/>
      <c r="F386" s="127"/>
      <c r="G386" s="128"/>
      <c r="H386" s="554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5"/>
        <v>0</v>
      </c>
      <c r="N386" s="130">
        <f t="shared" si="179"/>
        <v>0</v>
      </c>
      <c r="O386" s="558"/>
      <c r="P386" s="558"/>
      <c r="Q386" s="558"/>
      <c r="R386" s="558"/>
      <c r="S386" s="558"/>
      <c r="T386" s="558"/>
      <c r="U386" s="558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553" t="s">
        <v>209</v>
      </c>
      <c r="C387" s="126" t="s">
        <v>195</v>
      </c>
      <c r="D387" s="108">
        <v>5.03</v>
      </c>
      <c r="E387" s="108"/>
      <c r="F387" s="127"/>
      <c r="G387" s="128"/>
      <c r="H387" s="554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558"/>
      <c r="P387" s="558"/>
      <c r="Q387" s="558"/>
      <c r="R387" s="558"/>
      <c r="S387" s="558"/>
      <c r="T387" s="558"/>
      <c r="U387" s="558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553" t="s">
        <v>209</v>
      </c>
      <c r="C388" s="126" t="s">
        <v>204</v>
      </c>
      <c r="D388" s="108">
        <v>5.03</v>
      </c>
      <c r="E388" s="108"/>
      <c r="F388" s="127"/>
      <c r="G388" s="128"/>
      <c r="H388" s="554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558"/>
      <c r="P388" s="558"/>
      <c r="Q388" s="558"/>
      <c r="R388" s="558"/>
      <c r="S388" s="558"/>
      <c r="T388" s="558"/>
      <c r="U388" s="558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553" t="s">
        <v>382</v>
      </c>
      <c r="C389" s="187" t="s">
        <v>383</v>
      </c>
      <c r="D389" s="108">
        <v>5.03</v>
      </c>
      <c r="E389" s="108"/>
      <c r="F389" s="127"/>
      <c r="G389" s="128"/>
      <c r="H389" s="554">
        <f t="shared" si="170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5"/>
        <v>0</v>
      </c>
      <c r="N389" s="130">
        <f t="shared" si="179"/>
        <v>0</v>
      </c>
      <c r="O389" s="558"/>
      <c r="P389" s="558"/>
      <c r="Q389" s="558"/>
      <c r="R389" s="558"/>
      <c r="S389" s="558"/>
      <c r="T389" s="558"/>
      <c r="U389" s="558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553" t="s">
        <v>382</v>
      </c>
      <c r="C390" s="187" t="s">
        <v>384</v>
      </c>
      <c r="D390" s="108">
        <v>5.03</v>
      </c>
      <c r="E390" s="108"/>
      <c r="F390" s="127"/>
      <c r="G390" s="128"/>
      <c r="H390" s="554">
        <f t="shared" si="170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5"/>
        <v>0</v>
      </c>
      <c r="N390" s="130">
        <f t="shared" si="179"/>
        <v>0</v>
      </c>
      <c r="O390" s="558"/>
      <c r="P390" s="558"/>
      <c r="Q390" s="558"/>
      <c r="R390" s="558"/>
      <c r="S390" s="558"/>
      <c r="T390" s="558"/>
      <c r="U390" s="558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553" t="s">
        <v>382</v>
      </c>
      <c r="C391" s="187" t="s">
        <v>389</v>
      </c>
      <c r="D391" s="108">
        <v>5.03</v>
      </c>
      <c r="E391" s="108"/>
      <c r="F391" s="127"/>
      <c r="G391" s="128"/>
      <c r="H391" s="554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558"/>
      <c r="P391" s="558"/>
      <c r="Q391" s="558"/>
      <c r="R391" s="558"/>
      <c r="S391" s="558"/>
      <c r="T391" s="558"/>
      <c r="U391" s="558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553" t="s">
        <v>382</v>
      </c>
      <c r="C392" s="187" t="s">
        <v>391</v>
      </c>
      <c r="D392" s="108">
        <v>5.03</v>
      </c>
      <c r="E392" s="108"/>
      <c r="F392" s="127"/>
      <c r="G392" s="128"/>
      <c r="H392" s="554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558"/>
      <c r="P392" s="558"/>
      <c r="Q392" s="558"/>
      <c r="R392" s="558"/>
      <c r="S392" s="558"/>
      <c r="T392" s="558"/>
      <c r="U392" s="558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553" t="s">
        <v>418</v>
      </c>
      <c r="C393" s="187" t="s">
        <v>364</v>
      </c>
      <c r="D393" s="108">
        <v>5.03</v>
      </c>
      <c r="E393" s="108"/>
      <c r="F393" s="127"/>
      <c r="G393" s="128"/>
      <c r="H393" s="554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5"/>
        <v>0</v>
      </c>
      <c r="N393" s="130"/>
      <c r="O393" s="558"/>
      <c r="P393" s="558"/>
      <c r="Q393" s="558"/>
      <c r="R393" s="558"/>
      <c r="S393" s="558"/>
      <c r="T393" s="558"/>
      <c r="U393" s="558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553" t="s">
        <v>418</v>
      </c>
      <c r="C394" s="187" t="s">
        <v>365</v>
      </c>
      <c r="D394" s="108">
        <v>5.03</v>
      </c>
      <c r="E394" s="108"/>
      <c r="F394" s="127"/>
      <c r="G394" s="128"/>
      <c r="H394" s="554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5"/>
        <v>0</v>
      </c>
      <c r="N394" s="130"/>
      <c r="O394" s="558"/>
      <c r="P394" s="558"/>
      <c r="Q394" s="558"/>
      <c r="R394" s="558"/>
      <c r="S394" s="558"/>
      <c r="T394" s="558"/>
      <c r="U394" s="558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553" t="s">
        <v>418</v>
      </c>
      <c r="C395" s="187" t="s">
        <v>366</v>
      </c>
      <c r="D395" s="108">
        <v>5.03</v>
      </c>
      <c r="E395" s="108"/>
      <c r="F395" s="127"/>
      <c r="G395" s="128"/>
      <c r="H395" s="554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558"/>
      <c r="P395" s="558"/>
      <c r="Q395" s="558"/>
      <c r="R395" s="558"/>
      <c r="S395" s="558"/>
      <c r="T395" s="558"/>
      <c r="U395" s="558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553" t="s">
        <v>418</v>
      </c>
      <c r="C396" s="187" t="s">
        <v>367</v>
      </c>
      <c r="D396" s="108">
        <v>5.03</v>
      </c>
      <c r="E396" s="108"/>
      <c r="F396" s="127"/>
      <c r="G396" s="128"/>
      <c r="H396" s="554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558"/>
      <c r="P396" s="558"/>
      <c r="Q396" s="558"/>
      <c r="R396" s="558"/>
      <c r="S396" s="558"/>
      <c r="T396" s="558"/>
      <c r="U396" s="558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554">
        <f t="shared" si="170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5"/>
        <v>0</v>
      </c>
      <c r="N397" s="130">
        <f t="shared" ref="N397:N406" si="182">SUM(O397:U397)</f>
        <v>0</v>
      </c>
      <c r="O397" s="562"/>
      <c r="P397" s="562"/>
      <c r="Q397" s="562"/>
      <c r="R397" s="562"/>
      <c r="S397" s="562"/>
      <c r="T397" s="562"/>
      <c r="U397" s="562"/>
      <c r="V397" s="132">
        <f t="shared" ref="V397:V406" si="183">SUM(X397:AA397)</f>
        <v>0</v>
      </c>
      <c r="W397" s="133" t="str">
        <f t="shared" ref="W397:W406" si="184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554">
        <f t="shared" si="170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5"/>
        <v>0</v>
      </c>
      <c r="N398" s="130">
        <f t="shared" si="182"/>
        <v>0</v>
      </c>
      <c r="O398" s="562"/>
      <c r="P398" s="562"/>
      <c r="Q398" s="562"/>
      <c r="R398" s="562"/>
      <c r="S398" s="562"/>
      <c r="T398" s="562"/>
      <c r="U398" s="562"/>
      <c r="V398" s="132">
        <f t="shared" si="183"/>
        <v>0</v>
      </c>
      <c r="W398" s="133" t="str">
        <f t="shared" si="184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554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si="182"/>
        <v>0</v>
      </c>
      <c r="O399" s="562"/>
      <c r="P399" s="562"/>
      <c r="Q399" s="562"/>
      <c r="R399" s="562"/>
      <c r="S399" s="562"/>
      <c r="T399" s="562"/>
      <c r="U399" s="562"/>
      <c r="V399" s="132">
        <f t="shared" si="183"/>
        <v>0</v>
      </c>
      <c r="W399" s="133" t="str">
        <f t="shared" si="184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554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5"/>
        <v>0</v>
      </c>
      <c r="N400" s="130">
        <f t="shared" si="182"/>
        <v>0</v>
      </c>
      <c r="O400" s="562"/>
      <c r="P400" s="562"/>
      <c r="Q400" s="562"/>
      <c r="R400" s="562"/>
      <c r="S400" s="562"/>
      <c r="T400" s="562"/>
      <c r="U400" s="562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554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5"/>
        <v>0</v>
      </c>
      <c r="N401" s="130">
        <f t="shared" si="182"/>
        <v>0</v>
      </c>
      <c r="O401" s="562"/>
      <c r="P401" s="562"/>
      <c r="Q401" s="562"/>
      <c r="R401" s="562"/>
      <c r="S401" s="562"/>
      <c r="T401" s="562"/>
      <c r="U401" s="562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554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562"/>
      <c r="P402" s="562"/>
      <c r="Q402" s="562"/>
      <c r="R402" s="562"/>
      <c r="S402" s="562"/>
      <c r="T402" s="562"/>
      <c r="U402" s="562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554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562"/>
      <c r="P403" s="562"/>
      <c r="Q403" s="562"/>
      <c r="R403" s="562"/>
      <c r="S403" s="562"/>
      <c r="T403" s="562"/>
      <c r="U403" s="562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554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562"/>
      <c r="P404" s="562"/>
      <c r="Q404" s="562"/>
      <c r="R404" s="562"/>
      <c r="S404" s="562"/>
      <c r="T404" s="562"/>
      <c r="U404" s="562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554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562"/>
      <c r="P405" s="562"/>
      <c r="Q405" s="562"/>
      <c r="R405" s="562"/>
      <c r="S405" s="562"/>
      <c r="T405" s="562"/>
      <c r="U405" s="562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554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562"/>
      <c r="P406" s="562"/>
      <c r="Q406" s="562"/>
      <c r="R406" s="562"/>
      <c r="S406" s="562"/>
      <c r="T406" s="562"/>
      <c r="U406" s="562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554">
        <f t="shared" si="170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562"/>
      <c r="P407" s="562"/>
      <c r="Q407" s="562"/>
      <c r="R407" s="562"/>
      <c r="S407" s="562"/>
      <c r="T407" s="562"/>
      <c r="U407" s="562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554">
        <f t="shared" si="170"/>
        <v>0</v>
      </c>
      <c r="I408" s="129"/>
      <c r="J408" s="130"/>
      <c r="K408" s="131"/>
      <c r="L408" s="129">
        <v>50</v>
      </c>
      <c r="M408" s="109"/>
      <c r="N408" s="130"/>
      <c r="O408" s="562"/>
      <c r="P408" s="562"/>
      <c r="Q408" s="562"/>
      <c r="R408" s="562"/>
      <c r="S408" s="562"/>
      <c r="T408" s="562"/>
      <c r="U408" s="562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554">
        <f t="shared" si="170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5">IF(ISERROR(I409-K409),"",I409-K409)</f>
        <v>0</v>
      </c>
      <c r="N409" s="130">
        <f t="shared" ref="N409:N410" si="186">SUM(O409:U409)</f>
        <v>0</v>
      </c>
      <c r="O409" s="562"/>
      <c r="P409" s="562"/>
      <c r="Q409" s="562"/>
      <c r="R409" s="562"/>
      <c r="S409" s="562"/>
      <c r="T409" s="562"/>
      <c r="U409" s="562"/>
      <c r="V409" s="132">
        <f t="shared" ref="V409:V410" si="187">SUM(X409:AA409)</f>
        <v>0</v>
      </c>
      <c r="W409" s="133" t="str">
        <f t="shared" ref="W409:W410" si="188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554">
        <f t="shared" si="170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5"/>
        <v>0</v>
      </c>
      <c r="N410" s="130">
        <f t="shared" si="186"/>
        <v>0</v>
      </c>
      <c r="O410" s="562"/>
      <c r="P410" s="562"/>
      <c r="Q410" s="562"/>
      <c r="R410" s="562"/>
      <c r="S410" s="562"/>
      <c r="T410" s="562"/>
      <c r="U410" s="562"/>
      <c r="V410" s="132">
        <f t="shared" si="187"/>
        <v>0</v>
      </c>
      <c r="W410" s="133" t="str">
        <f t="shared" si="188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554">
        <f t="shared" si="170"/>
        <v>0</v>
      </c>
      <c r="I411" s="129"/>
      <c r="J411" s="130"/>
      <c r="K411" s="131"/>
      <c r="L411" s="129"/>
      <c r="M411" s="109"/>
      <c r="N411" s="130"/>
      <c r="O411" s="562"/>
      <c r="P411" s="562"/>
      <c r="Q411" s="562"/>
      <c r="R411" s="562"/>
      <c r="S411" s="562"/>
      <c r="T411" s="562"/>
      <c r="U411" s="562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554">
        <f t="shared" si="170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89">IF(ISERROR(I412-K412),"",I412-K412)</f>
        <v/>
      </c>
      <c r="N412" s="130">
        <f t="shared" ref="N412:N415" si="190">SUM(O412:U412)</f>
        <v>0</v>
      </c>
      <c r="O412" s="562"/>
      <c r="P412" s="562"/>
      <c r="Q412" s="562"/>
      <c r="R412" s="562"/>
      <c r="S412" s="562"/>
      <c r="T412" s="562"/>
      <c r="U412" s="562"/>
      <c r="V412" s="132">
        <f t="shared" ref="V412:V415" si="191">SUM(X412:AA412)</f>
        <v>0</v>
      </c>
      <c r="W412" s="133" t="str">
        <f t="shared" ref="W412:W415" si="192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554">
        <f t="shared" si="170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89"/>
        <v/>
      </c>
      <c r="N413" s="130">
        <f t="shared" si="190"/>
        <v>0</v>
      </c>
      <c r="O413" s="562"/>
      <c r="P413" s="562"/>
      <c r="Q413" s="562"/>
      <c r="R413" s="562"/>
      <c r="S413" s="562"/>
      <c r="T413" s="562"/>
      <c r="U413" s="562"/>
      <c r="V413" s="132">
        <f t="shared" si="191"/>
        <v>0</v>
      </c>
      <c r="W413" s="133" t="str">
        <f t="shared" si="192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554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89"/>
        <v/>
      </c>
      <c r="N414" s="130">
        <f t="shared" si="190"/>
        <v>0</v>
      </c>
      <c r="O414" s="562"/>
      <c r="P414" s="562"/>
      <c r="Q414" s="562"/>
      <c r="R414" s="562"/>
      <c r="S414" s="562"/>
      <c r="T414" s="562"/>
      <c r="U414" s="562"/>
      <c r="V414" s="132">
        <f t="shared" si="191"/>
        <v>0</v>
      </c>
      <c r="W414" s="133" t="str">
        <f t="shared" si="192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554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562"/>
      <c r="P415" s="562"/>
      <c r="Q415" s="562"/>
      <c r="R415" s="562"/>
      <c r="S415" s="562"/>
      <c r="T415" s="562"/>
      <c r="U415" s="562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554">
        <f t="shared" si="170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89"/>
        <v>0</v>
      </c>
      <c r="N416" s="130"/>
      <c r="O416" s="562"/>
      <c r="P416" s="562"/>
      <c r="Q416" s="562"/>
      <c r="R416" s="562"/>
      <c r="S416" s="562"/>
      <c r="T416" s="562"/>
      <c r="U416" s="562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554">
        <f t="shared" si="170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89"/>
        <v>0</v>
      </c>
      <c r="N417" s="130"/>
      <c r="O417" s="562"/>
      <c r="P417" s="562"/>
      <c r="Q417" s="562"/>
      <c r="R417" s="562"/>
      <c r="S417" s="562"/>
      <c r="T417" s="562"/>
      <c r="U417" s="562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554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562"/>
      <c r="P418" s="562"/>
      <c r="Q418" s="562"/>
      <c r="R418" s="562"/>
      <c r="S418" s="562"/>
      <c r="T418" s="562"/>
      <c r="U418" s="562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554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562"/>
      <c r="P419" s="562"/>
      <c r="Q419" s="562"/>
      <c r="R419" s="562"/>
      <c r="S419" s="562"/>
      <c r="T419" s="562"/>
      <c r="U419" s="562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554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89"/>
        <v>0</v>
      </c>
      <c r="N420" s="130"/>
      <c r="O420" s="562"/>
      <c r="P420" s="562"/>
      <c r="Q420" s="562"/>
      <c r="R420" s="562"/>
      <c r="S420" s="562"/>
      <c r="T420" s="562"/>
      <c r="U420" s="562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554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89"/>
        <v>0</v>
      </c>
      <c r="N421" s="130"/>
      <c r="O421" s="562"/>
      <c r="P421" s="562"/>
      <c r="Q421" s="562"/>
      <c r="R421" s="562"/>
      <c r="S421" s="562"/>
      <c r="T421" s="562"/>
      <c r="U421" s="562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554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562"/>
      <c r="P422" s="562"/>
      <c r="Q422" s="562"/>
      <c r="R422" s="562"/>
      <c r="S422" s="562"/>
      <c r="T422" s="562"/>
      <c r="U422" s="562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554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562"/>
      <c r="P423" s="562"/>
      <c r="Q423" s="562"/>
      <c r="R423" s="562"/>
      <c r="S423" s="562"/>
      <c r="T423" s="562"/>
      <c r="U423" s="562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554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562"/>
      <c r="P424" s="562"/>
      <c r="Q424" s="562"/>
      <c r="R424" s="562"/>
      <c r="S424" s="562"/>
      <c r="T424" s="562"/>
      <c r="U424" s="562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554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562"/>
      <c r="P425" s="562"/>
      <c r="Q425" s="562"/>
      <c r="R425" s="562"/>
      <c r="S425" s="562"/>
      <c r="T425" s="562"/>
      <c r="U425" s="562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41" t="s">
        <v>216</v>
      </c>
      <c r="B426" s="641"/>
      <c r="C426" s="563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3">SUM(M369:M425)</f>
        <v>0</v>
      </c>
      <c r="N426" s="146">
        <f t="shared" si="193"/>
        <v>0</v>
      </c>
      <c r="O426" s="148">
        <f t="shared" si="193"/>
        <v>0</v>
      </c>
      <c r="P426" s="148">
        <f t="shared" si="193"/>
        <v>0</v>
      </c>
      <c r="Q426" s="148">
        <f t="shared" si="193"/>
        <v>0</v>
      </c>
      <c r="R426" s="148">
        <f t="shared" si="193"/>
        <v>0</v>
      </c>
      <c r="S426" s="148">
        <f t="shared" si="193"/>
        <v>0</v>
      </c>
      <c r="T426" s="148">
        <f t="shared" si="193"/>
        <v>0</v>
      </c>
      <c r="U426" s="148">
        <f t="shared" si="193"/>
        <v>0</v>
      </c>
      <c r="V426" s="149">
        <f t="shared" si="193"/>
        <v>0</v>
      </c>
      <c r="W426" s="133" t="str">
        <f t="shared" ref="W426:W433" si="194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customHeight="1">
      <c r="A427" s="299">
        <v>30400012</v>
      </c>
      <c r="B427" s="553" t="s">
        <v>217</v>
      </c>
      <c r="C427" s="126" t="s">
        <v>179</v>
      </c>
      <c r="D427" s="108">
        <v>5.03</v>
      </c>
      <c r="E427" s="108"/>
      <c r="F427" s="127">
        <v>42723</v>
      </c>
      <c r="G427" s="128">
        <f>35+72+45+72+72+72+67+72+72+26+50+60</f>
        <v>715</v>
      </c>
      <c r="H427" s="554">
        <f t="shared" ref="H427:H460" si="195">D427*G427</f>
        <v>3596.4500000000003</v>
      </c>
      <c r="I427" s="129">
        <f>8.5+9+9+5.5+5.5+6+10</f>
        <v>53.5</v>
      </c>
      <c r="J427" s="130">
        <f t="array" ref="J427">IF(ISERROR(G427/I427),"",G427/I427)</f>
        <v>13.364485981308411</v>
      </c>
      <c r="K427" s="131">
        <f t="array" ref="K427">IF(ISERROR(G427/L427),"",G427/L427)</f>
        <v>81.25</v>
      </c>
      <c r="L427" s="129">
        <v>8.8000000000000007</v>
      </c>
      <c r="M427" s="109">
        <f t="shared" ref="M427:M434" si="196">IF(ISERROR(I427-K427),"",I427-K427)</f>
        <v>-27.75</v>
      </c>
      <c r="N427" s="130">
        <f t="shared" ref="N427:N434" si="197">SUM(O427:U427)</f>
        <v>0</v>
      </c>
      <c r="O427" s="562"/>
      <c r="P427" s="562"/>
      <c r="Q427" s="562"/>
      <c r="R427" s="562"/>
      <c r="S427" s="562"/>
      <c r="T427" s="562"/>
      <c r="U427" s="562"/>
      <c r="V427" s="132">
        <f t="shared" ref="V427:V433" si="198">SUM(X427:AA427)</f>
        <v>0</v>
      </c>
      <c r="W427" s="133">
        <f t="shared" si="194"/>
        <v>0</v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553" t="s">
        <v>217</v>
      </c>
      <c r="C428" s="126" t="s">
        <v>186</v>
      </c>
      <c r="D428" s="108">
        <v>5.03</v>
      </c>
      <c r="E428" s="108"/>
      <c r="F428" s="127"/>
      <c r="G428" s="128"/>
      <c r="H428" s="554">
        <f t="shared" si="195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6"/>
        <v>0</v>
      </c>
      <c r="N428" s="130">
        <f t="shared" si="197"/>
        <v>0</v>
      </c>
      <c r="O428" s="562"/>
      <c r="P428" s="562"/>
      <c r="Q428" s="562"/>
      <c r="R428" s="562"/>
      <c r="S428" s="562"/>
      <c r="T428" s="562"/>
      <c r="U428" s="562"/>
      <c r="V428" s="132">
        <f t="shared" si="198"/>
        <v>0</v>
      </c>
      <c r="W428" s="133" t="str">
        <f t="shared" si="194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553" t="s">
        <v>217</v>
      </c>
      <c r="C429" s="126" t="s">
        <v>204</v>
      </c>
      <c r="D429" s="108">
        <v>5.03</v>
      </c>
      <c r="E429" s="108"/>
      <c r="F429" s="127"/>
      <c r="G429" s="128"/>
      <c r="H429" s="554">
        <f t="shared" si="195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6"/>
        <v>0</v>
      </c>
      <c r="N429" s="130">
        <f t="shared" si="197"/>
        <v>0</v>
      </c>
      <c r="O429" s="562"/>
      <c r="P429" s="562"/>
      <c r="Q429" s="562"/>
      <c r="R429" s="562"/>
      <c r="S429" s="562"/>
      <c r="T429" s="562"/>
      <c r="U429" s="562"/>
      <c r="V429" s="132">
        <f t="shared" si="198"/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554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6"/>
        <v>0</v>
      </c>
      <c r="N430" s="130">
        <f t="shared" si="197"/>
        <v>0</v>
      </c>
      <c r="O430" s="562"/>
      <c r="P430" s="562"/>
      <c r="Q430" s="562"/>
      <c r="R430" s="562"/>
      <c r="S430" s="562"/>
      <c r="T430" s="562"/>
      <c r="U430" s="562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554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6"/>
        <v>0</v>
      </c>
      <c r="N431" s="130">
        <f t="shared" si="197"/>
        <v>0</v>
      </c>
      <c r="O431" s="562"/>
      <c r="P431" s="562"/>
      <c r="Q431" s="562"/>
      <c r="R431" s="562"/>
      <c r="S431" s="562"/>
      <c r="T431" s="562"/>
      <c r="U431" s="562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554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562"/>
      <c r="P432" s="562"/>
      <c r="Q432" s="562"/>
      <c r="R432" s="562"/>
      <c r="S432" s="562"/>
      <c r="T432" s="562"/>
      <c r="U432" s="562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554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562"/>
      <c r="P433" s="562"/>
      <c r="Q433" s="562"/>
      <c r="R433" s="562"/>
      <c r="S433" s="562"/>
      <c r="T433" s="562"/>
      <c r="U433" s="562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554">
        <f t="shared" si="195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562"/>
      <c r="P434" s="562"/>
      <c r="Q434" s="562"/>
      <c r="R434" s="562"/>
      <c r="S434" s="562"/>
      <c r="T434" s="562"/>
      <c r="U434" s="562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554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562"/>
      <c r="P435" s="562"/>
      <c r="Q435" s="562"/>
      <c r="R435" s="562"/>
      <c r="S435" s="562"/>
      <c r="T435" s="562"/>
      <c r="U435" s="562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554">
        <f t="shared" si="195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562"/>
      <c r="P436" s="562"/>
      <c r="Q436" s="562"/>
      <c r="R436" s="562"/>
      <c r="S436" s="562"/>
      <c r="T436" s="562"/>
      <c r="U436" s="562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554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562"/>
      <c r="P437" s="562"/>
      <c r="Q437" s="562"/>
      <c r="R437" s="562"/>
      <c r="S437" s="562"/>
      <c r="T437" s="562"/>
      <c r="U437" s="562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554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562"/>
      <c r="P438" s="562"/>
      <c r="Q438" s="562"/>
      <c r="R438" s="562"/>
      <c r="S438" s="562"/>
      <c r="T438" s="562"/>
      <c r="U438" s="562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554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199">IF(ISERROR(I439-K439),"",I439-K439)</f>
        <v>0</v>
      </c>
      <c r="N439" s="130">
        <f t="shared" ref="N439:N454" si="200">SUM(O439:U439)</f>
        <v>0</v>
      </c>
      <c r="O439" s="562"/>
      <c r="P439" s="562"/>
      <c r="Q439" s="562"/>
      <c r="R439" s="562"/>
      <c r="S439" s="562"/>
      <c r="T439" s="562"/>
      <c r="U439" s="562"/>
      <c r="V439" s="132">
        <f t="shared" ref="V439:V442" si="201">SUM(X439:AA439)</f>
        <v>0</v>
      </c>
      <c r="W439" s="133" t="str">
        <f t="shared" ref="W439:W446" si="202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554">
        <f t="shared" si="195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199"/>
        <v/>
      </c>
      <c r="N440" s="130">
        <f t="shared" si="200"/>
        <v>0</v>
      </c>
      <c r="O440" s="562"/>
      <c r="P440" s="562"/>
      <c r="Q440" s="562"/>
      <c r="R440" s="562"/>
      <c r="S440" s="562"/>
      <c r="T440" s="562"/>
      <c r="U440" s="562"/>
      <c r="V440" s="132">
        <f t="shared" si="201"/>
        <v>0</v>
      </c>
      <c r="W440" s="133" t="str">
        <f t="shared" si="202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554">
        <f t="shared" si="195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199"/>
        <v/>
      </c>
      <c r="N441" s="130">
        <f t="shared" si="200"/>
        <v>0</v>
      </c>
      <c r="O441" s="562"/>
      <c r="P441" s="562"/>
      <c r="Q441" s="562"/>
      <c r="R441" s="562"/>
      <c r="S441" s="562"/>
      <c r="T441" s="562"/>
      <c r="U441" s="562"/>
      <c r="V441" s="132">
        <f t="shared" si="201"/>
        <v>0</v>
      </c>
      <c r="W441" s="133" t="str">
        <f t="shared" si="202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554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562"/>
      <c r="P442" s="562"/>
      <c r="Q442" s="562"/>
      <c r="R442" s="562"/>
      <c r="S442" s="562"/>
      <c r="T442" s="562"/>
      <c r="U442" s="562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553" t="s">
        <v>222</v>
      </c>
      <c r="C443" s="126" t="s">
        <v>181</v>
      </c>
      <c r="D443" s="108">
        <v>9.36</v>
      </c>
      <c r="E443" s="108"/>
      <c r="F443" s="127"/>
      <c r="G443" s="128"/>
      <c r="H443" s="554">
        <f t="shared" si="195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199"/>
        <v>0</v>
      </c>
      <c r="N443" s="130">
        <f t="shared" si="200"/>
        <v>0</v>
      </c>
      <c r="O443" s="562"/>
      <c r="P443" s="562"/>
      <c r="Q443" s="562"/>
      <c r="R443" s="562"/>
      <c r="S443" s="562"/>
      <c r="T443" s="562"/>
      <c r="U443" s="562"/>
      <c r="V443" s="132">
        <f t="shared" ref="V443:V446" si="203">SUM(X443:AA443)</f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553" t="s">
        <v>222</v>
      </c>
      <c r="C444" s="126" t="s">
        <v>179</v>
      </c>
      <c r="D444" s="108">
        <v>9.36</v>
      </c>
      <c r="E444" s="108"/>
      <c r="F444" s="127"/>
      <c r="G444" s="128"/>
      <c r="H444" s="554">
        <f t="shared" si="195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199"/>
        <v>0</v>
      </c>
      <c r="N444" s="130">
        <f t="shared" si="200"/>
        <v>0</v>
      </c>
      <c r="O444" s="562"/>
      <c r="P444" s="562"/>
      <c r="Q444" s="562"/>
      <c r="R444" s="562"/>
      <c r="S444" s="562"/>
      <c r="T444" s="562"/>
      <c r="U444" s="562"/>
      <c r="V444" s="132">
        <f t="shared" si="203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553" t="s">
        <v>222</v>
      </c>
      <c r="C445" s="126" t="s">
        <v>221</v>
      </c>
      <c r="D445" s="108">
        <v>9.36</v>
      </c>
      <c r="E445" s="108"/>
      <c r="F445" s="127"/>
      <c r="G445" s="128"/>
      <c r="H445" s="554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562"/>
      <c r="P445" s="562"/>
      <c r="Q445" s="562"/>
      <c r="R445" s="562"/>
      <c r="S445" s="562"/>
      <c r="T445" s="562"/>
      <c r="U445" s="562"/>
      <c r="V445" s="132">
        <f t="shared" si="203"/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553" t="s">
        <v>222</v>
      </c>
      <c r="C446" s="126" t="s">
        <v>186</v>
      </c>
      <c r="D446" s="108">
        <v>9.36</v>
      </c>
      <c r="E446" s="108"/>
      <c r="F446" s="127"/>
      <c r="G446" s="128"/>
      <c r="H446" s="554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562"/>
      <c r="P446" s="562"/>
      <c r="Q446" s="562"/>
      <c r="R446" s="562"/>
      <c r="S446" s="562"/>
      <c r="T446" s="562"/>
      <c r="U446" s="562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553" t="s">
        <v>393</v>
      </c>
      <c r="C447" s="187" t="s">
        <v>395</v>
      </c>
      <c r="D447" s="108">
        <v>5</v>
      </c>
      <c r="E447" s="108"/>
      <c r="F447" s="127"/>
      <c r="G447" s="128"/>
      <c r="H447" s="554">
        <f t="shared" si="195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199"/>
        <v>0</v>
      </c>
      <c r="N447" s="130">
        <f t="shared" si="200"/>
        <v>0</v>
      </c>
      <c r="O447" s="562"/>
      <c r="P447" s="562"/>
      <c r="Q447" s="562"/>
      <c r="R447" s="562"/>
      <c r="S447" s="562"/>
      <c r="T447" s="562"/>
      <c r="U447" s="562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553" t="s">
        <v>393</v>
      </c>
      <c r="C448" s="187" t="s">
        <v>402</v>
      </c>
      <c r="D448" s="108">
        <v>5</v>
      </c>
      <c r="E448" s="108"/>
      <c r="F448" s="127"/>
      <c r="G448" s="128"/>
      <c r="H448" s="554">
        <f t="shared" si="195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199"/>
        <v>0</v>
      </c>
      <c r="N448" s="130">
        <f t="shared" si="200"/>
        <v>0</v>
      </c>
      <c r="O448" s="562"/>
      <c r="P448" s="562"/>
      <c r="Q448" s="562"/>
      <c r="R448" s="562"/>
      <c r="S448" s="562"/>
      <c r="T448" s="562"/>
      <c r="U448" s="562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553" t="s">
        <v>404</v>
      </c>
      <c r="C449" s="187" t="s">
        <v>405</v>
      </c>
      <c r="D449" s="108">
        <v>5</v>
      </c>
      <c r="E449" s="108"/>
      <c r="F449" s="127"/>
      <c r="G449" s="128"/>
      <c r="H449" s="554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562"/>
      <c r="P449" s="562"/>
      <c r="Q449" s="562"/>
      <c r="R449" s="562"/>
      <c r="S449" s="562"/>
      <c r="T449" s="562"/>
      <c r="U449" s="562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553" t="s">
        <v>342</v>
      </c>
      <c r="C450" s="187" t="s">
        <v>372</v>
      </c>
      <c r="D450" s="108">
        <v>5</v>
      </c>
      <c r="E450" s="108"/>
      <c r="F450" s="127"/>
      <c r="G450" s="128"/>
      <c r="H450" s="554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562"/>
      <c r="P450" s="562"/>
      <c r="Q450" s="562"/>
      <c r="R450" s="562"/>
      <c r="S450" s="562"/>
      <c r="T450" s="562"/>
      <c r="U450" s="562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553" t="s">
        <v>343</v>
      </c>
      <c r="C451" s="126" t="s">
        <v>345</v>
      </c>
      <c r="D451" s="108">
        <v>5</v>
      </c>
      <c r="E451" s="108"/>
      <c r="F451" s="127"/>
      <c r="G451" s="128"/>
      <c r="H451" s="554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562"/>
      <c r="P451" s="562"/>
      <c r="Q451" s="562"/>
      <c r="R451" s="562"/>
      <c r="S451" s="562"/>
      <c r="T451" s="562"/>
      <c r="U451" s="562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553" t="s">
        <v>343</v>
      </c>
      <c r="C452" s="126" t="s">
        <v>347</v>
      </c>
      <c r="D452" s="108">
        <v>5</v>
      </c>
      <c r="E452" s="108"/>
      <c r="F452" s="127"/>
      <c r="G452" s="128"/>
      <c r="H452" s="554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562"/>
      <c r="P452" s="562"/>
      <c r="Q452" s="562"/>
      <c r="R452" s="562"/>
      <c r="S452" s="562"/>
      <c r="T452" s="562"/>
      <c r="U452" s="562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554">
        <f t="shared" si="195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199"/>
        <v>0</v>
      </c>
      <c r="N453" s="130">
        <f t="shared" si="200"/>
        <v>0</v>
      </c>
      <c r="O453" s="562"/>
      <c r="P453" s="562"/>
      <c r="Q453" s="562"/>
      <c r="R453" s="562"/>
      <c r="S453" s="562"/>
      <c r="T453" s="562"/>
      <c r="U453" s="562"/>
      <c r="V453" s="132">
        <f t="shared" ref="V453:V454" si="204">SUM(X453:AA453)</f>
        <v>0</v>
      </c>
      <c r="W453" s="133" t="str">
        <f t="shared" ref="W453:W454" si="205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554">
        <f t="shared" si="195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199"/>
        <v>0</v>
      </c>
      <c r="N454" s="130">
        <f t="shared" si="200"/>
        <v>0</v>
      </c>
      <c r="O454" s="562"/>
      <c r="P454" s="562"/>
      <c r="Q454" s="562"/>
      <c r="R454" s="562"/>
      <c r="S454" s="562"/>
      <c r="T454" s="562"/>
      <c r="U454" s="562"/>
      <c r="V454" s="132">
        <f t="shared" si="204"/>
        <v>0</v>
      </c>
      <c r="W454" s="133" t="str">
        <f t="shared" si="205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554">
        <f t="shared" si="195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199"/>
        <v>0</v>
      </c>
      <c r="N455" s="130"/>
      <c r="O455" s="562"/>
      <c r="P455" s="562"/>
      <c r="Q455" s="562"/>
      <c r="R455" s="562"/>
      <c r="S455" s="562"/>
      <c r="T455" s="562"/>
      <c r="U455" s="562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554">
        <f t="shared" si="195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199"/>
        <v>0</v>
      </c>
      <c r="N456" s="130"/>
      <c r="O456" s="562"/>
      <c r="P456" s="562"/>
      <c r="Q456" s="562"/>
      <c r="R456" s="562"/>
      <c r="S456" s="562"/>
      <c r="T456" s="562"/>
      <c r="U456" s="562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554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562"/>
      <c r="P457" s="562"/>
      <c r="Q457" s="562"/>
      <c r="R457" s="562"/>
      <c r="S457" s="562"/>
      <c r="T457" s="562"/>
      <c r="U457" s="562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554">
        <f t="shared" si="195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199"/>
        <v>0</v>
      </c>
      <c r="N458" s="130">
        <f t="shared" ref="N458:N460" si="206">SUM(O458:U458)</f>
        <v>0</v>
      </c>
      <c r="O458" s="562"/>
      <c r="P458" s="562"/>
      <c r="Q458" s="562"/>
      <c r="R458" s="562"/>
      <c r="S458" s="562"/>
      <c r="T458" s="562"/>
      <c r="U458" s="562"/>
      <c r="V458" s="132">
        <f t="shared" ref="V458:V460" si="207">SUM(X458:AA458)</f>
        <v>0</v>
      </c>
      <c r="W458" s="133" t="str">
        <f t="shared" ref="W458:W482" si="208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554">
        <f t="shared" si="195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199"/>
        <v>0</v>
      </c>
      <c r="N459" s="130">
        <f t="shared" si="206"/>
        <v>0</v>
      </c>
      <c r="O459" s="562"/>
      <c r="P459" s="562"/>
      <c r="Q459" s="562"/>
      <c r="R459" s="562"/>
      <c r="S459" s="562"/>
      <c r="T459" s="562"/>
      <c r="U459" s="562"/>
      <c r="V459" s="132">
        <f t="shared" si="207"/>
        <v>0</v>
      </c>
      <c r="W459" s="133" t="str">
        <f t="shared" si="208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554">
        <f t="shared" si="195"/>
        <v>0</v>
      </c>
      <c r="I460" s="129"/>
      <c r="J460" s="130" t="str">
        <f t="array" ref="J460">IF(ISERROR(G460/I460),"",G460/I460)</f>
        <v/>
      </c>
      <c r="K460" s="554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si="206"/>
        <v>0</v>
      </c>
      <c r="O460" s="562"/>
      <c r="P460" s="562"/>
      <c r="Q460" s="562"/>
      <c r="R460" s="562"/>
      <c r="S460" s="562"/>
      <c r="T460" s="562"/>
      <c r="U460" s="562"/>
      <c r="V460" s="132">
        <f t="shared" si="207"/>
        <v>0</v>
      </c>
      <c r="W460" s="133" t="str">
        <f t="shared" si="208"/>
        <v/>
      </c>
      <c r="X460" s="132"/>
      <c r="Y460" s="132"/>
      <c r="Z460" s="132"/>
      <c r="AA460" s="132"/>
    </row>
    <row r="461" spans="1:27" ht="20.100000000000001" customHeight="1">
      <c r="A461" s="630" t="s">
        <v>224</v>
      </c>
      <c r="B461" s="631"/>
      <c r="C461" s="563" t="s">
        <v>202</v>
      </c>
      <c r="D461" s="143"/>
      <c r="E461" s="143"/>
      <c r="F461" s="144"/>
      <c r="G461" s="145">
        <f>SUM(G427:G460)</f>
        <v>715</v>
      </c>
      <c r="H461" s="146">
        <f>SUM(H427:H460)</f>
        <v>3596.4500000000003</v>
      </c>
      <c r="I461" s="146">
        <f>SUM(I427:I460)</f>
        <v>53.5</v>
      </c>
      <c r="J461" s="130">
        <f t="array" ref="J461">IF(ISERROR(G461/I461),"",G461/I461)</f>
        <v>13.364485981308411</v>
      </c>
      <c r="K461" s="146">
        <f>SUM(K427:K460)</f>
        <v>81.25</v>
      </c>
      <c r="L461" s="147"/>
      <c r="M461" s="150">
        <f t="shared" ref="M461:V461" si="209">SUM(M427:M460)</f>
        <v>-27.75</v>
      </c>
      <c r="N461" s="146">
        <f t="shared" si="209"/>
        <v>0</v>
      </c>
      <c r="O461" s="148">
        <f t="shared" si="209"/>
        <v>0</v>
      </c>
      <c r="P461" s="148">
        <f t="shared" si="209"/>
        <v>0</v>
      </c>
      <c r="Q461" s="148">
        <f t="shared" si="209"/>
        <v>0</v>
      </c>
      <c r="R461" s="148">
        <f t="shared" si="209"/>
        <v>0</v>
      </c>
      <c r="S461" s="148">
        <f t="shared" si="209"/>
        <v>0</v>
      </c>
      <c r="T461" s="148">
        <f t="shared" si="209"/>
        <v>0</v>
      </c>
      <c r="U461" s="148">
        <f t="shared" si="209"/>
        <v>0</v>
      </c>
      <c r="V461" s="149">
        <f t="shared" si="209"/>
        <v>0</v>
      </c>
      <c r="W461" s="133">
        <f t="shared" si="208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554">
        <f t="shared" ref="H462:H476" si="210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1">IF(ISERROR(I462-K462),"",I462-K462)</f>
        <v>0</v>
      </c>
      <c r="N462" s="130">
        <f t="shared" ref="N462:N476" si="212">SUM(O462:U462)</f>
        <v>0</v>
      </c>
      <c r="O462" s="562"/>
      <c r="P462" s="562"/>
      <c r="Q462" s="562"/>
      <c r="R462" s="562"/>
      <c r="S462" s="562"/>
      <c r="T462" s="562"/>
      <c r="U462" s="562"/>
      <c r="V462" s="132">
        <f t="shared" ref="V462:V476" si="213">SUM(X462:AA462)</f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554">
        <f t="shared" si="210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1"/>
        <v>0</v>
      </c>
      <c r="N463" s="130">
        <f t="shared" si="212"/>
        <v>0</v>
      </c>
      <c r="O463" s="562"/>
      <c r="P463" s="562"/>
      <c r="Q463" s="562"/>
      <c r="R463" s="562"/>
      <c r="S463" s="562"/>
      <c r="T463" s="562"/>
      <c r="U463" s="562"/>
      <c r="V463" s="132">
        <f t="shared" si="213"/>
        <v>0</v>
      </c>
      <c r="W463" s="133" t="str">
        <f t="shared" si="208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554">
        <f t="shared" si="210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1"/>
        <v>0</v>
      </c>
      <c r="N464" s="130">
        <f t="shared" si="212"/>
        <v>0</v>
      </c>
      <c r="O464" s="562"/>
      <c r="P464" s="562"/>
      <c r="Q464" s="562"/>
      <c r="R464" s="562"/>
      <c r="S464" s="562"/>
      <c r="T464" s="562"/>
      <c r="U464" s="562"/>
      <c r="V464" s="132">
        <f t="shared" si="213"/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554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1"/>
        <v>0</v>
      </c>
      <c r="N465" s="130">
        <f t="shared" si="212"/>
        <v>0</v>
      </c>
      <c r="O465" s="562"/>
      <c r="P465" s="562"/>
      <c r="Q465" s="562"/>
      <c r="R465" s="562"/>
      <c r="S465" s="562"/>
      <c r="T465" s="562"/>
      <c r="U465" s="562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559" t="s">
        <v>203</v>
      </c>
      <c r="D466" s="108">
        <v>5.03</v>
      </c>
      <c r="E466" s="108"/>
      <c r="F466" s="127"/>
      <c r="G466" s="128"/>
      <c r="H466" s="554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1"/>
        <v>0</v>
      </c>
      <c r="N466" s="130">
        <f t="shared" si="212"/>
        <v>0</v>
      </c>
      <c r="O466" s="562"/>
      <c r="P466" s="562"/>
      <c r="Q466" s="562"/>
      <c r="R466" s="562"/>
      <c r="S466" s="562"/>
      <c r="T466" s="562"/>
      <c r="U466" s="562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554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562"/>
      <c r="P467" s="562"/>
      <c r="Q467" s="562"/>
      <c r="R467" s="562"/>
      <c r="S467" s="562"/>
      <c r="T467" s="562"/>
      <c r="U467" s="562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554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562"/>
      <c r="P468" s="562"/>
      <c r="Q468" s="562"/>
      <c r="R468" s="562"/>
      <c r="S468" s="562"/>
      <c r="T468" s="562"/>
      <c r="U468" s="562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559" t="s">
        <v>228</v>
      </c>
      <c r="D469" s="108">
        <v>5.03</v>
      </c>
      <c r="E469" s="108"/>
      <c r="F469" s="127"/>
      <c r="G469" s="128"/>
      <c r="H469" s="554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562"/>
      <c r="P469" s="562"/>
      <c r="Q469" s="562"/>
      <c r="R469" s="562"/>
      <c r="S469" s="562"/>
      <c r="T469" s="562"/>
      <c r="U469" s="562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559" t="s">
        <v>212</v>
      </c>
      <c r="D470" s="108">
        <v>5.03</v>
      </c>
      <c r="E470" s="108"/>
      <c r="F470" s="127"/>
      <c r="G470" s="128"/>
      <c r="H470" s="554">
        <f t="shared" si="210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1"/>
        <v/>
      </c>
      <c r="N470" s="130">
        <f t="shared" si="212"/>
        <v>0</v>
      </c>
      <c r="O470" s="562"/>
      <c r="P470" s="562"/>
      <c r="Q470" s="562"/>
      <c r="R470" s="562"/>
      <c r="S470" s="562"/>
      <c r="T470" s="562"/>
      <c r="U470" s="562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559" t="s">
        <v>203</v>
      </c>
      <c r="D471" s="108">
        <v>5.03</v>
      </c>
      <c r="E471" s="108"/>
      <c r="F471" s="127"/>
      <c r="G471" s="128"/>
      <c r="H471" s="554">
        <f t="shared" si="210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1"/>
        <v/>
      </c>
      <c r="N471" s="130">
        <f t="shared" si="212"/>
        <v>0</v>
      </c>
      <c r="O471" s="562"/>
      <c r="P471" s="562"/>
      <c r="Q471" s="562"/>
      <c r="R471" s="562"/>
      <c r="S471" s="562"/>
      <c r="T471" s="562"/>
      <c r="U471" s="562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559" t="s">
        <v>186</v>
      </c>
      <c r="D472" s="108">
        <v>5.03</v>
      </c>
      <c r="E472" s="108"/>
      <c r="F472" s="127"/>
      <c r="G472" s="128"/>
      <c r="H472" s="554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562"/>
      <c r="P472" s="562"/>
      <c r="Q472" s="562"/>
      <c r="R472" s="562"/>
      <c r="S472" s="562"/>
      <c r="T472" s="562"/>
      <c r="U472" s="562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559" t="s">
        <v>228</v>
      </c>
      <c r="D473" s="108">
        <v>5.03</v>
      </c>
      <c r="E473" s="108"/>
      <c r="F473" s="127"/>
      <c r="G473" s="128"/>
      <c r="H473" s="554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562"/>
      <c r="P473" s="562"/>
      <c r="Q473" s="562"/>
      <c r="R473" s="562"/>
      <c r="S473" s="562"/>
      <c r="T473" s="562"/>
      <c r="U473" s="562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559" t="s">
        <v>199</v>
      </c>
      <c r="D474" s="108">
        <v>5.03</v>
      </c>
      <c r="E474" s="108"/>
      <c r="F474" s="127"/>
      <c r="G474" s="128"/>
      <c r="H474" s="554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562"/>
      <c r="P474" s="562"/>
      <c r="Q474" s="562"/>
      <c r="R474" s="562"/>
      <c r="S474" s="562"/>
      <c r="T474" s="562"/>
      <c r="U474" s="562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554">
        <f t="shared" si="210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1"/>
        <v>0</v>
      </c>
      <c r="N475" s="130">
        <f t="shared" si="212"/>
        <v>0</v>
      </c>
      <c r="O475" s="562"/>
      <c r="P475" s="562"/>
      <c r="Q475" s="562"/>
      <c r="R475" s="562"/>
      <c r="S475" s="562"/>
      <c r="T475" s="562"/>
      <c r="U475" s="562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554">
        <f t="shared" si="210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1"/>
        <v>0</v>
      </c>
      <c r="N476" s="130">
        <f t="shared" si="212"/>
        <v>0</v>
      </c>
      <c r="O476" s="562"/>
      <c r="P476" s="562"/>
      <c r="Q476" s="562"/>
      <c r="R476" s="562"/>
      <c r="S476" s="562"/>
      <c r="T476" s="562"/>
      <c r="U476" s="562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630" t="s">
        <v>231</v>
      </c>
      <c r="B477" s="631"/>
      <c r="C477" s="563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8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554">
        <f t="shared" ref="H478:H486" si="214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5">IF(ISERROR(I478-K478),"",I478-K478)</f>
        <v>0</v>
      </c>
      <c r="N478" s="130">
        <f t="shared" ref="N478:N482" si="216">SUM(O478:U478)</f>
        <v>0</v>
      </c>
      <c r="O478" s="562"/>
      <c r="P478" s="562"/>
      <c r="Q478" s="562"/>
      <c r="R478" s="562"/>
      <c r="S478" s="562"/>
      <c r="T478" s="562"/>
      <c r="U478" s="562"/>
      <c r="V478" s="132">
        <f t="shared" ref="V478:V482" si="217">SUM(X478:AA478)</f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554">
        <f t="shared" si="214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5"/>
        <v>0</v>
      </c>
      <c r="N479" s="130">
        <f t="shared" si="216"/>
        <v>0</v>
      </c>
      <c r="O479" s="562"/>
      <c r="P479" s="562"/>
      <c r="Q479" s="562"/>
      <c r="R479" s="562"/>
      <c r="S479" s="562"/>
      <c r="T479" s="562"/>
      <c r="U479" s="562"/>
      <c r="V479" s="132">
        <f t="shared" si="217"/>
        <v>0</v>
      </c>
      <c r="W479" s="133" t="str">
        <f t="shared" si="208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554">
        <f t="shared" si="214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5"/>
        <v>0</v>
      </c>
      <c r="N480" s="130">
        <f t="shared" si="216"/>
        <v>0</v>
      </c>
      <c r="O480" s="562"/>
      <c r="P480" s="562"/>
      <c r="Q480" s="562"/>
      <c r="R480" s="562"/>
      <c r="S480" s="562"/>
      <c r="T480" s="562"/>
      <c r="U480" s="562"/>
      <c r="V480" s="132">
        <f t="shared" si="217"/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554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562"/>
      <c r="P481" s="562"/>
      <c r="Q481" s="562"/>
      <c r="R481" s="562"/>
      <c r="S481" s="562"/>
      <c r="T481" s="562"/>
      <c r="U481" s="562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554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562"/>
      <c r="P482" s="562"/>
      <c r="Q482" s="562"/>
      <c r="R482" s="562"/>
      <c r="S482" s="562"/>
      <c r="T482" s="562"/>
      <c r="U482" s="562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554">
        <f t="shared" si="214"/>
        <v>0</v>
      </c>
      <c r="I483" s="129"/>
      <c r="J483" s="130"/>
      <c r="K483" s="131"/>
      <c r="L483" s="129">
        <v>13.5</v>
      </c>
      <c r="M483" s="109"/>
      <c r="N483" s="130"/>
      <c r="O483" s="562"/>
      <c r="P483" s="562"/>
      <c r="Q483" s="562"/>
      <c r="R483" s="562"/>
      <c r="S483" s="562"/>
      <c r="T483" s="562"/>
      <c r="U483" s="562"/>
      <c r="V483" s="132"/>
      <c r="W483" s="133"/>
      <c r="X483" s="132"/>
      <c r="Y483" s="132"/>
      <c r="Z483" s="132"/>
      <c r="AA483" s="132"/>
    </row>
    <row r="484" spans="1:27" ht="20.100000000000001" hidden="1" customHeight="1">
      <c r="A484" s="300">
        <v>30400020</v>
      </c>
      <c r="B484" s="134" t="s">
        <v>439</v>
      </c>
      <c r="C484" s="187" t="s">
        <v>74</v>
      </c>
      <c r="D484" s="108">
        <v>5.04</v>
      </c>
      <c r="E484" s="108"/>
      <c r="F484" s="127"/>
      <c r="G484" s="128"/>
      <c r="H484" s="554">
        <f t="shared" si="214"/>
        <v>0</v>
      </c>
      <c r="I484" s="129"/>
      <c r="J484" s="130"/>
      <c r="K484" s="131"/>
      <c r="L484" s="129">
        <v>13.5</v>
      </c>
      <c r="M484" s="109"/>
      <c r="N484" s="130"/>
      <c r="O484" s="562"/>
      <c r="P484" s="562"/>
      <c r="Q484" s="562"/>
      <c r="R484" s="562"/>
      <c r="S484" s="562"/>
      <c r="T484" s="562"/>
      <c r="U484" s="562"/>
      <c r="V484" s="132"/>
      <c r="W484" s="133"/>
      <c r="X484" s="132"/>
      <c r="Y484" s="132"/>
      <c r="Z484" s="132"/>
      <c r="AA484" s="132"/>
    </row>
    <row r="485" spans="1:27" ht="20.100000000000001" hidden="1" customHeight="1">
      <c r="A485" s="300">
        <v>30400021</v>
      </c>
      <c r="B485" s="134" t="s">
        <v>439</v>
      </c>
      <c r="C485" s="187" t="s">
        <v>53</v>
      </c>
      <c r="D485" s="108">
        <v>5.04</v>
      </c>
      <c r="E485" s="108"/>
      <c r="F485" s="127"/>
      <c r="G485" s="128"/>
      <c r="H485" s="554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562"/>
      <c r="P485" s="562"/>
      <c r="Q485" s="562"/>
      <c r="R485" s="562"/>
      <c r="S485" s="562"/>
      <c r="T485" s="562"/>
      <c r="U485" s="562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554">
        <f t="shared" si="214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8">IF(ISERROR(I486-K486),"",I486-K486)</f>
        <v>0</v>
      </c>
      <c r="N486" s="130">
        <f t="shared" ref="N486" si="219">SUM(O486:U486)</f>
        <v>0</v>
      </c>
      <c r="O486" s="562"/>
      <c r="P486" s="562"/>
      <c r="Q486" s="562"/>
      <c r="R486" s="562"/>
      <c r="S486" s="562"/>
      <c r="T486" s="562"/>
      <c r="U486" s="562"/>
      <c r="V486" s="132">
        <f t="shared" ref="V486" si="220">SUM(X486:AA486)</f>
        <v>0</v>
      </c>
      <c r="W486" s="133" t="str">
        <f t="shared" ref="W486:W491" si="221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30" t="s">
        <v>234</v>
      </c>
      <c r="B487" s="631"/>
      <c r="C487" s="563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1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560"/>
      <c r="D488" s="108">
        <v>3.65</v>
      </c>
      <c r="E488" s="108"/>
      <c r="F488" s="153"/>
      <c r="G488" s="128"/>
      <c r="H488" s="554">
        <f t="shared" ref="H488:H502" si="222">D488*G488</f>
        <v>0</v>
      </c>
      <c r="I488" s="129"/>
      <c r="J488" s="130" t="str">
        <f t="array" ref="J488">IF(ISERROR(G488/I488),"",G488/I488)</f>
        <v/>
      </c>
      <c r="K488" s="554">
        <f t="array" ref="K488">IF(ISERROR(G488/L488),"",G488/L488)</f>
        <v>0</v>
      </c>
      <c r="L488" s="129">
        <v>5</v>
      </c>
      <c r="M488" s="109">
        <f t="shared" ref="M488:M491" si="223">IF(ISERROR(I488-K488),"",I488-K488)</f>
        <v>0</v>
      </c>
      <c r="N488" s="130">
        <f t="shared" ref="N488:N491" si="224">SUM(O488:U488)</f>
        <v>0</v>
      </c>
      <c r="O488" s="562"/>
      <c r="P488" s="562"/>
      <c r="Q488" s="562"/>
      <c r="R488" s="562"/>
      <c r="S488" s="562"/>
      <c r="T488" s="562"/>
      <c r="U488" s="562"/>
      <c r="V488" s="132">
        <f t="shared" ref="V488:V491" si="225">SUM(X488:AA488)</f>
        <v>0</v>
      </c>
      <c r="W488" s="133" t="str">
        <f t="shared" si="221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560"/>
      <c r="D489" s="108">
        <v>6.58</v>
      </c>
      <c r="E489" s="108"/>
      <c r="F489" s="127"/>
      <c r="G489" s="128"/>
      <c r="H489" s="554">
        <f t="shared" si="222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3"/>
        <v>0</v>
      </c>
      <c r="N489" s="130">
        <f t="shared" si="224"/>
        <v>0</v>
      </c>
      <c r="O489" s="562"/>
      <c r="P489" s="562"/>
      <c r="Q489" s="562"/>
      <c r="R489" s="562"/>
      <c r="S489" s="562"/>
      <c r="T489" s="562"/>
      <c r="U489" s="562"/>
      <c r="V489" s="132">
        <f t="shared" si="225"/>
        <v>0</v>
      </c>
      <c r="W489" s="133" t="str">
        <f t="shared" si="221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560"/>
      <c r="D490" s="108">
        <v>7.8</v>
      </c>
      <c r="E490" s="108"/>
      <c r="F490" s="127"/>
      <c r="G490" s="128"/>
      <c r="H490" s="554">
        <f t="shared" si="222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3"/>
        <v>0</v>
      </c>
      <c r="N490" s="130">
        <f t="shared" si="224"/>
        <v>0</v>
      </c>
      <c r="O490" s="562"/>
      <c r="P490" s="562"/>
      <c r="Q490" s="562"/>
      <c r="R490" s="562"/>
      <c r="S490" s="562"/>
      <c r="T490" s="562"/>
      <c r="U490" s="562"/>
      <c r="V490" s="132">
        <f t="shared" si="225"/>
        <v>0</v>
      </c>
      <c r="W490" s="133" t="str">
        <f t="shared" si="221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560"/>
      <c r="D491" s="108">
        <v>4.4000000000000004</v>
      </c>
      <c r="E491" s="108"/>
      <c r="F491" s="127"/>
      <c r="G491" s="128"/>
      <c r="H491" s="554">
        <f t="shared" si="222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3"/>
        <v>0</v>
      </c>
      <c r="N491" s="130">
        <f t="shared" si="224"/>
        <v>0</v>
      </c>
      <c r="O491" s="562"/>
      <c r="P491" s="562"/>
      <c r="Q491" s="562"/>
      <c r="R491" s="562"/>
      <c r="S491" s="562"/>
      <c r="T491" s="562"/>
      <c r="U491" s="562"/>
      <c r="V491" s="132">
        <f t="shared" si="225"/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554">
        <f t="shared" si="222"/>
        <v>0</v>
      </c>
      <c r="I492" s="129"/>
      <c r="J492" s="130"/>
      <c r="K492" s="131"/>
      <c r="L492" s="129"/>
      <c r="M492" s="109"/>
      <c r="N492" s="130"/>
      <c r="O492" s="562"/>
      <c r="P492" s="562"/>
      <c r="Q492" s="562"/>
      <c r="R492" s="562"/>
      <c r="S492" s="562"/>
      <c r="T492" s="562"/>
      <c r="U492" s="562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560"/>
      <c r="D493" s="108"/>
      <c r="E493" s="108"/>
      <c r="F493" s="127"/>
      <c r="G493" s="128"/>
      <c r="H493" s="554">
        <f t="shared" si="222"/>
        <v>0</v>
      </c>
      <c r="I493" s="129"/>
      <c r="J493" s="130"/>
      <c r="K493" s="131"/>
      <c r="L493" s="129">
        <v>6</v>
      </c>
      <c r="M493" s="109"/>
      <c r="N493" s="130"/>
      <c r="O493" s="562"/>
      <c r="P493" s="562"/>
      <c r="Q493" s="562"/>
      <c r="R493" s="562"/>
      <c r="S493" s="562"/>
      <c r="T493" s="562"/>
      <c r="U493" s="562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560" t="s">
        <v>239</v>
      </c>
      <c r="C494" s="560" t="s">
        <v>179</v>
      </c>
      <c r="D494" s="108">
        <v>6.04</v>
      </c>
      <c r="E494" s="108"/>
      <c r="F494" s="127"/>
      <c r="G494" s="128"/>
      <c r="H494" s="554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6">IF(ISERROR(I494-K494),"",I494-K494)</f>
        <v>0</v>
      </c>
      <c r="N494" s="130">
        <f t="shared" ref="N494:N495" si="227">SUM(O494:U494)</f>
        <v>0</v>
      </c>
      <c r="O494" s="562"/>
      <c r="P494" s="562"/>
      <c r="Q494" s="562"/>
      <c r="R494" s="562"/>
      <c r="S494" s="562"/>
      <c r="T494" s="562"/>
      <c r="U494" s="562"/>
      <c r="V494" s="132">
        <f t="shared" ref="V494:V495" si="228">SUM(X494:AA494)</f>
        <v>0</v>
      </c>
      <c r="W494" s="133" t="str">
        <f t="shared" ref="W494:W495" si="229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560" t="s">
        <v>239</v>
      </c>
      <c r="C495" s="560" t="s">
        <v>186</v>
      </c>
      <c r="D495" s="108">
        <v>6.04</v>
      </c>
      <c r="E495" s="108"/>
      <c r="F495" s="127"/>
      <c r="G495" s="128"/>
      <c r="H495" s="554">
        <f t="shared" si="222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6"/>
        <v>0</v>
      </c>
      <c r="N495" s="130">
        <f t="shared" si="227"/>
        <v>0</v>
      </c>
      <c r="O495" s="562"/>
      <c r="P495" s="562"/>
      <c r="Q495" s="562"/>
      <c r="R495" s="562"/>
      <c r="S495" s="562"/>
      <c r="T495" s="562"/>
      <c r="U495" s="562"/>
      <c r="V495" s="132">
        <f t="shared" si="228"/>
        <v>0</v>
      </c>
      <c r="W495" s="133" t="str">
        <f t="shared" si="229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560" t="s">
        <v>443</v>
      </c>
      <c r="C496" s="560" t="s">
        <v>179</v>
      </c>
      <c r="D496" s="108"/>
      <c r="E496" s="108"/>
      <c r="F496" s="127"/>
      <c r="G496" s="128"/>
      <c r="H496" s="554">
        <f t="shared" si="222"/>
        <v>0</v>
      </c>
      <c r="I496" s="129"/>
      <c r="J496" s="130"/>
      <c r="K496" s="131"/>
      <c r="L496" s="129"/>
      <c r="M496" s="109"/>
      <c r="N496" s="130"/>
      <c r="O496" s="562"/>
      <c r="P496" s="562"/>
      <c r="Q496" s="562"/>
      <c r="R496" s="562"/>
      <c r="S496" s="562"/>
      <c r="T496" s="562"/>
      <c r="U496" s="562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560" t="s">
        <v>443</v>
      </c>
      <c r="C497" s="560" t="s">
        <v>186</v>
      </c>
      <c r="D497" s="108"/>
      <c r="E497" s="108"/>
      <c r="F497" s="127"/>
      <c r="G497" s="128"/>
      <c r="H497" s="554">
        <f t="shared" si="222"/>
        <v>0</v>
      </c>
      <c r="I497" s="129"/>
      <c r="J497" s="130"/>
      <c r="K497" s="131"/>
      <c r="L497" s="129"/>
      <c r="M497" s="109"/>
      <c r="N497" s="130"/>
      <c r="O497" s="562"/>
      <c r="P497" s="562"/>
      <c r="Q497" s="562"/>
      <c r="R497" s="562"/>
      <c r="S497" s="562"/>
      <c r="T497" s="562"/>
      <c r="U497" s="562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553" t="s">
        <v>240</v>
      </c>
      <c r="C498" s="126"/>
      <c r="D498" s="108">
        <v>7.3</v>
      </c>
      <c r="E498" s="108"/>
      <c r="F498" s="127"/>
      <c r="G498" s="128"/>
      <c r="H498" s="554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0">IF(ISERROR(I498-K498),"",I498-K498)</f>
        <v>0</v>
      </c>
      <c r="N498" s="130">
        <f t="shared" ref="N498" si="231">SUM(O498:U498)</f>
        <v>0</v>
      </c>
      <c r="O498" s="562"/>
      <c r="P498" s="562"/>
      <c r="Q498" s="562"/>
      <c r="R498" s="562"/>
      <c r="S498" s="562"/>
      <c r="T498" s="562"/>
      <c r="U498" s="562"/>
      <c r="V498" s="132">
        <f t="shared" ref="V498" si="232">SUM(X498:AA498)</f>
        <v>0</v>
      </c>
      <c r="W498" s="133" t="str">
        <f t="shared" ref="W498" si="233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553" t="s">
        <v>241</v>
      </c>
      <c r="C499" s="126"/>
      <c r="D499" s="108">
        <f>78*120/1000</f>
        <v>9.36</v>
      </c>
      <c r="E499" s="108"/>
      <c r="F499" s="127"/>
      <c r="G499" s="128"/>
      <c r="H499" s="554">
        <f t="shared" si="222"/>
        <v>0</v>
      </c>
      <c r="I499" s="129"/>
      <c r="J499" s="130"/>
      <c r="K499" s="131"/>
      <c r="L499" s="129"/>
      <c r="M499" s="109"/>
      <c r="N499" s="130"/>
      <c r="O499" s="562"/>
      <c r="P499" s="562"/>
      <c r="Q499" s="562"/>
      <c r="R499" s="562"/>
      <c r="S499" s="562"/>
      <c r="T499" s="562"/>
      <c r="U499" s="562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553" t="s">
        <v>242</v>
      </c>
      <c r="C500" s="126"/>
      <c r="D500" s="108">
        <v>4.5</v>
      </c>
      <c r="E500" s="108"/>
      <c r="F500" s="127"/>
      <c r="G500" s="128"/>
      <c r="H500" s="554">
        <f t="shared" si="222"/>
        <v>0</v>
      </c>
      <c r="I500" s="129"/>
      <c r="J500" s="130"/>
      <c r="K500" s="131"/>
      <c r="L500" s="129"/>
      <c r="M500" s="109"/>
      <c r="N500" s="130"/>
      <c r="O500" s="562"/>
      <c r="P500" s="562"/>
      <c r="Q500" s="562"/>
      <c r="R500" s="562"/>
      <c r="S500" s="562"/>
      <c r="T500" s="562"/>
      <c r="U500" s="562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553" t="s">
        <v>243</v>
      </c>
      <c r="C501" s="126"/>
      <c r="D501" s="108">
        <v>4.5</v>
      </c>
      <c r="E501" s="108"/>
      <c r="F501" s="127"/>
      <c r="G501" s="128"/>
      <c r="H501" s="554">
        <f t="shared" si="222"/>
        <v>0</v>
      </c>
      <c r="I501" s="129"/>
      <c r="J501" s="130"/>
      <c r="K501" s="131"/>
      <c r="L501" s="129"/>
      <c r="M501" s="109"/>
      <c r="N501" s="130"/>
      <c r="O501" s="562"/>
      <c r="P501" s="562"/>
      <c r="Q501" s="562"/>
      <c r="R501" s="562"/>
      <c r="S501" s="562"/>
      <c r="T501" s="562"/>
      <c r="U501" s="562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553"/>
      <c r="C502" s="126"/>
      <c r="D502" s="108"/>
      <c r="E502" s="108"/>
      <c r="F502" s="127"/>
      <c r="G502" s="128"/>
      <c r="H502" s="554">
        <f t="shared" si="222"/>
        <v>0</v>
      </c>
      <c r="I502" s="129"/>
      <c r="J502" s="130"/>
      <c r="K502" s="131"/>
      <c r="L502" s="129"/>
      <c r="M502" s="109"/>
      <c r="N502" s="130"/>
      <c r="O502" s="562"/>
      <c r="P502" s="562"/>
      <c r="Q502" s="562"/>
      <c r="R502" s="562"/>
      <c r="S502" s="562"/>
      <c r="T502" s="562"/>
      <c r="U502" s="562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30" t="s">
        <v>244</v>
      </c>
      <c r="B503" s="631"/>
      <c r="C503" s="563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4">SUM(M488:M498)</f>
        <v>0</v>
      </c>
      <c r="N503" s="146">
        <f t="shared" si="234"/>
        <v>0</v>
      </c>
      <c r="O503" s="148">
        <f t="shared" si="234"/>
        <v>0</v>
      </c>
      <c r="P503" s="148">
        <f t="shared" si="234"/>
        <v>0</v>
      </c>
      <c r="Q503" s="148">
        <f t="shared" si="234"/>
        <v>0</v>
      </c>
      <c r="R503" s="148">
        <f t="shared" si="234"/>
        <v>0</v>
      </c>
      <c r="S503" s="148">
        <f t="shared" si="234"/>
        <v>0</v>
      </c>
      <c r="T503" s="148">
        <f t="shared" si="234"/>
        <v>0</v>
      </c>
      <c r="U503" s="148">
        <f t="shared" si="234"/>
        <v>0</v>
      </c>
      <c r="V503" s="149">
        <f t="shared" si="234"/>
        <v>0</v>
      </c>
      <c r="W503" s="133">
        <f t="shared" si="234"/>
        <v>0</v>
      </c>
      <c r="X503" s="149">
        <f t="shared" si="234"/>
        <v>0</v>
      </c>
      <c r="Y503" s="149">
        <f t="shared" si="234"/>
        <v>0</v>
      </c>
      <c r="Z503" s="149">
        <f t="shared" si="234"/>
        <v>0</v>
      </c>
      <c r="AA503" s="149">
        <f t="shared" si="234"/>
        <v>0</v>
      </c>
    </row>
    <row r="504" spans="1:27" ht="20.100000000000001" customHeight="1">
      <c r="A504" s="632" t="s">
        <v>246</v>
      </c>
      <c r="B504" s="633"/>
      <c r="C504" s="633"/>
      <c r="D504" s="633"/>
      <c r="E504" s="633"/>
      <c r="F504" s="634"/>
      <c r="G504" s="154">
        <f>SUM(G368,G426,G461,G477,G487,G503)</f>
        <v>715</v>
      </c>
      <c r="H504" s="154">
        <f>SUM(H368,H426,H461,H477,H487,H503)</f>
        <v>3596.4500000000003</v>
      </c>
      <c r="I504" s="154">
        <f>SUM(I368,I426,I461,I477,I487,I503)</f>
        <v>53.5</v>
      </c>
      <c r="J504" s="155">
        <f t="array" ref="J504">IF(ISERROR(G504/I504),"",G504/I504)</f>
        <v>13.364485981308411</v>
      </c>
      <c r="K504" s="154">
        <f>SUM(K368,K426,K461,K477,K487,K503)</f>
        <v>81.25</v>
      </c>
      <c r="L504" s="155">
        <f>IF(ISERROR(G504/K504),"",G504/K504)</f>
        <v>8.8000000000000007</v>
      </c>
      <c r="M504" s="154">
        <f t="shared" ref="M504:V504" si="235">SUM(M368,M426,M461,M477,M487,M503)</f>
        <v>-27.75</v>
      </c>
      <c r="N504" s="154">
        <f t="shared" si="235"/>
        <v>0</v>
      </c>
      <c r="O504" s="154">
        <f t="shared" si="235"/>
        <v>0</v>
      </c>
      <c r="P504" s="154">
        <f t="shared" si="235"/>
        <v>0</v>
      </c>
      <c r="Q504" s="154">
        <f t="shared" si="235"/>
        <v>0</v>
      </c>
      <c r="R504" s="154">
        <f t="shared" si="235"/>
        <v>0</v>
      </c>
      <c r="S504" s="154">
        <f t="shared" si="235"/>
        <v>0</v>
      </c>
      <c r="T504" s="154">
        <f t="shared" si="235"/>
        <v>0</v>
      </c>
      <c r="U504" s="154">
        <f t="shared" si="235"/>
        <v>0</v>
      </c>
      <c r="V504" s="154">
        <f t="shared" si="235"/>
        <v>0</v>
      </c>
      <c r="W504" s="156">
        <f t="shared" ref="W504" si="236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35" t="s">
        <v>476</v>
      </c>
      <c r="B505" s="556" t="s">
        <v>247</v>
      </c>
      <c r="C505" s="638" t="s">
        <v>248</v>
      </c>
      <c r="D505" s="639"/>
      <c r="E505" s="640" t="s">
        <v>249</v>
      </c>
      <c r="F505" s="640"/>
      <c r="G505" s="643" t="s">
        <v>250</v>
      </c>
      <c r="H505" s="643"/>
      <c r="I505" s="640" t="s">
        <v>251</v>
      </c>
      <c r="J505" s="640"/>
      <c r="K505" s="640" t="s">
        <v>252</v>
      </c>
      <c r="L505" s="640"/>
      <c r="M505" s="640" t="s">
        <v>253</v>
      </c>
      <c r="N505" s="640"/>
      <c r="O505" s="640" t="s">
        <v>254</v>
      </c>
      <c r="P505" s="643" t="s">
        <v>255</v>
      </c>
      <c r="Q505" s="643"/>
      <c r="R505" s="643" t="s">
        <v>252</v>
      </c>
      <c r="S505" s="643"/>
      <c r="T505" s="643" t="s">
        <v>256</v>
      </c>
      <c r="U505" s="643"/>
      <c r="V505" s="643" t="s">
        <v>257</v>
      </c>
      <c r="W505" s="643"/>
      <c r="X505" s="643" t="s">
        <v>252</v>
      </c>
      <c r="Y505" s="643"/>
      <c r="Z505" s="643" t="s">
        <v>256</v>
      </c>
      <c r="AA505" s="643"/>
    </row>
    <row r="506" spans="1:27" ht="20.100000000000001" customHeight="1">
      <c r="A506" s="636"/>
      <c r="B506" s="556" t="s">
        <v>258</v>
      </c>
      <c r="C506" s="638">
        <v>0</v>
      </c>
      <c r="D506" s="639"/>
      <c r="E506" s="642">
        <f>C506*11</f>
        <v>0</v>
      </c>
      <c r="F506" s="642"/>
      <c r="G506" s="643">
        <v>0</v>
      </c>
      <c r="H506" s="643"/>
      <c r="I506" s="642">
        <f>G506*11</f>
        <v>0</v>
      </c>
      <c r="J506" s="642"/>
      <c r="K506" s="642">
        <f>E506-I506</f>
        <v>0</v>
      </c>
      <c r="L506" s="642"/>
      <c r="M506" s="644" t="str">
        <f>IF(ISERROR(K506/E506),"",K506/E506)</f>
        <v/>
      </c>
      <c r="N506" s="644"/>
      <c r="O506" s="640"/>
      <c r="P506" s="643" t="s">
        <v>201</v>
      </c>
      <c r="Q506" s="643"/>
      <c r="R506" s="645">
        <f>SUM(O368:U368)</f>
        <v>0</v>
      </c>
      <c r="S506" s="645"/>
      <c r="T506" s="646" t="str">
        <f t="array" ref="T506">IF(ISERROR(R506/R513),"",R506/R513)</f>
        <v/>
      </c>
      <c r="U506" s="646"/>
      <c r="V506" s="643" t="s">
        <v>259</v>
      </c>
      <c r="W506" s="643"/>
      <c r="X506" s="647">
        <f>SUM(O368,O426,O461,O477,O487,O503)</f>
        <v>0</v>
      </c>
      <c r="Y506" s="647"/>
      <c r="Z506" s="646" t="str">
        <f t="array" ref="Z506">IF(ISERROR(X506/X513),"",X506/X513)</f>
        <v/>
      </c>
      <c r="AA506" s="646"/>
    </row>
    <row r="507" spans="1:27" ht="20.100000000000001" customHeight="1">
      <c r="A507" s="636"/>
      <c r="B507" s="556" t="s">
        <v>260</v>
      </c>
      <c r="C507" s="638">
        <v>0</v>
      </c>
      <c r="D507" s="639"/>
      <c r="E507" s="642">
        <f>C507*11</f>
        <v>0</v>
      </c>
      <c r="F507" s="642"/>
      <c r="G507" s="643">
        <v>0</v>
      </c>
      <c r="H507" s="643"/>
      <c r="I507" s="642">
        <f>G507*11</f>
        <v>0</v>
      </c>
      <c r="J507" s="642"/>
      <c r="K507" s="642">
        <f>E507-I507</f>
        <v>0</v>
      </c>
      <c r="L507" s="642"/>
      <c r="M507" s="644" t="str">
        <f>IF(ISERROR(K507/E507),"",K507/E507)</f>
        <v/>
      </c>
      <c r="N507" s="644"/>
      <c r="O507" s="640"/>
      <c r="P507" s="643" t="s">
        <v>216</v>
      </c>
      <c r="Q507" s="643"/>
      <c r="R507" s="645">
        <f>SUM(O426:U426)</f>
        <v>0</v>
      </c>
      <c r="S507" s="645"/>
      <c r="T507" s="646" t="str">
        <f>IF(ISERROR(R507/R513),"",R507/R513)</f>
        <v/>
      </c>
      <c r="U507" s="646"/>
      <c r="V507" s="643" t="s">
        <v>261</v>
      </c>
      <c r="W507" s="643"/>
      <c r="X507" s="647">
        <f>SUM(O369,O427,O462,O478,O488,O504)</f>
        <v>0</v>
      </c>
      <c r="Y507" s="647"/>
      <c r="Z507" s="646" t="str">
        <f>IF(ISERROR(X507/X513),"",X507/X513)</f>
        <v/>
      </c>
      <c r="AA507" s="646"/>
    </row>
    <row r="508" spans="1:27" ht="20.100000000000001" customHeight="1">
      <c r="A508" s="636"/>
      <c r="B508" s="556" t="s">
        <v>262</v>
      </c>
      <c r="C508" s="638">
        <v>0</v>
      </c>
      <c r="D508" s="639"/>
      <c r="E508" s="642">
        <f>C508*11</f>
        <v>0</v>
      </c>
      <c r="F508" s="642"/>
      <c r="G508" s="643">
        <v>0</v>
      </c>
      <c r="H508" s="643"/>
      <c r="I508" s="642">
        <f>G508*11</f>
        <v>0</v>
      </c>
      <c r="J508" s="642"/>
      <c r="K508" s="642">
        <f>E508-I508</f>
        <v>0</v>
      </c>
      <c r="L508" s="642"/>
      <c r="M508" s="644" t="str">
        <f>IF(ISERROR(K508/E508),"",K508/E508)</f>
        <v/>
      </c>
      <c r="N508" s="644"/>
      <c r="O508" s="640"/>
      <c r="P508" s="643" t="s">
        <v>224</v>
      </c>
      <c r="Q508" s="643"/>
      <c r="R508" s="645">
        <f>SUM(O461:U461)</f>
        <v>0</v>
      </c>
      <c r="S508" s="645"/>
      <c r="T508" s="646" t="str">
        <f>IF(ISERROR(R508/R513),"",R508/R513)</f>
        <v/>
      </c>
      <c r="U508" s="646"/>
      <c r="V508" s="643" t="s">
        <v>263</v>
      </c>
      <c r="W508" s="643"/>
      <c r="X508" s="647">
        <f>SUM(O371,O428,O463,O479,O489,O505)</f>
        <v>0</v>
      </c>
      <c r="Y508" s="647"/>
      <c r="Z508" s="646" t="str">
        <f>IF(ISERROR(X508/X513),"",X508/X513)</f>
        <v/>
      </c>
      <c r="AA508" s="646"/>
    </row>
    <row r="509" spans="1:27" ht="20.100000000000001" customHeight="1">
      <c r="A509" s="636"/>
      <c r="B509" s="556" t="s">
        <v>264</v>
      </c>
      <c r="C509" s="638">
        <v>1</v>
      </c>
      <c r="D509" s="639"/>
      <c r="E509" s="642">
        <f>C509*11</f>
        <v>11</v>
      </c>
      <c r="F509" s="642"/>
      <c r="G509" s="643">
        <v>1</v>
      </c>
      <c r="H509" s="643"/>
      <c r="I509" s="642">
        <f>G509*11</f>
        <v>11</v>
      </c>
      <c r="J509" s="642"/>
      <c r="K509" s="642">
        <f>E509-I509</f>
        <v>0</v>
      </c>
      <c r="L509" s="642"/>
      <c r="M509" s="644">
        <f>IF(ISERROR(K509/E509),"",K509/E509)</f>
        <v>0</v>
      </c>
      <c r="N509" s="644"/>
      <c r="O509" s="640"/>
      <c r="P509" s="643" t="s">
        <v>231</v>
      </c>
      <c r="Q509" s="643"/>
      <c r="R509" s="645">
        <f>SUM(O477:U477)</f>
        <v>0</v>
      </c>
      <c r="S509" s="645"/>
      <c r="T509" s="646" t="str">
        <f>IF(ISERROR(R509/R513),"",R509/R513)</f>
        <v/>
      </c>
      <c r="U509" s="646"/>
      <c r="V509" s="643" t="s">
        <v>265</v>
      </c>
      <c r="W509" s="643"/>
      <c r="X509" s="647">
        <f>SUM(O372,O429,O464,O480,O490,O506)</f>
        <v>0</v>
      </c>
      <c r="Y509" s="647"/>
      <c r="Z509" s="646" t="str">
        <f>IF(ISERROR(X509/X513),"",X509/X513)</f>
        <v/>
      </c>
      <c r="AA509" s="646"/>
    </row>
    <row r="510" spans="1:27" ht="20.100000000000001" customHeight="1">
      <c r="A510" s="637"/>
      <c r="B510" s="556" t="s">
        <v>266</v>
      </c>
      <c r="C510" s="648">
        <f>SUM(C506:D509)</f>
        <v>1</v>
      </c>
      <c r="D510" s="649"/>
      <c r="E510" s="642">
        <f>SUM(E506:F509)</f>
        <v>11</v>
      </c>
      <c r="F510" s="642"/>
      <c r="G510" s="643">
        <f>SUM(G506:H509)</f>
        <v>1</v>
      </c>
      <c r="H510" s="643"/>
      <c r="I510" s="642">
        <f>SUM(I506:J509)</f>
        <v>11</v>
      </c>
      <c r="J510" s="642"/>
      <c r="K510" s="642">
        <f>SUM(K506:L509)</f>
        <v>0</v>
      </c>
      <c r="L510" s="642"/>
      <c r="M510" s="644">
        <f>IF(ISERROR(K510/E510),"",K510/E510)</f>
        <v>0</v>
      </c>
      <c r="N510" s="644"/>
      <c r="O510" s="640"/>
      <c r="P510" s="643" t="s">
        <v>234</v>
      </c>
      <c r="Q510" s="643"/>
      <c r="R510" s="645">
        <f>SUM(O487:U487)</f>
        <v>0</v>
      </c>
      <c r="S510" s="645"/>
      <c r="T510" s="646" t="str">
        <f>IF(ISERROR(R510/R513),"",R510/R513)</f>
        <v/>
      </c>
      <c r="U510" s="646"/>
      <c r="V510" s="643" t="s">
        <v>267</v>
      </c>
      <c r="W510" s="643"/>
      <c r="X510" s="647">
        <f>SUM(O373,O430,O465,O481,O491,O507)</f>
        <v>0</v>
      </c>
      <c r="Y510" s="647"/>
      <c r="Z510" s="646" t="str">
        <f>IF(ISERROR(X510/X513),"",X510/X513)</f>
        <v/>
      </c>
      <c r="AA510" s="646"/>
    </row>
    <row r="511" spans="1:27" ht="20.100000000000001" customHeight="1">
      <c r="A511" s="307" t="s">
        <v>477</v>
      </c>
      <c r="B511" s="556">
        <f>G504</f>
        <v>715</v>
      </c>
      <c r="C511" s="650" t="s">
        <v>269</v>
      </c>
      <c r="D511" s="651"/>
      <c r="E511" s="643">
        <f>H504</f>
        <v>3596.4500000000003</v>
      </c>
      <c r="F511" s="643"/>
      <c r="G511" s="643" t="s">
        <v>270</v>
      </c>
      <c r="H511" s="643"/>
      <c r="I511" s="652">
        <f>L504</f>
        <v>8.8000000000000007</v>
      </c>
      <c r="J511" s="652"/>
      <c r="K511" s="640" t="s">
        <v>271</v>
      </c>
      <c r="L511" s="640"/>
      <c r="M511" s="652">
        <f>J504</f>
        <v>13.364485981308411</v>
      </c>
      <c r="N511" s="652"/>
      <c r="O511" s="640"/>
      <c r="P511" s="643" t="s">
        <v>244</v>
      </c>
      <c r="Q511" s="643"/>
      <c r="R511" s="645">
        <f>SUM(O503:U503)</f>
        <v>0</v>
      </c>
      <c r="S511" s="645"/>
      <c r="T511" s="646" t="str">
        <f>IF(ISERROR(R511/R513),"",R511/R513)</f>
        <v/>
      </c>
      <c r="U511" s="646"/>
      <c r="V511" s="643" t="s">
        <v>272</v>
      </c>
      <c r="W511" s="643"/>
      <c r="X511" s="647">
        <f>SUM(O374,O431,O466,O482,O492,O508)</f>
        <v>0</v>
      </c>
      <c r="Y511" s="647"/>
      <c r="Z511" s="646" t="str">
        <f>IF(ISERROR(X511/X513),"",X511/X513)</f>
        <v/>
      </c>
      <c r="AA511" s="646"/>
    </row>
    <row r="512" spans="1:27" ht="20.100000000000001" customHeight="1">
      <c r="A512" s="308" t="s">
        <v>478</v>
      </c>
      <c r="B512" s="556">
        <f>I504+C510</f>
        <v>54.5</v>
      </c>
      <c r="C512" s="653" t="s">
        <v>251</v>
      </c>
      <c r="D512" s="654"/>
      <c r="E512" s="655">
        <f>K504+I510</f>
        <v>92.25</v>
      </c>
      <c r="F512" s="655"/>
      <c r="G512" s="643" t="s">
        <v>274</v>
      </c>
      <c r="H512" s="643"/>
      <c r="I512" s="652">
        <f>B512-E512</f>
        <v>-37.75</v>
      </c>
      <c r="J512" s="652"/>
      <c r="K512" s="640" t="s">
        <v>275</v>
      </c>
      <c r="L512" s="640"/>
      <c r="M512" s="644">
        <f>IF(ISERROR(I512/E512),"",I512/E512)</f>
        <v>-0.40921409214092141</v>
      </c>
      <c r="N512" s="644"/>
      <c r="O512" s="640"/>
      <c r="P512" s="643" t="s">
        <v>245</v>
      </c>
      <c r="Q512" s="643"/>
      <c r="R512" s="645"/>
      <c r="S512" s="645"/>
      <c r="T512" s="646" t="str">
        <f>IF(ISERROR(R512/R513),"",R512/R513)</f>
        <v/>
      </c>
      <c r="U512" s="646"/>
      <c r="V512" s="643" t="s">
        <v>264</v>
      </c>
      <c r="W512" s="643"/>
      <c r="X512" s="647">
        <f>SUM(O375,O432,O467,O486,O493,O509)</f>
        <v>0</v>
      </c>
      <c r="Y512" s="647"/>
      <c r="Z512" s="646" t="str">
        <f>IF(ISERROR(X512/X513),"",X512/X513)</f>
        <v/>
      </c>
      <c r="AA512" s="646"/>
    </row>
    <row r="513" spans="1:27" ht="20.100000000000001" customHeight="1">
      <c r="A513" s="308" t="s">
        <v>479</v>
      </c>
      <c r="B513" s="556">
        <f>N504</f>
        <v>0</v>
      </c>
      <c r="C513" s="653" t="s">
        <v>277</v>
      </c>
      <c r="D513" s="654"/>
      <c r="E513" s="646">
        <f>IF(ISERROR(B513/B512),"",B513/B512)</f>
        <v>0</v>
      </c>
      <c r="F513" s="646"/>
      <c r="G513" s="643" t="s">
        <v>278</v>
      </c>
      <c r="H513" s="643"/>
      <c r="I513" s="640">
        <f>V504</f>
        <v>0</v>
      </c>
      <c r="J513" s="640"/>
      <c r="K513" s="640" t="s">
        <v>279</v>
      </c>
      <c r="L513" s="640"/>
      <c r="M513" s="644">
        <f t="array" ref="M513">IF(ISERROR(I513/B511),"",I513/B511)</f>
        <v>0</v>
      </c>
      <c r="N513" s="644"/>
      <c r="O513" s="640"/>
      <c r="P513" s="643" t="s">
        <v>266</v>
      </c>
      <c r="Q513" s="643"/>
      <c r="R513" s="645">
        <f>SUM(R506:S512)</f>
        <v>0</v>
      </c>
      <c r="S513" s="645"/>
      <c r="T513" s="646"/>
      <c r="U513" s="646"/>
      <c r="V513" s="643" t="s">
        <v>266</v>
      </c>
      <c r="W513" s="643"/>
      <c r="X513" s="647">
        <f>SUM(X506:Y512)</f>
        <v>0</v>
      </c>
      <c r="Y513" s="647"/>
      <c r="Z513" s="646"/>
      <c r="AA513" s="646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682" t="str">
        <f>IF(ISERROR(#REF!/#REF!),"",#REF!/#REF!)</f>
        <v/>
      </c>
      <c r="H514" s="682"/>
      <c r="I514" s="682"/>
      <c r="J514" s="125"/>
      <c r="K514" s="160"/>
      <c r="L514" s="122"/>
      <c r="M514" s="122"/>
      <c r="N514" s="682" t="str">
        <f>IF(ISERROR(G514/#REF!),"",G514/#REF!)</f>
        <v/>
      </c>
      <c r="O514" s="682"/>
      <c r="P514" s="682"/>
      <c r="Q514" s="682"/>
      <c r="R514" s="682"/>
      <c r="S514" s="557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685" t="s">
        <v>268</v>
      </c>
      <c r="B516" s="685"/>
      <c r="C516" s="638">
        <f>SUM(B170,B340,B511)</f>
        <v>7292</v>
      </c>
      <c r="D516" s="639"/>
      <c r="E516" s="685" t="s">
        <v>269</v>
      </c>
      <c r="F516" s="685"/>
      <c r="G516" s="655">
        <f>SUM(E170,E340,E511)</f>
        <v>36786.299999999996</v>
      </c>
      <c r="H516" s="655"/>
      <c r="I516" s="643" t="s">
        <v>270</v>
      </c>
      <c r="J516" s="685"/>
      <c r="K516" s="638">
        <f>IF(ISERROR(C516/G517),"",C516/G517)</f>
        <v>15.128667643238082</v>
      </c>
      <c r="L516" s="639"/>
      <c r="M516" s="643" t="s">
        <v>271</v>
      </c>
      <c r="N516" s="643"/>
      <c r="O516" s="680">
        <f t="array" ref="O516">IF(ISERROR(C516/C517),"",C516/C517)</f>
        <v>18.484157160963246</v>
      </c>
      <c r="P516" s="681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643" t="s">
        <v>273</v>
      </c>
      <c r="B517" s="643"/>
      <c r="C517" s="638">
        <f>SUM(B171,B341,B512)</f>
        <v>394.5</v>
      </c>
      <c r="D517" s="639"/>
      <c r="E517" s="643" t="s">
        <v>251</v>
      </c>
      <c r="F517" s="643"/>
      <c r="G517" s="655">
        <f>SUM(E171,E341,E512)</f>
        <v>481.99882315870934</v>
      </c>
      <c r="H517" s="655"/>
      <c r="I517" s="653" t="s">
        <v>274</v>
      </c>
      <c r="J517" s="654"/>
      <c r="K517" s="650">
        <f>C517-G517</f>
        <v>-87.498823158709342</v>
      </c>
      <c r="L517" s="651"/>
      <c r="M517" s="650" t="s">
        <v>275</v>
      </c>
      <c r="N517" s="651"/>
      <c r="O517" s="683">
        <f>IF(ISERROR(K517/C517),"",K517/C517)</f>
        <v>-0.22179676339343307</v>
      </c>
      <c r="P517" s="684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653" t="s">
        <v>276</v>
      </c>
      <c r="B518" s="654"/>
      <c r="C518" s="638">
        <f>SUM(B172,B342,B513)</f>
        <v>0</v>
      </c>
      <c r="D518" s="639"/>
      <c r="E518" s="653" t="s">
        <v>277</v>
      </c>
      <c r="F518" s="654"/>
      <c r="G518" s="646">
        <f>IF(ISERROR(C518/C517),"",C518/C517)</f>
        <v>0</v>
      </c>
      <c r="H518" s="646"/>
      <c r="I518" s="643" t="s">
        <v>278</v>
      </c>
      <c r="J518" s="685"/>
      <c r="K518" s="655">
        <f>SUM(I172,I342,I513)</f>
        <v>0</v>
      </c>
      <c r="L518" s="655"/>
      <c r="M518" s="685" t="s">
        <v>279</v>
      </c>
      <c r="N518" s="685"/>
      <c r="O518" s="683">
        <f t="array" ref="O518">IF(ISERROR(K518/C516),"",K518/C516)</f>
        <v>0</v>
      </c>
      <c r="P518" s="684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557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653" t="s">
        <v>298</v>
      </c>
      <c r="B520" s="654"/>
      <c r="C520" s="653" t="s">
        <v>299</v>
      </c>
      <c r="D520" s="654"/>
      <c r="E520" s="653" t="s">
        <v>256</v>
      </c>
      <c r="F520" s="654"/>
      <c r="G520" s="686" t="s">
        <v>254</v>
      </c>
      <c r="H520" s="687"/>
      <c r="I520" s="653" t="s">
        <v>255</v>
      </c>
      <c r="J520" s="651"/>
      <c r="K520" s="653" t="s">
        <v>300</v>
      </c>
      <c r="L520" s="654"/>
      <c r="M520" s="653" t="s">
        <v>256</v>
      </c>
      <c r="N520" s="654"/>
      <c r="O520" s="643" t="s">
        <v>257</v>
      </c>
      <c r="P520" s="643"/>
      <c r="Q520" s="653" t="s">
        <v>300</v>
      </c>
      <c r="R520" s="654"/>
      <c r="S520" s="653" t="s">
        <v>256</v>
      </c>
      <c r="T520" s="654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692" t="s">
        <v>201</v>
      </c>
      <c r="B521" s="654"/>
      <c r="C521" s="653">
        <f>SUM(G28,G198,G368)</f>
        <v>1532</v>
      </c>
      <c r="D521" s="654"/>
      <c r="E521" s="693">
        <f>IF(ISERROR(C521/C527),"",C521/C527)</f>
        <v>0.21009325287986835</v>
      </c>
      <c r="F521" s="694"/>
      <c r="G521" s="688"/>
      <c r="H521" s="689"/>
      <c r="I521" s="695" t="s">
        <v>301</v>
      </c>
      <c r="J521" s="696"/>
      <c r="K521" s="650">
        <f t="shared" ref="K521:K526" si="237">SUM(R165,U335,U506)</f>
        <v>0</v>
      </c>
      <c r="L521" s="651"/>
      <c r="M521" s="693" t="str">
        <f t="array" ref="M521">IF(ISERROR(K521/K527),"",K521/K527)</f>
        <v/>
      </c>
      <c r="N521" s="694"/>
      <c r="O521" s="643" t="s">
        <v>259</v>
      </c>
      <c r="P521" s="643"/>
      <c r="Q521" s="680">
        <f t="shared" ref="Q521:Q526" si="238">SUM(X165,AA335,AA506)</f>
        <v>0</v>
      </c>
      <c r="R521" s="681"/>
      <c r="S521" s="693" t="str">
        <f t="array" ref="S521">IF(ISERROR(Q521/Q527),"",Q521/Q527)</f>
        <v/>
      </c>
      <c r="T521" s="694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692" t="s">
        <v>216</v>
      </c>
      <c r="B522" s="654"/>
      <c r="C522" s="653">
        <f>SUM(G86,G256,G426)</f>
        <v>4203</v>
      </c>
      <c r="D522" s="654"/>
      <c r="E522" s="693">
        <f>IF(ISERROR(C522/C527),"",C522/C527)</f>
        <v>0.57638507953922102</v>
      </c>
      <c r="F522" s="694"/>
      <c r="G522" s="688"/>
      <c r="H522" s="689"/>
      <c r="I522" s="695" t="s">
        <v>302</v>
      </c>
      <c r="J522" s="696"/>
      <c r="K522" s="650">
        <f t="shared" si="237"/>
        <v>0</v>
      </c>
      <c r="L522" s="651"/>
      <c r="M522" s="693" t="str">
        <f>IF(ISERROR(K522/K527),"",K522/K527)</f>
        <v/>
      </c>
      <c r="N522" s="694"/>
      <c r="O522" s="643" t="s">
        <v>261</v>
      </c>
      <c r="P522" s="643"/>
      <c r="Q522" s="680">
        <f t="shared" si="238"/>
        <v>0</v>
      </c>
      <c r="R522" s="681"/>
      <c r="S522" s="693" t="str">
        <f>IF(ISERROR(Q522/Q527),"",Q522/Q527)</f>
        <v/>
      </c>
      <c r="T522" s="694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692" t="s">
        <v>224</v>
      </c>
      <c r="B523" s="654"/>
      <c r="C523" s="653">
        <f>SUM(G121,G291,G461)</f>
        <v>1403</v>
      </c>
      <c r="D523" s="654"/>
      <c r="E523" s="693">
        <f>IF(ISERROR(C523/C527),"",C523/C527)</f>
        <v>0.19240263302249039</v>
      </c>
      <c r="F523" s="694"/>
      <c r="G523" s="688"/>
      <c r="H523" s="689"/>
      <c r="I523" s="695" t="s">
        <v>303</v>
      </c>
      <c r="J523" s="696"/>
      <c r="K523" s="650">
        <f t="shared" si="237"/>
        <v>0</v>
      </c>
      <c r="L523" s="651"/>
      <c r="M523" s="693" t="str">
        <f>IF(ISERROR(K523/K527),"",K523/K527)</f>
        <v/>
      </c>
      <c r="N523" s="694"/>
      <c r="O523" s="643" t="s">
        <v>263</v>
      </c>
      <c r="P523" s="643"/>
      <c r="Q523" s="680">
        <f t="shared" si="238"/>
        <v>0</v>
      </c>
      <c r="R523" s="681"/>
      <c r="S523" s="693" t="str">
        <f>IF(ISERROR(Q523/Q527),"",Q523/Q527)</f>
        <v/>
      </c>
      <c r="T523" s="694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692" t="s">
        <v>231</v>
      </c>
      <c r="B524" s="654"/>
      <c r="C524" s="653">
        <f>SUM(G137,G307,G477)</f>
        <v>154</v>
      </c>
      <c r="D524" s="654"/>
      <c r="E524" s="693">
        <f>IF(ISERROR(C524/C527),"",C524/C527)</f>
        <v>2.1119034558420187E-2</v>
      </c>
      <c r="F524" s="694"/>
      <c r="G524" s="688"/>
      <c r="H524" s="689"/>
      <c r="I524" s="695" t="s">
        <v>304</v>
      </c>
      <c r="J524" s="696"/>
      <c r="K524" s="650">
        <f t="shared" si="237"/>
        <v>0</v>
      </c>
      <c r="L524" s="651"/>
      <c r="M524" s="693" t="str">
        <f>IF(ISERROR(K524/K527),"",K524/K527)</f>
        <v/>
      </c>
      <c r="N524" s="694"/>
      <c r="O524" s="643" t="s">
        <v>305</v>
      </c>
      <c r="P524" s="643"/>
      <c r="Q524" s="680">
        <f t="shared" si="238"/>
        <v>0</v>
      </c>
      <c r="R524" s="681"/>
      <c r="S524" s="693" t="str">
        <f>IF(ISERROR(Q524/Q527),"",Q524/Q527)</f>
        <v/>
      </c>
      <c r="T524" s="694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92" t="s">
        <v>234</v>
      </c>
      <c r="B525" s="654"/>
      <c r="C525" s="653">
        <f>SUM(G147,G317,G487)</f>
        <v>0</v>
      </c>
      <c r="D525" s="654"/>
      <c r="E525" s="693">
        <f>IF(ISERROR(C525/C527),"",C525/C527)</f>
        <v>0</v>
      </c>
      <c r="F525" s="694"/>
      <c r="G525" s="688"/>
      <c r="H525" s="689"/>
      <c r="I525" s="695" t="s">
        <v>306</v>
      </c>
      <c r="J525" s="696"/>
      <c r="K525" s="650">
        <f t="shared" si="237"/>
        <v>0</v>
      </c>
      <c r="L525" s="651"/>
      <c r="M525" s="693" t="str">
        <f>IF(ISERROR(K525/K527),"",K525/K527)</f>
        <v/>
      </c>
      <c r="N525" s="694"/>
      <c r="O525" s="643" t="s">
        <v>267</v>
      </c>
      <c r="P525" s="643"/>
      <c r="Q525" s="680">
        <f t="shared" si="238"/>
        <v>0</v>
      </c>
      <c r="R525" s="681"/>
      <c r="S525" s="693" t="str">
        <f>IF(ISERROR(Q525/Q527),"",Q525/Q527)</f>
        <v/>
      </c>
      <c r="T525" s="694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92" t="s">
        <v>244</v>
      </c>
      <c r="B526" s="654"/>
      <c r="C526" s="653">
        <f>SUM(G162,G332,G503)</f>
        <v>0</v>
      </c>
      <c r="D526" s="654"/>
      <c r="E526" s="693">
        <f>IF(ISERROR(C526/C527),"",C526/C527)</f>
        <v>0</v>
      </c>
      <c r="F526" s="694"/>
      <c r="G526" s="688"/>
      <c r="H526" s="689"/>
      <c r="I526" s="695" t="s">
        <v>307</v>
      </c>
      <c r="J526" s="696"/>
      <c r="K526" s="650">
        <f t="shared" si="237"/>
        <v>0</v>
      </c>
      <c r="L526" s="651"/>
      <c r="M526" s="693" t="str">
        <f>IF(ISERROR(K526/K527),"",K526/K527)</f>
        <v/>
      </c>
      <c r="N526" s="694"/>
      <c r="O526" s="643" t="s">
        <v>272</v>
      </c>
      <c r="P526" s="643"/>
      <c r="Q526" s="680">
        <f t="shared" si="238"/>
        <v>0</v>
      </c>
      <c r="R526" s="681"/>
      <c r="S526" s="693" t="str">
        <f>IF(ISERROR(Q526/Q527),"",Q526/Q527)</f>
        <v/>
      </c>
      <c r="T526" s="694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53" t="s">
        <v>266</v>
      </c>
      <c r="B527" s="654"/>
      <c r="C527" s="653">
        <f>SUM(C521:C526)</f>
        <v>7292</v>
      </c>
      <c r="D527" s="654"/>
      <c r="E527" s="693">
        <f>SUM(E521:F526)</f>
        <v>1</v>
      </c>
      <c r="F527" s="694"/>
      <c r="G527" s="690"/>
      <c r="H527" s="691"/>
      <c r="I527" s="653" t="s">
        <v>266</v>
      </c>
      <c r="J527" s="651"/>
      <c r="K527" s="650">
        <f>SUM(R172,U342,U513)</f>
        <v>0</v>
      </c>
      <c r="L527" s="651"/>
      <c r="M527" s="693"/>
      <c r="N527" s="694"/>
      <c r="O527" s="643" t="s">
        <v>266</v>
      </c>
      <c r="P527" s="643"/>
      <c r="Q527" s="680">
        <f>SUM(Q521:R526)</f>
        <v>0</v>
      </c>
      <c r="R527" s="681"/>
      <c r="S527" s="693">
        <f>SUM(S521:T526)</f>
        <v>0</v>
      </c>
      <c r="T527" s="694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695" t="s">
        <v>308</v>
      </c>
      <c r="B529" s="649"/>
      <c r="C529" s="560" t="s">
        <v>309</v>
      </c>
      <c r="D529" s="560" t="s">
        <v>310</v>
      </c>
      <c r="E529" s="560" t="s">
        <v>311</v>
      </c>
      <c r="F529" s="560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562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554" t="s">
        <v>322</v>
      </c>
      <c r="Q529" s="129" t="s">
        <v>323</v>
      </c>
      <c r="R529" s="109" t="s">
        <v>324</v>
      </c>
      <c r="S529" s="560" t="s">
        <v>325</v>
      </c>
      <c r="T529" s="560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697" t="s">
        <v>327</v>
      </c>
      <c r="B530" s="698"/>
      <c r="C530" s="106">
        <f>D530+E530+F530-G530-O530-P530</f>
        <v>38</v>
      </c>
      <c r="D530" s="106">
        <f>+'19'!C530</f>
        <v>38</v>
      </c>
      <c r="E530" s="106"/>
      <c r="F530" s="106"/>
      <c r="G530" s="107"/>
      <c r="H530" s="106"/>
      <c r="I530" s="106"/>
      <c r="J530" s="106">
        <f>C530-H530-I530</f>
        <v>38</v>
      </c>
      <c r="K530" s="106"/>
      <c r="L530" s="106"/>
      <c r="M530" s="106"/>
      <c r="N530" s="106"/>
      <c r="O530" s="106"/>
      <c r="P530" s="108"/>
      <c r="Q530" s="106">
        <f>J530-K530-L530</f>
        <v>38</v>
      </c>
      <c r="R530" s="109">
        <f>Q530*11-M530-N530</f>
        <v>418</v>
      </c>
      <c r="S530" s="561">
        <f t="array" ref="S530">IF(ISERROR(Q530/J530),"",Q530/J530)</f>
        <v>1</v>
      </c>
      <c r="T530" s="561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697" t="s">
        <v>328</v>
      </c>
      <c r="B531" s="698"/>
      <c r="C531" s="106">
        <f>D531+E531+F531-G531-O531-P531</f>
        <v>31</v>
      </c>
      <c r="D531" s="106">
        <f>+'19'!C531</f>
        <v>31</v>
      </c>
      <c r="E531" s="110"/>
      <c r="F531" s="110"/>
      <c r="G531" s="107"/>
      <c r="H531" s="106"/>
      <c r="I531" s="106"/>
      <c r="J531" s="106">
        <f>C531-H531-I531</f>
        <v>31</v>
      </c>
      <c r="K531" s="106"/>
      <c r="L531" s="106"/>
      <c r="M531" s="106"/>
      <c r="N531" s="106"/>
      <c r="O531" s="110"/>
      <c r="P531" s="111"/>
      <c r="Q531" s="106">
        <f>J531-K531-L531</f>
        <v>31</v>
      </c>
      <c r="R531" s="109">
        <f>Q531*11-M531-N531</f>
        <v>341</v>
      </c>
      <c r="S531" s="561">
        <f t="array" ref="S531">IF(ISERROR(Q531/J531),"",Q531/J531)</f>
        <v>1</v>
      </c>
      <c r="T531" s="561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697" t="s">
        <v>329</v>
      </c>
      <c r="B532" s="698"/>
      <c r="C532" s="106">
        <f>D532+E532+F532-G532-O532-P532</f>
        <v>10</v>
      </c>
      <c r="D532" s="106">
        <f>+'19'!C532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561">
        <f t="array" ref="S532">IF(ISERROR(Q532/J532),"",Q532/J532)</f>
        <v>1</v>
      </c>
      <c r="T532" s="561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699" t="s">
        <v>330</v>
      </c>
      <c r="B533" s="700"/>
      <c r="C533" s="112">
        <f>SUM(C530:C532)</f>
        <v>79</v>
      </c>
      <c r="D533" s="112">
        <f t="shared" ref="D533:N533" si="239">SUM(D530:D532)</f>
        <v>79</v>
      </c>
      <c r="E533" s="112">
        <f t="shared" si="239"/>
        <v>0</v>
      </c>
      <c r="F533" s="112">
        <f t="shared" si="239"/>
        <v>0</v>
      </c>
      <c r="G533" s="113">
        <f t="shared" si="239"/>
        <v>0</v>
      </c>
      <c r="H533" s="112">
        <f t="shared" si="239"/>
        <v>0</v>
      </c>
      <c r="I533" s="112">
        <f t="shared" si="239"/>
        <v>0</v>
      </c>
      <c r="J533" s="112">
        <f t="shared" si="239"/>
        <v>79</v>
      </c>
      <c r="K533" s="112">
        <f t="shared" si="239"/>
        <v>0</v>
      </c>
      <c r="L533" s="112">
        <f t="shared" si="239"/>
        <v>0</v>
      </c>
      <c r="M533" s="112">
        <f t="shared" si="239"/>
        <v>0</v>
      </c>
      <c r="N533" s="112">
        <f t="shared" si="239"/>
        <v>0</v>
      </c>
      <c r="O533" s="112">
        <f>SUM(O530:O532)</f>
        <v>0</v>
      </c>
      <c r="P533" s="112">
        <f>SUM(P530:P532)</f>
        <v>0</v>
      </c>
      <c r="Q533" s="112">
        <f>SUM(Q530:Q532)</f>
        <v>79</v>
      </c>
      <c r="R533" s="114">
        <f>SUM(R530:R532)</f>
        <v>869</v>
      </c>
      <c r="S533" s="115">
        <f t="array" ref="S533">IF(ISERROR(Q533/J533),"",Q533/J533)</f>
        <v>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528" activePane="bottomRight" state="frozen"/>
      <selection activeCell="F484" sqref="F484"/>
      <selection pane="topRight" activeCell="F484" sqref="F484"/>
      <selection pane="bottomLeft" activeCell="F484" sqref="F484"/>
      <selection pane="bottomRight" activeCell="I461" sqref="I461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07" t="s">
        <v>413</v>
      </c>
      <c r="B1" s="607"/>
      <c r="C1" s="607"/>
      <c r="D1" s="607"/>
      <c r="E1" s="607"/>
      <c r="F1" s="607"/>
      <c r="G1" s="607"/>
      <c r="H1" s="607"/>
      <c r="I1" s="607"/>
      <c r="J1" s="607"/>
      <c r="K1" s="607"/>
      <c r="L1" s="607"/>
      <c r="M1" s="607"/>
      <c r="N1" s="607"/>
      <c r="O1" s="607"/>
      <c r="P1" s="607"/>
      <c r="Q1" s="607"/>
      <c r="R1" s="607"/>
      <c r="S1" s="607"/>
      <c r="T1" s="607"/>
      <c r="U1" s="607"/>
      <c r="V1" s="607"/>
      <c r="W1" s="607"/>
      <c r="X1" s="607"/>
      <c r="Y1" s="607"/>
      <c r="Z1" s="607"/>
      <c r="AA1" s="607"/>
    </row>
    <row r="2" spans="1:27" ht="18.75">
      <c r="A2" s="608"/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09" t="s">
        <v>12</v>
      </c>
      <c r="B4" s="609" t="s">
        <v>25</v>
      </c>
      <c r="C4" s="609" t="s">
        <v>26</v>
      </c>
      <c r="D4" s="609" t="s">
        <v>27</v>
      </c>
      <c r="E4" s="612" t="s">
        <v>28</v>
      </c>
      <c r="F4" s="615" t="s">
        <v>29</v>
      </c>
      <c r="G4" s="618" t="s">
        <v>30</v>
      </c>
      <c r="H4" s="618"/>
      <c r="I4" s="609" t="s">
        <v>31</v>
      </c>
      <c r="J4" s="621" t="s">
        <v>32</v>
      </c>
      <c r="K4" s="624" t="s">
        <v>33</v>
      </c>
      <c r="L4" s="609" t="s">
        <v>34</v>
      </c>
      <c r="M4" s="627" t="s">
        <v>35</v>
      </c>
      <c r="N4" s="629" t="s">
        <v>36</v>
      </c>
      <c r="O4" s="618" t="s">
        <v>37</v>
      </c>
      <c r="P4" s="618"/>
      <c r="Q4" s="618"/>
      <c r="R4" s="618"/>
      <c r="S4" s="618"/>
      <c r="T4" s="618"/>
      <c r="U4" s="618"/>
      <c r="V4" s="618" t="s">
        <v>38</v>
      </c>
      <c r="W4" s="629" t="s">
        <v>39</v>
      </c>
      <c r="X4" s="618" t="s">
        <v>40</v>
      </c>
      <c r="Y4" s="618"/>
      <c r="Z4" s="618"/>
      <c r="AA4" s="618"/>
    </row>
    <row r="5" spans="1:27" s="104" customFormat="1" ht="15" customHeight="1">
      <c r="A5" s="610"/>
      <c r="B5" s="610"/>
      <c r="C5" s="610"/>
      <c r="D5" s="610"/>
      <c r="E5" s="613"/>
      <c r="F5" s="616"/>
      <c r="G5" s="618"/>
      <c r="H5" s="618"/>
      <c r="I5" s="610"/>
      <c r="J5" s="622"/>
      <c r="K5" s="625"/>
      <c r="L5" s="610"/>
      <c r="M5" s="628"/>
      <c r="N5" s="629"/>
      <c r="O5" s="618" t="s">
        <v>41</v>
      </c>
      <c r="P5" s="618" t="s">
        <v>42</v>
      </c>
      <c r="Q5" s="618" t="s">
        <v>43</v>
      </c>
      <c r="R5" s="619" t="s">
        <v>44</v>
      </c>
      <c r="S5" s="620" t="s">
        <v>45</v>
      </c>
      <c r="T5" s="618" t="s">
        <v>46</v>
      </c>
      <c r="U5" s="618" t="s">
        <v>47</v>
      </c>
      <c r="V5" s="618"/>
      <c r="W5" s="629"/>
      <c r="X5" s="618" t="s">
        <v>13</v>
      </c>
      <c r="Y5" s="618" t="s">
        <v>48</v>
      </c>
      <c r="Z5" s="618" t="s">
        <v>49</v>
      </c>
      <c r="AA5" s="618" t="s">
        <v>47</v>
      </c>
    </row>
    <row r="6" spans="1:27" s="104" customFormat="1" ht="27.75" customHeight="1">
      <c r="A6" s="611"/>
      <c r="B6" s="611"/>
      <c r="C6" s="611"/>
      <c r="D6" s="611"/>
      <c r="E6" s="614"/>
      <c r="F6" s="617"/>
      <c r="G6" s="350" t="s">
        <v>50</v>
      </c>
      <c r="H6" s="571" t="s">
        <v>51</v>
      </c>
      <c r="I6" s="611"/>
      <c r="J6" s="623"/>
      <c r="K6" s="626"/>
      <c r="L6" s="611"/>
      <c r="M6" s="628"/>
      <c r="N6" s="629"/>
      <c r="O6" s="618"/>
      <c r="P6" s="618"/>
      <c r="Q6" s="618"/>
      <c r="R6" s="619"/>
      <c r="S6" s="620"/>
      <c r="T6" s="618"/>
      <c r="U6" s="618"/>
      <c r="V6" s="618"/>
      <c r="W6" s="629"/>
      <c r="X6" s="618"/>
      <c r="Y6" s="618"/>
      <c r="Z6" s="618"/>
      <c r="AA6" s="618"/>
    </row>
    <row r="7" spans="1:27" ht="20.100000000000001" hidden="1" customHeight="1">
      <c r="A7" s="299">
        <v>30100030</v>
      </c>
      <c r="B7" s="574" t="s">
        <v>178</v>
      </c>
      <c r="C7" s="126" t="s">
        <v>179</v>
      </c>
      <c r="D7" s="108">
        <v>5.03</v>
      </c>
      <c r="E7" s="108"/>
      <c r="F7" s="127"/>
      <c r="G7" s="128"/>
      <c r="H7" s="582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573"/>
      <c r="P7" s="573"/>
      <c r="Q7" s="573"/>
      <c r="R7" s="573"/>
      <c r="S7" s="573"/>
      <c r="T7" s="573"/>
      <c r="U7" s="573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582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573"/>
      <c r="Q8" s="573"/>
      <c r="R8" s="573"/>
      <c r="S8" s="573"/>
      <c r="T8" s="573"/>
      <c r="U8" s="573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582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573"/>
      <c r="P9" s="573"/>
      <c r="Q9" s="573"/>
      <c r="R9" s="573"/>
      <c r="S9" s="573"/>
      <c r="T9" s="573"/>
      <c r="U9" s="573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582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573"/>
      <c r="P10" s="573"/>
      <c r="Q10" s="573"/>
      <c r="R10" s="573"/>
      <c r="S10" s="573"/>
      <c r="T10" s="573"/>
      <c r="U10" s="573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582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573"/>
      <c r="P11" s="573"/>
      <c r="Q11" s="573"/>
      <c r="R11" s="573"/>
      <c r="S11" s="573"/>
      <c r="T11" s="573"/>
      <c r="U11" s="573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582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573"/>
      <c r="P12" s="573"/>
      <c r="Q12" s="573"/>
      <c r="R12" s="573"/>
      <c r="S12" s="573"/>
      <c r="T12" s="573"/>
      <c r="U12" s="573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582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573"/>
      <c r="P13" s="573"/>
      <c r="Q13" s="573"/>
      <c r="R13" s="573"/>
      <c r="S13" s="573"/>
      <c r="T13" s="573"/>
      <c r="U13" s="573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582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573"/>
      <c r="P14" s="573"/>
      <c r="Q14" s="573"/>
      <c r="R14" s="573"/>
      <c r="S14" s="573"/>
      <c r="T14" s="573"/>
      <c r="U14" s="573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582">
        <f t="shared" si="0"/>
        <v>0</v>
      </c>
      <c r="I15" s="582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573"/>
      <c r="P15" s="573"/>
      <c r="Q15" s="573"/>
      <c r="R15" s="573"/>
      <c r="S15" s="573"/>
      <c r="T15" s="573"/>
      <c r="U15" s="573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39">
        <v>42725</v>
      </c>
      <c r="G16" s="128">
        <f>100*6+92</f>
        <v>692</v>
      </c>
      <c r="H16" s="582">
        <f t="shared" si="0"/>
        <v>3487.68</v>
      </c>
      <c r="I16" s="582">
        <f>11.5*5</f>
        <v>57.5</v>
      </c>
      <c r="J16" s="130">
        <f t="array" ref="J16">IF(ISERROR(G16/I16),"",G16/I16)</f>
        <v>12.034782608695652</v>
      </c>
      <c r="K16" s="131">
        <f t="array" ref="K16">IF(ISERROR(G16/L16),"",G16/L16)</f>
        <v>40.705882352941174</v>
      </c>
      <c r="L16" s="129">
        <v>17</v>
      </c>
      <c r="M16" s="109">
        <f t="shared" si="1"/>
        <v>16.794117647058826</v>
      </c>
      <c r="N16" s="130">
        <f t="shared" si="4"/>
        <v>0</v>
      </c>
      <c r="O16" s="573"/>
      <c r="P16" s="573"/>
      <c r="Q16" s="573"/>
      <c r="R16" s="573"/>
      <c r="S16" s="573"/>
      <c r="T16" s="573"/>
      <c r="U16" s="573"/>
      <c r="V16" s="132">
        <f>SUM(X16:AA16)</f>
        <v>0</v>
      </c>
      <c r="W16" s="133">
        <f>IF(ISERROR(V16/G16),"",V16/G16)</f>
        <v>0</v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582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573"/>
      <c r="P17" s="573"/>
      <c r="Q17" s="573"/>
      <c r="R17" s="573"/>
      <c r="S17" s="573"/>
      <c r="T17" s="573"/>
      <c r="U17" s="573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582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573"/>
      <c r="P18" s="573"/>
      <c r="Q18" s="573"/>
      <c r="R18" s="573"/>
      <c r="S18" s="573"/>
      <c r="T18" s="573"/>
      <c r="U18" s="573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582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573"/>
      <c r="P19" s="573"/>
      <c r="Q19" s="573"/>
      <c r="R19" s="573"/>
      <c r="S19" s="573"/>
      <c r="T19" s="573"/>
      <c r="U19" s="573"/>
      <c r="V19" s="132">
        <f t="shared" ref="V19:V21" si="5">SUM(X19:AA19)</f>
        <v>0</v>
      </c>
      <c r="W19" s="576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582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573"/>
      <c r="P20" s="573"/>
      <c r="Q20" s="573"/>
      <c r="R20" s="573"/>
      <c r="S20" s="573"/>
      <c r="T20" s="573"/>
      <c r="U20" s="573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582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573"/>
      <c r="P21" s="573"/>
      <c r="Q21" s="573"/>
      <c r="R21" s="573"/>
      <c r="S21" s="573"/>
      <c r="T21" s="573"/>
      <c r="U21" s="573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572" t="s">
        <v>190</v>
      </c>
      <c r="D22" s="108">
        <v>4.8</v>
      </c>
      <c r="E22" s="108"/>
      <c r="F22" s="127"/>
      <c r="G22" s="128"/>
      <c r="H22" s="582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573"/>
      <c r="P22" s="573"/>
      <c r="Q22" s="573"/>
      <c r="R22" s="573"/>
      <c r="S22" s="573"/>
      <c r="T22" s="573"/>
      <c r="U22" s="573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572" t="s">
        <v>187</v>
      </c>
      <c r="D23" s="108">
        <v>4.8</v>
      </c>
      <c r="E23" s="108"/>
      <c r="F23" s="127"/>
      <c r="G23" s="128"/>
      <c r="H23" s="582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573"/>
      <c r="P23" s="573"/>
      <c r="Q23" s="573"/>
      <c r="R23" s="573"/>
      <c r="S23" s="573"/>
      <c r="T23" s="573"/>
      <c r="U23" s="573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572" t="s">
        <v>179</v>
      </c>
      <c r="D24" s="108">
        <v>4.8</v>
      </c>
      <c r="E24" s="108"/>
      <c r="F24" s="127"/>
      <c r="G24" s="128"/>
      <c r="H24" s="582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573"/>
      <c r="P24" s="573"/>
      <c r="Q24" s="573"/>
      <c r="R24" s="573"/>
      <c r="S24" s="573"/>
      <c r="T24" s="573"/>
      <c r="U24" s="573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572" t="s">
        <v>199</v>
      </c>
      <c r="D25" s="108">
        <v>4.8</v>
      </c>
      <c r="E25" s="108"/>
      <c r="F25" s="127"/>
      <c r="G25" s="128"/>
      <c r="H25" s="582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573"/>
      <c r="P25" s="573"/>
      <c r="Q25" s="573"/>
      <c r="R25" s="573"/>
      <c r="S25" s="573"/>
      <c r="T25" s="573"/>
      <c r="U25" s="573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582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573"/>
      <c r="P26" s="573"/>
      <c r="Q26" s="573"/>
      <c r="R26" s="573"/>
      <c r="S26" s="573"/>
      <c r="T26" s="573"/>
      <c r="U26" s="573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582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573"/>
      <c r="P27" s="573"/>
      <c r="Q27" s="573"/>
      <c r="R27" s="573"/>
      <c r="S27" s="573"/>
      <c r="T27" s="573"/>
      <c r="U27" s="573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30" t="s">
        <v>201</v>
      </c>
      <c r="B28" s="631"/>
      <c r="C28" s="580" t="s">
        <v>202</v>
      </c>
      <c r="D28" s="143"/>
      <c r="E28" s="143"/>
      <c r="F28" s="144"/>
      <c r="G28" s="145">
        <f>SUM(G7:G27)</f>
        <v>692</v>
      </c>
      <c r="H28" s="146">
        <f>SUM(H7:H27)</f>
        <v>3487.68</v>
      </c>
      <c r="I28" s="146">
        <f>SUM(I7:I27)</f>
        <v>57.5</v>
      </c>
      <c r="J28" s="130">
        <f t="array" ref="J28">IF(ISERROR(G28/I28),"",G28/I28)</f>
        <v>12.034782608695652</v>
      </c>
      <c r="K28" s="146">
        <f>SUM(K7:K27)</f>
        <v>40.705882352941174</v>
      </c>
      <c r="L28" s="147"/>
      <c r="M28" s="146">
        <f t="shared" ref="M28:V28" si="10">SUM(M7:M27)</f>
        <v>16.794117647058826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574" t="s">
        <v>206</v>
      </c>
      <c r="C29" s="126" t="s">
        <v>199</v>
      </c>
      <c r="D29" s="108">
        <v>5.03</v>
      </c>
      <c r="E29" s="108"/>
      <c r="F29" s="127"/>
      <c r="G29" s="128"/>
      <c r="H29" s="582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577"/>
      <c r="P29" s="577"/>
      <c r="Q29" s="577"/>
      <c r="R29" s="577"/>
      <c r="S29" s="577"/>
      <c r="T29" s="577"/>
      <c r="U29" s="577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574" t="s">
        <v>425</v>
      </c>
      <c r="C30" s="187" t="s">
        <v>427</v>
      </c>
      <c r="D30" s="108">
        <v>5.03</v>
      </c>
      <c r="E30" s="108"/>
      <c r="F30" s="127"/>
      <c r="G30" s="128"/>
      <c r="H30" s="582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577"/>
      <c r="P30" s="577"/>
      <c r="Q30" s="577"/>
      <c r="R30" s="577"/>
      <c r="S30" s="577"/>
      <c r="T30" s="577"/>
      <c r="U30" s="577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574" t="s">
        <v>206</v>
      </c>
      <c r="C31" s="126" t="s">
        <v>186</v>
      </c>
      <c r="D31" s="108">
        <v>5.03</v>
      </c>
      <c r="E31" s="108"/>
      <c r="F31" s="127"/>
      <c r="G31" s="128"/>
      <c r="H31" s="582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577"/>
      <c r="P31" s="577"/>
      <c r="Q31" s="577"/>
      <c r="R31" s="577"/>
      <c r="S31" s="577"/>
      <c r="T31" s="577"/>
      <c r="U31" s="577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customHeight="1">
      <c r="A32" s="300">
        <v>30100014</v>
      </c>
      <c r="B32" s="574" t="s">
        <v>206</v>
      </c>
      <c r="C32" s="126" t="s">
        <v>203</v>
      </c>
      <c r="D32" s="108">
        <v>5.03</v>
      </c>
      <c r="E32" s="108"/>
      <c r="F32" s="127">
        <v>42724</v>
      </c>
      <c r="G32" s="128">
        <f>108*8+22</f>
        <v>886</v>
      </c>
      <c r="H32" s="582">
        <f t="shared" si="11"/>
        <v>4456.58</v>
      </c>
      <c r="I32" s="129">
        <f>11.5</f>
        <v>11.5</v>
      </c>
      <c r="J32" s="130">
        <f t="array" ref="J32">IF(ISERROR(G32/I32),"",G32/I32)</f>
        <v>77.043478260869563</v>
      </c>
      <c r="K32" s="131">
        <f t="array" ref="K32">IF(ISERROR(G32/L32),"",G32/L32)</f>
        <v>17.03846153846154</v>
      </c>
      <c r="L32" s="129">
        <v>52</v>
      </c>
      <c r="M32" s="109">
        <f t="shared" si="15"/>
        <v>-5.5384615384615401</v>
      </c>
      <c r="N32" s="130">
        <f t="shared" si="16"/>
        <v>0</v>
      </c>
      <c r="O32" s="577"/>
      <c r="P32" s="577"/>
      <c r="Q32" s="577"/>
      <c r="R32" s="577"/>
      <c r="S32" s="577"/>
      <c r="T32" s="577"/>
      <c r="U32" s="577"/>
      <c r="V32" s="132">
        <f t="shared" si="17"/>
        <v>0</v>
      </c>
      <c r="W32" s="133">
        <f t="shared" si="18"/>
        <v>0</v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574" t="s">
        <v>206</v>
      </c>
      <c r="C33" s="126" t="s">
        <v>207</v>
      </c>
      <c r="D33" s="108">
        <v>5.03</v>
      </c>
      <c r="E33" s="108"/>
      <c r="F33" s="127"/>
      <c r="G33" s="128"/>
      <c r="H33" s="582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577"/>
      <c r="P33" s="577"/>
      <c r="Q33" s="577"/>
      <c r="R33" s="577"/>
      <c r="S33" s="577"/>
      <c r="T33" s="577"/>
      <c r="U33" s="577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574" t="s">
        <v>414</v>
      </c>
      <c r="C34" s="187" t="s">
        <v>415</v>
      </c>
      <c r="D34" s="108">
        <v>5.03</v>
      </c>
      <c r="E34" s="108"/>
      <c r="F34" s="127"/>
      <c r="G34" s="128"/>
      <c r="H34" s="582">
        <f t="shared" si="11"/>
        <v>0</v>
      </c>
      <c r="I34" s="129"/>
      <c r="J34" s="130"/>
      <c r="K34" s="131"/>
      <c r="L34" s="129">
        <v>52</v>
      </c>
      <c r="M34" s="109"/>
      <c r="N34" s="130"/>
      <c r="O34" s="577"/>
      <c r="P34" s="577"/>
      <c r="Q34" s="577"/>
      <c r="R34" s="577"/>
      <c r="S34" s="577"/>
      <c r="T34" s="577"/>
      <c r="U34" s="577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574" t="s">
        <v>414</v>
      </c>
      <c r="C35" s="187" t="s">
        <v>416</v>
      </c>
      <c r="D35" s="108">
        <v>5.03</v>
      </c>
      <c r="E35" s="108"/>
      <c r="F35" s="127"/>
      <c r="G35" s="128"/>
      <c r="H35" s="582">
        <f t="shared" si="11"/>
        <v>0</v>
      </c>
      <c r="I35" s="129"/>
      <c r="J35" s="130"/>
      <c r="K35" s="131"/>
      <c r="L35" s="129">
        <v>52</v>
      </c>
      <c r="M35" s="109"/>
      <c r="N35" s="130"/>
      <c r="O35" s="577"/>
      <c r="P35" s="577"/>
      <c r="Q35" s="577"/>
      <c r="R35" s="577"/>
      <c r="S35" s="577"/>
      <c r="T35" s="577"/>
      <c r="U35" s="577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574" t="s">
        <v>414</v>
      </c>
      <c r="C36" s="187" t="s">
        <v>61</v>
      </c>
      <c r="D36" s="108">
        <v>5.03</v>
      </c>
      <c r="E36" s="108"/>
      <c r="F36" s="127"/>
      <c r="G36" s="128"/>
      <c r="H36" s="582">
        <f t="shared" si="11"/>
        <v>0</v>
      </c>
      <c r="I36" s="129"/>
      <c r="J36" s="130"/>
      <c r="K36" s="131"/>
      <c r="L36" s="129">
        <v>52</v>
      </c>
      <c r="M36" s="109"/>
      <c r="N36" s="130"/>
      <c r="O36" s="577"/>
      <c r="P36" s="577"/>
      <c r="Q36" s="577"/>
      <c r="R36" s="577"/>
      <c r="S36" s="577"/>
      <c r="T36" s="577"/>
      <c r="U36" s="577"/>
      <c r="V36" s="132"/>
      <c r="W36" s="133"/>
      <c r="X36" s="132"/>
      <c r="Y36" s="132"/>
      <c r="Z36" s="132"/>
      <c r="AA36" s="132"/>
    </row>
    <row r="37" spans="1:27" ht="20.100000000000001" customHeight="1">
      <c r="A37" s="300">
        <v>30100027</v>
      </c>
      <c r="B37" s="574" t="s">
        <v>208</v>
      </c>
      <c r="C37" s="126" t="s">
        <v>179</v>
      </c>
      <c r="D37" s="108">
        <v>5.08</v>
      </c>
      <c r="E37" s="108"/>
      <c r="F37" s="127">
        <v>42724</v>
      </c>
      <c r="G37" s="128">
        <v>108</v>
      </c>
      <c r="H37" s="582">
        <f t="shared" si="11"/>
        <v>548.64</v>
      </c>
      <c r="I37" s="129">
        <v>5</v>
      </c>
      <c r="J37" s="130">
        <f t="array" ref="J37">IF(ISERROR(G37/I37),"",G37/I37)</f>
        <v>21.6</v>
      </c>
      <c r="K37" s="131">
        <f t="array" ref="K37">IF(ISERROR(G37/L37),"",G37/L37)</f>
        <v>5.1428571428571432</v>
      </c>
      <c r="L37" s="129">
        <v>21</v>
      </c>
      <c r="M37" s="109">
        <f t="shared" ref="M37:M66" si="19">IF(ISERROR(I37-K37),"",I37-K37)</f>
        <v>-0.14285714285714324</v>
      </c>
      <c r="N37" s="130">
        <f t="shared" ref="N37:N52" si="20">SUM(O37:U37)</f>
        <v>0</v>
      </c>
      <c r="O37" s="577"/>
      <c r="P37" s="577"/>
      <c r="Q37" s="577"/>
      <c r="R37" s="577"/>
      <c r="S37" s="577"/>
      <c r="T37" s="577"/>
      <c r="U37" s="577"/>
      <c r="V37" s="132">
        <f t="shared" ref="V37:V48" si="21">SUM(X37:AA37)</f>
        <v>0</v>
      </c>
      <c r="W37" s="133">
        <f t="shared" ref="W37:W48" si="22">IF(ISERROR(V37/G37),"",V37/G37)</f>
        <v>0</v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574" t="s">
        <v>208</v>
      </c>
      <c r="C38" s="126" t="s">
        <v>204</v>
      </c>
      <c r="D38" s="108">
        <v>5.08</v>
      </c>
      <c r="E38" s="108"/>
      <c r="F38" s="127"/>
      <c r="G38" s="128"/>
      <c r="H38" s="582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577"/>
      <c r="P38" s="577"/>
      <c r="Q38" s="577"/>
      <c r="R38" s="577"/>
      <c r="S38" s="577"/>
      <c r="T38" s="577"/>
      <c r="U38" s="577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574" t="s">
        <v>208</v>
      </c>
      <c r="C39" s="126" t="s">
        <v>205</v>
      </c>
      <c r="D39" s="108">
        <v>5.08</v>
      </c>
      <c r="E39" s="108"/>
      <c r="F39" s="127"/>
      <c r="G39" s="128"/>
      <c r="H39" s="582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577"/>
      <c r="P39" s="577"/>
      <c r="Q39" s="577"/>
      <c r="R39" s="577"/>
      <c r="S39" s="577"/>
      <c r="T39" s="577"/>
      <c r="U39" s="577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574" t="s">
        <v>208</v>
      </c>
      <c r="C40" s="126" t="s">
        <v>186</v>
      </c>
      <c r="D40" s="108">
        <v>5.08</v>
      </c>
      <c r="E40" s="108"/>
      <c r="F40" s="127"/>
      <c r="G40" s="128"/>
      <c r="H40" s="582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577"/>
      <c r="P40" s="577"/>
      <c r="Q40" s="577"/>
      <c r="R40" s="577"/>
      <c r="S40" s="577"/>
      <c r="T40" s="577"/>
      <c r="U40" s="577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574" t="s">
        <v>208</v>
      </c>
      <c r="C41" s="126" t="s">
        <v>203</v>
      </c>
      <c r="D41" s="108">
        <v>5.08</v>
      </c>
      <c r="E41" s="108"/>
      <c r="F41" s="127"/>
      <c r="G41" s="128"/>
      <c r="H41" s="582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577"/>
      <c r="P41" s="577"/>
      <c r="Q41" s="577"/>
      <c r="R41" s="577"/>
      <c r="S41" s="577"/>
      <c r="T41" s="577"/>
      <c r="U41" s="577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574" t="s">
        <v>208</v>
      </c>
      <c r="C42" s="126" t="s">
        <v>199</v>
      </c>
      <c r="D42" s="108">
        <v>5.08</v>
      </c>
      <c r="E42" s="108"/>
      <c r="F42" s="127"/>
      <c r="G42" s="128"/>
      <c r="H42" s="582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573"/>
      <c r="P42" s="573"/>
      <c r="Q42" s="573"/>
      <c r="R42" s="573"/>
      <c r="S42" s="573"/>
      <c r="T42" s="573"/>
      <c r="U42" s="573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574" t="s">
        <v>208</v>
      </c>
      <c r="C43" s="126" t="s">
        <v>187</v>
      </c>
      <c r="D43" s="108">
        <v>5.08</v>
      </c>
      <c r="E43" s="108"/>
      <c r="F43" s="127"/>
      <c r="G43" s="128"/>
      <c r="H43" s="582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577"/>
      <c r="P43" s="577"/>
      <c r="Q43" s="577"/>
      <c r="R43" s="577"/>
      <c r="S43" s="577"/>
      <c r="T43" s="577"/>
      <c r="U43" s="577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customHeight="1">
      <c r="A44" s="300">
        <v>30100028</v>
      </c>
      <c r="B44" s="574" t="s">
        <v>208</v>
      </c>
      <c r="C44" s="126" t="s">
        <v>207</v>
      </c>
      <c r="D44" s="108">
        <v>5.08</v>
      </c>
      <c r="E44" s="108"/>
      <c r="F44" s="127">
        <v>42725</v>
      </c>
      <c r="G44" s="128">
        <f>108+108+5+108*4</f>
        <v>653</v>
      </c>
      <c r="H44" s="582">
        <f t="shared" si="11"/>
        <v>3317.2400000000002</v>
      </c>
      <c r="I44" s="129">
        <f>6.5*2</f>
        <v>13</v>
      </c>
      <c r="J44" s="130">
        <f t="array" ref="J44">IF(ISERROR(G44/I44),"",G44/I44)</f>
        <v>50.230769230769234</v>
      </c>
      <c r="K44" s="131">
        <f t="array" ref="K44">IF(ISERROR(G44/L44),"",G44/L44)</f>
        <v>31.095238095238095</v>
      </c>
      <c r="L44" s="129">
        <v>21</v>
      </c>
      <c r="M44" s="109">
        <f t="shared" si="19"/>
        <v>-18.095238095238095</v>
      </c>
      <c r="N44" s="130">
        <f t="shared" si="20"/>
        <v>0</v>
      </c>
      <c r="O44" s="573"/>
      <c r="P44" s="573"/>
      <c r="Q44" s="573"/>
      <c r="R44" s="573"/>
      <c r="S44" s="573"/>
      <c r="T44" s="573"/>
      <c r="U44" s="573"/>
      <c r="V44" s="132">
        <f t="shared" si="21"/>
        <v>0</v>
      </c>
      <c r="W44" s="133">
        <f t="shared" si="22"/>
        <v>0</v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574" t="s">
        <v>209</v>
      </c>
      <c r="C45" s="126" t="s">
        <v>194</v>
      </c>
      <c r="D45" s="108">
        <v>5.03</v>
      </c>
      <c r="E45" s="108"/>
      <c r="F45" s="127"/>
      <c r="G45" s="128"/>
      <c r="H45" s="582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577"/>
      <c r="P45" s="577"/>
      <c r="Q45" s="577"/>
      <c r="R45" s="577"/>
      <c r="S45" s="577"/>
      <c r="T45" s="577"/>
      <c r="U45" s="577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574" t="s">
        <v>209</v>
      </c>
      <c r="C46" s="126" t="s">
        <v>179</v>
      </c>
      <c r="D46" s="108">
        <v>5.03</v>
      </c>
      <c r="E46" s="108"/>
      <c r="F46" s="127"/>
      <c r="G46" s="128"/>
      <c r="H46" s="582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577"/>
      <c r="P46" s="577"/>
      <c r="Q46" s="577"/>
      <c r="R46" s="577"/>
      <c r="S46" s="577"/>
      <c r="T46" s="577"/>
      <c r="U46" s="577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574" t="s">
        <v>209</v>
      </c>
      <c r="C47" s="126" t="s">
        <v>195</v>
      </c>
      <c r="D47" s="108">
        <v>5.03</v>
      </c>
      <c r="E47" s="108"/>
      <c r="F47" s="127"/>
      <c r="G47" s="128"/>
      <c r="H47" s="582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577"/>
      <c r="P47" s="577"/>
      <c r="Q47" s="577"/>
      <c r="R47" s="577"/>
      <c r="S47" s="577"/>
      <c r="T47" s="577"/>
      <c r="U47" s="577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574" t="s">
        <v>209</v>
      </c>
      <c r="C48" s="126" t="s">
        <v>204</v>
      </c>
      <c r="D48" s="108">
        <v>5.03</v>
      </c>
      <c r="E48" s="108"/>
      <c r="F48" s="127"/>
      <c r="G48" s="128"/>
      <c r="H48" s="582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577"/>
      <c r="P48" s="577"/>
      <c r="Q48" s="577"/>
      <c r="R48" s="577"/>
      <c r="S48" s="577"/>
      <c r="T48" s="577"/>
      <c r="U48" s="577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customHeight="1">
      <c r="A49" s="300">
        <v>30100019</v>
      </c>
      <c r="B49" s="574" t="s">
        <v>382</v>
      </c>
      <c r="C49" s="187" t="s">
        <v>383</v>
      </c>
      <c r="D49" s="108">
        <v>5.03</v>
      </c>
      <c r="E49" s="108"/>
      <c r="F49" s="127">
        <v>42725</v>
      </c>
      <c r="G49" s="128">
        <f>90*7+27</f>
        <v>657</v>
      </c>
      <c r="H49" s="582">
        <f t="shared" si="11"/>
        <v>3304.71</v>
      </c>
      <c r="I49" s="129">
        <v>11.5</v>
      </c>
      <c r="J49" s="130">
        <f t="array" ref="J49">IF(ISERROR(G49/I49),"",G49/I49)</f>
        <v>57.130434782608695</v>
      </c>
      <c r="K49" s="131">
        <f t="array" ref="K49">IF(ISERROR(G49/L49),"",G49/L49)</f>
        <v>12.166666666666666</v>
      </c>
      <c r="L49" s="129">
        <v>54</v>
      </c>
      <c r="M49" s="109">
        <f t="shared" si="19"/>
        <v>-0.66666666666666607</v>
      </c>
      <c r="N49" s="130">
        <f t="shared" si="20"/>
        <v>0</v>
      </c>
      <c r="O49" s="577"/>
      <c r="P49" s="577"/>
      <c r="Q49" s="577"/>
      <c r="R49" s="577"/>
      <c r="S49" s="577"/>
      <c r="T49" s="577"/>
      <c r="U49" s="577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574" t="s">
        <v>382</v>
      </c>
      <c r="C50" s="187" t="s">
        <v>384</v>
      </c>
      <c r="D50" s="108">
        <v>5.03</v>
      </c>
      <c r="E50" s="108"/>
      <c r="F50" s="127"/>
      <c r="G50" s="128"/>
      <c r="H50" s="582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577"/>
      <c r="P50" s="577"/>
      <c r="Q50" s="577"/>
      <c r="R50" s="577"/>
      <c r="S50" s="577"/>
      <c r="T50" s="577"/>
      <c r="U50" s="577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574" t="s">
        <v>382</v>
      </c>
      <c r="C51" s="187" t="s">
        <v>389</v>
      </c>
      <c r="D51" s="108">
        <v>5.03</v>
      </c>
      <c r="E51" s="108"/>
      <c r="F51" s="127"/>
      <c r="G51" s="128"/>
      <c r="H51" s="582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577"/>
      <c r="P51" s="577"/>
      <c r="Q51" s="577"/>
      <c r="R51" s="577"/>
      <c r="S51" s="577"/>
      <c r="T51" s="577"/>
      <c r="U51" s="577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574" t="s">
        <v>382</v>
      </c>
      <c r="C52" s="187" t="s">
        <v>391</v>
      </c>
      <c r="D52" s="108">
        <v>5.03</v>
      </c>
      <c r="E52" s="108"/>
      <c r="F52" s="127"/>
      <c r="G52" s="128"/>
      <c r="H52" s="582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577"/>
      <c r="P52" s="577"/>
      <c r="Q52" s="577"/>
      <c r="R52" s="577"/>
      <c r="S52" s="577"/>
      <c r="T52" s="577"/>
      <c r="U52" s="577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574" t="s">
        <v>418</v>
      </c>
      <c r="C53" s="187" t="s">
        <v>364</v>
      </c>
      <c r="D53" s="108">
        <v>5.03</v>
      </c>
      <c r="E53" s="108"/>
      <c r="F53" s="127"/>
      <c r="G53" s="128"/>
      <c r="H53" s="582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577"/>
      <c r="P53" s="577"/>
      <c r="Q53" s="577"/>
      <c r="R53" s="577"/>
      <c r="S53" s="577"/>
      <c r="T53" s="577"/>
      <c r="U53" s="577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574" t="s">
        <v>418</v>
      </c>
      <c r="C54" s="187" t="s">
        <v>365</v>
      </c>
      <c r="D54" s="108">
        <v>5.03</v>
      </c>
      <c r="E54" s="108"/>
      <c r="F54" s="127"/>
      <c r="G54" s="128"/>
      <c r="H54" s="582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577"/>
      <c r="P54" s="577"/>
      <c r="Q54" s="577"/>
      <c r="R54" s="577"/>
      <c r="S54" s="577"/>
      <c r="T54" s="577"/>
      <c r="U54" s="577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574" t="s">
        <v>418</v>
      </c>
      <c r="C55" s="187" t="s">
        <v>366</v>
      </c>
      <c r="D55" s="108">
        <v>5.03</v>
      </c>
      <c r="E55" s="108"/>
      <c r="F55" s="127"/>
      <c r="G55" s="128"/>
      <c r="H55" s="582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577"/>
      <c r="P55" s="577"/>
      <c r="Q55" s="577"/>
      <c r="R55" s="577"/>
      <c r="S55" s="577"/>
      <c r="T55" s="577"/>
      <c r="U55" s="577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574" t="s">
        <v>418</v>
      </c>
      <c r="C56" s="187" t="s">
        <v>367</v>
      </c>
      <c r="D56" s="108">
        <v>5.03</v>
      </c>
      <c r="E56" s="108"/>
      <c r="F56" s="127"/>
      <c r="G56" s="128"/>
      <c r="H56" s="582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577"/>
      <c r="P56" s="577"/>
      <c r="Q56" s="577"/>
      <c r="R56" s="577"/>
      <c r="S56" s="577"/>
      <c r="T56" s="577"/>
      <c r="U56" s="577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582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573"/>
      <c r="P57" s="573"/>
      <c r="Q57" s="573"/>
      <c r="R57" s="573"/>
      <c r="S57" s="573"/>
      <c r="T57" s="573"/>
      <c r="U57" s="573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582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573"/>
      <c r="P58" s="573"/>
      <c r="Q58" s="573"/>
      <c r="R58" s="573"/>
      <c r="S58" s="573"/>
      <c r="T58" s="573"/>
      <c r="U58" s="573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582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573"/>
      <c r="P59" s="573"/>
      <c r="Q59" s="573"/>
      <c r="R59" s="573"/>
      <c r="S59" s="573"/>
      <c r="T59" s="573"/>
      <c r="U59" s="573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582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573"/>
      <c r="P60" s="573"/>
      <c r="Q60" s="573"/>
      <c r="R60" s="573"/>
      <c r="S60" s="573"/>
      <c r="T60" s="573"/>
      <c r="U60" s="573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582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573"/>
      <c r="P61" s="573"/>
      <c r="Q61" s="573"/>
      <c r="R61" s="573"/>
      <c r="S61" s="573"/>
      <c r="T61" s="573"/>
      <c r="U61" s="573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582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573"/>
      <c r="P62" s="573"/>
      <c r="Q62" s="573"/>
      <c r="R62" s="573"/>
      <c r="S62" s="573"/>
      <c r="T62" s="573"/>
      <c r="U62" s="573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582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573"/>
      <c r="P63" s="573"/>
      <c r="Q63" s="573"/>
      <c r="R63" s="573"/>
      <c r="S63" s="573"/>
      <c r="T63" s="573"/>
      <c r="U63" s="573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582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573"/>
      <c r="P64" s="573"/>
      <c r="Q64" s="573"/>
      <c r="R64" s="573"/>
      <c r="S64" s="573"/>
      <c r="T64" s="573"/>
      <c r="U64" s="573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582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573"/>
      <c r="P65" s="573"/>
      <c r="Q65" s="573"/>
      <c r="R65" s="573"/>
      <c r="S65" s="573"/>
      <c r="T65" s="573"/>
      <c r="U65" s="573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582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573"/>
      <c r="P66" s="573"/>
      <c r="Q66" s="573"/>
      <c r="R66" s="573"/>
      <c r="S66" s="573"/>
      <c r="T66" s="573"/>
      <c r="U66" s="573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582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573"/>
      <c r="P67" s="573"/>
      <c r="Q67" s="573"/>
      <c r="R67" s="573"/>
      <c r="S67" s="573"/>
      <c r="T67" s="573"/>
      <c r="U67" s="573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582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573"/>
      <c r="P68" s="573"/>
      <c r="Q68" s="573"/>
      <c r="R68" s="573"/>
      <c r="S68" s="573"/>
      <c r="T68" s="573"/>
      <c r="U68" s="573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582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573"/>
      <c r="P69" s="573"/>
      <c r="Q69" s="573"/>
      <c r="R69" s="573"/>
      <c r="S69" s="573"/>
      <c r="T69" s="573"/>
      <c r="U69" s="573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582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573"/>
      <c r="P70" s="573"/>
      <c r="Q70" s="573"/>
      <c r="R70" s="573"/>
      <c r="S70" s="573"/>
      <c r="T70" s="573"/>
      <c r="U70" s="573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582">
        <f t="shared" si="11"/>
        <v>0</v>
      </c>
      <c r="I71" s="129"/>
      <c r="J71" s="130"/>
      <c r="K71" s="131"/>
      <c r="L71" s="129"/>
      <c r="M71" s="109"/>
      <c r="N71" s="130"/>
      <c r="O71" s="573"/>
      <c r="P71" s="573"/>
      <c r="Q71" s="573"/>
      <c r="R71" s="573"/>
      <c r="S71" s="573"/>
      <c r="T71" s="573"/>
      <c r="U71" s="573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582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573"/>
      <c r="P72" s="573"/>
      <c r="Q72" s="573"/>
      <c r="R72" s="573"/>
      <c r="S72" s="573"/>
      <c r="T72" s="573"/>
      <c r="U72" s="573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582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573"/>
      <c r="P73" s="573"/>
      <c r="Q73" s="573"/>
      <c r="R73" s="573"/>
      <c r="S73" s="573"/>
      <c r="T73" s="573"/>
      <c r="U73" s="573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582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573"/>
      <c r="P74" s="573"/>
      <c r="Q74" s="573"/>
      <c r="R74" s="573"/>
      <c r="S74" s="573"/>
      <c r="T74" s="573"/>
      <c r="U74" s="573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582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573"/>
      <c r="P75" s="573"/>
      <c r="Q75" s="573"/>
      <c r="R75" s="573"/>
      <c r="S75" s="573"/>
      <c r="T75" s="573"/>
      <c r="U75" s="573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582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573"/>
      <c r="P76" s="573"/>
      <c r="Q76" s="573"/>
      <c r="R76" s="573"/>
      <c r="S76" s="573"/>
      <c r="T76" s="573"/>
      <c r="U76" s="573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582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573"/>
      <c r="P77" s="573"/>
      <c r="Q77" s="573"/>
      <c r="R77" s="573"/>
      <c r="S77" s="573"/>
      <c r="T77" s="573"/>
      <c r="U77" s="573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582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573"/>
      <c r="P78" s="573"/>
      <c r="Q78" s="573"/>
      <c r="R78" s="573"/>
      <c r="S78" s="573"/>
      <c r="T78" s="573"/>
      <c r="U78" s="573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582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573"/>
      <c r="P79" s="573"/>
      <c r="Q79" s="573"/>
      <c r="R79" s="573"/>
      <c r="S79" s="573"/>
      <c r="T79" s="573"/>
      <c r="U79" s="573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582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573"/>
      <c r="P80" s="573"/>
      <c r="Q80" s="573"/>
      <c r="R80" s="573"/>
      <c r="S80" s="573"/>
      <c r="T80" s="573"/>
      <c r="U80" s="573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582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573"/>
      <c r="P81" s="573"/>
      <c r="Q81" s="573"/>
      <c r="R81" s="573"/>
      <c r="S81" s="573"/>
      <c r="T81" s="573"/>
      <c r="U81" s="573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582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573"/>
      <c r="P82" s="573"/>
      <c r="Q82" s="573"/>
      <c r="R82" s="573"/>
      <c r="S82" s="573"/>
      <c r="T82" s="573"/>
      <c r="U82" s="573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582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573"/>
      <c r="P83" s="573"/>
      <c r="Q83" s="573"/>
      <c r="R83" s="573"/>
      <c r="S83" s="573"/>
      <c r="T83" s="573"/>
      <c r="U83" s="573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582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573"/>
      <c r="P84" s="573"/>
      <c r="Q84" s="573"/>
      <c r="R84" s="573"/>
      <c r="S84" s="573"/>
      <c r="T84" s="573"/>
      <c r="U84" s="573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582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573"/>
      <c r="P85" s="573"/>
      <c r="Q85" s="573"/>
      <c r="R85" s="573"/>
      <c r="S85" s="573"/>
      <c r="T85" s="573"/>
      <c r="U85" s="573"/>
      <c r="V85" s="132"/>
      <c r="W85" s="133"/>
      <c r="X85" s="132"/>
      <c r="Y85" s="132"/>
      <c r="Z85" s="132"/>
      <c r="AA85" s="132"/>
    </row>
    <row r="86" spans="1:27" ht="20.100000000000001" customHeight="1">
      <c r="A86" s="641" t="s">
        <v>216</v>
      </c>
      <c r="B86" s="641"/>
      <c r="C86" s="580" t="s">
        <v>202</v>
      </c>
      <c r="D86" s="143"/>
      <c r="E86" s="143"/>
      <c r="F86" s="144"/>
      <c r="G86" s="145">
        <f>SUM(G29:G85)</f>
        <v>2304</v>
      </c>
      <c r="H86" s="146">
        <f>SUM(H29:H85)</f>
        <v>11627.170000000002</v>
      </c>
      <c r="I86" s="146">
        <f>SUM(I29:I85)</f>
        <v>41</v>
      </c>
      <c r="J86" s="130">
        <f t="array" ref="J86">IF(ISERROR(G86/I86),"",G86/I86)</f>
        <v>56.195121951219512</v>
      </c>
      <c r="K86" s="146">
        <f>SUM(K29:K85)</f>
        <v>65.443223443223445</v>
      </c>
      <c r="L86" s="147"/>
      <c r="M86" s="150">
        <f t="shared" ref="M86:V86" si="34">SUM(M29:M85)</f>
        <v>-24.443223443223445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574" t="s">
        <v>217</v>
      </c>
      <c r="C87" s="126" t="s">
        <v>179</v>
      </c>
      <c r="D87" s="108">
        <v>5.03</v>
      </c>
      <c r="E87" s="108"/>
      <c r="F87" s="127"/>
      <c r="G87" s="128"/>
      <c r="H87" s="582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5" si="37">IF(ISERROR(I87-K87),"",I87-K87)</f>
        <v>0</v>
      </c>
      <c r="N87" s="130">
        <f t="shared" ref="N87:N93" si="38">SUM(O87:U87)</f>
        <v>0</v>
      </c>
      <c r="O87" s="573"/>
      <c r="P87" s="573"/>
      <c r="Q87" s="573"/>
      <c r="R87" s="573"/>
      <c r="S87" s="573"/>
      <c r="T87" s="573"/>
      <c r="U87" s="573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574" t="s">
        <v>217</v>
      </c>
      <c r="C88" s="126" t="s">
        <v>186</v>
      </c>
      <c r="D88" s="108">
        <v>5.03</v>
      </c>
      <c r="E88" s="108"/>
      <c r="F88" s="127"/>
      <c r="G88" s="128"/>
      <c r="H88" s="582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573"/>
      <c r="P88" s="573"/>
      <c r="Q88" s="573"/>
      <c r="R88" s="573"/>
      <c r="S88" s="573"/>
      <c r="T88" s="573"/>
      <c r="U88" s="573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574" t="s">
        <v>217</v>
      </c>
      <c r="C89" s="126" t="s">
        <v>204</v>
      </c>
      <c r="D89" s="108">
        <v>5.03</v>
      </c>
      <c r="E89" s="108"/>
      <c r="F89" s="127"/>
      <c r="G89" s="128"/>
      <c r="H89" s="582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573"/>
      <c r="P89" s="573"/>
      <c r="Q89" s="573"/>
      <c r="R89" s="573"/>
      <c r="S89" s="573"/>
      <c r="T89" s="573"/>
      <c r="U89" s="573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582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573"/>
      <c r="P90" s="573"/>
      <c r="Q90" s="573"/>
      <c r="R90" s="573"/>
      <c r="S90" s="573"/>
      <c r="T90" s="573"/>
      <c r="U90" s="573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>
        <v>42724</v>
      </c>
      <c r="G91" s="128">
        <v>85</v>
      </c>
      <c r="H91" s="582">
        <f t="shared" si="36"/>
        <v>427.55</v>
      </c>
      <c r="I91" s="129">
        <v>9</v>
      </c>
      <c r="J91" s="130">
        <f t="array" ref="J91">IF(ISERROR(G91/I91),"",G91/I91)</f>
        <v>9.4444444444444446</v>
      </c>
      <c r="K91" s="131">
        <f t="array" ref="K91">IF(ISERROR(G91/L91),"",G91/L91)</f>
        <v>9.1397849462365581</v>
      </c>
      <c r="L91" s="129">
        <v>9.3000000000000007</v>
      </c>
      <c r="M91" s="109">
        <f t="shared" si="37"/>
        <v>-0.13978494623655813</v>
      </c>
      <c r="N91" s="130">
        <f t="shared" si="38"/>
        <v>0</v>
      </c>
      <c r="O91" s="573"/>
      <c r="P91" s="573"/>
      <c r="Q91" s="573"/>
      <c r="R91" s="573"/>
      <c r="S91" s="573"/>
      <c r="T91" s="573"/>
      <c r="U91" s="573"/>
      <c r="V91" s="132">
        <f t="shared" si="39"/>
        <v>0</v>
      </c>
      <c r="W91" s="133">
        <f t="shared" si="35"/>
        <v>0</v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582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573"/>
      <c r="P92" s="573"/>
      <c r="Q92" s="573"/>
      <c r="R92" s="573"/>
      <c r="S92" s="573"/>
      <c r="T92" s="573"/>
      <c r="U92" s="573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582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573"/>
      <c r="P93" s="573"/>
      <c r="Q93" s="573"/>
      <c r="R93" s="573"/>
      <c r="S93" s="573"/>
      <c r="T93" s="573"/>
      <c r="U93" s="573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582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573"/>
      <c r="P94" s="573"/>
      <c r="Q94" s="573"/>
      <c r="R94" s="573"/>
      <c r="S94" s="573"/>
      <c r="T94" s="573"/>
      <c r="U94" s="573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582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573"/>
      <c r="P95" s="573"/>
      <c r="Q95" s="573"/>
      <c r="R95" s="573"/>
      <c r="S95" s="573"/>
      <c r="T95" s="573"/>
      <c r="U95" s="573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582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573"/>
      <c r="P96" s="573"/>
      <c r="Q96" s="573"/>
      <c r="R96" s="573"/>
      <c r="S96" s="573"/>
      <c r="T96" s="573"/>
      <c r="U96" s="573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582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573"/>
      <c r="P97" s="573"/>
      <c r="Q97" s="573"/>
      <c r="R97" s="573"/>
      <c r="S97" s="573"/>
      <c r="T97" s="573"/>
      <c r="U97" s="573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582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573"/>
      <c r="P98" s="573"/>
      <c r="Q98" s="573"/>
      <c r="R98" s="573"/>
      <c r="S98" s="573"/>
      <c r="T98" s="573"/>
      <c r="U98" s="573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582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573"/>
      <c r="P99" s="573"/>
      <c r="Q99" s="573"/>
      <c r="R99" s="573"/>
      <c r="S99" s="573"/>
      <c r="T99" s="573"/>
      <c r="U99" s="573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582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573"/>
      <c r="P100" s="573"/>
      <c r="Q100" s="573"/>
      <c r="R100" s="573"/>
      <c r="S100" s="573"/>
      <c r="T100" s="573"/>
      <c r="U100" s="573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582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573"/>
      <c r="P101" s="573"/>
      <c r="Q101" s="573"/>
      <c r="R101" s="573"/>
      <c r="S101" s="573"/>
      <c r="T101" s="573"/>
      <c r="U101" s="573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582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573"/>
      <c r="P102" s="573"/>
      <c r="Q102" s="573"/>
      <c r="R102" s="573"/>
      <c r="S102" s="573"/>
      <c r="T102" s="573"/>
      <c r="U102" s="573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574" t="s">
        <v>222</v>
      </c>
      <c r="C103" s="126" t="s">
        <v>181</v>
      </c>
      <c r="D103" s="108">
        <v>10.199999999999999</v>
      </c>
      <c r="E103" s="108"/>
      <c r="F103" s="127"/>
      <c r="G103" s="128"/>
      <c r="H103" s="582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573"/>
      <c r="P103" s="573"/>
      <c r="Q103" s="573"/>
      <c r="R103" s="573"/>
      <c r="S103" s="573"/>
      <c r="T103" s="573"/>
      <c r="U103" s="573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574" t="s">
        <v>222</v>
      </c>
      <c r="C104" s="126" t="s">
        <v>179</v>
      </c>
      <c r="D104" s="108">
        <v>10.199999999999999</v>
      </c>
      <c r="E104" s="108"/>
      <c r="F104" s="127"/>
      <c r="G104" s="128"/>
      <c r="H104" s="582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573"/>
      <c r="P104" s="573"/>
      <c r="Q104" s="573"/>
      <c r="R104" s="573"/>
      <c r="S104" s="573"/>
      <c r="T104" s="573"/>
      <c r="U104" s="573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574" t="s">
        <v>222</v>
      </c>
      <c r="C105" s="126" t="s">
        <v>221</v>
      </c>
      <c r="D105" s="108">
        <v>10.199999999999999</v>
      </c>
      <c r="E105" s="108"/>
      <c r="F105" s="127"/>
      <c r="G105" s="128"/>
      <c r="H105" s="582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573"/>
      <c r="P105" s="573"/>
      <c r="Q105" s="573"/>
      <c r="R105" s="573"/>
      <c r="S105" s="573"/>
      <c r="T105" s="573"/>
      <c r="U105" s="573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574" t="s">
        <v>222</v>
      </c>
      <c r="C106" s="126" t="s">
        <v>186</v>
      </c>
      <c r="D106" s="108">
        <v>10.199999999999999</v>
      </c>
      <c r="E106" s="108"/>
      <c r="F106" s="127"/>
      <c r="G106" s="128"/>
      <c r="H106" s="582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573"/>
      <c r="P106" s="573"/>
      <c r="Q106" s="573"/>
      <c r="R106" s="573"/>
      <c r="S106" s="573"/>
      <c r="T106" s="573"/>
      <c r="U106" s="573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574" t="s">
        <v>393</v>
      </c>
      <c r="C107" s="187" t="s">
        <v>395</v>
      </c>
      <c r="D107" s="108">
        <v>5</v>
      </c>
      <c r="E107" s="108"/>
      <c r="F107" s="127"/>
      <c r="G107" s="128"/>
      <c r="H107" s="582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573"/>
      <c r="P107" s="573"/>
      <c r="Q107" s="573"/>
      <c r="R107" s="573"/>
      <c r="S107" s="573"/>
      <c r="T107" s="573"/>
      <c r="U107" s="573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574" t="s">
        <v>393</v>
      </c>
      <c r="C108" s="187" t="s">
        <v>402</v>
      </c>
      <c r="D108" s="108">
        <v>5</v>
      </c>
      <c r="E108" s="108"/>
      <c r="F108" s="127"/>
      <c r="G108" s="128"/>
      <c r="H108" s="582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573"/>
      <c r="P108" s="573"/>
      <c r="Q108" s="573"/>
      <c r="R108" s="573"/>
      <c r="S108" s="573"/>
      <c r="T108" s="573"/>
      <c r="U108" s="573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574" t="s">
        <v>404</v>
      </c>
      <c r="C109" s="187" t="s">
        <v>405</v>
      </c>
      <c r="D109" s="108">
        <v>5</v>
      </c>
      <c r="E109" s="108"/>
      <c r="F109" s="127"/>
      <c r="G109" s="128"/>
      <c r="H109" s="582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573"/>
      <c r="P109" s="573"/>
      <c r="Q109" s="573"/>
      <c r="R109" s="573"/>
      <c r="S109" s="573"/>
      <c r="T109" s="573"/>
      <c r="U109" s="573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574" t="s">
        <v>492</v>
      </c>
      <c r="C110" s="187" t="s">
        <v>372</v>
      </c>
      <c r="D110" s="108">
        <v>5</v>
      </c>
      <c r="E110" s="108"/>
      <c r="F110" s="127"/>
      <c r="G110" s="128"/>
      <c r="H110" s="582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573"/>
      <c r="P110" s="573"/>
      <c r="Q110" s="573"/>
      <c r="R110" s="573"/>
      <c r="S110" s="573"/>
      <c r="T110" s="573"/>
      <c r="U110" s="573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574" t="s">
        <v>343</v>
      </c>
      <c r="C111" s="126" t="s">
        <v>345</v>
      </c>
      <c r="D111" s="108">
        <v>5</v>
      </c>
      <c r="E111" s="108"/>
      <c r="F111" s="127"/>
      <c r="G111" s="128"/>
      <c r="H111" s="582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573"/>
      <c r="P111" s="573"/>
      <c r="Q111" s="573"/>
      <c r="R111" s="573"/>
      <c r="S111" s="573"/>
      <c r="T111" s="573"/>
      <c r="U111" s="573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574" t="s">
        <v>343</v>
      </c>
      <c r="C112" s="126" t="s">
        <v>347</v>
      </c>
      <c r="D112" s="108">
        <v>5</v>
      </c>
      <c r="E112" s="108"/>
      <c r="F112" s="127"/>
      <c r="G112" s="128"/>
      <c r="H112" s="582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573"/>
      <c r="P112" s="573"/>
      <c r="Q112" s="573"/>
      <c r="R112" s="573"/>
      <c r="S112" s="573"/>
      <c r="T112" s="573"/>
      <c r="U112" s="573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582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573"/>
      <c r="P113" s="573"/>
      <c r="Q113" s="573"/>
      <c r="R113" s="573"/>
      <c r="S113" s="573"/>
      <c r="T113" s="573"/>
      <c r="U113" s="573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582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573"/>
      <c r="P114" s="573"/>
      <c r="Q114" s="573"/>
      <c r="R114" s="573"/>
      <c r="S114" s="573"/>
      <c r="T114" s="573"/>
      <c r="U114" s="573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>
        <v>42724</v>
      </c>
      <c r="G115" s="128">
        <f>90*2</f>
        <v>180</v>
      </c>
      <c r="H115" s="582">
        <f t="shared" si="36"/>
        <v>900</v>
      </c>
      <c r="I115" s="129">
        <f>4.5*5</f>
        <v>22.5</v>
      </c>
      <c r="J115" s="130">
        <f t="array" ref="J115">IF(ISERROR(G115/I115),"",G115/I115)</f>
        <v>8</v>
      </c>
      <c r="K115" s="131">
        <f t="array" ref="K115">IF(ISERROR(G115/L115),"",G115/L115)</f>
        <v>7.5</v>
      </c>
      <c r="L115" s="129">
        <v>24</v>
      </c>
      <c r="M115" s="109">
        <f t="shared" si="37"/>
        <v>15</v>
      </c>
      <c r="N115" s="130"/>
      <c r="O115" s="573"/>
      <c r="P115" s="573"/>
      <c r="Q115" s="573"/>
      <c r="R115" s="573"/>
      <c r="S115" s="573"/>
      <c r="T115" s="573"/>
      <c r="U115" s="573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582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573"/>
      <c r="P116" s="573"/>
      <c r="Q116" s="573"/>
      <c r="R116" s="573"/>
      <c r="S116" s="573"/>
      <c r="T116" s="573"/>
      <c r="U116" s="573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582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573"/>
      <c r="P117" s="573"/>
      <c r="Q117" s="573"/>
      <c r="R117" s="573"/>
      <c r="S117" s="573"/>
      <c r="T117" s="573"/>
      <c r="U117" s="573"/>
      <c r="V117" s="132"/>
      <c r="W117" s="133"/>
      <c r="X117" s="132"/>
      <c r="Y117" s="132"/>
      <c r="Z117" s="132"/>
      <c r="AA117" s="132"/>
    </row>
    <row r="118" spans="1:27" ht="20.10000000000000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>
        <v>42723</v>
      </c>
      <c r="G118" s="128">
        <f>100*6+51</f>
        <v>651</v>
      </c>
      <c r="H118" s="582">
        <f t="shared" si="36"/>
        <v>3300.57</v>
      </c>
      <c r="I118" s="129">
        <f>11.5*4+7*5</f>
        <v>81</v>
      </c>
      <c r="J118" s="130">
        <f t="array" ref="J118">IF(ISERROR(G118/I118),"",G118/I118)</f>
        <v>8.0370370370370363</v>
      </c>
      <c r="K118" s="131">
        <f t="array" ref="K118">IF(ISERROR(G118/L118),"",G118/L118)</f>
        <v>72.333333333333329</v>
      </c>
      <c r="L118" s="129">
        <v>9</v>
      </c>
      <c r="M118" s="109">
        <f t="shared" ref="M118:M120" si="46">IF(ISERROR(I118-K118),"",I118-K118)</f>
        <v>8.6666666666666714</v>
      </c>
      <c r="N118" s="130">
        <f t="shared" ref="N118:N120" si="47">SUM(O118:U118)</f>
        <v>0</v>
      </c>
      <c r="O118" s="573"/>
      <c r="P118" s="573"/>
      <c r="Q118" s="573"/>
      <c r="R118" s="573"/>
      <c r="S118" s="573"/>
      <c r="T118" s="573"/>
      <c r="U118" s="573"/>
      <c r="V118" s="132">
        <f t="shared" ref="V118:V120" si="48">SUM(X118:AA118)</f>
        <v>0</v>
      </c>
      <c r="W118" s="133">
        <f t="shared" ref="W118:W142" si="49">IF(ISERROR(V118/G118),"",V118/G118)</f>
        <v>0</v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582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573"/>
      <c r="P119" s="573"/>
      <c r="Q119" s="573"/>
      <c r="R119" s="573"/>
      <c r="S119" s="573"/>
      <c r="T119" s="573"/>
      <c r="U119" s="573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582">
        <f t="shared" si="36"/>
        <v>0</v>
      </c>
      <c r="I120" s="129"/>
      <c r="J120" s="130" t="str">
        <f t="array" ref="J120">IF(ISERROR(G120/I120),"",G120/I120)</f>
        <v/>
      </c>
      <c r="K120" s="582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573"/>
      <c r="P120" s="573"/>
      <c r="Q120" s="573"/>
      <c r="R120" s="573"/>
      <c r="S120" s="573"/>
      <c r="T120" s="573"/>
      <c r="U120" s="573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30" t="s">
        <v>224</v>
      </c>
      <c r="B121" s="631"/>
      <c r="C121" s="580" t="s">
        <v>202</v>
      </c>
      <c r="D121" s="143"/>
      <c r="E121" s="143"/>
      <c r="F121" s="144"/>
      <c r="G121" s="145">
        <f>SUM(G87:G120)</f>
        <v>916</v>
      </c>
      <c r="H121" s="146">
        <f>SUM(H87:H120)</f>
        <v>4628.12</v>
      </c>
      <c r="I121" s="146">
        <f>SUM(I87:I120)</f>
        <v>112.5</v>
      </c>
      <c r="J121" s="130">
        <f t="array" ref="J121">IF(ISERROR(G121/I121),"",G121/I121)</f>
        <v>8.1422222222222214</v>
      </c>
      <c r="K121" s="146">
        <f>SUM(K87:K120)</f>
        <v>88.973118279569889</v>
      </c>
      <c r="L121" s="147"/>
      <c r="M121" s="150">
        <f t="shared" ref="M121:V121" si="50">SUM(M87:M120)</f>
        <v>23.526881720430111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582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573"/>
      <c r="P122" s="573"/>
      <c r="Q122" s="573"/>
      <c r="R122" s="573"/>
      <c r="S122" s="573"/>
      <c r="T122" s="573"/>
      <c r="U122" s="573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582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573"/>
      <c r="P123" s="573"/>
      <c r="Q123" s="573"/>
      <c r="R123" s="573"/>
      <c r="S123" s="573"/>
      <c r="T123" s="573"/>
      <c r="U123" s="573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582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573"/>
      <c r="P124" s="573"/>
      <c r="Q124" s="573"/>
      <c r="R124" s="573"/>
      <c r="S124" s="573"/>
      <c r="T124" s="573"/>
      <c r="U124" s="573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582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573"/>
      <c r="P125" s="573"/>
      <c r="Q125" s="573"/>
      <c r="R125" s="573"/>
      <c r="S125" s="573"/>
      <c r="T125" s="573"/>
      <c r="U125" s="573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578" t="s">
        <v>203</v>
      </c>
      <c r="D126" s="108">
        <v>5.03</v>
      </c>
      <c r="E126" s="108"/>
      <c r="F126" s="127"/>
      <c r="G126" s="128"/>
      <c r="H126" s="582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573"/>
      <c r="P126" s="573"/>
      <c r="Q126" s="573"/>
      <c r="R126" s="573"/>
      <c r="S126" s="573"/>
      <c r="T126" s="573"/>
      <c r="U126" s="573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582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573"/>
      <c r="P127" s="573"/>
      <c r="Q127" s="573"/>
      <c r="R127" s="573"/>
      <c r="S127" s="573"/>
      <c r="T127" s="573"/>
      <c r="U127" s="573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582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573"/>
      <c r="P128" s="573"/>
      <c r="Q128" s="573"/>
      <c r="R128" s="573"/>
      <c r="S128" s="573"/>
      <c r="T128" s="573"/>
      <c r="U128" s="573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578" t="s">
        <v>228</v>
      </c>
      <c r="D129" s="108">
        <v>5.03</v>
      </c>
      <c r="E129" s="108"/>
      <c r="F129" s="127"/>
      <c r="G129" s="128"/>
      <c r="H129" s="582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573"/>
      <c r="P129" s="573"/>
      <c r="Q129" s="573"/>
      <c r="R129" s="573"/>
      <c r="S129" s="573"/>
      <c r="T129" s="573"/>
      <c r="U129" s="573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578" t="s">
        <v>212</v>
      </c>
      <c r="D130" s="108">
        <v>5.03</v>
      </c>
      <c r="E130" s="108"/>
      <c r="F130" s="127"/>
      <c r="G130" s="128"/>
      <c r="H130" s="582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573"/>
      <c r="P130" s="573"/>
      <c r="Q130" s="573"/>
      <c r="R130" s="573"/>
      <c r="S130" s="573"/>
      <c r="T130" s="573"/>
      <c r="U130" s="573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578" t="s">
        <v>203</v>
      </c>
      <c r="D131" s="108">
        <v>5.03</v>
      </c>
      <c r="E131" s="108"/>
      <c r="F131" s="127"/>
      <c r="G131" s="128"/>
      <c r="H131" s="582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573"/>
      <c r="P131" s="573"/>
      <c r="Q131" s="573"/>
      <c r="R131" s="573"/>
      <c r="S131" s="573"/>
      <c r="T131" s="573"/>
      <c r="U131" s="573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578" t="s">
        <v>186</v>
      </c>
      <c r="D132" s="108">
        <v>5.03</v>
      </c>
      <c r="E132" s="108"/>
      <c r="F132" s="127"/>
      <c r="G132" s="128"/>
      <c r="H132" s="582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573"/>
      <c r="P132" s="573"/>
      <c r="Q132" s="573"/>
      <c r="R132" s="573"/>
      <c r="S132" s="573"/>
      <c r="T132" s="573"/>
      <c r="U132" s="573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578" t="s">
        <v>228</v>
      </c>
      <c r="D133" s="108">
        <v>5.03</v>
      </c>
      <c r="E133" s="108"/>
      <c r="F133" s="127"/>
      <c r="G133" s="128"/>
      <c r="H133" s="582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573"/>
      <c r="P133" s="573"/>
      <c r="Q133" s="573"/>
      <c r="R133" s="573"/>
      <c r="S133" s="573"/>
      <c r="T133" s="573"/>
      <c r="U133" s="573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578" t="s">
        <v>199</v>
      </c>
      <c r="D134" s="108">
        <v>5.03</v>
      </c>
      <c r="E134" s="108"/>
      <c r="F134" s="127"/>
      <c r="G134" s="128"/>
      <c r="H134" s="582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573"/>
      <c r="P134" s="573"/>
      <c r="Q134" s="573"/>
      <c r="R134" s="573"/>
      <c r="S134" s="573"/>
      <c r="T134" s="573"/>
      <c r="U134" s="573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582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573"/>
      <c r="P135" s="573"/>
      <c r="Q135" s="573"/>
      <c r="R135" s="573"/>
      <c r="S135" s="573"/>
      <c r="T135" s="573"/>
      <c r="U135" s="573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582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573"/>
      <c r="P136" s="573"/>
      <c r="Q136" s="573"/>
      <c r="R136" s="573"/>
      <c r="S136" s="573"/>
      <c r="T136" s="573"/>
      <c r="U136" s="573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630" t="s">
        <v>231</v>
      </c>
      <c r="B137" s="631"/>
      <c r="C137" s="580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582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573"/>
      <c r="P138" s="573"/>
      <c r="Q138" s="573"/>
      <c r="R138" s="573"/>
      <c r="S138" s="573"/>
      <c r="T138" s="573"/>
      <c r="U138" s="573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582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573"/>
      <c r="P139" s="573"/>
      <c r="Q139" s="573"/>
      <c r="R139" s="573"/>
      <c r="S139" s="573"/>
      <c r="T139" s="573"/>
      <c r="U139" s="573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582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573"/>
      <c r="P140" s="573"/>
      <c r="Q140" s="573"/>
      <c r="R140" s="573"/>
      <c r="S140" s="573"/>
      <c r="T140" s="573"/>
      <c r="U140" s="573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582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573"/>
      <c r="P141" s="573"/>
      <c r="Q141" s="573"/>
      <c r="R141" s="573"/>
      <c r="S141" s="573"/>
      <c r="T141" s="573"/>
      <c r="U141" s="573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582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573"/>
      <c r="P142" s="573"/>
      <c r="Q142" s="573"/>
      <c r="R142" s="573"/>
      <c r="S142" s="573"/>
      <c r="T142" s="573"/>
      <c r="U142" s="573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582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573"/>
      <c r="P143" s="573"/>
      <c r="Q143" s="573"/>
      <c r="R143" s="573"/>
      <c r="S143" s="573"/>
      <c r="T143" s="573"/>
      <c r="U143" s="573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582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573"/>
      <c r="P144" s="573"/>
      <c r="Q144" s="573"/>
      <c r="R144" s="573"/>
      <c r="S144" s="573"/>
      <c r="T144" s="573"/>
      <c r="U144" s="573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30040021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582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573"/>
      <c r="P145" s="573"/>
      <c r="Q145" s="573"/>
      <c r="R145" s="573"/>
      <c r="S145" s="573"/>
      <c r="T145" s="573"/>
      <c r="U145" s="573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582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573"/>
      <c r="P146" s="573"/>
      <c r="Q146" s="573"/>
      <c r="R146" s="573"/>
      <c r="S146" s="573"/>
      <c r="T146" s="573"/>
      <c r="U146" s="573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hidden="1" customHeight="1">
      <c r="A147" s="630" t="s">
        <v>234</v>
      </c>
      <c r="B147" s="631"/>
      <c r="C147" s="580" t="s">
        <v>202</v>
      </c>
      <c r="D147" s="143"/>
      <c r="E147" s="143"/>
      <c r="F147" s="144"/>
      <c r="G147" s="145">
        <f>SUM(G138:G146)</f>
        <v>0</v>
      </c>
      <c r="H147" s="146">
        <f>SUM(H138:H146)</f>
        <v>0</v>
      </c>
      <c r="I147" s="146">
        <f>SUM(I138:I146)</f>
        <v>0</v>
      </c>
      <c r="J147" s="130" t="str">
        <f t="array" ref="J147">IF(ISERROR(G147/I147),"",G147/I147)</f>
        <v/>
      </c>
      <c r="K147" s="146">
        <f>SUM(K138:K146)</f>
        <v>0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 t="str">
        <f t="shared" si="62"/>
        <v/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572"/>
      <c r="D148" s="108">
        <v>3.65</v>
      </c>
      <c r="E148" s="108"/>
      <c r="F148" s="153"/>
      <c r="G148" s="128"/>
      <c r="H148" s="582">
        <f t="shared" ref="H148:H161" si="63">D148*G148</f>
        <v>0</v>
      </c>
      <c r="I148" s="129"/>
      <c r="J148" s="130" t="str">
        <f t="array" ref="J148">IF(ISERROR(G148/I148),"",G148/I148)</f>
        <v/>
      </c>
      <c r="K148" s="582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573"/>
      <c r="P148" s="573"/>
      <c r="Q148" s="573"/>
      <c r="R148" s="573"/>
      <c r="S148" s="573"/>
      <c r="T148" s="573"/>
      <c r="U148" s="573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572"/>
      <c r="D149" s="108">
        <v>6.58</v>
      </c>
      <c r="E149" s="108"/>
      <c r="F149" s="127"/>
      <c r="G149" s="128"/>
      <c r="H149" s="582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573"/>
      <c r="P149" s="573"/>
      <c r="Q149" s="573"/>
      <c r="R149" s="573"/>
      <c r="S149" s="573"/>
      <c r="T149" s="573"/>
      <c r="U149" s="573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572"/>
      <c r="D150" s="108">
        <v>7.8</v>
      </c>
      <c r="E150" s="108"/>
      <c r="F150" s="127"/>
      <c r="G150" s="128"/>
      <c r="H150" s="582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573"/>
      <c r="P150" s="573"/>
      <c r="Q150" s="573"/>
      <c r="R150" s="573"/>
      <c r="S150" s="573"/>
      <c r="T150" s="573"/>
      <c r="U150" s="573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572"/>
      <c r="D151" s="108">
        <v>4.4000000000000004</v>
      </c>
      <c r="E151" s="108"/>
      <c r="F151" s="127"/>
      <c r="G151" s="128"/>
      <c r="H151" s="582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573"/>
      <c r="P151" s="573"/>
      <c r="Q151" s="573"/>
      <c r="R151" s="573"/>
      <c r="S151" s="573"/>
      <c r="T151" s="573"/>
      <c r="U151" s="573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582">
        <f t="shared" si="63"/>
        <v>0</v>
      </c>
      <c r="I152" s="129"/>
      <c r="J152" s="130"/>
      <c r="K152" s="131"/>
      <c r="L152" s="129">
        <v>6</v>
      </c>
      <c r="M152" s="109"/>
      <c r="N152" s="130"/>
      <c r="O152" s="573"/>
      <c r="P152" s="573"/>
      <c r="Q152" s="573"/>
      <c r="R152" s="573"/>
      <c r="S152" s="573"/>
      <c r="T152" s="573"/>
      <c r="U152" s="573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572" t="s">
        <v>239</v>
      </c>
      <c r="C153" s="572" t="s">
        <v>179</v>
      </c>
      <c r="D153" s="108">
        <v>6.04</v>
      </c>
      <c r="E153" s="108"/>
      <c r="F153" s="127"/>
      <c r="G153" s="128"/>
      <c r="H153" s="582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573"/>
      <c r="P153" s="573"/>
      <c r="Q153" s="573"/>
      <c r="R153" s="573"/>
      <c r="S153" s="573"/>
      <c r="T153" s="573"/>
      <c r="U153" s="573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572" t="s">
        <v>239</v>
      </c>
      <c r="C154" s="572" t="s">
        <v>186</v>
      </c>
      <c r="D154" s="108">
        <v>6.04</v>
      </c>
      <c r="E154" s="108"/>
      <c r="F154" s="127"/>
      <c r="G154" s="128"/>
      <c r="H154" s="582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573"/>
      <c r="P154" s="573"/>
      <c r="Q154" s="573"/>
      <c r="R154" s="573"/>
      <c r="S154" s="573"/>
      <c r="T154" s="573"/>
      <c r="U154" s="573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572" t="s">
        <v>443</v>
      </c>
      <c r="C155" s="572" t="s">
        <v>179</v>
      </c>
      <c r="D155" s="108">
        <v>6</v>
      </c>
      <c r="E155" s="108"/>
      <c r="F155" s="127"/>
      <c r="G155" s="128"/>
      <c r="H155" s="582">
        <f t="shared" si="63"/>
        <v>0</v>
      </c>
      <c r="I155" s="129"/>
      <c r="J155" s="130"/>
      <c r="K155" s="131"/>
      <c r="L155" s="129"/>
      <c r="M155" s="109"/>
      <c r="N155" s="130"/>
      <c r="O155" s="573"/>
      <c r="P155" s="573"/>
      <c r="Q155" s="573"/>
      <c r="R155" s="573"/>
      <c r="S155" s="573"/>
      <c r="T155" s="573"/>
      <c r="U155" s="573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572" t="s">
        <v>443</v>
      </c>
      <c r="C156" s="572" t="s">
        <v>60</v>
      </c>
      <c r="D156" s="108">
        <v>6</v>
      </c>
      <c r="E156" s="108"/>
      <c r="F156" s="127"/>
      <c r="G156" s="128"/>
      <c r="H156" s="582">
        <f t="shared" si="63"/>
        <v>0</v>
      </c>
      <c r="I156" s="129"/>
      <c r="J156" s="130"/>
      <c r="K156" s="131"/>
      <c r="L156" s="129">
        <v>6</v>
      </c>
      <c r="M156" s="109"/>
      <c r="N156" s="130"/>
      <c r="O156" s="573"/>
      <c r="P156" s="573"/>
      <c r="Q156" s="573"/>
      <c r="R156" s="573"/>
      <c r="S156" s="573"/>
      <c r="T156" s="573"/>
      <c r="U156" s="573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574" t="s">
        <v>240</v>
      </c>
      <c r="C157" s="126"/>
      <c r="D157" s="108">
        <v>7.3</v>
      </c>
      <c r="E157" s="108"/>
      <c r="F157" s="127"/>
      <c r="G157" s="128"/>
      <c r="H157" s="582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573"/>
      <c r="P157" s="573"/>
      <c r="Q157" s="573"/>
      <c r="R157" s="573"/>
      <c r="S157" s="573"/>
      <c r="T157" s="573"/>
      <c r="U157" s="573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574" t="s">
        <v>241</v>
      </c>
      <c r="C158" s="126"/>
      <c r="D158" s="108">
        <f>78*120/1000</f>
        <v>9.36</v>
      </c>
      <c r="E158" s="108"/>
      <c r="F158" s="127"/>
      <c r="G158" s="128"/>
      <c r="H158" s="582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573"/>
      <c r="P158" s="573"/>
      <c r="Q158" s="573"/>
      <c r="R158" s="573"/>
      <c r="S158" s="573"/>
      <c r="T158" s="573"/>
      <c r="U158" s="573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574" t="s">
        <v>242</v>
      </c>
      <c r="C159" s="126"/>
      <c r="D159" s="108">
        <v>4.5</v>
      </c>
      <c r="E159" s="108"/>
      <c r="F159" s="127"/>
      <c r="G159" s="128"/>
      <c r="H159" s="582">
        <f t="shared" si="63"/>
        <v>0</v>
      </c>
      <c r="I159" s="129"/>
      <c r="J159" s="130"/>
      <c r="K159" s="131"/>
      <c r="L159" s="129"/>
      <c r="M159" s="109"/>
      <c r="N159" s="130"/>
      <c r="O159" s="573"/>
      <c r="P159" s="573"/>
      <c r="Q159" s="573"/>
      <c r="R159" s="573"/>
      <c r="S159" s="573"/>
      <c r="T159" s="573"/>
      <c r="U159" s="573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574" t="s">
        <v>243</v>
      </c>
      <c r="C160" s="126"/>
      <c r="D160" s="108">
        <v>4.5</v>
      </c>
      <c r="E160" s="108"/>
      <c r="F160" s="127"/>
      <c r="G160" s="128"/>
      <c r="H160" s="582">
        <f t="shared" si="63"/>
        <v>0</v>
      </c>
      <c r="I160" s="129"/>
      <c r="J160" s="130"/>
      <c r="K160" s="131"/>
      <c r="L160" s="129"/>
      <c r="M160" s="109"/>
      <c r="N160" s="130"/>
      <c r="O160" s="573"/>
      <c r="P160" s="573"/>
      <c r="Q160" s="573"/>
      <c r="R160" s="573"/>
      <c r="S160" s="573"/>
      <c r="T160" s="573"/>
      <c r="U160" s="573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582">
        <f t="shared" si="63"/>
        <v>0</v>
      </c>
      <c r="I161" s="129"/>
      <c r="J161" s="130"/>
      <c r="K161" s="131"/>
      <c r="L161" s="129"/>
      <c r="M161" s="109"/>
      <c r="N161" s="130"/>
      <c r="O161" s="573"/>
      <c r="P161" s="573"/>
      <c r="Q161" s="573"/>
      <c r="R161" s="573"/>
      <c r="S161" s="573"/>
      <c r="T161" s="573"/>
      <c r="U161" s="573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630" t="s">
        <v>244</v>
      </c>
      <c r="B162" s="631"/>
      <c r="C162" s="580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32" t="s">
        <v>246</v>
      </c>
      <c r="B163" s="633"/>
      <c r="C163" s="633"/>
      <c r="D163" s="633"/>
      <c r="E163" s="633"/>
      <c r="F163" s="634"/>
      <c r="G163" s="154">
        <f>SUM(G28,G86,G121,G137,G147,G162)</f>
        <v>3912</v>
      </c>
      <c r="H163" s="154">
        <f>SUM(H28,H86,H121,H137,H147,H162)</f>
        <v>19742.97</v>
      </c>
      <c r="I163" s="154">
        <f>SUM(I28,I86,I121,I137,I147,I162)</f>
        <v>211</v>
      </c>
      <c r="J163" s="155">
        <f t="array" ref="J163">IF(ISERROR(G163/I163),"",G163/I163)</f>
        <v>18.540284360189574</v>
      </c>
      <c r="K163" s="154">
        <f>SUM(K28,K86,K121,K137,K147,K162)</f>
        <v>195.12222407573449</v>
      </c>
      <c r="L163" s="155">
        <f>IF(ISERROR(G163/K163),"",G163/K163)</f>
        <v>20.048971963755402</v>
      </c>
      <c r="M163" s="154">
        <f t="shared" ref="M163:AA163" si="76">SUM(M28,M86,M121,M137,M147,M162)</f>
        <v>15.877775924265492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635" t="s">
        <v>476</v>
      </c>
      <c r="B164" s="579" t="s">
        <v>247</v>
      </c>
      <c r="C164" s="638" t="s">
        <v>248</v>
      </c>
      <c r="D164" s="639"/>
      <c r="E164" s="640" t="s">
        <v>249</v>
      </c>
      <c r="F164" s="640"/>
      <c r="G164" s="643" t="s">
        <v>250</v>
      </c>
      <c r="H164" s="643"/>
      <c r="I164" s="640" t="s">
        <v>251</v>
      </c>
      <c r="J164" s="640"/>
      <c r="K164" s="640" t="s">
        <v>252</v>
      </c>
      <c r="L164" s="640"/>
      <c r="M164" s="640" t="s">
        <v>253</v>
      </c>
      <c r="N164" s="640"/>
      <c r="O164" s="640" t="s">
        <v>254</v>
      </c>
      <c r="P164" s="643" t="s">
        <v>255</v>
      </c>
      <c r="Q164" s="643"/>
      <c r="R164" s="643" t="s">
        <v>252</v>
      </c>
      <c r="S164" s="643"/>
      <c r="T164" s="643" t="s">
        <v>256</v>
      </c>
      <c r="U164" s="643"/>
      <c r="V164" s="643" t="s">
        <v>257</v>
      </c>
      <c r="W164" s="643"/>
      <c r="X164" s="643" t="s">
        <v>252</v>
      </c>
      <c r="Y164" s="643"/>
      <c r="Z164" s="643" t="s">
        <v>256</v>
      </c>
      <c r="AA164" s="643"/>
    </row>
    <row r="165" spans="1:27" ht="20.100000000000001" customHeight="1">
      <c r="A165" s="636"/>
      <c r="B165" s="579" t="s">
        <v>258</v>
      </c>
      <c r="C165" s="638">
        <v>1</v>
      </c>
      <c r="D165" s="639"/>
      <c r="E165" s="642">
        <f>C165*11</f>
        <v>11</v>
      </c>
      <c r="F165" s="642"/>
      <c r="G165" s="643">
        <v>1</v>
      </c>
      <c r="H165" s="643"/>
      <c r="I165" s="642">
        <f>G165*11</f>
        <v>11</v>
      </c>
      <c r="J165" s="642"/>
      <c r="K165" s="642">
        <f>E165-I165</f>
        <v>0</v>
      </c>
      <c r="L165" s="642"/>
      <c r="M165" s="644">
        <f>IF(ISERROR(K165/E165),"",K165/E165)</f>
        <v>0</v>
      </c>
      <c r="N165" s="644"/>
      <c r="O165" s="640"/>
      <c r="P165" s="643" t="s">
        <v>201</v>
      </c>
      <c r="Q165" s="643"/>
      <c r="R165" s="645">
        <f>SUM(O28:U28)</f>
        <v>0</v>
      </c>
      <c r="S165" s="645"/>
      <c r="T165" s="646" t="str">
        <f t="array" ref="T165">IF(ISERROR(R165/R172),"",R165/R172)</f>
        <v/>
      </c>
      <c r="U165" s="646"/>
      <c r="V165" s="643" t="s">
        <v>259</v>
      </c>
      <c r="W165" s="643"/>
      <c r="X165" s="647">
        <f>SUM(P27,P85,P120,P136,P146,P160)</f>
        <v>0</v>
      </c>
      <c r="Y165" s="647"/>
      <c r="Z165" s="646" t="str">
        <f t="array" ref="Z165">IF(ISERROR(X165/X172),"",X165/X172)</f>
        <v/>
      </c>
      <c r="AA165" s="646"/>
    </row>
    <row r="166" spans="1:27" ht="20.100000000000001" customHeight="1">
      <c r="A166" s="636"/>
      <c r="B166" s="579" t="s">
        <v>260</v>
      </c>
      <c r="C166" s="638">
        <v>1</v>
      </c>
      <c r="D166" s="639"/>
      <c r="E166" s="642">
        <f>C166*11</f>
        <v>11</v>
      </c>
      <c r="F166" s="642"/>
      <c r="G166" s="643">
        <v>1</v>
      </c>
      <c r="H166" s="643"/>
      <c r="I166" s="642">
        <f>G166*11</f>
        <v>11</v>
      </c>
      <c r="J166" s="642"/>
      <c r="K166" s="642">
        <f>E166-I166</f>
        <v>0</v>
      </c>
      <c r="L166" s="642"/>
      <c r="M166" s="644">
        <f>IF(ISERROR(K166/E166),"",K166/E166)</f>
        <v>0</v>
      </c>
      <c r="N166" s="644"/>
      <c r="O166" s="640"/>
      <c r="P166" s="643" t="s">
        <v>216</v>
      </c>
      <c r="Q166" s="643"/>
      <c r="R166" s="645">
        <f>SUM(O86:U86)</f>
        <v>0</v>
      </c>
      <c r="S166" s="645"/>
      <c r="T166" s="646" t="str">
        <f>IF(ISERROR(R166/R172),"",R166/R172)</f>
        <v/>
      </c>
      <c r="U166" s="646"/>
      <c r="V166" s="643" t="s">
        <v>261</v>
      </c>
      <c r="W166" s="643"/>
      <c r="X166" s="647">
        <f>SUM(P28,P86,P121,P137,P147,P162)</f>
        <v>0</v>
      </c>
      <c r="Y166" s="647"/>
      <c r="Z166" s="646" t="str">
        <f>IF(ISERROR(X166/X172),"",X166/X172)</f>
        <v/>
      </c>
      <c r="AA166" s="646"/>
    </row>
    <row r="167" spans="1:27" ht="20.100000000000001" customHeight="1">
      <c r="A167" s="636"/>
      <c r="B167" s="579" t="s">
        <v>262</v>
      </c>
      <c r="C167" s="638">
        <v>1</v>
      </c>
      <c r="D167" s="639"/>
      <c r="E167" s="642">
        <f>C167*8</f>
        <v>8</v>
      </c>
      <c r="F167" s="642"/>
      <c r="G167" s="643">
        <v>1</v>
      </c>
      <c r="H167" s="643"/>
      <c r="I167" s="642">
        <f>G167*8</f>
        <v>8</v>
      </c>
      <c r="J167" s="642"/>
      <c r="K167" s="642">
        <f>E167-I167</f>
        <v>0</v>
      </c>
      <c r="L167" s="642"/>
      <c r="M167" s="644">
        <f>IF(ISERROR(K167/E167),"",K167/E167)</f>
        <v>0</v>
      </c>
      <c r="N167" s="644"/>
      <c r="O167" s="640"/>
      <c r="P167" s="643" t="s">
        <v>224</v>
      </c>
      <c r="Q167" s="643"/>
      <c r="R167" s="645">
        <f>SUM(O121:U121)</f>
        <v>0</v>
      </c>
      <c r="S167" s="645"/>
      <c r="T167" s="646" t="str">
        <f>IF(ISERROR(R167/R172),"",R167/R172)</f>
        <v/>
      </c>
      <c r="U167" s="646"/>
      <c r="V167" s="643" t="s">
        <v>263</v>
      </c>
      <c r="W167" s="643"/>
      <c r="X167" s="647">
        <f>SUM(P29,P87,P122,P138,P148,P163)</f>
        <v>0</v>
      </c>
      <c r="Y167" s="647"/>
      <c r="Z167" s="646" t="str">
        <f>IF(ISERROR(X167/X172),"",X167/X172)</f>
        <v/>
      </c>
      <c r="AA167" s="646"/>
    </row>
    <row r="168" spans="1:27" ht="20.100000000000001" customHeight="1">
      <c r="A168" s="636"/>
      <c r="B168" s="579" t="s">
        <v>264</v>
      </c>
      <c r="C168" s="638">
        <v>1</v>
      </c>
      <c r="D168" s="639"/>
      <c r="E168" s="642">
        <f>C168*11</f>
        <v>11</v>
      </c>
      <c r="F168" s="642"/>
      <c r="G168" s="643">
        <v>1</v>
      </c>
      <c r="H168" s="643"/>
      <c r="I168" s="642">
        <f>G168*11</f>
        <v>11</v>
      </c>
      <c r="J168" s="642"/>
      <c r="K168" s="642">
        <f>E168-I168</f>
        <v>0</v>
      </c>
      <c r="L168" s="642"/>
      <c r="M168" s="644">
        <f>IF(ISERROR(K168/E168),"",K168/E168)</f>
        <v>0</v>
      </c>
      <c r="N168" s="644"/>
      <c r="O168" s="640"/>
      <c r="P168" s="643" t="s">
        <v>231</v>
      </c>
      <c r="Q168" s="643"/>
      <c r="R168" s="645">
        <f>SUM(O137:U137)</f>
        <v>0</v>
      </c>
      <c r="S168" s="645"/>
      <c r="T168" s="646" t="str">
        <f>IF(ISERROR(R168/R172),"",R168/R172)</f>
        <v/>
      </c>
      <c r="U168" s="646"/>
      <c r="V168" s="643" t="s">
        <v>265</v>
      </c>
      <c r="W168" s="643"/>
      <c r="X168" s="647">
        <f>SUM(P31,P88,P123,P139,P149,P164)</f>
        <v>0</v>
      </c>
      <c r="Y168" s="647"/>
      <c r="Z168" s="646" t="str">
        <f>IF(ISERROR(X168/X172),"",X168/X172)</f>
        <v/>
      </c>
      <c r="AA168" s="646"/>
    </row>
    <row r="169" spans="1:27" ht="20.100000000000001" customHeight="1">
      <c r="A169" s="637"/>
      <c r="B169" s="579" t="s">
        <v>266</v>
      </c>
      <c r="C169" s="648">
        <f>SUM(C165:D168)</f>
        <v>4</v>
      </c>
      <c r="D169" s="649"/>
      <c r="E169" s="642">
        <f>SUM(E165:F168)</f>
        <v>41</v>
      </c>
      <c r="F169" s="642"/>
      <c r="G169" s="643">
        <f>SUM(G165:H168)</f>
        <v>4</v>
      </c>
      <c r="H169" s="643"/>
      <c r="I169" s="642">
        <f>SUM(I165:J168)</f>
        <v>41</v>
      </c>
      <c r="J169" s="642"/>
      <c r="K169" s="642">
        <f>SUM(K165:L168)</f>
        <v>0</v>
      </c>
      <c r="L169" s="642"/>
      <c r="M169" s="644">
        <f>IF(ISERROR(K169/E169),"",K169/E169)</f>
        <v>0</v>
      </c>
      <c r="N169" s="644"/>
      <c r="O169" s="640"/>
      <c r="P169" s="643" t="s">
        <v>234</v>
      </c>
      <c r="Q169" s="643"/>
      <c r="R169" s="645">
        <f>SUM(O147:U147)</f>
        <v>0</v>
      </c>
      <c r="S169" s="645"/>
      <c r="T169" s="646" t="str">
        <f>IF(ISERROR(R169/R172),"",R169/R172)</f>
        <v/>
      </c>
      <c r="U169" s="646"/>
      <c r="V169" s="643" t="s">
        <v>267</v>
      </c>
      <c r="W169" s="643"/>
      <c r="X169" s="647">
        <f>SUM(P32,P89,P124,P140,P150,P165)</f>
        <v>0</v>
      </c>
      <c r="Y169" s="647"/>
      <c r="Z169" s="646" t="str">
        <f>IF(ISERROR(X169/X172),"",X169/X172)</f>
        <v/>
      </c>
      <c r="AA169" s="646"/>
    </row>
    <row r="170" spans="1:27" ht="20.100000000000001" customHeight="1">
      <c r="A170" s="307" t="s">
        <v>477</v>
      </c>
      <c r="B170" s="579">
        <f>G163</f>
        <v>3912</v>
      </c>
      <c r="C170" s="650" t="s">
        <v>269</v>
      </c>
      <c r="D170" s="651"/>
      <c r="E170" s="643">
        <f>H163</f>
        <v>19742.97</v>
      </c>
      <c r="F170" s="643"/>
      <c r="G170" s="643" t="s">
        <v>270</v>
      </c>
      <c r="H170" s="643"/>
      <c r="I170" s="652">
        <f>L163</f>
        <v>20.048971963755402</v>
      </c>
      <c r="J170" s="652"/>
      <c r="K170" s="640" t="s">
        <v>271</v>
      </c>
      <c r="L170" s="640"/>
      <c r="M170" s="652">
        <f>J163</f>
        <v>18.540284360189574</v>
      </c>
      <c r="N170" s="652"/>
      <c r="O170" s="640"/>
      <c r="P170" s="643" t="s">
        <v>244</v>
      </c>
      <c r="Q170" s="643"/>
      <c r="R170" s="645">
        <f>SUM(O162:U162)</f>
        <v>0</v>
      </c>
      <c r="S170" s="645"/>
      <c r="T170" s="646" t="str">
        <f>IF(ISERROR(R170/R172),"",R170/R172)</f>
        <v/>
      </c>
      <c r="U170" s="646"/>
      <c r="V170" s="643" t="s">
        <v>272</v>
      </c>
      <c r="W170" s="643"/>
      <c r="X170" s="647">
        <f>SUM(P33,P90,P125,P141,P151,P166)</f>
        <v>0</v>
      </c>
      <c r="Y170" s="647"/>
      <c r="Z170" s="646" t="str">
        <f>IF(ISERROR(X170/X172),"",X170/X172)</f>
        <v/>
      </c>
      <c r="AA170" s="646"/>
    </row>
    <row r="171" spans="1:27" ht="20.100000000000001" customHeight="1">
      <c r="A171" s="308" t="s">
        <v>478</v>
      </c>
      <c r="B171" s="579">
        <f>I163+C169</f>
        <v>215</v>
      </c>
      <c r="C171" s="653" t="s">
        <v>251</v>
      </c>
      <c r="D171" s="654"/>
      <c r="E171" s="655">
        <f>K163+I169</f>
        <v>236.12222407573449</v>
      </c>
      <c r="F171" s="655"/>
      <c r="G171" s="643" t="s">
        <v>274</v>
      </c>
      <c r="H171" s="643"/>
      <c r="I171" s="652">
        <f>B171-E171</f>
        <v>-21.122224075734493</v>
      </c>
      <c r="J171" s="652"/>
      <c r="K171" s="640" t="s">
        <v>275</v>
      </c>
      <c r="L171" s="640"/>
      <c r="M171" s="644">
        <f>IF(ISERROR(I171/E171),"",I171/E171)</f>
        <v>-8.9454621048121644E-2</v>
      </c>
      <c r="N171" s="644"/>
      <c r="O171" s="640"/>
      <c r="P171" s="643" t="s">
        <v>245</v>
      </c>
      <c r="Q171" s="643"/>
      <c r="R171" s="645"/>
      <c r="S171" s="645"/>
      <c r="T171" s="646" t="str">
        <f>IF(ISERROR(R171/R172),"",R171/R172)</f>
        <v/>
      </c>
      <c r="U171" s="646"/>
      <c r="V171" s="643" t="s">
        <v>264</v>
      </c>
      <c r="W171" s="643"/>
      <c r="X171" s="647"/>
      <c r="Y171" s="647"/>
      <c r="Z171" s="646" t="str">
        <f>IF(ISERROR(X171/X172),"",X171/X172)</f>
        <v/>
      </c>
      <c r="AA171" s="646"/>
    </row>
    <row r="172" spans="1:27" ht="20.100000000000001" customHeight="1">
      <c r="A172" s="308" t="s">
        <v>479</v>
      </c>
      <c r="B172" s="579">
        <f>N163</f>
        <v>0</v>
      </c>
      <c r="C172" s="653" t="s">
        <v>277</v>
      </c>
      <c r="D172" s="654"/>
      <c r="E172" s="646">
        <f>IF(ISERROR(B172/B171),"",B172/B171)</f>
        <v>0</v>
      </c>
      <c r="F172" s="646"/>
      <c r="G172" s="643" t="s">
        <v>278</v>
      </c>
      <c r="H172" s="643"/>
      <c r="I172" s="640">
        <f>V163</f>
        <v>0</v>
      </c>
      <c r="J172" s="640"/>
      <c r="K172" s="640" t="s">
        <v>279</v>
      </c>
      <c r="L172" s="640"/>
      <c r="M172" s="644">
        <f t="array" ref="M172">IF(ISERROR(I172/B170),"",I172/B170)</f>
        <v>0</v>
      </c>
      <c r="N172" s="644"/>
      <c r="O172" s="640"/>
      <c r="P172" s="643" t="s">
        <v>266</v>
      </c>
      <c r="Q172" s="643"/>
      <c r="R172" s="645">
        <f>SUM(R165:S171)</f>
        <v>0</v>
      </c>
      <c r="S172" s="645"/>
      <c r="T172" s="646"/>
      <c r="U172" s="646"/>
      <c r="V172" s="643" t="s">
        <v>266</v>
      </c>
      <c r="W172" s="643"/>
      <c r="X172" s="647">
        <f>SUM(X165:Y171)</f>
        <v>0</v>
      </c>
      <c r="Y172" s="647"/>
      <c r="Z172" s="646"/>
      <c r="AA172" s="646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56" t="s">
        <v>480</v>
      </c>
      <c r="B174" s="659" t="s">
        <v>280</v>
      </c>
      <c r="C174" s="659" t="s">
        <v>281</v>
      </c>
      <c r="D174" s="659" t="s">
        <v>282</v>
      </c>
      <c r="E174" s="662" t="s">
        <v>283</v>
      </c>
      <c r="F174" s="675" t="s">
        <v>284</v>
      </c>
      <c r="G174" s="640" t="s">
        <v>285</v>
      </c>
      <c r="H174" s="640"/>
      <c r="I174" s="659" t="s">
        <v>286</v>
      </c>
      <c r="J174" s="665" t="s">
        <v>271</v>
      </c>
      <c r="K174" s="668" t="s">
        <v>287</v>
      </c>
      <c r="L174" s="659" t="s">
        <v>270</v>
      </c>
      <c r="M174" s="671" t="s">
        <v>288</v>
      </c>
      <c r="N174" s="673" t="s">
        <v>252</v>
      </c>
      <c r="O174" s="640" t="s">
        <v>289</v>
      </c>
      <c r="P174" s="640"/>
      <c r="Q174" s="640"/>
      <c r="R174" s="640"/>
      <c r="S174" s="640"/>
      <c r="T174" s="640"/>
      <c r="U174" s="640"/>
      <c r="V174" s="640" t="s">
        <v>290</v>
      </c>
      <c r="W174" s="673" t="s">
        <v>291</v>
      </c>
      <c r="X174" s="640" t="s">
        <v>292</v>
      </c>
      <c r="Y174" s="640"/>
      <c r="Z174" s="640"/>
      <c r="AA174" s="640"/>
    </row>
    <row r="175" spans="1:27" ht="21.95" customHeight="1">
      <c r="A175" s="657"/>
      <c r="B175" s="660"/>
      <c r="C175" s="660"/>
      <c r="D175" s="660"/>
      <c r="E175" s="663"/>
      <c r="F175" s="676"/>
      <c r="G175" s="640"/>
      <c r="H175" s="640"/>
      <c r="I175" s="660"/>
      <c r="J175" s="666"/>
      <c r="K175" s="669"/>
      <c r="L175" s="660"/>
      <c r="M175" s="672"/>
      <c r="N175" s="673"/>
      <c r="O175" s="640" t="s">
        <v>259</v>
      </c>
      <c r="P175" s="640" t="s">
        <v>261</v>
      </c>
      <c r="Q175" s="640" t="s">
        <v>263</v>
      </c>
      <c r="R175" s="674" t="s">
        <v>265</v>
      </c>
      <c r="S175" s="643" t="s">
        <v>267</v>
      </c>
      <c r="T175" s="640" t="s">
        <v>272</v>
      </c>
      <c r="U175" s="640" t="s">
        <v>264</v>
      </c>
      <c r="V175" s="640"/>
      <c r="W175" s="673"/>
      <c r="X175" s="640" t="s">
        <v>293</v>
      </c>
      <c r="Y175" s="640" t="s">
        <v>294</v>
      </c>
      <c r="Z175" s="640" t="s">
        <v>295</v>
      </c>
      <c r="AA175" s="640" t="s">
        <v>264</v>
      </c>
    </row>
    <row r="176" spans="1:27" ht="21.95" customHeight="1">
      <c r="A176" s="658"/>
      <c r="B176" s="661"/>
      <c r="C176" s="661"/>
      <c r="D176" s="661"/>
      <c r="E176" s="664"/>
      <c r="F176" s="677"/>
      <c r="G176" s="348" t="s">
        <v>552</v>
      </c>
      <c r="H176" s="572" t="s">
        <v>297</v>
      </c>
      <c r="I176" s="661"/>
      <c r="J176" s="667"/>
      <c r="K176" s="670"/>
      <c r="L176" s="661"/>
      <c r="M176" s="672"/>
      <c r="N176" s="673"/>
      <c r="O176" s="640"/>
      <c r="P176" s="640"/>
      <c r="Q176" s="640"/>
      <c r="R176" s="674"/>
      <c r="S176" s="643"/>
      <c r="T176" s="640"/>
      <c r="U176" s="640"/>
      <c r="V176" s="640"/>
      <c r="W176" s="673"/>
      <c r="X176" s="640"/>
      <c r="Y176" s="640"/>
      <c r="Z176" s="640"/>
      <c r="AA176" s="640"/>
    </row>
    <row r="177" spans="1:27" ht="20.100000000000001" hidden="1" customHeight="1">
      <c r="A177" s="299">
        <v>30100030</v>
      </c>
      <c r="B177" s="574" t="s">
        <v>178</v>
      </c>
      <c r="C177" s="126" t="s">
        <v>179</v>
      </c>
      <c r="D177" s="108">
        <v>5.03</v>
      </c>
      <c r="E177" s="108"/>
      <c r="F177" s="127"/>
      <c r="G177" s="128"/>
      <c r="H177" s="582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573"/>
      <c r="P177" s="573"/>
      <c r="Q177" s="573"/>
      <c r="R177" s="573"/>
      <c r="S177" s="573"/>
      <c r="T177" s="573"/>
      <c r="U177" s="573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582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573"/>
      <c r="P178" s="573"/>
      <c r="Q178" s="573"/>
      <c r="R178" s="573"/>
      <c r="S178" s="573"/>
      <c r="T178" s="573"/>
      <c r="U178" s="573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582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573"/>
      <c r="P179" s="573"/>
      <c r="Q179" s="573"/>
      <c r="R179" s="573"/>
      <c r="S179" s="573"/>
      <c r="T179" s="573"/>
      <c r="U179" s="573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582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573"/>
      <c r="P180" s="573"/>
      <c r="Q180" s="573"/>
      <c r="R180" s="573"/>
      <c r="S180" s="573"/>
      <c r="T180" s="573"/>
      <c r="U180" s="573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582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573"/>
      <c r="P181" s="573"/>
      <c r="Q181" s="573"/>
      <c r="R181" s="573"/>
      <c r="S181" s="573"/>
      <c r="T181" s="573"/>
      <c r="U181" s="573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582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573"/>
      <c r="P182" s="573"/>
      <c r="Q182" s="573"/>
      <c r="R182" s="573"/>
      <c r="S182" s="573"/>
      <c r="T182" s="573"/>
      <c r="U182" s="573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582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573"/>
      <c r="P183" s="573"/>
      <c r="Q183" s="573"/>
      <c r="R183" s="573"/>
      <c r="S183" s="573"/>
      <c r="T183" s="573"/>
      <c r="U183" s="573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582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573"/>
      <c r="P184" s="573"/>
      <c r="Q184" s="573"/>
      <c r="R184" s="573"/>
      <c r="S184" s="573"/>
      <c r="T184" s="573"/>
      <c r="U184" s="573"/>
      <c r="V184" s="132"/>
      <c r="W184" s="133"/>
      <c r="X184" s="132"/>
      <c r="Y184" s="132"/>
      <c r="Z184" s="132"/>
      <c r="AA184" s="132"/>
    </row>
    <row r="185" spans="1:27" ht="20.10000000000000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>
        <v>42723</v>
      </c>
      <c r="G185" s="128">
        <f>100*2+76+100*3</f>
        <v>576</v>
      </c>
      <c r="H185" s="582">
        <f t="shared" si="77"/>
        <v>2903.04</v>
      </c>
      <c r="I185" s="582">
        <f>8*5</f>
        <v>40</v>
      </c>
      <c r="J185" s="130">
        <f t="array" ref="J185">IF(ISERROR(G185/I185),"",G185/I185)</f>
        <v>14.4</v>
      </c>
      <c r="K185" s="131">
        <f t="array" ref="K185">IF(ISERROR(G185/L185),"",G185/L185)</f>
        <v>33.882352941176471</v>
      </c>
      <c r="L185" s="129">
        <v>17</v>
      </c>
      <c r="M185" s="109">
        <f t="shared" si="78"/>
        <v>6.117647058823529</v>
      </c>
      <c r="N185" s="130">
        <f t="shared" si="81"/>
        <v>0</v>
      </c>
      <c r="O185" s="573"/>
      <c r="P185" s="573"/>
      <c r="Q185" s="573"/>
      <c r="R185" s="573"/>
      <c r="S185" s="573"/>
      <c r="T185" s="573"/>
      <c r="U185" s="573"/>
      <c r="V185" s="132">
        <f>SUM(X185:AA185)</f>
        <v>0</v>
      </c>
      <c r="W185" s="133">
        <f>IF(ISERROR(V185/G185),"",V185/G185)</f>
        <v>0</v>
      </c>
      <c r="X185" s="132"/>
      <c r="Y185" s="132"/>
      <c r="Z185" s="132"/>
      <c r="AA185" s="132"/>
    </row>
    <row r="186" spans="1:27" ht="20.10000000000000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>
        <v>42725</v>
      </c>
      <c r="G186" s="128">
        <v>61</v>
      </c>
      <c r="H186" s="582">
        <f t="shared" si="77"/>
        <v>307.44</v>
      </c>
      <c r="I186" s="582">
        <f>1*5</f>
        <v>5</v>
      </c>
      <c r="J186" s="130">
        <f t="array" ref="J186">IF(ISERROR(G186/I186),"",G186/I186)</f>
        <v>12.2</v>
      </c>
      <c r="K186" s="131">
        <f t="array" ref="K186">IF(ISERROR(G186/L186),"",G186/L186)</f>
        <v>3.5882352941176472</v>
      </c>
      <c r="L186" s="129">
        <v>17</v>
      </c>
      <c r="M186" s="109">
        <f t="shared" si="78"/>
        <v>1.4117647058823528</v>
      </c>
      <c r="N186" s="130">
        <f t="shared" si="81"/>
        <v>0</v>
      </c>
      <c r="O186" s="573"/>
      <c r="P186" s="573"/>
      <c r="Q186" s="573"/>
      <c r="R186" s="573"/>
      <c r="S186" s="573"/>
      <c r="T186" s="573"/>
      <c r="U186" s="573"/>
      <c r="V186" s="132">
        <f>SUM(X186:AA186)</f>
        <v>0</v>
      </c>
      <c r="W186" s="133">
        <f>IF(ISERROR(V186/G186),"",V186/G186)</f>
        <v>0</v>
      </c>
      <c r="X186" s="132"/>
      <c r="Y186" s="132"/>
      <c r="Z186" s="132"/>
      <c r="AA186" s="132"/>
    </row>
    <row r="187" spans="1:27" ht="20.10000000000000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>
        <v>42721</v>
      </c>
      <c r="G187" s="128">
        <f>109+1+100</f>
        <v>210</v>
      </c>
      <c r="H187" s="582">
        <f>D187*G187</f>
        <v>0</v>
      </c>
      <c r="I187" s="129">
        <f>8*4</f>
        <v>32</v>
      </c>
      <c r="J187" s="130">
        <f t="array" ref="J187">IF(ISERROR(G187/I187),"",G187/I187)</f>
        <v>6.5625</v>
      </c>
      <c r="K187" s="131">
        <f t="array" ref="K187">IF(ISERROR(G187/L187),"",G187/L187)</f>
        <v>12.352941176470589</v>
      </c>
      <c r="L187" s="129">
        <v>17</v>
      </c>
      <c r="M187" s="109">
        <f>IF(ISERROR(I187-K187),"",I187-K187)</f>
        <v>19.647058823529413</v>
      </c>
      <c r="N187" s="130">
        <f>SUM(O187:U187)</f>
        <v>0</v>
      </c>
      <c r="O187" s="573"/>
      <c r="P187" s="573"/>
      <c r="Q187" s="573"/>
      <c r="R187" s="573"/>
      <c r="S187" s="573"/>
      <c r="T187" s="573"/>
      <c r="U187" s="573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582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573"/>
      <c r="P188" s="573"/>
      <c r="Q188" s="573"/>
      <c r="R188" s="573"/>
      <c r="S188" s="573"/>
      <c r="T188" s="573"/>
      <c r="U188" s="573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582">
        <f t="shared" ref="H189:H197" si="82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3">IF(ISERROR(I189-K189),"",I189-K189)</f>
        <v>0</v>
      </c>
      <c r="N189" s="130">
        <f t="shared" ref="N189:N191" si="84">SUM(O189:U189)</f>
        <v>0</v>
      </c>
      <c r="O189" s="573"/>
      <c r="P189" s="573"/>
      <c r="Q189" s="573"/>
      <c r="R189" s="573"/>
      <c r="S189" s="573"/>
      <c r="T189" s="573"/>
      <c r="U189" s="573"/>
      <c r="V189" s="132">
        <f t="shared" ref="V189:V191" si="85">SUM(X189:AA189)</f>
        <v>0</v>
      </c>
      <c r="W189" s="133" t="str">
        <f t="shared" ref="W189:W191" si="86">IF(ISERROR(V189/G189),"",V189/G189)</f>
        <v/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582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573"/>
      <c r="P190" s="573"/>
      <c r="Q190" s="573"/>
      <c r="R190" s="573"/>
      <c r="S190" s="573"/>
      <c r="T190" s="573"/>
      <c r="U190" s="573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582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573"/>
      <c r="P191" s="573"/>
      <c r="Q191" s="573"/>
      <c r="R191" s="573"/>
      <c r="S191" s="573"/>
      <c r="T191" s="573"/>
      <c r="U191" s="573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572" t="s">
        <v>190</v>
      </c>
      <c r="D192" s="108">
        <v>4.8</v>
      </c>
      <c r="E192" s="108"/>
      <c r="F192" s="127"/>
      <c r="G192" s="128"/>
      <c r="H192" s="582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573"/>
      <c r="P192" s="573"/>
      <c r="Q192" s="573"/>
      <c r="R192" s="573"/>
      <c r="S192" s="573"/>
      <c r="T192" s="573"/>
      <c r="U192" s="573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572" t="s">
        <v>187</v>
      </c>
      <c r="D193" s="108">
        <v>4.8</v>
      </c>
      <c r="E193" s="108"/>
      <c r="F193" s="127"/>
      <c r="G193" s="128"/>
      <c r="H193" s="582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573"/>
      <c r="P193" s="573"/>
      <c r="Q193" s="573"/>
      <c r="R193" s="573"/>
      <c r="S193" s="573"/>
      <c r="T193" s="573"/>
      <c r="U193" s="573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572" t="s">
        <v>179</v>
      </c>
      <c r="D194" s="108">
        <v>4.8</v>
      </c>
      <c r="E194" s="108"/>
      <c r="F194" s="127"/>
      <c r="G194" s="128"/>
      <c r="H194" s="582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573"/>
      <c r="P194" s="573"/>
      <c r="Q194" s="573"/>
      <c r="R194" s="573"/>
      <c r="S194" s="573"/>
      <c r="T194" s="573"/>
      <c r="U194" s="573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572" t="s">
        <v>199</v>
      </c>
      <c r="D195" s="108">
        <v>4.8</v>
      </c>
      <c r="E195" s="108"/>
      <c r="F195" s="127"/>
      <c r="G195" s="128"/>
      <c r="H195" s="582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573"/>
      <c r="P195" s="573"/>
      <c r="Q195" s="573"/>
      <c r="R195" s="573"/>
      <c r="S195" s="573"/>
      <c r="T195" s="573"/>
      <c r="U195" s="573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582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573"/>
      <c r="P196" s="573"/>
      <c r="Q196" s="573"/>
      <c r="R196" s="573"/>
      <c r="S196" s="573"/>
      <c r="T196" s="573"/>
      <c r="U196" s="573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582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573"/>
      <c r="P197" s="573"/>
      <c r="Q197" s="573"/>
      <c r="R197" s="573"/>
      <c r="S197" s="573"/>
      <c r="T197" s="573"/>
      <c r="U197" s="573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customHeight="1">
      <c r="A198" s="630" t="s">
        <v>201</v>
      </c>
      <c r="B198" s="631"/>
      <c r="C198" s="580" t="s">
        <v>202</v>
      </c>
      <c r="D198" s="143"/>
      <c r="E198" s="143"/>
      <c r="F198" s="144"/>
      <c r="G198" s="145">
        <f>SUM(G177:G197)</f>
        <v>847</v>
      </c>
      <c r="H198" s="146">
        <f>SUM(H177:H197)</f>
        <v>3210.48</v>
      </c>
      <c r="I198" s="146">
        <f>SUM(I177:I197)</f>
        <v>77</v>
      </c>
      <c r="J198" s="130">
        <f t="array" ref="J198">IF(ISERROR(G198/I198),"",G198/I198)</f>
        <v>11</v>
      </c>
      <c r="K198" s="146">
        <f>SUM(K177:K197)</f>
        <v>49.823529411764703</v>
      </c>
      <c r="L198" s="147"/>
      <c r="M198" s="150">
        <f t="shared" ref="M198:AA198" si="90">SUM(M177:M197)</f>
        <v>27.176470588235297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574" t="s">
        <v>206</v>
      </c>
      <c r="C199" s="126" t="s">
        <v>199</v>
      </c>
      <c r="D199" s="108">
        <v>5.03</v>
      </c>
      <c r="E199" s="108"/>
      <c r="F199" s="127"/>
      <c r="G199" s="128"/>
      <c r="H199" s="582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577"/>
      <c r="P199" s="577"/>
      <c r="Q199" s="577"/>
      <c r="R199" s="577"/>
      <c r="S199" s="577"/>
      <c r="T199" s="577"/>
      <c r="U199" s="577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574" t="s">
        <v>425</v>
      </c>
      <c r="C200" s="187" t="s">
        <v>427</v>
      </c>
      <c r="D200" s="108">
        <v>5.03</v>
      </c>
      <c r="E200" s="108"/>
      <c r="F200" s="127"/>
      <c r="G200" s="128"/>
      <c r="H200" s="582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577"/>
      <c r="P200" s="577"/>
      <c r="Q200" s="577"/>
      <c r="R200" s="577"/>
      <c r="S200" s="577"/>
      <c r="T200" s="577"/>
      <c r="U200" s="577"/>
      <c r="V200" s="132"/>
      <c r="W200" s="133"/>
      <c r="X200" s="132"/>
      <c r="Y200" s="132"/>
      <c r="Z200" s="132"/>
      <c r="AA200" s="132"/>
    </row>
    <row r="201" spans="1:27" ht="20.100000000000001" customHeight="1">
      <c r="A201" s="300">
        <v>30100010</v>
      </c>
      <c r="B201" s="574" t="s">
        <v>206</v>
      </c>
      <c r="C201" s="126" t="s">
        <v>186</v>
      </c>
      <c r="D201" s="108">
        <v>5.03</v>
      </c>
      <c r="E201" s="108"/>
      <c r="F201" s="127">
        <v>42724</v>
      </c>
      <c r="G201" s="128">
        <f>108*4+109</f>
        <v>541</v>
      </c>
      <c r="H201" s="582">
        <f t="shared" si="91"/>
        <v>2721.23</v>
      </c>
      <c r="I201" s="129">
        <v>6.5</v>
      </c>
      <c r="J201" s="130">
        <f t="array" ref="J201">IF(ISERROR(G201/I201),"",G201/I201)</f>
        <v>83.230769230769226</v>
      </c>
      <c r="K201" s="131">
        <f t="array" ref="K201">IF(ISERROR(G201/L201),"",G201/L201)</f>
        <v>10.403846153846153</v>
      </c>
      <c r="L201" s="129">
        <v>52</v>
      </c>
      <c r="M201" s="109">
        <f t="shared" ref="M201" si="96">IF(ISERROR(I201-K201),"",I201-K201)</f>
        <v>-3.9038461538461533</v>
      </c>
      <c r="N201" s="130">
        <f t="shared" ref="N201:N203" si="97">SUM(O201:U201)</f>
        <v>0</v>
      </c>
      <c r="O201" s="577"/>
      <c r="P201" s="577"/>
      <c r="Q201" s="577"/>
      <c r="R201" s="577"/>
      <c r="S201" s="577"/>
      <c r="T201" s="577"/>
      <c r="U201" s="577"/>
      <c r="V201" s="132">
        <f t="shared" ref="V201:V203" si="98">SUM(X201:AA201)</f>
        <v>0</v>
      </c>
      <c r="W201" s="133">
        <f t="shared" ref="W201:W203" si="99">IF(ISERROR(V201/G201),"",V201/G201)</f>
        <v>0</v>
      </c>
      <c r="X201" s="132"/>
      <c r="Y201" s="132"/>
      <c r="Z201" s="132"/>
      <c r="AA201" s="132"/>
    </row>
    <row r="202" spans="1:27" ht="20.100000000000001" customHeight="1">
      <c r="A202" s="300">
        <v>30100014</v>
      </c>
      <c r="B202" s="574" t="s">
        <v>206</v>
      </c>
      <c r="C202" s="126" t="s">
        <v>203</v>
      </c>
      <c r="D202" s="108">
        <v>5.03</v>
      </c>
      <c r="E202" s="108"/>
      <c r="F202" s="127">
        <v>42724</v>
      </c>
      <c r="G202" s="128">
        <f>108*3+64</f>
        <v>388</v>
      </c>
      <c r="H202" s="582">
        <f t="shared" si="91"/>
        <v>1951.64</v>
      </c>
      <c r="I202" s="129">
        <v>4.5</v>
      </c>
      <c r="J202" s="130">
        <f t="array" ref="J202">IF(ISERROR(G202/I202),"",G202/I202)</f>
        <v>86.222222222222229</v>
      </c>
      <c r="K202" s="131">
        <f t="array" ref="K202">IF(ISERROR(G202/L202),"",G202/L202)</f>
        <v>7.4615384615384617</v>
      </c>
      <c r="L202" s="129">
        <v>52</v>
      </c>
      <c r="M202" s="109">
        <f>IF(ISERROR(I202-K202),"",I202-K202)</f>
        <v>-2.9615384615384617</v>
      </c>
      <c r="N202" s="130">
        <f t="shared" si="97"/>
        <v>0</v>
      </c>
      <c r="O202" s="577"/>
      <c r="P202" s="577"/>
      <c r="Q202" s="577"/>
      <c r="R202" s="577"/>
      <c r="S202" s="577"/>
      <c r="T202" s="577"/>
      <c r="U202" s="577"/>
      <c r="V202" s="132">
        <f t="shared" si="98"/>
        <v>0</v>
      </c>
      <c r="W202" s="133">
        <f t="shared" si="99"/>
        <v>0</v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574" t="s">
        <v>206</v>
      </c>
      <c r="C203" s="126" t="s">
        <v>207</v>
      </c>
      <c r="D203" s="108">
        <v>5.03</v>
      </c>
      <c r="E203" s="108"/>
      <c r="F203" s="127"/>
      <c r="G203" s="128"/>
      <c r="H203" s="582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0">IF(ISERROR(I203-K203),"",I203-K203)</f>
        <v>0</v>
      </c>
      <c r="N203" s="130">
        <f t="shared" si="97"/>
        <v>0</v>
      </c>
      <c r="O203" s="577"/>
      <c r="P203" s="577"/>
      <c r="Q203" s="577"/>
      <c r="R203" s="577"/>
      <c r="S203" s="577"/>
      <c r="T203" s="577"/>
      <c r="U203" s="577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574" t="s">
        <v>414</v>
      </c>
      <c r="C204" s="187" t="s">
        <v>415</v>
      </c>
      <c r="D204" s="108">
        <v>5.03</v>
      </c>
      <c r="E204" s="108"/>
      <c r="F204" s="127"/>
      <c r="G204" s="128"/>
      <c r="H204" s="582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577"/>
      <c r="P204" s="577"/>
      <c r="Q204" s="577"/>
      <c r="R204" s="577"/>
      <c r="S204" s="577"/>
      <c r="T204" s="577"/>
      <c r="U204" s="577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574" t="s">
        <v>414</v>
      </c>
      <c r="C205" s="187" t="s">
        <v>416</v>
      </c>
      <c r="D205" s="108">
        <v>5.03</v>
      </c>
      <c r="E205" s="108"/>
      <c r="F205" s="127"/>
      <c r="G205" s="128"/>
      <c r="H205" s="582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577"/>
      <c r="P205" s="577"/>
      <c r="Q205" s="577"/>
      <c r="R205" s="577"/>
      <c r="S205" s="577"/>
      <c r="T205" s="577"/>
      <c r="U205" s="577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574" t="s">
        <v>414</v>
      </c>
      <c r="C206" s="187" t="s">
        <v>61</v>
      </c>
      <c r="D206" s="108">
        <v>5.03</v>
      </c>
      <c r="E206" s="108"/>
      <c r="F206" s="127"/>
      <c r="G206" s="128"/>
      <c r="H206" s="582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577"/>
      <c r="P206" s="577"/>
      <c r="Q206" s="577"/>
      <c r="R206" s="577"/>
      <c r="S206" s="577"/>
      <c r="T206" s="577"/>
      <c r="U206" s="577"/>
      <c r="V206" s="132"/>
      <c r="W206" s="133"/>
      <c r="X206" s="132"/>
      <c r="Y206" s="132"/>
      <c r="Z206" s="132"/>
      <c r="AA206" s="132"/>
    </row>
    <row r="207" spans="1:27" ht="20.100000000000001" customHeight="1">
      <c r="A207" s="300">
        <v>30100027</v>
      </c>
      <c r="B207" s="574" t="s">
        <v>208</v>
      </c>
      <c r="C207" s="126" t="s">
        <v>179</v>
      </c>
      <c r="D207" s="108">
        <v>5.08</v>
      </c>
      <c r="E207" s="108"/>
      <c r="F207" s="127">
        <v>42724</v>
      </c>
      <c r="G207" s="128">
        <f>108+32</f>
        <v>140</v>
      </c>
      <c r="H207" s="582">
        <f t="shared" si="91"/>
        <v>711.2</v>
      </c>
      <c r="I207" s="129">
        <f>5*4</f>
        <v>20</v>
      </c>
      <c r="J207" s="130">
        <f t="array" ref="J207">IF(ISERROR(G207/I207),"",G207/I207)</f>
        <v>7</v>
      </c>
      <c r="K207" s="131">
        <f t="array" ref="K207">IF(ISERROR(G207/L207),"",G207/L207)</f>
        <v>6.666666666666667</v>
      </c>
      <c r="L207" s="129">
        <v>21</v>
      </c>
      <c r="M207" s="109">
        <f t="shared" ref="M207:M236" si="101">IF(ISERROR(I207-K207),"",I207-K207)</f>
        <v>13.333333333333332</v>
      </c>
      <c r="N207" s="130">
        <f t="shared" ref="N207:N236" si="102">SUM(O207:U207)</f>
        <v>0</v>
      </c>
      <c r="O207" s="577"/>
      <c r="P207" s="577"/>
      <c r="Q207" s="577"/>
      <c r="R207" s="577"/>
      <c r="S207" s="577"/>
      <c r="T207" s="577"/>
      <c r="U207" s="577"/>
      <c r="V207" s="132">
        <f t="shared" ref="V207:V218" si="103">SUM(X207:AA207)</f>
        <v>0</v>
      </c>
      <c r="W207" s="133">
        <f t="shared" ref="W207:W218" si="104">IF(ISERROR(V207/G207),"",V207/G207)</f>
        <v>0</v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574" t="s">
        <v>208</v>
      </c>
      <c r="C208" s="126" t="s">
        <v>204</v>
      </c>
      <c r="D208" s="108">
        <v>5.08</v>
      </c>
      <c r="E208" s="108"/>
      <c r="F208" s="127"/>
      <c r="G208" s="128"/>
      <c r="H208" s="582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577"/>
      <c r="P208" s="577"/>
      <c r="Q208" s="577"/>
      <c r="R208" s="577"/>
      <c r="S208" s="577"/>
      <c r="T208" s="577"/>
      <c r="U208" s="577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574" t="s">
        <v>208</v>
      </c>
      <c r="C209" s="126" t="s">
        <v>205</v>
      </c>
      <c r="D209" s="108">
        <v>5.08</v>
      </c>
      <c r="E209" s="108"/>
      <c r="F209" s="127"/>
      <c r="G209" s="128"/>
      <c r="H209" s="582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577"/>
      <c r="P209" s="577"/>
      <c r="Q209" s="577"/>
      <c r="R209" s="577"/>
      <c r="S209" s="577"/>
      <c r="T209" s="577"/>
      <c r="U209" s="577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574" t="s">
        <v>208</v>
      </c>
      <c r="C210" s="126" t="s">
        <v>186</v>
      </c>
      <c r="D210" s="108">
        <v>5.08</v>
      </c>
      <c r="E210" s="108"/>
      <c r="F210" s="127"/>
      <c r="G210" s="128"/>
      <c r="H210" s="582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577"/>
      <c r="P210" s="577"/>
      <c r="Q210" s="577"/>
      <c r="R210" s="577"/>
      <c r="S210" s="577"/>
      <c r="T210" s="577"/>
      <c r="U210" s="577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574" t="s">
        <v>208</v>
      </c>
      <c r="C211" s="126" t="s">
        <v>203</v>
      </c>
      <c r="D211" s="108">
        <v>5.08</v>
      </c>
      <c r="E211" s="108"/>
      <c r="F211" s="127"/>
      <c r="G211" s="128"/>
      <c r="H211" s="582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577"/>
      <c r="P211" s="577"/>
      <c r="Q211" s="577"/>
      <c r="R211" s="577"/>
      <c r="S211" s="577"/>
      <c r="T211" s="577"/>
      <c r="U211" s="577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customHeight="1">
      <c r="A212" s="300">
        <v>30100026</v>
      </c>
      <c r="B212" s="574" t="s">
        <v>208</v>
      </c>
      <c r="C212" s="126" t="s">
        <v>199</v>
      </c>
      <c r="D212" s="108">
        <v>5.08</v>
      </c>
      <c r="E212" s="108"/>
      <c r="F212" s="127">
        <v>42725</v>
      </c>
      <c r="G212" s="128">
        <f>108+100+1</f>
        <v>209</v>
      </c>
      <c r="H212" s="582">
        <f t="shared" si="91"/>
        <v>1061.72</v>
      </c>
      <c r="I212" s="129">
        <f>3*4</f>
        <v>12</v>
      </c>
      <c r="J212" s="130">
        <f t="array" ref="J212">IF(ISERROR(G212/I212),"",G212/I212)</f>
        <v>17.416666666666668</v>
      </c>
      <c r="K212" s="131">
        <f t="array" ref="K212">IF(ISERROR(G212/L212),"",G212/L212)</f>
        <v>9.9523809523809526</v>
      </c>
      <c r="L212" s="129">
        <v>21</v>
      </c>
      <c r="M212" s="109">
        <f t="shared" si="101"/>
        <v>2.0476190476190474</v>
      </c>
      <c r="N212" s="130">
        <f t="shared" si="102"/>
        <v>0</v>
      </c>
      <c r="O212" s="573"/>
      <c r="P212" s="573"/>
      <c r="Q212" s="573"/>
      <c r="R212" s="573"/>
      <c r="S212" s="573"/>
      <c r="T212" s="573"/>
      <c r="U212" s="573"/>
      <c r="V212" s="132">
        <f t="shared" si="103"/>
        <v>0</v>
      </c>
      <c r="W212" s="133">
        <f t="shared" si="104"/>
        <v>0</v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574" t="s">
        <v>208</v>
      </c>
      <c r="C213" s="126" t="s">
        <v>187</v>
      </c>
      <c r="D213" s="108">
        <v>5.08</v>
      </c>
      <c r="E213" s="108"/>
      <c r="F213" s="127"/>
      <c r="G213" s="128"/>
      <c r="H213" s="582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577"/>
      <c r="P213" s="577"/>
      <c r="Q213" s="577"/>
      <c r="R213" s="577"/>
      <c r="S213" s="577"/>
      <c r="T213" s="577"/>
      <c r="U213" s="577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customHeight="1">
      <c r="A214" s="300">
        <v>30100028</v>
      </c>
      <c r="B214" s="574" t="s">
        <v>208</v>
      </c>
      <c r="C214" s="126" t="s">
        <v>207</v>
      </c>
      <c r="D214" s="108">
        <v>5.08</v>
      </c>
      <c r="E214" s="108"/>
      <c r="F214" s="127">
        <v>42725</v>
      </c>
      <c r="G214" s="128">
        <f>108+56</f>
        <v>164</v>
      </c>
      <c r="H214" s="582">
        <f t="shared" si="91"/>
        <v>833.12</v>
      </c>
      <c r="I214" s="129">
        <f>3*4</f>
        <v>12</v>
      </c>
      <c r="J214" s="130">
        <f t="array" ref="J214">IF(ISERROR(G214/I214),"",G214/I214)</f>
        <v>13.666666666666666</v>
      </c>
      <c r="K214" s="131">
        <f t="array" ref="K214">IF(ISERROR(G214/L214),"",G214/L214)</f>
        <v>7.8095238095238093</v>
      </c>
      <c r="L214" s="129">
        <v>21</v>
      </c>
      <c r="M214" s="109">
        <f t="shared" si="101"/>
        <v>4.1904761904761907</v>
      </c>
      <c r="N214" s="130">
        <f t="shared" si="102"/>
        <v>0</v>
      </c>
      <c r="O214" s="573"/>
      <c r="P214" s="573"/>
      <c r="Q214" s="573"/>
      <c r="R214" s="573"/>
      <c r="S214" s="573"/>
      <c r="T214" s="573"/>
      <c r="U214" s="573"/>
      <c r="V214" s="132">
        <f t="shared" si="103"/>
        <v>0</v>
      </c>
      <c r="W214" s="133">
        <f t="shared" si="104"/>
        <v>0</v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574" t="s">
        <v>209</v>
      </c>
      <c r="C215" s="126" t="s">
        <v>194</v>
      </c>
      <c r="D215" s="108">
        <v>5.03</v>
      </c>
      <c r="E215" s="108"/>
      <c r="F215" s="127"/>
      <c r="G215" s="128"/>
      <c r="H215" s="582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577"/>
      <c r="P215" s="577"/>
      <c r="Q215" s="577"/>
      <c r="R215" s="577"/>
      <c r="S215" s="577"/>
      <c r="T215" s="577"/>
      <c r="U215" s="577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574" t="s">
        <v>209</v>
      </c>
      <c r="C216" s="126" t="s">
        <v>179</v>
      </c>
      <c r="D216" s="108">
        <v>5.03</v>
      </c>
      <c r="E216" s="108"/>
      <c r="F216" s="127"/>
      <c r="G216" s="128"/>
      <c r="H216" s="582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577"/>
      <c r="P216" s="577"/>
      <c r="Q216" s="577"/>
      <c r="R216" s="577"/>
      <c r="S216" s="577"/>
      <c r="T216" s="577"/>
      <c r="U216" s="577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574" t="s">
        <v>209</v>
      </c>
      <c r="C217" s="126" t="s">
        <v>195</v>
      </c>
      <c r="D217" s="108">
        <v>5.03</v>
      </c>
      <c r="E217" s="108"/>
      <c r="F217" s="127"/>
      <c r="G217" s="128"/>
      <c r="H217" s="582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577"/>
      <c r="P217" s="577"/>
      <c r="Q217" s="577"/>
      <c r="R217" s="577"/>
      <c r="S217" s="577"/>
      <c r="T217" s="577"/>
      <c r="U217" s="577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574" t="s">
        <v>209</v>
      </c>
      <c r="C218" s="126" t="s">
        <v>204</v>
      </c>
      <c r="D218" s="108">
        <v>5.03</v>
      </c>
      <c r="E218" s="108"/>
      <c r="F218" s="127"/>
      <c r="G218" s="128"/>
      <c r="H218" s="582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577"/>
      <c r="P218" s="577"/>
      <c r="Q218" s="577"/>
      <c r="R218" s="577"/>
      <c r="S218" s="577"/>
      <c r="T218" s="577"/>
      <c r="U218" s="577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customHeight="1">
      <c r="A219" s="300">
        <v>30100019</v>
      </c>
      <c r="B219" s="574" t="s">
        <v>382</v>
      </c>
      <c r="C219" s="187" t="s">
        <v>383</v>
      </c>
      <c r="D219" s="108">
        <v>5.03</v>
      </c>
      <c r="E219" s="108"/>
      <c r="F219" s="127">
        <v>42725</v>
      </c>
      <c r="G219" s="128">
        <f>90*3+41</f>
        <v>311</v>
      </c>
      <c r="H219" s="582">
        <f t="shared" si="91"/>
        <v>1564.3300000000002</v>
      </c>
      <c r="I219" s="129">
        <v>5.5</v>
      </c>
      <c r="J219" s="130">
        <f t="array" ref="J219">IF(ISERROR(G219/I219),"",G219/I219)</f>
        <v>56.545454545454547</v>
      </c>
      <c r="K219" s="131">
        <f t="array" ref="K219">IF(ISERROR(G219/L219),"",G219/L219)</f>
        <v>5.7592592592592595</v>
      </c>
      <c r="L219" s="129">
        <v>54</v>
      </c>
      <c r="M219" s="109">
        <f t="shared" si="101"/>
        <v>-0.25925925925925952</v>
      </c>
      <c r="N219" s="130">
        <f t="shared" si="102"/>
        <v>0</v>
      </c>
      <c r="O219" s="577"/>
      <c r="P219" s="577"/>
      <c r="Q219" s="577"/>
      <c r="R219" s="577"/>
      <c r="S219" s="577"/>
      <c r="T219" s="577"/>
      <c r="U219" s="577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574" t="s">
        <v>382</v>
      </c>
      <c r="C220" s="187" t="s">
        <v>384</v>
      </c>
      <c r="D220" s="108">
        <v>5.03</v>
      </c>
      <c r="E220" s="108"/>
      <c r="F220" s="127"/>
      <c r="G220" s="128"/>
      <c r="H220" s="582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577"/>
      <c r="P220" s="577"/>
      <c r="Q220" s="577"/>
      <c r="R220" s="577"/>
      <c r="S220" s="577"/>
      <c r="T220" s="577"/>
      <c r="U220" s="577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574" t="s">
        <v>382</v>
      </c>
      <c r="C221" s="187" t="s">
        <v>389</v>
      </c>
      <c r="D221" s="108">
        <v>5.03</v>
      </c>
      <c r="E221" s="108"/>
      <c r="F221" s="127"/>
      <c r="G221" s="128"/>
      <c r="H221" s="582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577"/>
      <c r="P221" s="577"/>
      <c r="Q221" s="577"/>
      <c r="R221" s="577"/>
      <c r="S221" s="577"/>
      <c r="T221" s="577"/>
      <c r="U221" s="577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574" t="s">
        <v>382</v>
      </c>
      <c r="C222" s="187" t="s">
        <v>391</v>
      </c>
      <c r="D222" s="108">
        <v>5.03</v>
      </c>
      <c r="E222" s="108"/>
      <c r="F222" s="127"/>
      <c r="G222" s="128"/>
      <c r="H222" s="582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577"/>
      <c r="P222" s="577"/>
      <c r="Q222" s="577"/>
      <c r="R222" s="577"/>
      <c r="S222" s="577"/>
      <c r="T222" s="577"/>
      <c r="U222" s="577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574" t="s">
        <v>418</v>
      </c>
      <c r="C223" s="187" t="s">
        <v>364</v>
      </c>
      <c r="D223" s="108">
        <v>5.03</v>
      </c>
      <c r="E223" s="108"/>
      <c r="F223" s="127"/>
      <c r="G223" s="128"/>
      <c r="H223" s="582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577"/>
      <c r="P223" s="577"/>
      <c r="Q223" s="577"/>
      <c r="R223" s="577"/>
      <c r="S223" s="577"/>
      <c r="T223" s="577"/>
      <c r="U223" s="577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574" t="s">
        <v>418</v>
      </c>
      <c r="C224" s="187" t="s">
        <v>365</v>
      </c>
      <c r="D224" s="108">
        <v>5.03</v>
      </c>
      <c r="E224" s="108"/>
      <c r="F224" s="127"/>
      <c r="G224" s="128"/>
      <c r="H224" s="582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577"/>
      <c r="P224" s="577"/>
      <c r="Q224" s="577"/>
      <c r="R224" s="577"/>
      <c r="S224" s="577"/>
      <c r="T224" s="577"/>
      <c r="U224" s="577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574" t="s">
        <v>418</v>
      </c>
      <c r="C225" s="187" t="s">
        <v>366</v>
      </c>
      <c r="D225" s="108">
        <v>5.03</v>
      </c>
      <c r="E225" s="108"/>
      <c r="F225" s="127"/>
      <c r="G225" s="128"/>
      <c r="H225" s="582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577"/>
      <c r="P225" s="577"/>
      <c r="Q225" s="577"/>
      <c r="R225" s="577"/>
      <c r="S225" s="577"/>
      <c r="T225" s="577"/>
      <c r="U225" s="577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574" t="s">
        <v>418</v>
      </c>
      <c r="C226" s="187" t="s">
        <v>367</v>
      </c>
      <c r="D226" s="108">
        <v>5.03</v>
      </c>
      <c r="E226" s="108"/>
      <c r="F226" s="127"/>
      <c r="G226" s="128"/>
      <c r="H226" s="582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577"/>
      <c r="P226" s="577"/>
      <c r="Q226" s="577"/>
      <c r="R226" s="577"/>
      <c r="S226" s="577"/>
      <c r="T226" s="577"/>
      <c r="U226" s="577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582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573"/>
      <c r="P227" s="573"/>
      <c r="Q227" s="573"/>
      <c r="R227" s="573"/>
      <c r="S227" s="573"/>
      <c r="T227" s="573"/>
      <c r="U227" s="573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582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573"/>
      <c r="P228" s="573"/>
      <c r="Q228" s="573"/>
      <c r="R228" s="573"/>
      <c r="S228" s="573"/>
      <c r="T228" s="573"/>
      <c r="U228" s="573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582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573"/>
      <c r="P229" s="573"/>
      <c r="Q229" s="573"/>
      <c r="R229" s="573"/>
      <c r="S229" s="573"/>
      <c r="T229" s="573"/>
      <c r="U229" s="573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582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573"/>
      <c r="P230" s="573"/>
      <c r="Q230" s="573"/>
      <c r="R230" s="573"/>
      <c r="S230" s="573"/>
      <c r="T230" s="573"/>
      <c r="U230" s="573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582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573"/>
      <c r="P231" s="573"/>
      <c r="Q231" s="573"/>
      <c r="R231" s="573"/>
      <c r="S231" s="573"/>
      <c r="T231" s="573"/>
      <c r="U231" s="573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582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573"/>
      <c r="P232" s="573"/>
      <c r="Q232" s="573"/>
      <c r="R232" s="573"/>
      <c r="S232" s="573"/>
      <c r="T232" s="573"/>
      <c r="U232" s="573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582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573"/>
      <c r="P233" s="573"/>
      <c r="Q233" s="573"/>
      <c r="R233" s="573"/>
      <c r="S233" s="573"/>
      <c r="T233" s="573"/>
      <c r="U233" s="573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582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573"/>
      <c r="P234" s="573"/>
      <c r="Q234" s="573"/>
      <c r="R234" s="573"/>
      <c r="S234" s="573"/>
      <c r="T234" s="573"/>
      <c r="U234" s="573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582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573"/>
      <c r="P235" s="573"/>
      <c r="Q235" s="573"/>
      <c r="R235" s="573"/>
      <c r="S235" s="573"/>
      <c r="T235" s="573"/>
      <c r="U235" s="573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>
        <v>42723</v>
      </c>
      <c r="G236" s="128">
        <f>90*2+98+90</f>
        <v>368</v>
      </c>
      <c r="H236" s="582">
        <f t="shared" si="91"/>
        <v>1851.0400000000002</v>
      </c>
      <c r="I236" s="129">
        <v>5.5</v>
      </c>
      <c r="J236" s="130">
        <f t="array" ref="J236">IF(ISERROR(G236/I236),"",G236/I236)</f>
        <v>66.909090909090907</v>
      </c>
      <c r="K236" s="131">
        <f t="array" ref="K236">IF(ISERROR(G236/L236),"",G236/L236)</f>
        <v>7.36</v>
      </c>
      <c r="L236" s="129">
        <v>50</v>
      </c>
      <c r="M236" s="109">
        <f t="shared" si="101"/>
        <v>-1.8600000000000003</v>
      </c>
      <c r="N236" s="130">
        <f t="shared" si="102"/>
        <v>0</v>
      </c>
      <c r="O236" s="573"/>
      <c r="P236" s="573"/>
      <c r="Q236" s="573"/>
      <c r="R236" s="573"/>
      <c r="S236" s="573"/>
      <c r="T236" s="573"/>
      <c r="U236" s="573"/>
      <c r="V236" s="132">
        <f t="shared" si="105"/>
        <v>0</v>
      </c>
      <c r="W236" s="133">
        <f t="shared" si="106"/>
        <v>0</v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582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573"/>
      <c r="P237" s="573"/>
      <c r="Q237" s="573"/>
      <c r="R237" s="573"/>
      <c r="S237" s="573"/>
      <c r="T237" s="573"/>
      <c r="U237" s="573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582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7">IF(ISERROR(I238-K238),"",I238-K238)</f>
        <v>0</v>
      </c>
      <c r="N238" s="130"/>
      <c r="O238" s="573"/>
      <c r="P238" s="573"/>
      <c r="Q238" s="573"/>
      <c r="R238" s="573"/>
      <c r="S238" s="573"/>
      <c r="T238" s="573"/>
      <c r="U238" s="573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582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7"/>
        <v>0</v>
      </c>
      <c r="N239" s="130">
        <f t="shared" ref="N239:N240" si="108">SUM(O239:U239)</f>
        <v>0</v>
      </c>
      <c r="O239" s="573"/>
      <c r="P239" s="573"/>
      <c r="Q239" s="573"/>
      <c r="R239" s="573"/>
      <c r="S239" s="573"/>
      <c r="T239" s="573"/>
      <c r="U239" s="573"/>
      <c r="V239" s="132">
        <f t="shared" ref="V239:V240" si="109">SUM(X239:AA239)</f>
        <v>0</v>
      </c>
      <c r="W239" s="133" t="str">
        <f t="shared" ref="W239:W240" si="110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582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573"/>
      <c r="P240" s="573"/>
      <c r="Q240" s="573"/>
      <c r="R240" s="573"/>
      <c r="S240" s="573"/>
      <c r="T240" s="573"/>
      <c r="U240" s="573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582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573"/>
      <c r="P241" s="573"/>
      <c r="Q241" s="573"/>
      <c r="R241" s="573"/>
      <c r="S241" s="573"/>
      <c r="T241" s="573"/>
      <c r="U241" s="573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582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573"/>
      <c r="P242" s="573"/>
      <c r="Q242" s="573"/>
      <c r="R242" s="573"/>
      <c r="S242" s="573"/>
      <c r="T242" s="573"/>
      <c r="U242" s="573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582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573"/>
      <c r="P243" s="573"/>
      <c r="Q243" s="573"/>
      <c r="R243" s="573"/>
      <c r="S243" s="573"/>
      <c r="T243" s="573"/>
      <c r="U243" s="573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582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573"/>
      <c r="P244" s="573"/>
      <c r="Q244" s="573"/>
      <c r="R244" s="573"/>
      <c r="S244" s="573"/>
      <c r="T244" s="573"/>
      <c r="U244" s="573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582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573"/>
      <c r="P245" s="573"/>
      <c r="Q245" s="573"/>
      <c r="R245" s="573"/>
      <c r="S245" s="573"/>
      <c r="T245" s="573"/>
      <c r="U245" s="573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582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573"/>
      <c r="P246" s="573"/>
      <c r="Q246" s="573"/>
      <c r="R246" s="573"/>
      <c r="S246" s="573"/>
      <c r="T246" s="573"/>
      <c r="U246" s="573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582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573"/>
      <c r="P247" s="573"/>
      <c r="Q247" s="573"/>
      <c r="R247" s="573"/>
      <c r="S247" s="573"/>
      <c r="T247" s="573"/>
      <c r="U247" s="573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582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573"/>
      <c r="P248" s="573"/>
      <c r="Q248" s="573"/>
      <c r="R248" s="573"/>
      <c r="S248" s="573"/>
      <c r="T248" s="573"/>
      <c r="U248" s="573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582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573"/>
      <c r="P249" s="573"/>
      <c r="Q249" s="573"/>
      <c r="R249" s="573"/>
      <c r="S249" s="573"/>
      <c r="T249" s="573"/>
      <c r="U249" s="573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582">
        <f t="shared" si="91"/>
        <v>0</v>
      </c>
      <c r="I250" s="129"/>
      <c r="J250" s="130"/>
      <c r="K250" s="131"/>
      <c r="L250" s="129">
        <v>4</v>
      </c>
      <c r="M250" s="109"/>
      <c r="N250" s="130"/>
      <c r="O250" s="573"/>
      <c r="P250" s="573"/>
      <c r="Q250" s="573"/>
      <c r="R250" s="573"/>
      <c r="S250" s="573"/>
      <c r="T250" s="573"/>
      <c r="U250" s="573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582">
        <f t="shared" si="91"/>
        <v>0</v>
      </c>
      <c r="I251" s="129"/>
      <c r="J251" s="130"/>
      <c r="K251" s="131"/>
      <c r="L251" s="129">
        <v>4</v>
      </c>
      <c r="M251" s="109"/>
      <c r="N251" s="130"/>
      <c r="O251" s="573"/>
      <c r="P251" s="573"/>
      <c r="Q251" s="573"/>
      <c r="R251" s="573"/>
      <c r="S251" s="573"/>
      <c r="T251" s="573"/>
      <c r="U251" s="573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582">
        <f t="shared" si="91"/>
        <v>0</v>
      </c>
      <c r="I252" s="129"/>
      <c r="J252" s="130"/>
      <c r="K252" s="131"/>
      <c r="L252" s="129">
        <v>4</v>
      </c>
      <c r="M252" s="109"/>
      <c r="N252" s="130"/>
      <c r="O252" s="573"/>
      <c r="P252" s="573"/>
      <c r="Q252" s="573"/>
      <c r="R252" s="573"/>
      <c r="S252" s="573"/>
      <c r="T252" s="573"/>
      <c r="U252" s="573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582">
        <f t="shared" si="91"/>
        <v>0</v>
      </c>
      <c r="I253" s="129"/>
      <c r="J253" s="130"/>
      <c r="K253" s="131"/>
      <c r="L253" s="129">
        <v>4</v>
      </c>
      <c r="M253" s="109"/>
      <c r="N253" s="130"/>
      <c r="O253" s="573"/>
      <c r="P253" s="573"/>
      <c r="Q253" s="573"/>
      <c r="R253" s="573"/>
      <c r="S253" s="573"/>
      <c r="T253" s="573"/>
      <c r="U253" s="573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582">
        <f t="shared" si="91"/>
        <v>0</v>
      </c>
      <c r="I254" s="129"/>
      <c r="J254" s="130"/>
      <c r="K254" s="131"/>
      <c r="L254" s="129">
        <v>4</v>
      </c>
      <c r="M254" s="109"/>
      <c r="N254" s="130"/>
      <c r="O254" s="573"/>
      <c r="P254" s="573"/>
      <c r="Q254" s="573"/>
      <c r="R254" s="573"/>
      <c r="S254" s="573"/>
      <c r="T254" s="573"/>
      <c r="U254" s="573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582">
        <f t="shared" si="91"/>
        <v>0</v>
      </c>
      <c r="I255" s="129"/>
      <c r="J255" s="130"/>
      <c r="K255" s="131"/>
      <c r="L255" s="129">
        <v>4</v>
      </c>
      <c r="M255" s="109"/>
      <c r="N255" s="130"/>
      <c r="O255" s="573"/>
      <c r="P255" s="573"/>
      <c r="Q255" s="573"/>
      <c r="R255" s="573"/>
      <c r="S255" s="573"/>
      <c r="T255" s="573"/>
      <c r="U255" s="573"/>
      <c r="V255" s="132"/>
      <c r="W255" s="133"/>
      <c r="X255" s="132"/>
      <c r="Y255" s="132"/>
      <c r="Z255" s="132"/>
      <c r="AA255" s="132"/>
    </row>
    <row r="256" spans="1:27" ht="20.100000000000001" customHeight="1">
      <c r="A256" s="641" t="s">
        <v>216</v>
      </c>
      <c r="B256" s="641"/>
      <c r="C256" s="580" t="s">
        <v>202</v>
      </c>
      <c r="D256" s="143"/>
      <c r="E256" s="143"/>
      <c r="F256" s="144"/>
      <c r="G256" s="145">
        <f>SUM(G199:G255)</f>
        <v>2121</v>
      </c>
      <c r="H256" s="146">
        <f>SUM(H199:H255)</f>
        <v>10694.28</v>
      </c>
      <c r="I256" s="146">
        <f>SUM(I199:I255)</f>
        <v>66</v>
      </c>
      <c r="J256" s="130">
        <f t="array" ref="J256">IF(ISERROR(G256/I256),"",G256/I256)</f>
        <v>32.136363636363633</v>
      </c>
      <c r="K256" s="146">
        <f>SUM(K199:K255)</f>
        <v>55.413215303215303</v>
      </c>
      <c r="L256" s="147"/>
      <c r="M256" s="150">
        <f t="shared" ref="M256:V256" si="114">SUM(M199:M255)</f>
        <v>10.586784696784697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>
        <f t="shared" ref="W256:W263" si="115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574" t="s">
        <v>217</v>
      </c>
      <c r="C257" s="126" t="s">
        <v>179</v>
      </c>
      <c r="D257" s="108">
        <v>5.03</v>
      </c>
      <c r="E257" s="108"/>
      <c r="F257" s="127"/>
      <c r="G257" s="128"/>
      <c r="H257" s="582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573"/>
      <c r="P257" s="573"/>
      <c r="Q257" s="573"/>
      <c r="R257" s="573"/>
      <c r="S257" s="573"/>
      <c r="T257" s="573"/>
      <c r="U257" s="573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574" t="s">
        <v>217</v>
      </c>
      <c r="C258" s="126" t="s">
        <v>186</v>
      </c>
      <c r="D258" s="108">
        <v>5.03</v>
      </c>
      <c r="E258" s="108"/>
      <c r="F258" s="127"/>
      <c r="G258" s="128"/>
      <c r="H258" s="582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573"/>
      <c r="P258" s="573"/>
      <c r="Q258" s="573"/>
      <c r="R258" s="573"/>
      <c r="S258" s="573"/>
      <c r="T258" s="573"/>
      <c r="U258" s="573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574" t="s">
        <v>217</v>
      </c>
      <c r="C259" s="126" t="s">
        <v>204</v>
      </c>
      <c r="D259" s="108">
        <v>5.03</v>
      </c>
      <c r="E259" s="108"/>
      <c r="F259" s="127"/>
      <c r="G259" s="128"/>
      <c r="H259" s="582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573"/>
      <c r="P259" s="573"/>
      <c r="Q259" s="573"/>
      <c r="R259" s="573"/>
      <c r="S259" s="573"/>
      <c r="T259" s="573"/>
      <c r="U259" s="573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582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573"/>
      <c r="P260" s="573"/>
      <c r="Q260" s="573"/>
      <c r="R260" s="573"/>
      <c r="S260" s="573"/>
      <c r="T260" s="573"/>
      <c r="U260" s="573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>
        <v>42724</v>
      </c>
      <c r="G261" s="128">
        <f>108+110</f>
        <v>218</v>
      </c>
      <c r="H261" s="582">
        <f t="shared" si="116"/>
        <v>1096.54</v>
      </c>
      <c r="I261" s="129">
        <f>6.5*4</f>
        <v>26</v>
      </c>
      <c r="J261" s="130">
        <f t="array" ref="J261">IF(ISERROR(G261/I261),"",G261/I261)</f>
        <v>8.384615384615385</v>
      </c>
      <c r="K261" s="131">
        <f t="array" ref="K261">IF(ISERROR(G261/L261),"",G261/L261)</f>
        <v>23.44086021505376</v>
      </c>
      <c r="L261" s="129">
        <v>9.3000000000000007</v>
      </c>
      <c r="M261" s="109">
        <f t="shared" si="117"/>
        <v>2.5591397849462396</v>
      </c>
      <c r="N261" s="130">
        <f t="shared" si="118"/>
        <v>0</v>
      </c>
      <c r="O261" s="573"/>
      <c r="P261" s="573"/>
      <c r="Q261" s="573"/>
      <c r="R261" s="573"/>
      <c r="S261" s="573"/>
      <c r="T261" s="573"/>
      <c r="U261" s="573"/>
      <c r="V261" s="132">
        <f t="shared" si="119"/>
        <v>0</v>
      </c>
      <c r="W261" s="133">
        <f t="shared" si="115"/>
        <v>0</v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582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573"/>
      <c r="P262" s="573"/>
      <c r="Q262" s="573"/>
      <c r="R262" s="573"/>
      <c r="S262" s="573"/>
      <c r="T262" s="573"/>
      <c r="U262" s="573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582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573"/>
      <c r="P263" s="573"/>
      <c r="Q263" s="573"/>
      <c r="R263" s="573"/>
      <c r="S263" s="573"/>
      <c r="T263" s="573"/>
      <c r="U263" s="573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582">
        <f t="shared" si="116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573"/>
      <c r="P264" s="573"/>
      <c r="Q264" s="573"/>
      <c r="R264" s="573"/>
      <c r="S264" s="573"/>
      <c r="T264" s="573"/>
      <c r="U264" s="573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582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573"/>
      <c r="P265" s="573"/>
      <c r="Q265" s="573"/>
      <c r="R265" s="573"/>
      <c r="S265" s="573"/>
      <c r="T265" s="573"/>
      <c r="U265" s="573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582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573"/>
      <c r="P266" s="573"/>
      <c r="Q266" s="573"/>
      <c r="R266" s="573"/>
      <c r="S266" s="573"/>
      <c r="T266" s="573"/>
      <c r="U266" s="573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582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573"/>
      <c r="P267" s="573"/>
      <c r="Q267" s="573"/>
      <c r="R267" s="573"/>
      <c r="S267" s="573"/>
      <c r="T267" s="573"/>
      <c r="U267" s="573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582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573"/>
      <c r="P268" s="573"/>
      <c r="Q268" s="573"/>
      <c r="R268" s="573"/>
      <c r="S268" s="573"/>
      <c r="T268" s="573"/>
      <c r="U268" s="573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582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0">IF(ISERROR(I269-K269),"",I269-K269)</f>
        <v>0</v>
      </c>
      <c r="N269" s="130">
        <f t="shared" ref="N269:N284" si="121">SUM(O269:U269)</f>
        <v>0</v>
      </c>
      <c r="O269" s="573"/>
      <c r="P269" s="573"/>
      <c r="Q269" s="573"/>
      <c r="R269" s="573"/>
      <c r="S269" s="573"/>
      <c r="T269" s="573"/>
      <c r="U269" s="573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582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573"/>
      <c r="P270" s="573"/>
      <c r="Q270" s="573"/>
      <c r="R270" s="573"/>
      <c r="S270" s="573"/>
      <c r="T270" s="573"/>
      <c r="U270" s="573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582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573"/>
      <c r="P271" s="573"/>
      <c r="Q271" s="573"/>
      <c r="R271" s="573"/>
      <c r="S271" s="573"/>
      <c r="T271" s="573"/>
      <c r="U271" s="573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582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573"/>
      <c r="P272" s="573"/>
      <c r="Q272" s="573"/>
      <c r="R272" s="573"/>
      <c r="S272" s="573"/>
      <c r="T272" s="573"/>
      <c r="U272" s="573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574" t="s">
        <v>222</v>
      </c>
      <c r="C273" s="126" t="s">
        <v>181</v>
      </c>
      <c r="D273" s="108">
        <v>9.36</v>
      </c>
      <c r="E273" s="108"/>
      <c r="F273" s="127"/>
      <c r="G273" s="128"/>
      <c r="H273" s="582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573"/>
      <c r="P273" s="573"/>
      <c r="Q273" s="573"/>
      <c r="R273" s="573"/>
      <c r="S273" s="573"/>
      <c r="T273" s="573"/>
      <c r="U273" s="573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574" t="s">
        <v>222</v>
      </c>
      <c r="C274" s="126" t="s">
        <v>179</v>
      </c>
      <c r="D274" s="108">
        <v>9.36</v>
      </c>
      <c r="E274" s="108"/>
      <c r="F274" s="127"/>
      <c r="G274" s="128"/>
      <c r="H274" s="582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573"/>
      <c r="P274" s="573"/>
      <c r="Q274" s="573"/>
      <c r="R274" s="573"/>
      <c r="S274" s="573"/>
      <c r="T274" s="573"/>
      <c r="U274" s="573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574" t="s">
        <v>222</v>
      </c>
      <c r="C275" s="126" t="s">
        <v>221</v>
      </c>
      <c r="D275" s="108">
        <v>9.36</v>
      </c>
      <c r="E275" s="108"/>
      <c r="F275" s="127"/>
      <c r="G275" s="128"/>
      <c r="H275" s="582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573"/>
      <c r="P275" s="573"/>
      <c r="Q275" s="573"/>
      <c r="R275" s="573"/>
      <c r="S275" s="573"/>
      <c r="T275" s="573"/>
      <c r="U275" s="573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574" t="s">
        <v>222</v>
      </c>
      <c r="C276" s="126" t="s">
        <v>186</v>
      </c>
      <c r="D276" s="108">
        <v>9.36</v>
      </c>
      <c r="E276" s="108"/>
      <c r="F276" s="127"/>
      <c r="G276" s="128"/>
      <c r="H276" s="582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573"/>
      <c r="P276" s="573"/>
      <c r="Q276" s="573"/>
      <c r="R276" s="573"/>
      <c r="S276" s="573"/>
      <c r="T276" s="573"/>
      <c r="U276" s="573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574" t="s">
        <v>393</v>
      </c>
      <c r="C277" s="187" t="s">
        <v>395</v>
      </c>
      <c r="D277" s="108">
        <v>5</v>
      </c>
      <c r="E277" s="108"/>
      <c r="F277" s="127"/>
      <c r="G277" s="128"/>
      <c r="H277" s="582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573"/>
      <c r="P277" s="573"/>
      <c r="Q277" s="573"/>
      <c r="R277" s="573"/>
      <c r="S277" s="573"/>
      <c r="T277" s="573"/>
      <c r="U277" s="573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574" t="s">
        <v>393</v>
      </c>
      <c r="C278" s="187" t="s">
        <v>402</v>
      </c>
      <c r="D278" s="108">
        <v>5</v>
      </c>
      <c r="E278" s="108"/>
      <c r="F278" s="127"/>
      <c r="G278" s="128"/>
      <c r="H278" s="582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573"/>
      <c r="P278" s="573"/>
      <c r="Q278" s="573"/>
      <c r="R278" s="573"/>
      <c r="S278" s="573"/>
      <c r="T278" s="573"/>
      <c r="U278" s="573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574" t="s">
        <v>404</v>
      </c>
      <c r="C279" s="187" t="s">
        <v>405</v>
      </c>
      <c r="D279" s="108">
        <v>5</v>
      </c>
      <c r="E279" s="108"/>
      <c r="F279" s="127"/>
      <c r="G279" s="128"/>
      <c r="H279" s="582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573"/>
      <c r="P279" s="573"/>
      <c r="Q279" s="573"/>
      <c r="R279" s="573"/>
      <c r="S279" s="573"/>
      <c r="T279" s="573"/>
      <c r="U279" s="573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574" t="s">
        <v>342</v>
      </c>
      <c r="C280" s="187" t="s">
        <v>372</v>
      </c>
      <c r="D280" s="108">
        <v>5</v>
      </c>
      <c r="E280" s="108"/>
      <c r="F280" s="127"/>
      <c r="G280" s="128"/>
      <c r="H280" s="582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573"/>
      <c r="P280" s="573"/>
      <c r="Q280" s="573"/>
      <c r="R280" s="573"/>
      <c r="S280" s="573"/>
      <c r="T280" s="573"/>
      <c r="U280" s="573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574" t="s">
        <v>343</v>
      </c>
      <c r="C281" s="126" t="s">
        <v>345</v>
      </c>
      <c r="D281" s="108">
        <v>5</v>
      </c>
      <c r="E281" s="108"/>
      <c r="F281" s="127"/>
      <c r="G281" s="128"/>
      <c r="H281" s="582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573"/>
      <c r="P281" s="573"/>
      <c r="Q281" s="573"/>
      <c r="R281" s="573"/>
      <c r="S281" s="573"/>
      <c r="T281" s="573"/>
      <c r="U281" s="573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574" t="s">
        <v>343</v>
      </c>
      <c r="C282" s="126" t="s">
        <v>347</v>
      </c>
      <c r="D282" s="108">
        <v>5</v>
      </c>
      <c r="E282" s="108"/>
      <c r="F282" s="127"/>
      <c r="G282" s="128"/>
      <c r="H282" s="582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573"/>
      <c r="P282" s="573"/>
      <c r="Q282" s="573"/>
      <c r="R282" s="573"/>
      <c r="S282" s="573"/>
      <c r="T282" s="573"/>
      <c r="U282" s="573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582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573"/>
      <c r="P283" s="573"/>
      <c r="Q283" s="573"/>
      <c r="R283" s="573"/>
      <c r="S283" s="573"/>
      <c r="T283" s="573"/>
      <c r="U283" s="573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582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573"/>
      <c r="P284" s="573"/>
      <c r="Q284" s="573"/>
      <c r="R284" s="573"/>
      <c r="S284" s="573"/>
      <c r="T284" s="573"/>
      <c r="U284" s="573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/>
      <c r="G285" s="128"/>
      <c r="H285" s="582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573"/>
      <c r="P285" s="573"/>
      <c r="Q285" s="573"/>
      <c r="R285" s="573"/>
      <c r="S285" s="573"/>
      <c r="T285" s="573"/>
      <c r="U285" s="573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582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573"/>
      <c r="P286" s="573"/>
      <c r="Q286" s="573"/>
      <c r="R286" s="573"/>
      <c r="S286" s="573"/>
      <c r="T286" s="573"/>
      <c r="U286" s="573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582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573"/>
      <c r="P287" s="573"/>
      <c r="Q287" s="573"/>
      <c r="R287" s="573"/>
      <c r="S287" s="573"/>
      <c r="T287" s="573"/>
      <c r="U287" s="573"/>
      <c r="V287" s="132"/>
      <c r="W287" s="133"/>
      <c r="X287" s="132"/>
      <c r="Y287" s="132"/>
      <c r="Z287" s="132"/>
      <c r="AA287" s="132"/>
    </row>
    <row r="288" spans="1:27" ht="20.10000000000000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>
        <v>42723</v>
      </c>
      <c r="G288" s="128">
        <f>100*3+58+42+43</f>
        <v>443</v>
      </c>
      <c r="H288" s="582">
        <f t="shared" si="116"/>
        <v>2246.0100000000002</v>
      </c>
      <c r="I288" s="129">
        <f>4.5*2+11*3</f>
        <v>42</v>
      </c>
      <c r="J288" s="130">
        <f t="array" ref="J288">IF(ISERROR(G288/I288),"",G288/I288)</f>
        <v>10.547619047619047</v>
      </c>
      <c r="K288" s="131">
        <f t="array" ref="K288">IF(ISERROR(G288/L288),"",G288/L288)</f>
        <v>49.222222222222221</v>
      </c>
      <c r="L288" s="129">
        <v>9</v>
      </c>
      <c r="M288" s="109">
        <f t="shared" ref="M288:M290" si="127">IF(ISERROR(I288-K288),"",I288-K288)</f>
        <v>-7.2222222222222214</v>
      </c>
      <c r="N288" s="130">
        <f t="shared" ref="N288:N290" si="128">SUM(O288:U288)</f>
        <v>0</v>
      </c>
      <c r="O288" s="573"/>
      <c r="P288" s="573"/>
      <c r="Q288" s="573"/>
      <c r="R288" s="573"/>
      <c r="S288" s="573"/>
      <c r="T288" s="573"/>
      <c r="U288" s="573"/>
      <c r="V288" s="132">
        <f t="shared" ref="V288:V290" si="129">SUM(X288:AA288)</f>
        <v>0</v>
      </c>
      <c r="W288" s="133">
        <f t="shared" ref="W288:W312" si="130">IF(ISERROR(V288/G288),"",V288/G288)</f>
        <v>0</v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582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573"/>
      <c r="P289" s="573"/>
      <c r="Q289" s="573"/>
      <c r="R289" s="573"/>
      <c r="S289" s="573"/>
      <c r="T289" s="573"/>
      <c r="U289" s="573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582">
        <f t="shared" si="116"/>
        <v>0</v>
      </c>
      <c r="I290" s="129"/>
      <c r="J290" s="130" t="str">
        <f t="array" ref="J290">IF(ISERROR(G290/I290),"",G290/I290)</f>
        <v/>
      </c>
      <c r="K290" s="582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573"/>
      <c r="P290" s="573"/>
      <c r="Q290" s="573"/>
      <c r="R290" s="573"/>
      <c r="S290" s="573"/>
      <c r="T290" s="573"/>
      <c r="U290" s="573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630" t="s">
        <v>224</v>
      </c>
      <c r="B291" s="631"/>
      <c r="C291" s="580" t="s">
        <v>202</v>
      </c>
      <c r="D291" s="143"/>
      <c r="E291" s="143"/>
      <c r="F291" s="144"/>
      <c r="G291" s="145">
        <f>SUM(G257:G290)</f>
        <v>661</v>
      </c>
      <c r="H291" s="146">
        <f>SUM(H257:H290)</f>
        <v>3342.55</v>
      </c>
      <c r="I291" s="146">
        <f>SUM(I257:I290)</f>
        <v>68</v>
      </c>
      <c r="J291" s="130">
        <f t="array" ref="J291">IF(ISERROR(G291/I291),"",G291/I291)</f>
        <v>9.7205882352941178</v>
      </c>
      <c r="K291" s="146">
        <f>SUM(K257:K290)</f>
        <v>72.663082437275989</v>
      </c>
      <c r="L291" s="147"/>
      <c r="M291" s="150">
        <f t="shared" ref="M291:V291" si="131">SUM(M257:M290)</f>
        <v>-4.6630824372759818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>
        <f t="shared" si="130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582">
        <f t="shared" ref="H292:H306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3">IF(ISERROR(I292-K292),"",I292-K292)</f>
        <v>0</v>
      </c>
      <c r="N292" s="130">
        <f t="shared" ref="N292:N306" si="134">SUM(O292:U292)</f>
        <v>0</v>
      </c>
      <c r="O292" s="573"/>
      <c r="P292" s="573"/>
      <c r="Q292" s="573"/>
      <c r="R292" s="573"/>
      <c r="S292" s="573"/>
      <c r="T292" s="573"/>
      <c r="U292" s="573"/>
      <c r="V292" s="132">
        <f t="shared" ref="V292:V306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582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573"/>
      <c r="P293" s="573"/>
      <c r="Q293" s="573"/>
      <c r="R293" s="573"/>
      <c r="S293" s="573"/>
      <c r="T293" s="573"/>
      <c r="U293" s="573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582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3"/>
        <v>0</v>
      </c>
      <c r="N294" s="130">
        <f t="shared" si="134"/>
        <v>0</v>
      </c>
      <c r="O294" s="573"/>
      <c r="P294" s="573"/>
      <c r="Q294" s="573"/>
      <c r="R294" s="573"/>
      <c r="S294" s="573"/>
      <c r="T294" s="573"/>
      <c r="U294" s="573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582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573"/>
      <c r="P295" s="573"/>
      <c r="Q295" s="573"/>
      <c r="R295" s="573"/>
      <c r="S295" s="573"/>
      <c r="T295" s="573"/>
      <c r="U295" s="573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578" t="s">
        <v>203</v>
      </c>
      <c r="D296" s="108">
        <v>5.03</v>
      </c>
      <c r="E296" s="108"/>
      <c r="F296" s="127"/>
      <c r="G296" s="128"/>
      <c r="H296" s="582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573"/>
      <c r="P296" s="573"/>
      <c r="Q296" s="573"/>
      <c r="R296" s="573"/>
      <c r="S296" s="573"/>
      <c r="T296" s="573"/>
      <c r="U296" s="573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582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573"/>
      <c r="P297" s="573"/>
      <c r="Q297" s="573"/>
      <c r="R297" s="573"/>
      <c r="S297" s="573"/>
      <c r="T297" s="573"/>
      <c r="U297" s="573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582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573"/>
      <c r="P298" s="573"/>
      <c r="Q298" s="573"/>
      <c r="R298" s="573"/>
      <c r="S298" s="573"/>
      <c r="T298" s="573"/>
      <c r="U298" s="573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578" t="s">
        <v>228</v>
      </c>
      <c r="D299" s="108">
        <v>5.03</v>
      </c>
      <c r="E299" s="108"/>
      <c r="F299" s="127"/>
      <c r="G299" s="128"/>
      <c r="H299" s="582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573"/>
      <c r="P299" s="573"/>
      <c r="Q299" s="573"/>
      <c r="R299" s="573"/>
      <c r="S299" s="573"/>
      <c r="T299" s="573"/>
      <c r="U299" s="573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578" t="s">
        <v>212</v>
      </c>
      <c r="D300" s="108">
        <v>5.03</v>
      </c>
      <c r="E300" s="108"/>
      <c r="F300" s="127"/>
      <c r="G300" s="128"/>
      <c r="H300" s="582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573"/>
      <c r="P300" s="573"/>
      <c r="Q300" s="573"/>
      <c r="R300" s="573"/>
      <c r="S300" s="573"/>
      <c r="T300" s="573"/>
      <c r="U300" s="573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578" t="s">
        <v>203</v>
      </c>
      <c r="D301" s="108">
        <v>5.03</v>
      </c>
      <c r="E301" s="108"/>
      <c r="F301" s="127"/>
      <c r="G301" s="128"/>
      <c r="H301" s="582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573"/>
      <c r="P301" s="573"/>
      <c r="Q301" s="573"/>
      <c r="R301" s="573"/>
      <c r="S301" s="573"/>
      <c r="T301" s="573"/>
      <c r="U301" s="573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578" t="s">
        <v>186</v>
      </c>
      <c r="D302" s="108">
        <v>5.03</v>
      </c>
      <c r="E302" s="108"/>
      <c r="F302" s="127"/>
      <c r="G302" s="128"/>
      <c r="H302" s="582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573"/>
      <c r="P302" s="573"/>
      <c r="Q302" s="573"/>
      <c r="R302" s="573"/>
      <c r="S302" s="573"/>
      <c r="T302" s="573"/>
      <c r="U302" s="573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578" t="s">
        <v>228</v>
      </c>
      <c r="D303" s="108">
        <v>5.03</v>
      </c>
      <c r="E303" s="108"/>
      <c r="F303" s="127"/>
      <c r="G303" s="128"/>
      <c r="H303" s="582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573"/>
      <c r="P303" s="573"/>
      <c r="Q303" s="573"/>
      <c r="R303" s="573"/>
      <c r="S303" s="573"/>
      <c r="T303" s="573"/>
      <c r="U303" s="573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578" t="s">
        <v>199</v>
      </c>
      <c r="D304" s="108">
        <v>5.03</v>
      </c>
      <c r="E304" s="108"/>
      <c r="F304" s="127"/>
      <c r="G304" s="128"/>
      <c r="H304" s="582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573"/>
      <c r="P304" s="573"/>
      <c r="Q304" s="573"/>
      <c r="R304" s="573"/>
      <c r="S304" s="573"/>
      <c r="T304" s="573"/>
      <c r="U304" s="573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582">
        <f t="shared" si="132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3"/>
        <v>0</v>
      </c>
      <c r="N305" s="130">
        <f t="shared" si="134"/>
        <v>0</v>
      </c>
      <c r="O305" s="573"/>
      <c r="P305" s="573"/>
      <c r="Q305" s="573"/>
      <c r="R305" s="573"/>
      <c r="S305" s="573"/>
      <c r="T305" s="573"/>
      <c r="U305" s="573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582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573"/>
      <c r="P306" s="573"/>
      <c r="Q306" s="573"/>
      <c r="R306" s="573"/>
      <c r="S306" s="573"/>
      <c r="T306" s="573"/>
      <c r="U306" s="573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630" t="s">
        <v>231</v>
      </c>
      <c r="B307" s="631"/>
      <c r="C307" s="580" t="s">
        <v>202</v>
      </c>
      <c r="D307" s="143"/>
      <c r="E307" s="143"/>
      <c r="F307" s="144"/>
      <c r="G307" s="145">
        <f>SUM(G292:G306)</f>
        <v>0</v>
      </c>
      <c r="H307" s="146">
        <f>SUM(H292:H306)</f>
        <v>0</v>
      </c>
      <c r="I307" s="146">
        <f>SUM(I292:I306)</f>
        <v>0</v>
      </c>
      <c r="J307" s="130" t="str">
        <f t="array" ref="J307">IF(ISERROR(G307/I307),"",G307/I307)</f>
        <v/>
      </c>
      <c r="K307" s="146">
        <f>SUM(K292:K306)</f>
        <v>0</v>
      </c>
      <c r="L307" s="146"/>
      <c r="M307" s="150">
        <f>SUM(M292:M306)</f>
        <v>0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 t="str">
        <f t="shared" si="130"/>
        <v/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582">
        <f t="shared" ref="H308:H316" si="136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7">IF(ISERROR(I308-K308),"",I308-K308)</f>
        <v>0</v>
      </c>
      <c r="N308" s="130">
        <f t="shared" ref="N308:N312" si="138">SUM(O308:U308)</f>
        <v>0</v>
      </c>
      <c r="O308" s="573"/>
      <c r="P308" s="573"/>
      <c r="Q308" s="573"/>
      <c r="R308" s="573"/>
      <c r="S308" s="573"/>
      <c r="T308" s="573"/>
      <c r="U308" s="573"/>
      <c r="V308" s="132">
        <f t="shared" ref="V308:V312" si="139">SUM(X308:AA308)</f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582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573"/>
      <c r="P309" s="573"/>
      <c r="Q309" s="573"/>
      <c r="R309" s="573"/>
      <c r="S309" s="573"/>
      <c r="T309" s="573"/>
      <c r="U309" s="573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582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573"/>
      <c r="P310" s="573"/>
      <c r="Q310" s="573"/>
      <c r="R310" s="573"/>
      <c r="S310" s="573"/>
      <c r="T310" s="573"/>
      <c r="U310" s="573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582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573"/>
      <c r="P311" s="573"/>
      <c r="Q311" s="573"/>
      <c r="R311" s="573"/>
      <c r="S311" s="573"/>
      <c r="T311" s="573"/>
      <c r="U311" s="573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582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573"/>
      <c r="P312" s="573"/>
      <c r="Q312" s="573"/>
      <c r="R312" s="573"/>
      <c r="S312" s="573"/>
      <c r="T312" s="573"/>
      <c r="U312" s="573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582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573"/>
      <c r="P313" s="573"/>
      <c r="Q313" s="573"/>
      <c r="R313" s="573"/>
      <c r="S313" s="573"/>
      <c r="T313" s="573"/>
      <c r="U313" s="573"/>
      <c r="V313" s="132"/>
      <c r="W313" s="133"/>
      <c r="X313" s="132"/>
      <c r="Y313" s="132"/>
      <c r="Z313" s="132"/>
      <c r="AA313" s="132"/>
    </row>
    <row r="314" spans="1:27" ht="20.100000000000001" hidden="1" customHeight="1">
      <c r="A314" s="300">
        <v>30400020</v>
      </c>
      <c r="B314" s="134" t="s">
        <v>439</v>
      </c>
      <c r="C314" s="187" t="s">
        <v>74</v>
      </c>
      <c r="D314" s="108">
        <v>5.03</v>
      </c>
      <c r="E314" s="108"/>
      <c r="F314" s="127"/>
      <c r="G314" s="128"/>
      <c r="H314" s="582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573"/>
      <c r="P314" s="573"/>
      <c r="Q314" s="573"/>
      <c r="R314" s="573"/>
      <c r="S314" s="573"/>
      <c r="T314" s="573"/>
      <c r="U314" s="573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30400021</v>
      </c>
      <c r="B315" s="134" t="s">
        <v>439</v>
      </c>
      <c r="C315" s="187" t="s">
        <v>53</v>
      </c>
      <c r="D315" s="108">
        <v>5.03</v>
      </c>
      <c r="E315" s="108"/>
      <c r="F315" s="127"/>
      <c r="G315" s="128"/>
      <c r="H315" s="582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573"/>
      <c r="P315" s="573"/>
      <c r="Q315" s="573"/>
      <c r="R315" s="573"/>
      <c r="S315" s="573"/>
      <c r="T315" s="573"/>
      <c r="U315" s="573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582">
        <f t="shared" si="136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0">IF(ISERROR(I316-K316),"",I316-K316)</f>
        <v>0</v>
      </c>
      <c r="N316" s="130">
        <f t="shared" ref="N316" si="141">SUM(O316:U316)</f>
        <v>0</v>
      </c>
      <c r="O316" s="573"/>
      <c r="P316" s="573"/>
      <c r="Q316" s="573"/>
      <c r="R316" s="573"/>
      <c r="S316" s="573"/>
      <c r="T316" s="573"/>
      <c r="U316" s="573"/>
      <c r="V316" s="132">
        <f t="shared" ref="V316" si="142">SUM(X316:AA316)</f>
        <v>0</v>
      </c>
      <c r="W316" s="133" t="str">
        <f t="shared" ref="W316:W321" si="143">IF(ISERROR(V316/G316),"",V316/G316)</f>
        <v/>
      </c>
      <c r="X316" s="132"/>
      <c r="Y316" s="132"/>
      <c r="Z316" s="132"/>
      <c r="AA316" s="132"/>
    </row>
    <row r="317" spans="1:27" ht="20.100000000000001" hidden="1" customHeight="1">
      <c r="A317" s="630" t="s">
        <v>234</v>
      </c>
      <c r="B317" s="631"/>
      <c r="C317" s="580" t="s">
        <v>202</v>
      </c>
      <c r="D317" s="143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3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572"/>
      <c r="D318" s="108">
        <v>3.65</v>
      </c>
      <c r="E318" s="108"/>
      <c r="F318" s="153"/>
      <c r="G318" s="128"/>
      <c r="H318" s="582">
        <f t="shared" ref="H318:H331" si="144">D318*G318</f>
        <v>0</v>
      </c>
      <c r="I318" s="129"/>
      <c r="J318" s="130" t="str">
        <f t="array" ref="J318">IF(ISERROR(G318/I318),"",G318/I318)</f>
        <v/>
      </c>
      <c r="K318" s="582">
        <f t="array" ref="K318">IF(ISERROR(G318/L318),"",G318/L318)</f>
        <v>0</v>
      </c>
      <c r="L318" s="129">
        <v>5</v>
      </c>
      <c r="M318" s="109">
        <f t="shared" ref="M318:M321" si="145">IF(ISERROR(I318-K318),"",I318-K318)</f>
        <v>0</v>
      </c>
      <c r="N318" s="130">
        <f t="shared" ref="N318:N321" si="146">SUM(O318:U318)</f>
        <v>0</v>
      </c>
      <c r="O318" s="573"/>
      <c r="P318" s="573"/>
      <c r="Q318" s="573"/>
      <c r="R318" s="573"/>
      <c r="S318" s="573"/>
      <c r="T318" s="573"/>
      <c r="U318" s="573"/>
      <c r="V318" s="132">
        <f t="shared" ref="V318:V321" si="147">SUM(X318:AA318)</f>
        <v>0</v>
      </c>
      <c r="W318" s="133" t="str">
        <f t="shared" si="143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572"/>
      <c r="D319" s="108">
        <v>6.58</v>
      </c>
      <c r="E319" s="108"/>
      <c r="F319" s="127"/>
      <c r="G319" s="128"/>
      <c r="H319" s="582">
        <f t="shared" si="144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5"/>
        <v>0</v>
      </c>
      <c r="N319" s="130">
        <f t="shared" si="146"/>
        <v>0</v>
      </c>
      <c r="O319" s="573"/>
      <c r="P319" s="573"/>
      <c r="Q319" s="573"/>
      <c r="R319" s="573"/>
      <c r="S319" s="573"/>
      <c r="T319" s="573"/>
      <c r="U319" s="573"/>
      <c r="V319" s="132">
        <f t="shared" si="147"/>
        <v>0</v>
      </c>
      <c r="W319" s="133" t="str">
        <f t="shared" si="143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572"/>
      <c r="D320" s="108">
        <v>7.8</v>
      </c>
      <c r="E320" s="108"/>
      <c r="F320" s="127"/>
      <c r="G320" s="128"/>
      <c r="H320" s="582">
        <f t="shared" si="144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5"/>
        <v>0</v>
      </c>
      <c r="N320" s="130">
        <f t="shared" si="146"/>
        <v>0</v>
      </c>
      <c r="O320" s="573"/>
      <c r="P320" s="573"/>
      <c r="Q320" s="573"/>
      <c r="R320" s="573"/>
      <c r="S320" s="573"/>
      <c r="T320" s="573"/>
      <c r="U320" s="573"/>
      <c r="V320" s="132">
        <f t="shared" si="147"/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572"/>
      <c r="D321" s="108">
        <v>4.4000000000000004</v>
      </c>
      <c r="E321" s="108"/>
      <c r="F321" s="127"/>
      <c r="G321" s="128"/>
      <c r="H321" s="582">
        <f t="shared" si="144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5"/>
        <v>0</v>
      </c>
      <c r="N321" s="130">
        <f t="shared" si="146"/>
        <v>0</v>
      </c>
      <c r="O321" s="573"/>
      <c r="P321" s="573"/>
      <c r="Q321" s="573"/>
      <c r="R321" s="573"/>
      <c r="S321" s="573"/>
      <c r="T321" s="573"/>
      <c r="U321" s="573"/>
      <c r="V321" s="132">
        <f t="shared" si="147"/>
        <v>0</v>
      </c>
      <c r="W321" s="133" t="str">
        <f t="shared" si="143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572"/>
      <c r="D322" s="108"/>
      <c r="E322" s="108"/>
      <c r="F322" s="127"/>
      <c r="G322" s="128"/>
      <c r="H322" s="582">
        <f t="shared" si="144"/>
        <v>0</v>
      </c>
      <c r="I322" s="129"/>
      <c r="J322" s="130"/>
      <c r="K322" s="131"/>
      <c r="L322" s="129">
        <v>6</v>
      </c>
      <c r="M322" s="109"/>
      <c r="N322" s="130"/>
      <c r="O322" s="573"/>
      <c r="P322" s="573"/>
      <c r="Q322" s="573"/>
      <c r="R322" s="573"/>
      <c r="S322" s="573"/>
      <c r="T322" s="573"/>
      <c r="U322" s="573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572" t="s">
        <v>239</v>
      </c>
      <c r="C323" s="572" t="s">
        <v>179</v>
      </c>
      <c r="D323" s="108">
        <v>6.04</v>
      </c>
      <c r="E323" s="108"/>
      <c r="F323" s="127"/>
      <c r="G323" s="128"/>
      <c r="H323" s="582">
        <f t="shared" si="144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8">IF(ISERROR(I323-K323),"",I323-K323)</f>
        <v>0</v>
      </c>
      <c r="N323" s="130">
        <f t="shared" ref="N323:N324" si="149">SUM(O323:U323)</f>
        <v>0</v>
      </c>
      <c r="O323" s="573"/>
      <c r="P323" s="573"/>
      <c r="Q323" s="573"/>
      <c r="R323" s="573"/>
      <c r="S323" s="573"/>
      <c r="T323" s="573"/>
      <c r="U323" s="573"/>
      <c r="V323" s="132">
        <f t="shared" ref="V323:V324" si="150">SUM(X323:AA323)</f>
        <v>0</v>
      </c>
      <c r="W323" s="133" t="str">
        <f t="shared" ref="W323:W324" si="151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572" t="s">
        <v>239</v>
      </c>
      <c r="C324" s="572" t="s">
        <v>186</v>
      </c>
      <c r="D324" s="108">
        <v>6.04</v>
      </c>
      <c r="E324" s="108"/>
      <c r="F324" s="127"/>
      <c r="G324" s="128"/>
      <c r="H324" s="582">
        <f t="shared" si="144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8"/>
        <v>0</v>
      </c>
      <c r="N324" s="130">
        <f t="shared" si="149"/>
        <v>0</v>
      </c>
      <c r="O324" s="573"/>
      <c r="P324" s="573"/>
      <c r="Q324" s="573"/>
      <c r="R324" s="573"/>
      <c r="S324" s="573"/>
      <c r="T324" s="573"/>
      <c r="U324" s="573"/>
      <c r="V324" s="132">
        <f t="shared" si="150"/>
        <v>0</v>
      </c>
      <c r="W324" s="133" t="str">
        <f t="shared" si="151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572" t="s">
        <v>443</v>
      </c>
      <c r="C325" s="572" t="s">
        <v>179</v>
      </c>
      <c r="D325" s="108">
        <v>6</v>
      </c>
      <c r="E325" s="108"/>
      <c r="F325" s="127"/>
      <c r="G325" s="128"/>
      <c r="H325" s="582">
        <f t="shared" si="144"/>
        <v>0</v>
      </c>
      <c r="I325" s="129"/>
      <c r="J325" s="130"/>
      <c r="K325" s="131"/>
      <c r="L325" s="129"/>
      <c r="M325" s="109"/>
      <c r="N325" s="130"/>
      <c r="O325" s="573"/>
      <c r="P325" s="573"/>
      <c r="Q325" s="573"/>
      <c r="R325" s="573"/>
      <c r="S325" s="573"/>
      <c r="T325" s="573"/>
      <c r="U325" s="573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572" t="s">
        <v>443</v>
      </c>
      <c r="C326" s="572" t="s">
        <v>60</v>
      </c>
      <c r="D326" s="108">
        <v>6</v>
      </c>
      <c r="E326" s="108"/>
      <c r="F326" s="127"/>
      <c r="G326" s="128"/>
      <c r="H326" s="582">
        <f t="shared" si="144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573"/>
      <c r="P326" s="573"/>
      <c r="Q326" s="573"/>
      <c r="R326" s="573"/>
      <c r="S326" s="573"/>
      <c r="T326" s="573"/>
      <c r="U326" s="573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574" t="s">
        <v>240</v>
      </c>
      <c r="C327" s="126"/>
      <c r="D327" s="108">
        <v>7.3</v>
      </c>
      <c r="E327" s="108"/>
      <c r="F327" s="127"/>
      <c r="G327" s="128"/>
      <c r="H327" s="582">
        <f t="shared" si="144"/>
        <v>0</v>
      </c>
      <c r="I327" s="129"/>
      <c r="J327" s="130"/>
      <c r="K327" s="131"/>
      <c r="L327" s="129"/>
      <c r="M327" s="109"/>
      <c r="N327" s="130"/>
      <c r="O327" s="573"/>
      <c r="P327" s="573"/>
      <c r="Q327" s="573"/>
      <c r="R327" s="573"/>
      <c r="S327" s="573"/>
      <c r="T327" s="573"/>
      <c r="U327" s="573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574" t="s">
        <v>241</v>
      </c>
      <c r="C328" s="126"/>
      <c r="D328" s="108">
        <f>78*120/1000</f>
        <v>9.36</v>
      </c>
      <c r="E328" s="108"/>
      <c r="F328" s="127"/>
      <c r="G328" s="128"/>
      <c r="H328" s="582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2">SUM(O328:U328)</f>
        <v>0</v>
      </c>
      <c r="O328" s="573"/>
      <c r="P328" s="573"/>
      <c r="Q328" s="573"/>
      <c r="R328" s="573"/>
      <c r="S328" s="573"/>
      <c r="T328" s="573"/>
      <c r="U328" s="573"/>
      <c r="V328" s="132">
        <f t="shared" ref="V328" si="153">SUM(X328:AA328)</f>
        <v>0</v>
      </c>
      <c r="W328" s="133" t="str">
        <f t="shared" ref="W328" si="154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574" t="s">
        <v>242</v>
      </c>
      <c r="C329" s="126"/>
      <c r="D329" s="108">
        <v>4.5</v>
      </c>
      <c r="E329" s="108"/>
      <c r="F329" s="127"/>
      <c r="G329" s="128"/>
      <c r="H329" s="582">
        <f t="shared" si="144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573"/>
      <c r="P329" s="573"/>
      <c r="Q329" s="573"/>
      <c r="R329" s="573"/>
      <c r="S329" s="573"/>
      <c r="T329" s="573"/>
      <c r="U329" s="573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574" t="s">
        <v>243</v>
      </c>
      <c r="C330" s="126"/>
      <c r="D330" s="108">
        <v>4.5</v>
      </c>
      <c r="E330" s="108"/>
      <c r="F330" s="127"/>
      <c r="G330" s="128"/>
      <c r="H330" s="582">
        <f t="shared" si="144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573"/>
      <c r="P330" s="573"/>
      <c r="Q330" s="573"/>
      <c r="R330" s="573"/>
      <c r="S330" s="573"/>
      <c r="T330" s="573"/>
      <c r="U330" s="573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582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573"/>
      <c r="P331" s="573"/>
      <c r="Q331" s="573"/>
      <c r="R331" s="573"/>
      <c r="S331" s="573"/>
      <c r="T331" s="573"/>
      <c r="U331" s="573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630" t="s">
        <v>244</v>
      </c>
      <c r="B332" s="631"/>
      <c r="C332" s="580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5">SUM(M318:M328)</f>
        <v>0</v>
      </c>
      <c r="N332" s="146">
        <f t="shared" si="155"/>
        <v>0</v>
      </c>
      <c r="O332" s="148">
        <f t="shared" si="155"/>
        <v>0</v>
      </c>
      <c r="P332" s="148">
        <f t="shared" si="155"/>
        <v>0</v>
      </c>
      <c r="Q332" s="148">
        <f t="shared" si="155"/>
        <v>0</v>
      </c>
      <c r="R332" s="148">
        <f t="shared" si="155"/>
        <v>0</v>
      </c>
      <c r="S332" s="148">
        <f t="shared" si="155"/>
        <v>0</v>
      </c>
      <c r="T332" s="148">
        <f t="shared" si="155"/>
        <v>0</v>
      </c>
      <c r="U332" s="148">
        <f t="shared" si="155"/>
        <v>0</v>
      </c>
      <c r="V332" s="149">
        <f t="shared" si="155"/>
        <v>0</v>
      </c>
      <c r="W332" s="133">
        <f t="shared" si="155"/>
        <v>0</v>
      </c>
      <c r="X332" s="149">
        <f t="shared" si="155"/>
        <v>0</v>
      </c>
      <c r="Y332" s="149">
        <f t="shared" si="155"/>
        <v>0</v>
      </c>
      <c r="Z332" s="149">
        <f t="shared" si="155"/>
        <v>0</v>
      </c>
      <c r="AA332" s="149">
        <f t="shared" si="155"/>
        <v>0</v>
      </c>
    </row>
    <row r="333" spans="1:27" ht="20.100000000000001" customHeight="1">
      <c r="A333" s="632" t="s">
        <v>246</v>
      </c>
      <c r="B333" s="633"/>
      <c r="C333" s="633"/>
      <c r="D333" s="633"/>
      <c r="E333" s="633"/>
      <c r="F333" s="634"/>
      <c r="G333" s="154">
        <f>SUM(G198,G256,G291,G307,G317,G332)</f>
        <v>3629</v>
      </c>
      <c r="H333" s="154">
        <f>SUM(H198,H256,H291,H307,H317,H332)</f>
        <v>17247.310000000001</v>
      </c>
      <c r="I333" s="154">
        <f>SUM(I198,I256,I291,I307,I317,I332)</f>
        <v>211</v>
      </c>
      <c r="J333" s="155">
        <f t="array" ref="J333">IF(ISERROR(G333/I333),"",G333/I333)</f>
        <v>17.199052132701421</v>
      </c>
      <c r="K333" s="154">
        <f>SUM(K198,K256,K291,K307,K317,K332)</f>
        <v>177.89982715225599</v>
      </c>
      <c r="L333" s="155">
        <f>IF(ISERROR(G333/K333),"",G333/K333)</f>
        <v>20.399120438122246</v>
      </c>
      <c r="M333" s="154">
        <f t="shared" ref="M333:AA333" si="156">SUM(M198,M256,M291,M307,M317,M332)</f>
        <v>33.100172847744012</v>
      </c>
      <c r="N333" s="154">
        <f t="shared" si="156"/>
        <v>0</v>
      </c>
      <c r="O333" s="154">
        <f t="shared" si="156"/>
        <v>0</v>
      </c>
      <c r="P333" s="154">
        <f t="shared" si="156"/>
        <v>0</v>
      </c>
      <c r="Q333" s="154">
        <f t="shared" si="156"/>
        <v>0</v>
      </c>
      <c r="R333" s="154">
        <f t="shared" si="156"/>
        <v>0</v>
      </c>
      <c r="S333" s="154">
        <f t="shared" si="156"/>
        <v>0</v>
      </c>
      <c r="T333" s="154">
        <f t="shared" si="156"/>
        <v>0</v>
      </c>
      <c r="U333" s="154">
        <f t="shared" si="156"/>
        <v>0</v>
      </c>
      <c r="V333" s="154">
        <f t="shared" si="156"/>
        <v>0</v>
      </c>
      <c r="W333" s="154">
        <f t="shared" si="156"/>
        <v>0</v>
      </c>
      <c r="X333" s="154">
        <f t="shared" si="156"/>
        <v>0</v>
      </c>
      <c r="Y333" s="154">
        <f t="shared" si="156"/>
        <v>0</v>
      </c>
      <c r="Z333" s="154">
        <f t="shared" si="156"/>
        <v>0</v>
      </c>
      <c r="AA333" s="154">
        <f t="shared" si="156"/>
        <v>0</v>
      </c>
    </row>
    <row r="334" spans="1:27" ht="20.100000000000001" customHeight="1">
      <c r="A334" s="635" t="s">
        <v>476</v>
      </c>
      <c r="B334" s="579" t="s">
        <v>247</v>
      </c>
      <c r="C334" s="638" t="s">
        <v>248</v>
      </c>
      <c r="D334" s="639"/>
      <c r="E334" s="640" t="s">
        <v>249</v>
      </c>
      <c r="F334" s="640"/>
      <c r="G334" s="643" t="s">
        <v>250</v>
      </c>
      <c r="H334" s="643"/>
      <c r="I334" s="640" t="s">
        <v>251</v>
      </c>
      <c r="J334" s="640"/>
      <c r="K334" s="640" t="s">
        <v>252</v>
      </c>
      <c r="L334" s="640"/>
      <c r="M334" s="640" t="s">
        <v>253</v>
      </c>
      <c r="N334" s="640"/>
      <c r="O334" s="640" t="s">
        <v>254</v>
      </c>
      <c r="P334" s="643" t="s">
        <v>255</v>
      </c>
      <c r="Q334" s="643"/>
      <c r="R334" s="643" t="s">
        <v>252</v>
      </c>
      <c r="S334" s="643"/>
      <c r="T334" s="643" t="s">
        <v>256</v>
      </c>
      <c r="U334" s="643"/>
      <c r="V334" s="643" t="s">
        <v>257</v>
      </c>
      <c r="W334" s="643"/>
      <c r="X334" s="643" t="s">
        <v>252</v>
      </c>
      <c r="Y334" s="643"/>
      <c r="Z334" s="643" t="s">
        <v>256</v>
      </c>
      <c r="AA334" s="643"/>
    </row>
    <row r="335" spans="1:27" ht="20.100000000000001" customHeight="1">
      <c r="A335" s="636"/>
      <c r="B335" s="579" t="s">
        <v>258</v>
      </c>
      <c r="C335" s="678">
        <v>1</v>
      </c>
      <c r="D335" s="679"/>
      <c r="E335" s="642">
        <f>C335*11</f>
        <v>11</v>
      </c>
      <c r="F335" s="642"/>
      <c r="G335" s="643">
        <v>1</v>
      </c>
      <c r="H335" s="643"/>
      <c r="I335" s="642">
        <f>G335*11</f>
        <v>11</v>
      </c>
      <c r="J335" s="642"/>
      <c r="K335" s="642">
        <f>E335-I335</f>
        <v>0</v>
      </c>
      <c r="L335" s="642"/>
      <c r="M335" s="644">
        <f>IF(ISERROR(K335/E335),"",K335/E335)</f>
        <v>0</v>
      </c>
      <c r="N335" s="644"/>
      <c r="O335" s="640"/>
      <c r="P335" s="643" t="s">
        <v>201</v>
      </c>
      <c r="Q335" s="643"/>
      <c r="R335" s="645">
        <f>SUM(O198:U198)</f>
        <v>0</v>
      </c>
      <c r="S335" s="645"/>
      <c r="T335" s="646" t="str">
        <f t="array" ref="T335">IF(ISERROR(R335/R342),"",R335/R342)</f>
        <v/>
      </c>
      <c r="U335" s="646"/>
      <c r="V335" s="643" t="s">
        <v>259</v>
      </c>
      <c r="W335" s="643"/>
      <c r="X335" s="680">
        <f>SUM(P197,P255,P290,P306,P316,P331)</f>
        <v>0</v>
      </c>
      <c r="Y335" s="681"/>
      <c r="Z335" s="646" t="str">
        <f t="array" ref="Z335">IF(ISERROR(X335/X342),"",X335/X342)</f>
        <v/>
      </c>
      <c r="AA335" s="646"/>
    </row>
    <row r="336" spans="1:27" ht="20.100000000000001" customHeight="1">
      <c r="A336" s="636"/>
      <c r="B336" s="579" t="s">
        <v>260</v>
      </c>
      <c r="C336" s="638">
        <v>0</v>
      </c>
      <c r="D336" s="639"/>
      <c r="E336" s="642">
        <f>C336*11</f>
        <v>0</v>
      </c>
      <c r="F336" s="642"/>
      <c r="G336" s="643">
        <v>0</v>
      </c>
      <c r="H336" s="643"/>
      <c r="I336" s="642">
        <f>G336*11</f>
        <v>0</v>
      </c>
      <c r="J336" s="642"/>
      <c r="K336" s="642">
        <f>E336-I336</f>
        <v>0</v>
      </c>
      <c r="L336" s="642"/>
      <c r="M336" s="644" t="str">
        <f>IF(ISERROR(K336/E336),"",K336/E336)</f>
        <v/>
      </c>
      <c r="N336" s="644"/>
      <c r="O336" s="640"/>
      <c r="P336" s="643" t="s">
        <v>216</v>
      </c>
      <c r="Q336" s="643"/>
      <c r="R336" s="645">
        <f>SUM(O256:U256)</f>
        <v>0</v>
      </c>
      <c r="S336" s="645"/>
      <c r="T336" s="646" t="str">
        <f>IF(ISERROR(R336/R342),"",R336/R342)</f>
        <v/>
      </c>
      <c r="U336" s="646"/>
      <c r="V336" s="643" t="s">
        <v>261</v>
      </c>
      <c r="W336" s="643"/>
      <c r="X336" s="680">
        <f>SUM(P198,P256,P291,P307,P317,P332)</f>
        <v>0</v>
      </c>
      <c r="Y336" s="681"/>
      <c r="Z336" s="646" t="str">
        <f>IF(ISERROR(X336/X342),"",X336/X342)</f>
        <v/>
      </c>
      <c r="AA336" s="646"/>
    </row>
    <row r="337" spans="1:27" ht="20.100000000000001" customHeight="1">
      <c r="A337" s="636"/>
      <c r="B337" s="579" t="s">
        <v>262</v>
      </c>
      <c r="C337" s="638">
        <v>0</v>
      </c>
      <c r="D337" s="639"/>
      <c r="E337" s="642">
        <f>C337*8</f>
        <v>0</v>
      </c>
      <c r="F337" s="642"/>
      <c r="G337" s="643">
        <v>1</v>
      </c>
      <c r="H337" s="643"/>
      <c r="I337" s="642">
        <f>G337*8</f>
        <v>8</v>
      </c>
      <c r="J337" s="642"/>
      <c r="K337" s="642">
        <f>E337-I337</f>
        <v>-8</v>
      </c>
      <c r="L337" s="642"/>
      <c r="M337" s="644" t="str">
        <f>IF(ISERROR(K337/E337),"",K337/E337)</f>
        <v/>
      </c>
      <c r="N337" s="644"/>
      <c r="O337" s="640"/>
      <c r="P337" s="643" t="s">
        <v>224</v>
      </c>
      <c r="Q337" s="643"/>
      <c r="R337" s="645">
        <f>SUM(O291:U291)</f>
        <v>0</v>
      </c>
      <c r="S337" s="645"/>
      <c r="T337" s="646" t="str">
        <f>IF(ISERROR(R337/R342),"",R337/R342)</f>
        <v/>
      </c>
      <c r="U337" s="646"/>
      <c r="V337" s="643" t="s">
        <v>263</v>
      </c>
      <c r="W337" s="643"/>
      <c r="X337" s="680">
        <f>SUM(P199,P257,P292,P308,P318,P333)</f>
        <v>0</v>
      </c>
      <c r="Y337" s="681"/>
      <c r="Z337" s="646" t="str">
        <f>IF(ISERROR(X337/X342),"",X337/X342)</f>
        <v/>
      </c>
      <c r="AA337" s="646"/>
    </row>
    <row r="338" spans="1:27" ht="20.100000000000001" customHeight="1">
      <c r="A338" s="636"/>
      <c r="B338" s="579" t="s">
        <v>264</v>
      </c>
      <c r="C338" s="638">
        <v>1</v>
      </c>
      <c r="D338" s="639"/>
      <c r="E338" s="642">
        <f>C338*11</f>
        <v>11</v>
      </c>
      <c r="F338" s="642"/>
      <c r="G338" s="643">
        <v>1</v>
      </c>
      <c r="H338" s="643"/>
      <c r="I338" s="642">
        <f>G338*11</f>
        <v>11</v>
      </c>
      <c r="J338" s="642"/>
      <c r="K338" s="642">
        <f>E338-I338</f>
        <v>0</v>
      </c>
      <c r="L338" s="642"/>
      <c r="M338" s="644">
        <f>IF(ISERROR(K338/E338),"",K338/E338)</f>
        <v>0</v>
      </c>
      <c r="N338" s="644"/>
      <c r="O338" s="640"/>
      <c r="P338" s="643" t="s">
        <v>231</v>
      </c>
      <c r="Q338" s="643"/>
      <c r="R338" s="645">
        <f>SUM(O307:U307)</f>
        <v>0</v>
      </c>
      <c r="S338" s="645"/>
      <c r="T338" s="646" t="str">
        <f>IF(ISERROR(R338/R342),"",R338/R342)</f>
        <v/>
      </c>
      <c r="U338" s="646"/>
      <c r="V338" s="643" t="s">
        <v>265</v>
      </c>
      <c r="W338" s="643"/>
      <c r="X338" s="680">
        <f>SUM(P201,P258,P293,P309,P319,P334)</f>
        <v>0</v>
      </c>
      <c r="Y338" s="681"/>
      <c r="Z338" s="646" t="str">
        <f>IF(ISERROR(X338/X342),"",X338/X342)</f>
        <v/>
      </c>
      <c r="AA338" s="646"/>
    </row>
    <row r="339" spans="1:27" ht="20.100000000000001" customHeight="1">
      <c r="A339" s="637"/>
      <c r="B339" s="579" t="s">
        <v>266</v>
      </c>
      <c r="C339" s="648">
        <f>SUM(C335:D338)</f>
        <v>2</v>
      </c>
      <c r="D339" s="649"/>
      <c r="E339" s="642">
        <f>SUM(E335:F338)</f>
        <v>22</v>
      </c>
      <c r="F339" s="642"/>
      <c r="G339" s="643">
        <f>SUM(G335:H338)</f>
        <v>3</v>
      </c>
      <c r="H339" s="643"/>
      <c r="I339" s="642">
        <f>SUM(I335:J338)</f>
        <v>30</v>
      </c>
      <c r="J339" s="642"/>
      <c r="K339" s="642">
        <f>SUM(K335:L338)</f>
        <v>-8</v>
      </c>
      <c r="L339" s="642"/>
      <c r="M339" s="644">
        <f>IF(ISERROR(K339/E339),"",K339/E339)</f>
        <v>-0.36363636363636365</v>
      </c>
      <c r="N339" s="644"/>
      <c r="O339" s="640"/>
      <c r="P339" s="643" t="s">
        <v>234</v>
      </c>
      <c r="Q339" s="643"/>
      <c r="R339" s="645">
        <f>SUM(O317:U317)</f>
        <v>0</v>
      </c>
      <c r="S339" s="645"/>
      <c r="T339" s="646" t="str">
        <f>IF(ISERROR(R339/R342),"",R339/R342)</f>
        <v/>
      </c>
      <c r="U339" s="646"/>
      <c r="V339" s="643" t="s">
        <v>267</v>
      </c>
      <c r="W339" s="643"/>
      <c r="X339" s="680">
        <f>SUM(P202,P259,P294,P310,P320,P335)</f>
        <v>0</v>
      </c>
      <c r="Y339" s="681"/>
      <c r="Z339" s="646" t="str">
        <f>IF(ISERROR(X339/X342),"",X339/X342)</f>
        <v/>
      </c>
      <c r="AA339" s="646"/>
    </row>
    <row r="340" spans="1:27" ht="20.100000000000001" customHeight="1">
      <c r="A340" s="309" t="s">
        <v>477</v>
      </c>
      <c r="B340" s="579">
        <f>G333</f>
        <v>3629</v>
      </c>
      <c r="C340" s="650" t="s">
        <v>269</v>
      </c>
      <c r="D340" s="651"/>
      <c r="E340" s="643">
        <f>H333</f>
        <v>17247.310000000001</v>
      </c>
      <c r="F340" s="643"/>
      <c r="G340" s="643" t="s">
        <v>270</v>
      </c>
      <c r="H340" s="643"/>
      <c r="I340" s="652">
        <f>L333</f>
        <v>20.399120438122246</v>
      </c>
      <c r="J340" s="652"/>
      <c r="K340" s="640" t="s">
        <v>271</v>
      </c>
      <c r="L340" s="640"/>
      <c r="M340" s="652">
        <f>J333</f>
        <v>17.199052132701421</v>
      </c>
      <c r="N340" s="652"/>
      <c r="O340" s="640"/>
      <c r="P340" s="643" t="s">
        <v>244</v>
      </c>
      <c r="Q340" s="643"/>
      <c r="R340" s="645">
        <f>SUM(O332:U332)</f>
        <v>0</v>
      </c>
      <c r="S340" s="645"/>
      <c r="T340" s="646" t="str">
        <f>IF(ISERROR(R340/R342),"",R340/R342)</f>
        <v/>
      </c>
      <c r="U340" s="646"/>
      <c r="V340" s="643" t="s">
        <v>272</v>
      </c>
      <c r="W340" s="643"/>
      <c r="X340" s="680">
        <f>SUM(P203,P260,P295,P311,P321,P336)</f>
        <v>0</v>
      </c>
      <c r="Y340" s="681"/>
      <c r="Z340" s="646" t="str">
        <f>IF(ISERROR(X340/X342),"",X340/X342)</f>
        <v/>
      </c>
      <c r="AA340" s="646"/>
    </row>
    <row r="341" spans="1:27" ht="20.100000000000001" customHeight="1">
      <c r="A341" s="310" t="s">
        <v>478</v>
      </c>
      <c r="B341" s="579">
        <f>I333+C339</f>
        <v>213</v>
      </c>
      <c r="C341" s="653" t="s">
        <v>251</v>
      </c>
      <c r="D341" s="654"/>
      <c r="E341" s="655">
        <f>K333+I339</f>
        <v>207.89982715225599</v>
      </c>
      <c r="F341" s="655"/>
      <c r="G341" s="643" t="s">
        <v>274</v>
      </c>
      <c r="H341" s="643"/>
      <c r="I341" s="652">
        <f>B341-E341</f>
        <v>5.1001728477440054</v>
      </c>
      <c r="J341" s="652"/>
      <c r="K341" s="640" t="s">
        <v>275</v>
      </c>
      <c r="L341" s="640"/>
      <c r="M341" s="644">
        <f>IF(ISERROR(I341/E341),"",I341/E341)</f>
        <v>2.4531876325269285E-2</v>
      </c>
      <c r="N341" s="644"/>
      <c r="O341" s="640"/>
      <c r="P341" s="643" t="s">
        <v>245</v>
      </c>
      <c r="Q341" s="643"/>
      <c r="R341" s="645"/>
      <c r="S341" s="645"/>
      <c r="T341" s="646" t="str">
        <f>IF(ISERROR(R341/R342),"",R341/R342)</f>
        <v/>
      </c>
      <c r="U341" s="646"/>
      <c r="V341" s="643" t="s">
        <v>264</v>
      </c>
      <c r="W341" s="643"/>
      <c r="X341" s="680">
        <f>SUM(P204,P261,P296,P312,P322,P337)</f>
        <v>0</v>
      </c>
      <c r="Y341" s="681"/>
      <c r="Z341" s="646" t="str">
        <f>IF(ISERROR(X341/X342),"",X341/X342)</f>
        <v/>
      </c>
      <c r="AA341" s="646"/>
    </row>
    <row r="342" spans="1:27" ht="20.100000000000001" customHeight="1">
      <c r="A342" s="310" t="s">
        <v>479</v>
      </c>
      <c r="B342" s="579">
        <f>N333</f>
        <v>0</v>
      </c>
      <c r="C342" s="653" t="s">
        <v>277</v>
      </c>
      <c r="D342" s="654"/>
      <c r="E342" s="646">
        <f>IF(ISERROR(B342/B341),"",B342/B341)</f>
        <v>0</v>
      </c>
      <c r="F342" s="646"/>
      <c r="G342" s="643" t="s">
        <v>278</v>
      </c>
      <c r="H342" s="643"/>
      <c r="I342" s="640">
        <f>V333</f>
        <v>0</v>
      </c>
      <c r="J342" s="640"/>
      <c r="K342" s="640" t="s">
        <v>279</v>
      </c>
      <c r="L342" s="640"/>
      <c r="M342" s="644">
        <f t="array" ref="M342">IF(ISERROR(I342/B340),"",I342/B340)</f>
        <v>0</v>
      </c>
      <c r="N342" s="644"/>
      <c r="O342" s="640"/>
      <c r="P342" s="643" t="s">
        <v>266</v>
      </c>
      <c r="Q342" s="643"/>
      <c r="R342" s="645">
        <f>SUM(R335:S341)</f>
        <v>0</v>
      </c>
      <c r="S342" s="645"/>
      <c r="T342" s="646"/>
      <c r="U342" s="646"/>
      <c r="V342" s="643" t="s">
        <v>266</v>
      </c>
      <c r="W342" s="643"/>
      <c r="X342" s="647">
        <f>SUM(X335:Y341)</f>
        <v>0</v>
      </c>
      <c r="Y342" s="647"/>
      <c r="Z342" s="646"/>
      <c r="AA342" s="646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56" t="s">
        <v>480</v>
      </c>
      <c r="B344" s="659" t="s">
        <v>280</v>
      </c>
      <c r="C344" s="659" t="s">
        <v>281</v>
      </c>
      <c r="D344" s="659" t="s">
        <v>282</v>
      </c>
      <c r="E344" s="662" t="s">
        <v>283</v>
      </c>
      <c r="F344" s="675" t="s">
        <v>284</v>
      </c>
      <c r="G344" s="640" t="s">
        <v>285</v>
      </c>
      <c r="H344" s="640"/>
      <c r="I344" s="659" t="s">
        <v>286</v>
      </c>
      <c r="J344" s="665" t="s">
        <v>271</v>
      </c>
      <c r="K344" s="668" t="s">
        <v>287</v>
      </c>
      <c r="L344" s="659" t="s">
        <v>270</v>
      </c>
      <c r="M344" s="671" t="s">
        <v>288</v>
      </c>
      <c r="N344" s="673" t="s">
        <v>252</v>
      </c>
      <c r="O344" s="640" t="s">
        <v>289</v>
      </c>
      <c r="P344" s="640"/>
      <c r="Q344" s="640"/>
      <c r="R344" s="640"/>
      <c r="S344" s="640"/>
      <c r="T344" s="640"/>
      <c r="U344" s="640"/>
      <c r="V344" s="640" t="s">
        <v>290</v>
      </c>
      <c r="W344" s="673" t="s">
        <v>291</v>
      </c>
      <c r="X344" s="640" t="s">
        <v>292</v>
      </c>
      <c r="Y344" s="640"/>
      <c r="Z344" s="640"/>
      <c r="AA344" s="640"/>
    </row>
    <row r="345" spans="1:27" ht="21.95" customHeight="1">
      <c r="A345" s="657"/>
      <c r="B345" s="660"/>
      <c r="C345" s="660"/>
      <c r="D345" s="660"/>
      <c r="E345" s="663"/>
      <c r="F345" s="676"/>
      <c r="G345" s="640"/>
      <c r="H345" s="640"/>
      <c r="I345" s="660"/>
      <c r="J345" s="666"/>
      <c r="K345" s="669"/>
      <c r="L345" s="660"/>
      <c r="M345" s="672"/>
      <c r="N345" s="673"/>
      <c r="O345" s="640" t="s">
        <v>259</v>
      </c>
      <c r="P345" s="640" t="s">
        <v>261</v>
      </c>
      <c r="Q345" s="640" t="s">
        <v>263</v>
      </c>
      <c r="R345" s="674" t="s">
        <v>265</v>
      </c>
      <c r="S345" s="643" t="s">
        <v>267</v>
      </c>
      <c r="T345" s="640" t="s">
        <v>272</v>
      </c>
      <c r="U345" s="640" t="s">
        <v>264</v>
      </c>
      <c r="V345" s="640"/>
      <c r="W345" s="673"/>
      <c r="X345" s="640" t="s">
        <v>293</v>
      </c>
      <c r="Y345" s="640" t="s">
        <v>294</v>
      </c>
      <c r="Z345" s="640" t="s">
        <v>295</v>
      </c>
      <c r="AA345" s="640" t="s">
        <v>264</v>
      </c>
    </row>
    <row r="346" spans="1:27" ht="21.95" customHeight="1">
      <c r="A346" s="658"/>
      <c r="B346" s="661"/>
      <c r="C346" s="661"/>
      <c r="D346" s="661"/>
      <c r="E346" s="664"/>
      <c r="F346" s="677"/>
      <c r="G346" s="348" t="s">
        <v>516</v>
      </c>
      <c r="H346" s="572" t="s">
        <v>297</v>
      </c>
      <c r="I346" s="661"/>
      <c r="J346" s="667"/>
      <c r="K346" s="670"/>
      <c r="L346" s="661"/>
      <c r="M346" s="672"/>
      <c r="N346" s="673"/>
      <c r="O346" s="640"/>
      <c r="P346" s="640"/>
      <c r="Q346" s="640"/>
      <c r="R346" s="674"/>
      <c r="S346" s="643"/>
      <c r="T346" s="640"/>
      <c r="U346" s="640"/>
      <c r="V346" s="640"/>
      <c r="W346" s="673"/>
      <c r="X346" s="640"/>
      <c r="Y346" s="640"/>
      <c r="Z346" s="640"/>
      <c r="AA346" s="640"/>
    </row>
    <row r="347" spans="1:27" ht="20.100000000000001" hidden="1" customHeight="1">
      <c r="A347" s="299">
        <v>30100030</v>
      </c>
      <c r="B347" s="574" t="s">
        <v>178</v>
      </c>
      <c r="C347" s="126" t="s">
        <v>179</v>
      </c>
      <c r="D347" s="108">
        <v>5.03</v>
      </c>
      <c r="E347" s="108"/>
      <c r="F347" s="127"/>
      <c r="G347" s="128"/>
      <c r="H347" s="582">
        <f t="shared" ref="H347:H367" si="157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8">IF(ISERROR(I347-K347),"",I347-K347)</f>
        <v>0</v>
      </c>
      <c r="N347" s="130">
        <f t="shared" ref="N347:N352" si="159">SUM(O347:U347)</f>
        <v>0</v>
      </c>
      <c r="O347" s="573"/>
      <c r="P347" s="573"/>
      <c r="Q347" s="573"/>
      <c r="R347" s="573"/>
      <c r="S347" s="573"/>
      <c r="T347" s="573"/>
      <c r="U347" s="573"/>
      <c r="V347" s="132">
        <f t="shared" ref="V347:V352" si="160">SUM(X347:AA347)</f>
        <v>0</v>
      </c>
      <c r="W347" s="133" t="str">
        <f t="shared" ref="W347:W352" si="161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582">
        <f t="shared" si="157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8"/>
        <v>0</v>
      </c>
      <c r="N348" s="130">
        <f t="shared" si="159"/>
        <v>0</v>
      </c>
      <c r="O348" s="573"/>
      <c r="P348" s="573"/>
      <c r="Q348" s="573"/>
      <c r="R348" s="573"/>
      <c r="S348" s="573"/>
      <c r="T348" s="573"/>
      <c r="U348" s="573"/>
      <c r="V348" s="132">
        <f t="shared" si="160"/>
        <v>0</v>
      </c>
      <c r="W348" s="133" t="str">
        <f t="shared" si="161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582">
        <f t="shared" si="157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8"/>
        <v>0</v>
      </c>
      <c r="N349" s="130">
        <f t="shared" si="159"/>
        <v>0</v>
      </c>
      <c r="O349" s="573"/>
      <c r="P349" s="573"/>
      <c r="Q349" s="573"/>
      <c r="R349" s="573"/>
      <c r="S349" s="573"/>
      <c r="T349" s="573"/>
      <c r="U349" s="573"/>
      <c r="V349" s="132">
        <f t="shared" si="160"/>
        <v>0</v>
      </c>
      <c r="W349" s="133" t="str">
        <f t="shared" si="161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582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573"/>
      <c r="P350" s="573"/>
      <c r="Q350" s="573"/>
      <c r="R350" s="573"/>
      <c r="S350" s="573"/>
      <c r="T350" s="573"/>
      <c r="U350" s="573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582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8"/>
        <v>0</v>
      </c>
      <c r="N351" s="130">
        <f t="shared" si="159"/>
        <v>0</v>
      </c>
      <c r="O351" s="573"/>
      <c r="P351" s="573"/>
      <c r="Q351" s="573"/>
      <c r="R351" s="573"/>
      <c r="S351" s="573"/>
      <c r="T351" s="573"/>
      <c r="U351" s="573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582">
        <f t="shared" si="157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573"/>
      <c r="P352" s="573"/>
      <c r="Q352" s="573"/>
      <c r="R352" s="573"/>
      <c r="S352" s="573"/>
      <c r="T352" s="573"/>
      <c r="U352" s="573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582">
        <f t="shared" si="157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8"/>
        <v>0</v>
      </c>
      <c r="N353" s="130"/>
      <c r="O353" s="573"/>
      <c r="P353" s="573"/>
      <c r="Q353" s="573"/>
      <c r="R353" s="573"/>
      <c r="S353" s="573"/>
      <c r="T353" s="573"/>
      <c r="U353" s="573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582">
        <f t="shared" si="157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8"/>
        <v>0</v>
      </c>
      <c r="N354" s="130"/>
      <c r="O354" s="573"/>
      <c r="P354" s="573"/>
      <c r="Q354" s="573"/>
      <c r="R354" s="573"/>
      <c r="S354" s="573"/>
      <c r="T354" s="573"/>
      <c r="U354" s="573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582">
        <f t="shared" si="157"/>
        <v>0</v>
      </c>
      <c r="I355" s="582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8"/>
        <v>0</v>
      </c>
      <c r="N355" s="130">
        <f>SUM(O355:U355)</f>
        <v>0</v>
      </c>
      <c r="O355" s="573"/>
      <c r="P355" s="573"/>
      <c r="Q355" s="573"/>
      <c r="R355" s="573"/>
      <c r="S355" s="573"/>
      <c r="T355" s="573"/>
      <c r="U355" s="573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582">
        <f t="shared" si="157"/>
        <v>0</v>
      </c>
      <c r="I356" s="582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8"/>
        <v>0</v>
      </c>
      <c r="N356" s="130">
        <f>SUM(O356:U356)</f>
        <v>0</v>
      </c>
      <c r="O356" s="573"/>
      <c r="P356" s="573"/>
      <c r="Q356" s="573"/>
      <c r="R356" s="573"/>
      <c r="S356" s="573"/>
      <c r="T356" s="573"/>
      <c r="U356" s="573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582">
        <f t="shared" si="157"/>
        <v>0</v>
      </c>
      <c r="I357" s="582"/>
      <c r="J357" s="130"/>
      <c r="K357" s="131"/>
      <c r="L357" s="129"/>
      <c r="M357" s="109"/>
      <c r="N357" s="130"/>
      <c r="O357" s="573"/>
      <c r="P357" s="573"/>
      <c r="Q357" s="573"/>
      <c r="R357" s="573"/>
      <c r="S357" s="573"/>
      <c r="T357" s="573"/>
      <c r="U357" s="573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582">
        <f t="shared" si="157"/>
        <v>0</v>
      </c>
      <c r="I358" s="582"/>
      <c r="J358" s="130"/>
      <c r="K358" s="131"/>
      <c r="L358" s="129"/>
      <c r="M358" s="109"/>
      <c r="N358" s="130"/>
      <c r="O358" s="573"/>
      <c r="P358" s="573"/>
      <c r="Q358" s="573"/>
      <c r="R358" s="573"/>
      <c r="S358" s="573"/>
      <c r="T358" s="573"/>
      <c r="U358" s="573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582">
        <f t="shared" si="157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2">IF(ISERROR(I359-K359),"",I359-K359)</f>
        <v>0</v>
      </c>
      <c r="N359" s="130">
        <f t="shared" ref="N359:N361" si="163">SUM(O359:U359)</f>
        <v>0</v>
      </c>
      <c r="O359" s="573"/>
      <c r="P359" s="573"/>
      <c r="Q359" s="573"/>
      <c r="R359" s="573"/>
      <c r="S359" s="573"/>
      <c r="T359" s="573"/>
      <c r="U359" s="573"/>
      <c r="V359" s="132">
        <f t="shared" ref="V359:V361" si="164">SUM(X359:AA359)</f>
        <v>0</v>
      </c>
      <c r="W359" s="133" t="str">
        <f t="shared" ref="W359:W361" si="165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582">
        <f t="shared" si="157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2"/>
        <v>0</v>
      </c>
      <c r="N360" s="130">
        <f t="shared" si="163"/>
        <v>0</v>
      </c>
      <c r="O360" s="573"/>
      <c r="P360" s="573"/>
      <c r="Q360" s="573"/>
      <c r="R360" s="573"/>
      <c r="S360" s="573"/>
      <c r="T360" s="573"/>
      <c r="U360" s="573"/>
      <c r="V360" s="132">
        <f t="shared" si="164"/>
        <v>0</v>
      </c>
      <c r="W360" s="133" t="str">
        <f t="shared" si="165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582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2"/>
        <v>0</v>
      </c>
      <c r="N361" s="130">
        <f t="shared" si="163"/>
        <v>0</v>
      </c>
      <c r="O361" s="573"/>
      <c r="P361" s="573"/>
      <c r="Q361" s="573"/>
      <c r="R361" s="573"/>
      <c r="S361" s="573"/>
      <c r="T361" s="573"/>
      <c r="U361" s="573"/>
      <c r="V361" s="132">
        <f t="shared" si="164"/>
        <v>0</v>
      </c>
      <c r="W361" s="133" t="str">
        <f t="shared" si="165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572" t="s">
        <v>190</v>
      </c>
      <c r="D362" s="108">
        <v>4.8</v>
      </c>
      <c r="E362" s="108"/>
      <c r="F362" s="127"/>
      <c r="G362" s="128"/>
      <c r="H362" s="582">
        <f t="shared" si="157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2"/>
        <v>0</v>
      </c>
      <c r="N362" s="130"/>
      <c r="O362" s="573"/>
      <c r="P362" s="573"/>
      <c r="Q362" s="573"/>
      <c r="R362" s="573"/>
      <c r="S362" s="573"/>
      <c r="T362" s="573"/>
      <c r="U362" s="573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572" t="s">
        <v>187</v>
      </c>
      <c r="D363" s="108">
        <v>4.8</v>
      </c>
      <c r="E363" s="108"/>
      <c r="F363" s="127"/>
      <c r="G363" s="128"/>
      <c r="H363" s="582">
        <f t="shared" si="157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2"/>
        <v>0</v>
      </c>
      <c r="N363" s="130"/>
      <c r="O363" s="573"/>
      <c r="P363" s="573"/>
      <c r="Q363" s="573"/>
      <c r="R363" s="573"/>
      <c r="S363" s="573"/>
      <c r="T363" s="573"/>
      <c r="U363" s="573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572" t="s">
        <v>179</v>
      </c>
      <c r="D364" s="108">
        <v>4.8</v>
      </c>
      <c r="E364" s="108"/>
      <c r="F364" s="127"/>
      <c r="G364" s="128"/>
      <c r="H364" s="582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573"/>
      <c r="P364" s="573"/>
      <c r="Q364" s="573"/>
      <c r="R364" s="573"/>
      <c r="S364" s="573"/>
      <c r="T364" s="573"/>
      <c r="U364" s="573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572" t="s">
        <v>199</v>
      </c>
      <c r="D365" s="108">
        <v>4.8</v>
      </c>
      <c r="E365" s="108"/>
      <c r="F365" s="127"/>
      <c r="G365" s="128"/>
      <c r="H365" s="582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573"/>
      <c r="P365" s="573"/>
      <c r="Q365" s="573"/>
      <c r="R365" s="573"/>
      <c r="S365" s="573"/>
      <c r="T365" s="573"/>
      <c r="U365" s="573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582">
        <f t="shared" si="157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2"/>
        <v>0</v>
      </c>
      <c r="N366" s="130">
        <f t="shared" ref="N366:N367" si="166">SUM(O366:U366)</f>
        <v>0</v>
      </c>
      <c r="O366" s="573"/>
      <c r="P366" s="573"/>
      <c r="Q366" s="573"/>
      <c r="R366" s="573"/>
      <c r="S366" s="573"/>
      <c r="T366" s="573"/>
      <c r="U366" s="573"/>
      <c r="V366" s="132">
        <f t="shared" ref="V366:V367" si="167">SUM(X366:AA366)</f>
        <v>0</v>
      </c>
      <c r="W366" s="133" t="str">
        <f t="shared" ref="W366:W367" si="168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582">
        <f t="shared" si="157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2"/>
        <v>0</v>
      </c>
      <c r="N367" s="130">
        <f t="shared" si="166"/>
        <v>0</v>
      </c>
      <c r="O367" s="573"/>
      <c r="P367" s="573"/>
      <c r="Q367" s="573"/>
      <c r="R367" s="573"/>
      <c r="S367" s="573"/>
      <c r="T367" s="573"/>
      <c r="U367" s="573"/>
      <c r="V367" s="132">
        <f t="shared" si="167"/>
        <v>0</v>
      </c>
      <c r="W367" s="133" t="str">
        <f t="shared" si="168"/>
        <v/>
      </c>
      <c r="X367" s="132"/>
      <c r="Y367" s="132"/>
      <c r="Z367" s="132"/>
      <c r="AA367" s="132"/>
    </row>
    <row r="368" spans="1:27" ht="20.100000000000001" hidden="1" customHeight="1">
      <c r="A368" s="630" t="s">
        <v>201</v>
      </c>
      <c r="B368" s="631"/>
      <c r="C368" s="580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69">SUM(M347:M367)</f>
        <v>0</v>
      </c>
      <c r="N368" s="146">
        <f t="shared" si="169"/>
        <v>0</v>
      </c>
      <c r="O368" s="148">
        <f t="shared" si="169"/>
        <v>0</v>
      </c>
      <c r="P368" s="148">
        <f t="shared" si="169"/>
        <v>0</v>
      </c>
      <c r="Q368" s="148">
        <f t="shared" si="169"/>
        <v>0</v>
      </c>
      <c r="R368" s="148">
        <f t="shared" si="169"/>
        <v>0</v>
      </c>
      <c r="S368" s="148">
        <f t="shared" si="169"/>
        <v>0</v>
      </c>
      <c r="T368" s="148">
        <f t="shared" si="169"/>
        <v>0</v>
      </c>
      <c r="U368" s="148">
        <f t="shared" si="169"/>
        <v>0</v>
      </c>
      <c r="V368" s="149">
        <f t="shared" si="169"/>
        <v>0</v>
      </c>
      <c r="W368" s="133">
        <f t="shared" si="169"/>
        <v>0</v>
      </c>
      <c r="X368" s="149">
        <f t="shared" si="169"/>
        <v>0</v>
      </c>
      <c r="Y368" s="149">
        <f t="shared" si="169"/>
        <v>0</v>
      </c>
      <c r="Z368" s="149">
        <f t="shared" si="169"/>
        <v>0</v>
      </c>
      <c r="AA368" s="149">
        <f t="shared" si="169"/>
        <v>0</v>
      </c>
    </row>
    <row r="369" spans="1:27" ht="20.100000000000001" hidden="1" customHeight="1">
      <c r="A369" s="300">
        <v>30100012</v>
      </c>
      <c r="B369" s="574" t="s">
        <v>206</v>
      </c>
      <c r="C369" s="126" t="s">
        <v>199</v>
      </c>
      <c r="D369" s="108">
        <v>5.03</v>
      </c>
      <c r="E369" s="108"/>
      <c r="F369" s="127"/>
      <c r="G369" s="128"/>
      <c r="H369" s="582">
        <f t="shared" ref="H369:H425" si="170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1">IF(ISERROR(I369-K369),"",I369-K369)</f>
        <v>0</v>
      </c>
      <c r="N369" s="130">
        <f t="shared" ref="N369" si="172">SUM(O369:U369)</f>
        <v>0</v>
      </c>
      <c r="O369" s="577"/>
      <c r="P369" s="577"/>
      <c r="Q369" s="577"/>
      <c r="R369" s="577"/>
      <c r="S369" s="577"/>
      <c r="T369" s="577"/>
      <c r="U369" s="577"/>
      <c r="V369" s="132">
        <f t="shared" ref="V369" si="173">SUM(X369:AA369)</f>
        <v>0</v>
      </c>
      <c r="W369" s="133" t="str">
        <f t="shared" ref="W369" si="174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574" t="s">
        <v>425</v>
      </c>
      <c r="C370" s="187" t="s">
        <v>427</v>
      </c>
      <c r="D370" s="108">
        <v>5.03</v>
      </c>
      <c r="E370" s="108"/>
      <c r="F370" s="127"/>
      <c r="G370" s="128"/>
      <c r="H370" s="582">
        <f t="shared" si="170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577"/>
      <c r="P370" s="577"/>
      <c r="Q370" s="577"/>
      <c r="R370" s="577"/>
      <c r="S370" s="577"/>
      <c r="T370" s="577"/>
      <c r="U370" s="577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574" t="s">
        <v>206</v>
      </c>
      <c r="C371" s="126" t="s">
        <v>186</v>
      </c>
      <c r="D371" s="108">
        <v>5.03</v>
      </c>
      <c r="E371" s="108"/>
      <c r="F371" s="127"/>
      <c r="G371" s="128"/>
      <c r="H371" s="582">
        <f t="shared" si="170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5">IF(ISERROR(I371-K371),"",I371-K371)</f>
        <v>0</v>
      </c>
      <c r="N371" s="130">
        <f t="shared" ref="N371:N373" si="176">SUM(O371:U371)</f>
        <v>0</v>
      </c>
      <c r="O371" s="577"/>
      <c r="P371" s="577"/>
      <c r="Q371" s="577"/>
      <c r="R371" s="577"/>
      <c r="S371" s="577"/>
      <c r="T371" s="577"/>
      <c r="U371" s="577"/>
      <c r="V371" s="132">
        <f t="shared" ref="V371:V373" si="177">SUM(X371:AA371)</f>
        <v>0</v>
      </c>
      <c r="W371" s="133" t="str">
        <f t="shared" ref="W371:W373" si="178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574" t="s">
        <v>206</v>
      </c>
      <c r="C372" s="126" t="s">
        <v>203</v>
      </c>
      <c r="D372" s="108">
        <v>5.03</v>
      </c>
      <c r="E372" s="108"/>
      <c r="F372" s="127"/>
      <c r="G372" s="128"/>
      <c r="H372" s="582">
        <f t="shared" si="170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5"/>
        <v>0</v>
      </c>
      <c r="N372" s="130">
        <f t="shared" si="176"/>
        <v>0</v>
      </c>
      <c r="O372" s="577"/>
      <c r="P372" s="577"/>
      <c r="Q372" s="577"/>
      <c r="R372" s="577"/>
      <c r="S372" s="577"/>
      <c r="T372" s="577"/>
      <c r="U372" s="577"/>
      <c r="V372" s="132">
        <f t="shared" si="177"/>
        <v>0</v>
      </c>
      <c r="W372" s="133" t="str">
        <f t="shared" si="178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574" t="s">
        <v>206</v>
      </c>
      <c r="C373" s="126" t="s">
        <v>207</v>
      </c>
      <c r="D373" s="108">
        <v>5.03</v>
      </c>
      <c r="E373" s="108"/>
      <c r="F373" s="127"/>
      <c r="G373" s="128"/>
      <c r="H373" s="582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5"/>
        <v>0</v>
      </c>
      <c r="N373" s="130">
        <f t="shared" si="176"/>
        <v>0</v>
      </c>
      <c r="O373" s="577"/>
      <c r="P373" s="577"/>
      <c r="Q373" s="577"/>
      <c r="R373" s="577"/>
      <c r="S373" s="577"/>
      <c r="T373" s="577"/>
      <c r="U373" s="577"/>
      <c r="V373" s="132">
        <f t="shared" si="177"/>
        <v>0</v>
      </c>
      <c r="W373" s="133" t="str">
        <f t="shared" si="178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574" t="s">
        <v>414</v>
      </c>
      <c r="C374" s="187" t="s">
        <v>415</v>
      </c>
      <c r="D374" s="108"/>
      <c r="E374" s="108"/>
      <c r="F374" s="127"/>
      <c r="G374" s="128"/>
      <c r="H374" s="582">
        <f t="shared" si="170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/>
      <c r="O374" s="577"/>
      <c r="P374" s="577"/>
      <c r="Q374" s="577"/>
      <c r="R374" s="577"/>
      <c r="S374" s="577"/>
      <c r="T374" s="577"/>
      <c r="U374" s="577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574" t="s">
        <v>414</v>
      </c>
      <c r="C375" s="187" t="s">
        <v>416</v>
      </c>
      <c r="D375" s="108"/>
      <c r="E375" s="108"/>
      <c r="F375" s="127"/>
      <c r="G375" s="128"/>
      <c r="H375" s="582">
        <f t="shared" si="170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/>
      <c r="O375" s="577"/>
      <c r="P375" s="577"/>
      <c r="Q375" s="577"/>
      <c r="R375" s="577"/>
      <c r="S375" s="577"/>
      <c r="T375" s="577"/>
      <c r="U375" s="577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574" t="s">
        <v>414</v>
      </c>
      <c r="C376" s="187" t="s">
        <v>61</v>
      </c>
      <c r="D376" s="108"/>
      <c r="E376" s="108"/>
      <c r="F376" s="127"/>
      <c r="G376" s="128"/>
      <c r="H376" s="582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577"/>
      <c r="P376" s="577"/>
      <c r="Q376" s="577"/>
      <c r="R376" s="577"/>
      <c r="S376" s="577"/>
      <c r="T376" s="577"/>
      <c r="U376" s="577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574" t="s">
        <v>208</v>
      </c>
      <c r="C377" s="126" t="s">
        <v>179</v>
      </c>
      <c r="D377" s="108">
        <v>5.08</v>
      </c>
      <c r="E377" s="108"/>
      <c r="F377" s="127"/>
      <c r="G377" s="128"/>
      <c r="H377" s="582">
        <f t="shared" si="170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5"/>
        <v>0</v>
      </c>
      <c r="N377" s="130">
        <f t="shared" ref="N377:N392" si="179">SUM(O377:U377)</f>
        <v>0</v>
      </c>
      <c r="O377" s="577"/>
      <c r="P377" s="577"/>
      <c r="Q377" s="577"/>
      <c r="R377" s="577"/>
      <c r="S377" s="577"/>
      <c r="T377" s="577"/>
      <c r="U377" s="577"/>
      <c r="V377" s="132">
        <f t="shared" ref="V377:V388" si="180">SUM(X377:AA377)</f>
        <v>0</v>
      </c>
      <c r="W377" s="133" t="str">
        <f t="shared" ref="W377:W388" si="181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574" t="s">
        <v>208</v>
      </c>
      <c r="C378" s="126" t="s">
        <v>204</v>
      </c>
      <c r="D378" s="108">
        <v>5.08</v>
      </c>
      <c r="E378" s="108"/>
      <c r="F378" s="127"/>
      <c r="G378" s="128"/>
      <c r="H378" s="582">
        <f t="shared" si="170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5"/>
        <v>0</v>
      </c>
      <c r="N378" s="130">
        <f t="shared" si="179"/>
        <v>0</v>
      </c>
      <c r="O378" s="577"/>
      <c r="P378" s="577"/>
      <c r="Q378" s="577"/>
      <c r="R378" s="577"/>
      <c r="S378" s="577"/>
      <c r="T378" s="577"/>
      <c r="U378" s="577"/>
      <c r="V378" s="132">
        <f t="shared" si="180"/>
        <v>0</v>
      </c>
      <c r="W378" s="133" t="str">
        <f t="shared" si="181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574" t="s">
        <v>208</v>
      </c>
      <c r="C379" s="126" t="s">
        <v>205</v>
      </c>
      <c r="D379" s="108">
        <v>5.08</v>
      </c>
      <c r="E379" s="108"/>
      <c r="F379" s="127"/>
      <c r="G379" s="128"/>
      <c r="H379" s="582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si="179"/>
        <v>0</v>
      </c>
      <c r="O379" s="577"/>
      <c r="P379" s="577"/>
      <c r="Q379" s="577"/>
      <c r="R379" s="577"/>
      <c r="S379" s="577"/>
      <c r="T379" s="577"/>
      <c r="U379" s="577"/>
      <c r="V379" s="132">
        <f t="shared" si="180"/>
        <v>0</v>
      </c>
      <c r="W379" s="133" t="str">
        <f t="shared" si="181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574" t="s">
        <v>208</v>
      </c>
      <c r="C380" s="126" t="s">
        <v>186</v>
      </c>
      <c r="D380" s="108">
        <v>5.08</v>
      </c>
      <c r="E380" s="108"/>
      <c r="F380" s="127"/>
      <c r="G380" s="128"/>
      <c r="H380" s="582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577"/>
      <c r="P380" s="577"/>
      <c r="Q380" s="577"/>
      <c r="R380" s="577"/>
      <c r="S380" s="577"/>
      <c r="T380" s="577"/>
      <c r="U380" s="577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574" t="s">
        <v>208</v>
      </c>
      <c r="C381" s="126" t="s">
        <v>203</v>
      </c>
      <c r="D381" s="108">
        <v>5.08</v>
      </c>
      <c r="E381" s="108"/>
      <c r="F381" s="127"/>
      <c r="G381" s="128"/>
      <c r="H381" s="582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577"/>
      <c r="P381" s="577"/>
      <c r="Q381" s="577"/>
      <c r="R381" s="577"/>
      <c r="S381" s="577"/>
      <c r="T381" s="577"/>
      <c r="U381" s="577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574" t="s">
        <v>208</v>
      </c>
      <c r="C382" s="126" t="s">
        <v>199</v>
      </c>
      <c r="D382" s="108">
        <v>5.08</v>
      </c>
      <c r="E382" s="108"/>
      <c r="F382" s="127"/>
      <c r="G382" s="128"/>
      <c r="H382" s="582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573"/>
      <c r="P382" s="573"/>
      <c r="Q382" s="573"/>
      <c r="R382" s="573"/>
      <c r="S382" s="573"/>
      <c r="T382" s="573"/>
      <c r="U382" s="573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574" t="s">
        <v>208</v>
      </c>
      <c r="C383" s="126" t="s">
        <v>187</v>
      </c>
      <c r="D383" s="108">
        <v>5.08</v>
      </c>
      <c r="E383" s="108"/>
      <c r="F383" s="127"/>
      <c r="G383" s="128"/>
      <c r="H383" s="582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577"/>
      <c r="P383" s="577"/>
      <c r="Q383" s="577"/>
      <c r="R383" s="577"/>
      <c r="S383" s="577"/>
      <c r="T383" s="577"/>
      <c r="U383" s="577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574" t="s">
        <v>208</v>
      </c>
      <c r="C384" s="126" t="s">
        <v>207</v>
      </c>
      <c r="D384" s="108">
        <v>5.08</v>
      </c>
      <c r="E384" s="108"/>
      <c r="F384" s="127"/>
      <c r="G384" s="128"/>
      <c r="H384" s="582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573"/>
      <c r="P384" s="573"/>
      <c r="Q384" s="573"/>
      <c r="R384" s="573"/>
      <c r="S384" s="573"/>
      <c r="T384" s="573"/>
      <c r="U384" s="573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574" t="s">
        <v>209</v>
      </c>
      <c r="C385" s="126" t="s">
        <v>194</v>
      </c>
      <c r="D385" s="108">
        <v>5.03</v>
      </c>
      <c r="E385" s="108"/>
      <c r="F385" s="127"/>
      <c r="G385" s="128"/>
      <c r="H385" s="582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5"/>
        <v>0</v>
      </c>
      <c r="N385" s="130">
        <f t="shared" si="179"/>
        <v>0</v>
      </c>
      <c r="O385" s="577"/>
      <c r="P385" s="577"/>
      <c r="Q385" s="577"/>
      <c r="R385" s="577"/>
      <c r="S385" s="577"/>
      <c r="T385" s="577"/>
      <c r="U385" s="577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574" t="s">
        <v>209</v>
      </c>
      <c r="C386" s="126" t="s">
        <v>179</v>
      </c>
      <c r="D386" s="108">
        <v>5.03</v>
      </c>
      <c r="E386" s="108"/>
      <c r="F386" s="127"/>
      <c r="G386" s="128"/>
      <c r="H386" s="582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5"/>
        <v>0</v>
      </c>
      <c r="N386" s="130">
        <f t="shared" si="179"/>
        <v>0</v>
      </c>
      <c r="O386" s="577"/>
      <c r="P386" s="577"/>
      <c r="Q386" s="577"/>
      <c r="R386" s="577"/>
      <c r="S386" s="577"/>
      <c r="T386" s="577"/>
      <c r="U386" s="577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574" t="s">
        <v>209</v>
      </c>
      <c r="C387" s="126" t="s">
        <v>195</v>
      </c>
      <c r="D387" s="108">
        <v>5.03</v>
      </c>
      <c r="E387" s="108"/>
      <c r="F387" s="127"/>
      <c r="G387" s="128"/>
      <c r="H387" s="582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577"/>
      <c r="P387" s="577"/>
      <c r="Q387" s="577"/>
      <c r="R387" s="577"/>
      <c r="S387" s="577"/>
      <c r="T387" s="577"/>
      <c r="U387" s="577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574" t="s">
        <v>209</v>
      </c>
      <c r="C388" s="126" t="s">
        <v>204</v>
      </c>
      <c r="D388" s="108">
        <v>5.03</v>
      </c>
      <c r="E388" s="108"/>
      <c r="F388" s="127"/>
      <c r="G388" s="128"/>
      <c r="H388" s="582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577"/>
      <c r="P388" s="577"/>
      <c r="Q388" s="577"/>
      <c r="R388" s="577"/>
      <c r="S388" s="577"/>
      <c r="T388" s="577"/>
      <c r="U388" s="577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574" t="s">
        <v>382</v>
      </c>
      <c r="C389" s="187" t="s">
        <v>383</v>
      </c>
      <c r="D389" s="108">
        <v>5.03</v>
      </c>
      <c r="E389" s="108"/>
      <c r="F389" s="127"/>
      <c r="G389" s="128"/>
      <c r="H389" s="582">
        <f t="shared" si="170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5"/>
        <v>0</v>
      </c>
      <c r="N389" s="130">
        <f t="shared" si="179"/>
        <v>0</v>
      </c>
      <c r="O389" s="577"/>
      <c r="P389" s="577"/>
      <c r="Q389" s="577"/>
      <c r="R389" s="577"/>
      <c r="S389" s="577"/>
      <c r="T389" s="577"/>
      <c r="U389" s="577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574" t="s">
        <v>382</v>
      </c>
      <c r="C390" s="187" t="s">
        <v>384</v>
      </c>
      <c r="D390" s="108">
        <v>5.03</v>
      </c>
      <c r="E390" s="108"/>
      <c r="F390" s="127"/>
      <c r="G390" s="128"/>
      <c r="H390" s="582">
        <f t="shared" si="170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5"/>
        <v>0</v>
      </c>
      <c r="N390" s="130">
        <f t="shared" si="179"/>
        <v>0</v>
      </c>
      <c r="O390" s="577"/>
      <c r="P390" s="577"/>
      <c r="Q390" s="577"/>
      <c r="R390" s="577"/>
      <c r="S390" s="577"/>
      <c r="T390" s="577"/>
      <c r="U390" s="577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574" t="s">
        <v>382</v>
      </c>
      <c r="C391" s="187" t="s">
        <v>389</v>
      </c>
      <c r="D391" s="108">
        <v>5.03</v>
      </c>
      <c r="E391" s="108"/>
      <c r="F391" s="127"/>
      <c r="G391" s="128"/>
      <c r="H391" s="582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577"/>
      <c r="P391" s="577"/>
      <c r="Q391" s="577"/>
      <c r="R391" s="577"/>
      <c r="S391" s="577"/>
      <c r="T391" s="577"/>
      <c r="U391" s="577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574" t="s">
        <v>382</v>
      </c>
      <c r="C392" s="187" t="s">
        <v>391</v>
      </c>
      <c r="D392" s="108">
        <v>5.03</v>
      </c>
      <c r="E392" s="108"/>
      <c r="F392" s="127"/>
      <c r="G392" s="128"/>
      <c r="H392" s="582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577"/>
      <c r="P392" s="577"/>
      <c r="Q392" s="577"/>
      <c r="R392" s="577"/>
      <c r="S392" s="577"/>
      <c r="T392" s="577"/>
      <c r="U392" s="577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574" t="s">
        <v>418</v>
      </c>
      <c r="C393" s="187" t="s">
        <v>364</v>
      </c>
      <c r="D393" s="108">
        <v>5.03</v>
      </c>
      <c r="E393" s="108"/>
      <c r="F393" s="127"/>
      <c r="G393" s="128"/>
      <c r="H393" s="582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5"/>
        <v>0</v>
      </c>
      <c r="N393" s="130"/>
      <c r="O393" s="577"/>
      <c r="P393" s="577"/>
      <c r="Q393" s="577"/>
      <c r="R393" s="577"/>
      <c r="S393" s="577"/>
      <c r="T393" s="577"/>
      <c r="U393" s="577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574" t="s">
        <v>418</v>
      </c>
      <c r="C394" s="187" t="s">
        <v>365</v>
      </c>
      <c r="D394" s="108">
        <v>5.03</v>
      </c>
      <c r="E394" s="108"/>
      <c r="F394" s="127"/>
      <c r="G394" s="128"/>
      <c r="H394" s="582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5"/>
        <v>0</v>
      </c>
      <c r="N394" s="130"/>
      <c r="O394" s="577"/>
      <c r="P394" s="577"/>
      <c r="Q394" s="577"/>
      <c r="R394" s="577"/>
      <c r="S394" s="577"/>
      <c r="T394" s="577"/>
      <c r="U394" s="577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574" t="s">
        <v>418</v>
      </c>
      <c r="C395" s="187" t="s">
        <v>366</v>
      </c>
      <c r="D395" s="108">
        <v>5.03</v>
      </c>
      <c r="E395" s="108"/>
      <c r="F395" s="127"/>
      <c r="G395" s="128"/>
      <c r="H395" s="582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577"/>
      <c r="P395" s="577"/>
      <c r="Q395" s="577"/>
      <c r="R395" s="577"/>
      <c r="S395" s="577"/>
      <c r="T395" s="577"/>
      <c r="U395" s="577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574" t="s">
        <v>418</v>
      </c>
      <c r="C396" s="187" t="s">
        <v>367</v>
      </c>
      <c r="D396" s="108">
        <v>5.03</v>
      </c>
      <c r="E396" s="108"/>
      <c r="F396" s="127"/>
      <c r="G396" s="128"/>
      <c r="H396" s="582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577"/>
      <c r="P396" s="577"/>
      <c r="Q396" s="577"/>
      <c r="R396" s="577"/>
      <c r="S396" s="577"/>
      <c r="T396" s="577"/>
      <c r="U396" s="577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582">
        <f t="shared" si="170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5"/>
        <v>0</v>
      </c>
      <c r="N397" s="130">
        <f t="shared" ref="N397:N406" si="182">SUM(O397:U397)</f>
        <v>0</v>
      </c>
      <c r="O397" s="573"/>
      <c r="P397" s="573"/>
      <c r="Q397" s="573"/>
      <c r="R397" s="573"/>
      <c r="S397" s="573"/>
      <c r="T397" s="573"/>
      <c r="U397" s="573"/>
      <c r="V397" s="132">
        <f t="shared" ref="V397:V406" si="183">SUM(X397:AA397)</f>
        <v>0</v>
      </c>
      <c r="W397" s="133" t="str">
        <f t="shared" ref="W397:W406" si="184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582">
        <f t="shared" si="170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5"/>
        <v>0</v>
      </c>
      <c r="N398" s="130">
        <f t="shared" si="182"/>
        <v>0</v>
      </c>
      <c r="O398" s="573"/>
      <c r="P398" s="573"/>
      <c r="Q398" s="573"/>
      <c r="R398" s="573"/>
      <c r="S398" s="573"/>
      <c r="T398" s="573"/>
      <c r="U398" s="573"/>
      <c r="V398" s="132">
        <f t="shared" si="183"/>
        <v>0</v>
      </c>
      <c r="W398" s="133" t="str">
        <f t="shared" si="184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582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si="182"/>
        <v>0</v>
      </c>
      <c r="O399" s="573"/>
      <c r="P399" s="573"/>
      <c r="Q399" s="573"/>
      <c r="R399" s="573"/>
      <c r="S399" s="573"/>
      <c r="T399" s="573"/>
      <c r="U399" s="573"/>
      <c r="V399" s="132">
        <f t="shared" si="183"/>
        <v>0</v>
      </c>
      <c r="W399" s="133" t="str">
        <f t="shared" si="184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582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5"/>
        <v>0</v>
      </c>
      <c r="N400" s="130">
        <f t="shared" si="182"/>
        <v>0</v>
      </c>
      <c r="O400" s="573"/>
      <c r="P400" s="573"/>
      <c r="Q400" s="573"/>
      <c r="R400" s="573"/>
      <c r="S400" s="573"/>
      <c r="T400" s="573"/>
      <c r="U400" s="573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582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5"/>
        <v>0</v>
      </c>
      <c r="N401" s="130">
        <f t="shared" si="182"/>
        <v>0</v>
      </c>
      <c r="O401" s="573"/>
      <c r="P401" s="573"/>
      <c r="Q401" s="573"/>
      <c r="R401" s="573"/>
      <c r="S401" s="573"/>
      <c r="T401" s="573"/>
      <c r="U401" s="573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582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573"/>
      <c r="P402" s="573"/>
      <c r="Q402" s="573"/>
      <c r="R402" s="573"/>
      <c r="S402" s="573"/>
      <c r="T402" s="573"/>
      <c r="U402" s="573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582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573"/>
      <c r="P403" s="573"/>
      <c r="Q403" s="573"/>
      <c r="R403" s="573"/>
      <c r="S403" s="573"/>
      <c r="T403" s="573"/>
      <c r="U403" s="573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582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573"/>
      <c r="P404" s="573"/>
      <c r="Q404" s="573"/>
      <c r="R404" s="573"/>
      <c r="S404" s="573"/>
      <c r="T404" s="573"/>
      <c r="U404" s="573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582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573"/>
      <c r="P405" s="573"/>
      <c r="Q405" s="573"/>
      <c r="R405" s="573"/>
      <c r="S405" s="573"/>
      <c r="T405" s="573"/>
      <c r="U405" s="573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582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573"/>
      <c r="P406" s="573"/>
      <c r="Q406" s="573"/>
      <c r="R406" s="573"/>
      <c r="S406" s="573"/>
      <c r="T406" s="573"/>
      <c r="U406" s="573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582">
        <f t="shared" si="170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573"/>
      <c r="P407" s="573"/>
      <c r="Q407" s="573"/>
      <c r="R407" s="573"/>
      <c r="S407" s="573"/>
      <c r="T407" s="573"/>
      <c r="U407" s="573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582">
        <f t="shared" si="170"/>
        <v>0</v>
      </c>
      <c r="I408" s="129"/>
      <c r="J408" s="130"/>
      <c r="K408" s="131"/>
      <c r="L408" s="129">
        <v>50</v>
      </c>
      <c r="M408" s="109"/>
      <c r="N408" s="130"/>
      <c r="O408" s="573"/>
      <c r="P408" s="573"/>
      <c r="Q408" s="573"/>
      <c r="R408" s="573"/>
      <c r="S408" s="573"/>
      <c r="T408" s="573"/>
      <c r="U408" s="573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582">
        <f t="shared" si="170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5">IF(ISERROR(I409-K409),"",I409-K409)</f>
        <v>0</v>
      </c>
      <c r="N409" s="130">
        <f t="shared" ref="N409:N410" si="186">SUM(O409:U409)</f>
        <v>0</v>
      </c>
      <c r="O409" s="573"/>
      <c r="P409" s="573"/>
      <c r="Q409" s="573"/>
      <c r="R409" s="573"/>
      <c r="S409" s="573"/>
      <c r="T409" s="573"/>
      <c r="U409" s="573"/>
      <c r="V409" s="132">
        <f t="shared" ref="V409:V410" si="187">SUM(X409:AA409)</f>
        <v>0</v>
      </c>
      <c r="W409" s="133" t="str">
        <f t="shared" ref="W409:W410" si="188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582">
        <f t="shared" si="170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5"/>
        <v>0</v>
      </c>
      <c r="N410" s="130">
        <f t="shared" si="186"/>
        <v>0</v>
      </c>
      <c r="O410" s="573"/>
      <c r="P410" s="573"/>
      <c r="Q410" s="573"/>
      <c r="R410" s="573"/>
      <c r="S410" s="573"/>
      <c r="T410" s="573"/>
      <c r="U410" s="573"/>
      <c r="V410" s="132">
        <f t="shared" si="187"/>
        <v>0</v>
      </c>
      <c r="W410" s="133" t="str">
        <f t="shared" si="188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582">
        <f t="shared" si="170"/>
        <v>0</v>
      </c>
      <c r="I411" s="129"/>
      <c r="J411" s="130"/>
      <c r="K411" s="131"/>
      <c r="L411" s="129"/>
      <c r="M411" s="109"/>
      <c r="N411" s="130"/>
      <c r="O411" s="573"/>
      <c r="P411" s="573"/>
      <c r="Q411" s="573"/>
      <c r="R411" s="573"/>
      <c r="S411" s="573"/>
      <c r="T411" s="573"/>
      <c r="U411" s="573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582">
        <f t="shared" si="170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89">IF(ISERROR(I412-K412),"",I412-K412)</f>
        <v/>
      </c>
      <c r="N412" s="130">
        <f t="shared" ref="N412:N415" si="190">SUM(O412:U412)</f>
        <v>0</v>
      </c>
      <c r="O412" s="573"/>
      <c r="P412" s="573"/>
      <c r="Q412" s="573"/>
      <c r="R412" s="573"/>
      <c r="S412" s="573"/>
      <c r="T412" s="573"/>
      <c r="U412" s="573"/>
      <c r="V412" s="132">
        <f t="shared" ref="V412:V415" si="191">SUM(X412:AA412)</f>
        <v>0</v>
      </c>
      <c r="W412" s="133" t="str">
        <f t="shared" ref="W412:W415" si="192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582">
        <f t="shared" si="170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89"/>
        <v/>
      </c>
      <c r="N413" s="130">
        <f t="shared" si="190"/>
        <v>0</v>
      </c>
      <c r="O413" s="573"/>
      <c r="P413" s="573"/>
      <c r="Q413" s="573"/>
      <c r="R413" s="573"/>
      <c r="S413" s="573"/>
      <c r="T413" s="573"/>
      <c r="U413" s="573"/>
      <c r="V413" s="132">
        <f t="shared" si="191"/>
        <v>0</v>
      </c>
      <c r="W413" s="133" t="str">
        <f t="shared" si="192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582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89"/>
        <v/>
      </c>
      <c r="N414" s="130">
        <f t="shared" si="190"/>
        <v>0</v>
      </c>
      <c r="O414" s="573"/>
      <c r="P414" s="573"/>
      <c r="Q414" s="573"/>
      <c r="R414" s="573"/>
      <c r="S414" s="573"/>
      <c r="T414" s="573"/>
      <c r="U414" s="573"/>
      <c r="V414" s="132">
        <f t="shared" si="191"/>
        <v>0</v>
      </c>
      <c r="W414" s="133" t="str">
        <f t="shared" si="192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582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573"/>
      <c r="P415" s="573"/>
      <c r="Q415" s="573"/>
      <c r="R415" s="573"/>
      <c r="S415" s="573"/>
      <c r="T415" s="573"/>
      <c r="U415" s="573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582">
        <f t="shared" si="170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89"/>
        <v>0</v>
      </c>
      <c r="N416" s="130"/>
      <c r="O416" s="573"/>
      <c r="P416" s="573"/>
      <c r="Q416" s="573"/>
      <c r="R416" s="573"/>
      <c r="S416" s="573"/>
      <c r="T416" s="573"/>
      <c r="U416" s="573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582">
        <f t="shared" si="170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89"/>
        <v>0</v>
      </c>
      <c r="N417" s="130"/>
      <c r="O417" s="573"/>
      <c r="P417" s="573"/>
      <c r="Q417" s="573"/>
      <c r="R417" s="573"/>
      <c r="S417" s="573"/>
      <c r="T417" s="573"/>
      <c r="U417" s="573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582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573"/>
      <c r="P418" s="573"/>
      <c r="Q418" s="573"/>
      <c r="R418" s="573"/>
      <c r="S418" s="573"/>
      <c r="T418" s="573"/>
      <c r="U418" s="573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582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573"/>
      <c r="P419" s="573"/>
      <c r="Q419" s="573"/>
      <c r="R419" s="573"/>
      <c r="S419" s="573"/>
      <c r="T419" s="573"/>
      <c r="U419" s="573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582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89"/>
        <v>0</v>
      </c>
      <c r="N420" s="130"/>
      <c r="O420" s="573"/>
      <c r="P420" s="573"/>
      <c r="Q420" s="573"/>
      <c r="R420" s="573"/>
      <c r="S420" s="573"/>
      <c r="T420" s="573"/>
      <c r="U420" s="573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582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89"/>
        <v>0</v>
      </c>
      <c r="N421" s="130"/>
      <c r="O421" s="573"/>
      <c r="P421" s="573"/>
      <c r="Q421" s="573"/>
      <c r="R421" s="573"/>
      <c r="S421" s="573"/>
      <c r="T421" s="573"/>
      <c r="U421" s="573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582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573"/>
      <c r="P422" s="573"/>
      <c r="Q422" s="573"/>
      <c r="R422" s="573"/>
      <c r="S422" s="573"/>
      <c r="T422" s="573"/>
      <c r="U422" s="573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582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573"/>
      <c r="P423" s="573"/>
      <c r="Q423" s="573"/>
      <c r="R423" s="573"/>
      <c r="S423" s="573"/>
      <c r="T423" s="573"/>
      <c r="U423" s="573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582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573"/>
      <c r="P424" s="573"/>
      <c r="Q424" s="573"/>
      <c r="R424" s="573"/>
      <c r="S424" s="573"/>
      <c r="T424" s="573"/>
      <c r="U424" s="573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582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573"/>
      <c r="P425" s="573"/>
      <c r="Q425" s="573"/>
      <c r="R425" s="573"/>
      <c r="S425" s="573"/>
      <c r="T425" s="573"/>
      <c r="U425" s="573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41" t="s">
        <v>216</v>
      </c>
      <c r="B426" s="641"/>
      <c r="C426" s="580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3">SUM(M369:M425)</f>
        <v>0</v>
      </c>
      <c r="N426" s="146">
        <f t="shared" si="193"/>
        <v>0</v>
      </c>
      <c r="O426" s="148">
        <f t="shared" si="193"/>
        <v>0</v>
      </c>
      <c r="P426" s="148">
        <f t="shared" si="193"/>
        <v>0</v>
      </c>
      <c r="Q426" s="148">
        <f t="shared" si="193"/>
        <v>0</v>
      </c>
      <c r="R426" s="148">
        <f t="shared" si="193"/>
        <v>0</v>
      </c>
      <c r="S426" s="148">
        <f t="shared" si="193"/>
        <v>0</v>
      </c>
      <c r="T426" s="148">
        <f t="shared" si="193"/>
        <v>0</v>
      </c>
      <c r="U426" s="148">
        <f t="shared" si="193"/>
        <v>0</v>
      </c>
      <c r="V426" s="149">
        <f t="shared" si="193"/>
        <v>0</v>
      </c>
      <c r="W426" s="133" t="str">
        <f t="shared" ref="W426:W433" si="194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574" t="s">
        <v>217</v>
      </c>
      <c r="C427" s="126" t="s">
        <v>179</v>
      </c>
      <c r="D427" s="108">
        <v>5.03</v>
      </c>
      <c r="E427" s="108"/>
      <c r="F427" s="127"/>
      <c r="G427" s="128"/>
      <c r="H427" s="582">
        <f t="shared" ref="H427:H460" si="195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6">IF(ISERROR(I427-K427),"",I427-K427)</f>
        <v>0</v>
      </c>
      <c r="N427" s="130">
        <f t="shared" ref="N427:N434" si="197">SUM(O427:U427)</f>
        <v>0</v>
      </c>
      <c r="O427" s="573"/>
      <c r="P427" s="573"/>
      <c r="Q427" s="573"/>
      <c r="R427" s="573"/>
      <c r="S427" s="573"/>
      <c r="T427" s="573"/>
      <c r="U427" s="573"/>
      <c r="V427" s="132">
        <f t="shared" ref="V427:V433" si="198">SUM(X427:AA427)</f>
        <v>0</v>
      </c>
      <c r="W427" s="133" t="str">
        <f t="shared" si="194"/>
        <v/>
      </c>
      <c r="X427" s="132"/>
      <c r="Y427" s="132"/>
      <c r="Z427" s="132"/>
      <c r="AA427" s="132"/>
    </row>
    <row r="428" spans="1:27" ht="20.100000000000001" customHeight="1">
      <c r="A428" s="299">
        <v>30400010</v>
      </c>
      <c r="B428" s="574" t="s">
        <v>217</v>
      </c>
      <c r="C428" s="126" t="s">
        <v>186</v>
      </c>
      <c r="D428" s="108">
        <v>5.03</v>
      </c>
      <c r="E428" s="108"/>
      <c r="F428" s="127">
        <v>42725</v>
      </c>
      <c r="G428" s="128">
        <f>69+53+15+72+32</f>
        <v>241</v>
      </c>
      <c r="H428" s="582">
        <f t="shared" si="195"/>
        <v>1212.23</v>
      </c>
      <c r="I428" s="129">
        <f>4*2+0.5+2+4+4+2+2.5</f>
        <v>23</v>
      </c>
      <c r="J428" s="130">
        <f t="array" ref="J428">IF(ISERROR(G428/I428),"",G428/I428)</f>
        <v>10.478260869565217</v>
      </c>
      <c r="K428" s="131">
        <f t="array" ref="K428">IF(ISERROR(G428/L428),"",G428/L428)</f>
        <v>27.386363636363633</v>
      </c>
      <c r="L428" s="129">
        <v>8.8000000000000007</v>
      </c>
      <c r="M428" s="109">
        <f t="shared" si="196"/>
        <v>-4.3863636363636331</v>
      </c>
      <c r="N428" s="130">
        <f t="shared" si="197"/>
        <v>0</v>
      </c>
      <c r="O428" s="573"/>
      <c r="P428" s="573"/>
      <c r="Q428" s="573"/>
      <c r="R428" s="573"/>
      <c r="S428" s="573"/>
      <c r="T428" s="573"/>
      <c r="U428" s="573"/>
      <c r="V428" s="132">
        <f t="shared" si="198"/>
        <v>0</v>
      </c>
      <c r="W428" s="133">
        <f t="shared" si="194"/>
        <v>0</v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574" t="s">
        <v>217</v>
      </c>
      <c r="C429" s="126" t="s">
        <v>204</v>
      </c>
      <c r="D429" s="108">
        <v>5.03</v>
      </c>
      <c r="E429" s="108"/>
      <c r="F429" s="127"/>
      <c r="G429" s="128"/>
      <c r="H429" s="582">
        <f t="shared" si="195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6"/>
        <v>0</v>
      </c>
      <c r="N429" s="130">
        <f t="shared" si="197"/>
        <v>0</v>
      </c>
      <c r="O429" s="573"/>
      <c r="P429" s="573"/>
      <c r="Q429" s="573"/>
      <c r="R429" s="573"/>
      <c r="S429" s="573"/>
      <c r="T429" s="573"/>
      <c r="U429" s="573"/>
      <c r="V429" s="132">
        <f t="shared" si="198"/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582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6"/>
        <v>0</v>
      </c>
      <c r="N430" s="130">
        <f t="shared" si="197"/>
        <v>0</v>
      </c>
      <c r="O430" s="573"/>
      <c r="P430" s="573"/>
      <c r="Q430" s="573"/>
      <c r="R430" s="573"/>
      <c r="S430" s="573"/>
      <c r="T430" s="573"/>
      <c r="U430" s="573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>
        <v>42724</v>
      </c>
      <c r="G431" s="128">
        <f>110+80+112+79+30+25+108+108</f>
        <v>652</v>
      </c>
      <c r="H431" s="582">
        <f t="shared" si="195"/>
        <v>3279.56</v>
      </c>
      <c r="I431" s="129">
        <f>6*2+10.5+10+8+4.5+5+6+6</f>
        <v>62</v>
      </c>
      <c r="J431" s="130">
        <f t="array" ref="J431">IF(ISERROR(G431/I431),"",G431/I431)</f>
        <v>10.516129032258064</v>
      </c>
      <c r="K431" s="131">
        <f t="array" ref="K431">IF(ISERROR(G431/L431),"",G431/L431)</f>
        <v>70.107526881720432</v>
      </c>
      <c r="L431" s="129">
        <v>9.3000000000000007</v>
      </c>
      <c r="M431" s="109">
        <f t="shared" si="196"/>
        <v>-8.1075268817204318</v>
      </c>
      <c r="N431" s="130">
        <f t="shared" si="197"/>
        <v>0</v>
      </c>
      <c r="O431" s="573"/>
      <c r="P431" s="573"/>
      <c r="Q431" s="573"/>
      <c r="R431" s="573"/>
      <c r="S431" s="573"/>
      <c r="T431" s="573"/>
      <c r="U431" s="573"/>
      <c r="V431" s="132">
        <f t="shared" si="198"/>
        <v>0</v>
      </c>
      <c r="W431" s="133">
        <f t="shared" si="194"/>
        <v>0</v>
      </c>
      <c r="X431" s="132"/>
      <c r="Y431" s="132"/>
      <c r="Z431" s="132"/>
      <c r="AA431" s="132"/>
    </row>
    <row r="432" spans="1:27" ht="20.100000000000001" hidden="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582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573"/>
      <c r="P432" s="573"/>
      <c r="Q432" s="573"/>
      <c r="R432" s="573"/>
      <c r="S432" s="573"/>
      <c r="T432" s="573"/>
      <c r="U432" s="573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582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573"/>
      <c r="P433" s="573"/>
      <c r="Q433" s="573"/>
      <c r="R433" s="573"/>
      <c r="S433" s="573"/>
      <c r="T433" s="573"/>
      <c r="U433" s="573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582">
        <f t="shared" si="195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573"/>
      <c r="P434" s="573"/>
      <c r="Q434" s="573"/>
      <c r="R434" s="573"/>
      <c r="S434" s="573"/>
      <c r="T434" s="573"/>
      <c r="U434" s="573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582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573"/>
      <c r="P435" s="573"/>
      <c r="Q435" s="573"/>
      <c r="R435" s="573"/>
      <c r="S435" s="573"/>
      <c r="T435" s="573"/>
      <c r="U435" s="573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582">
        <f t="shared" si="195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573"/>
      <c r="P436" s="573"/>
      <c r="Q436" s="573"/>
      <c r="R436" s="573"/>
      <c r="S436" s="573"/>
      <c r="T436" s="573"/>
      <c r="U436" s="573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582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573"/>
      <c r="P437" s="573"/>
      <c r="Q437" s="573"/>
      <c r="R437" s="573"/>
      <c r="S437" s="573"/>
      <c r="T437" s="573"/>
      <c r="U437" s="573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582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573"/>
      <c r="P438" s="573"/>
      <c r="Q438" s="573"/>
      <c r="R438" s="573"/>
      <c r="S438" s="573"/>
      <c r="T438" s="573"/>
      <c r="U438" s="573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582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199">IF(ISERROR(I439-K439),"",I439-K439)</f>
        <v>0</v>
      </c>
      <c r="N439" s="130">
        <f t="shared" ref="N439:N454" si="200">SUM(O439:U439)</f>
        <v>0</v>
      </c>
      <c r="O439" s="573"/>
      <c r="P439" s="573"/>
      <c r="Q439" s="573"/>
      <c r="R439" s="573"/>
      <c r="S439" s="573"/>
      <c r="T439" s="573"/>
      <c r="U439" s="573"/>
      <c r="V439" s="132">
        <f t="shared" ref="V439:V442" si="201">SUM(X439:AA439)</f>
        <v>0</v>
      </c>
      <c r="W439" s="133" t="str">
        <f t="shared" ref="W439:W446" si="202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582">
        <f t="shared" si="195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199"/>
        <v/>
      </c>
      <c r="N440" s="130">
        <f t="shared" si="200"/>
        <v>0</v>
      </c>
      <c r="O440" s="573"/>
      <c r="P440" s="573"/>
      <c r="Q440" s="573"/>
      <c r="R440" s="573"/>
      <c r="S440" s="573"/>
      <c r="T440" s="573"/>
      <c r="U440" s="573"/>
      <c r="V440" s="132">
        <f t="shared" si="201"/>
        <v>0</v>
      </c>
      <c r="W440" s="133" t="str">
        <f t="shared" si="202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582">
        <f t="shared" si="195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199"/>
        <v/>
      </c>
      <c r="N441" s="130">
        <f t="shared" si="200"/>
        <v>0</v>
      </c>
      <c r="O441" s="573"/>
      <c r="P441" s="573"/>
      <c r="Q441" s="573"/>
      <c r="R441" s="573"/>
      <c r="S441" s="573"/>
      <c r="T441" s="573"/>
      <c r="U441" s="573"/>
      <c r="V441" s="132">
        <f t="shared" si="201"/>
        <v>0</v>
      </c>
      <c r="W441" s="133" t="str">
        <f t="shared" si="202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582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573"/>
      <c r="P442" s="573"/>
      <c r="Q442" s="573"/>
      <c r="R442" s="573"/>
      <c r="S442" s="573"/>
      <c r="T442" s="573"/>
      <c r="U442" s="573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574" t="s">
        <v>222</v>
      </c>
      <c r="C443" s="126" t="s">
        <v>181</v>
      </c>
      <c r="D443" s="108">
        <v>9.36</v>
      </c>
      <c r="E443" s="108"/>
      <c r="F443" s="127"/>
      <c r="G443" s="128"/>
      <c r="H443" s="582">
        <f t="shared" si="195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199"/>
        <v>0</v>
      </c>
      <c r="N443" s="130">
        <f t="shared" si="200"/>
        <v>0</v>
      </c>
      <c r="O443" s="573"/>
      <c r="P443" s="573"/>
      <c r="Q443" s="573"/>
      <c r="R443" s="573"/>
      <c r="S443" s="573"/>
      <c r="T443" s="573"/>
      <c r="U443" s="573"/>
      <c r="V443" s="132">
        <f t="shared" ref="V443:V446" si="203">SUM(X443:AA443)</f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574" t="s">
        <v>222</v>
      </c>
      <c r="C444" s="126" t="s">
        <v>179</v>
      </c>
      <c r="D444" s="108">
        <v>9.36</v>
      </c>
      <c r="E444" s="108"/>
      <c r="F444" s="127"/>
      <c r="G444" s="128"/>
      <c r="H444" s="582">
        <f t="shared" si="195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199"/>
        <v>0</v>
      </c>
      <c r="N444" s="130">
        <f t="shared" si="200"/>
        <v>0</v>
      </c>
      <c r="O444" s="573"/>
      <c r="P444" s="573"/>
      <c r="Q444" s="573"/>
      <c r="R444" s="573"/>
      <c r="S444" s="573"/>
      <c r="T444" s="573"/>
      <c r="U444" s="573"/>
      <c r="V444" s="132">
        <f t="shared" si="203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574" t="s">
        <v>222</v>
      </c>
      <c r="C445" s="126" t="s">
        <v>221</v>
      </c>
      <c r="D445" s="108">
        <v>9.36</v>
      </c>
      <c r="E445" s="108"/>
      <c r="F445" s="127"/>
      <c r="G445" s="128"/>
      <c r="H445" s="582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573"/>
      <c r="P445" s="573"/>
      <c r="Q445" s="573"/>
      <c r="R445" s="573"/>
      <c r="S445" s="573"/>
      <c r="T445" s="573"/>
      <c r="U445" s="573"/>
      <c r="V445" s="132">
        <f t="shared" si="203"/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574" t="s">
        <v>222</v>
      </c>
      <c r="C446" s="126" t="s">
        <v>186</v>
      </c>
      <c r="D446" s="108">
        <v>9.36</v>
      </c>
      <c r="E446" s="108"/>
      <c r="F446" s="127"/>
      <c r="G446" s="128"/>
      <c r="H446" s="582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573"/>
      <c r="P446" s="573"/>
      <c r="Q446" s="573"/>
      <c r="R446" s="573"/>
      <c r="S446" s="573"/>
      <c r="T446" s="573"/>
      <c r="U446" s="573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574" t="s">
        <v>393</v>
      </c>
      <c r="C447" s="187" t="s">
        <v>395</v>
      </c>
      <c r="D447" s="108">
        <v>5</v>
      </c>
      <c r="E447" s="108"/>
      <c r="F447" s="127"/>
      <c r="G447" s="128"/>
      <c r="H447" s="582">
        <f t="shared" si="195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199"/>
        <v>0</v>
      </c>
      <c r="N447" s="130">
        <f t="shared" si="200"/>
        <v>0</v>
      </c>
      <c r="O447" s="573"/>
      <c r="P447" s="573"/>
      <c r="Q447" s="573"/>
      <c r="R447" s="573"/>
      <c r="S447" s="573"/>
      <c r="T447" s="573"/>
      <c r="U447" s="573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574" t="s">
        <v>393</v>
      </c>
      <c r="C448" s="187" t="s">
        <v>402</v>
      </c>
      <c r="D448" s="108">
        <v>5</v>
      </c>
      <c r="E448" s="108"/>
      <c r="F448" s="127"/>
      <c r="G448" s="128"/>
      <c r="H448" s="582">
        <f t="shared" si="195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199"/>
        <v>0</v>
      </c>
      <c r="N448" s="130">
        <f t="shared" si="200"/>
        <v>0</v>
      </c>
      <c r="O448" s="573"/>
      <c r="P448" s="573"/>
      <c r="Q448" s="573"/>
      <c r="R448" s="573"/>
      <c r="S448" s="573"/>
      <c r="T448" s="573"/>
      <c r="U448" s="573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574" t="s">
        <v>404</v>
      </c>
      <c r="C449" s="187" t="s">
        <v>405</v>
      </c>
      <c r="D449" s="108">
        <v>5</v>
      </c>
      <c r="E449" s="108"/>
      <c r="F449" s="127"/>
      <c r="G449" s="128"/>
      <c r="H449" s="582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573"/>
      <c r="P449" s="573"/>
      <c r="Q449" s="573"/>
      <c r="R449" s="573"/>
      <c r="S449" s="573"/>
      <c r="T449" s="573"/>
      <c r="U449" s="573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574" t="s">
        <v>342</v>
      </c>
      <c r="C450" s="187" t="s">
        <v>372</v>
      </c>
      <c r="D450" s="108">
        <v>5</v>
      </c>
      <c r="E450" s="108"/>
      <c r="F450" s="127"/>
      <c r="G450" s="128"/>
      <c r="H450" s="582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573"/>
      <c r="P450" s="573"/>
      <c r="Q450" s="573"/>
      <c r="R450" s="573"/>
      <c r="S450" s="573"/>
      <c r="T450" s="573"/>
      <c r="U450" s="573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574" t="s">
        <v>343</v>
      </c>
      <c r="C451" s="126" t="s">
        <v>345</v>
      </c>
      <c r="D451" s="108">
        <v>5</v>
      </c>
      <c r="E451" s="108"/>
      <c r="F451" s="127"/>
      <c r="G451" s="128"/>
      <c r="H451" s="582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573"/>
      <c r="P451" s="573"/>
      <c r="Q451" s="573"/>
      <c r="R451" s="573"/>
      <c r="S451" s="573"/>
      <c r="T451" s="573"/>
      <c r="U451" s="573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574" t="s">
        <v>343</v>
      </c>
      <c r="C452" s="126" t="s">
        <v>347</v>
      </c>
      <c r="D452" s="108">
        <v>5</v>
      </c>
      <c r="E452" s="108"/>
      <c r="F452" s="127"/>
      <c r="G452" s="128"/>
      <c r="H452" s="582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573"/>
      <c r="P452" s="573"/>
      <c r="Q452" s="573"/>
      <c r="R452" s="573"/>
      <c r="S452" s="573"/>
      <c r="T452" s="573"/>
      <c r="U452" s="573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582">
        <f t="shared" si="195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199"/>
        <v>0</v>
      </c>
      <c r="N453" s="130">
        <f t="shared" si="200"/>
        <v>0</v>
      </c>
      <c r="O453" s="573"/>
      <c r="P453" s="573"/>
      <c r="Q453" s="573"/>
      <c r="R453" s="573"/>
      <c r="S453" s="573"/>
      <c r="T453" s="573"/>
      <c r="U453" s="573"/>
      <c r="V453" s="132">
        <f t="shared" ref="V453:V454" si="204">SUM(X453:AA453)</f>
        <v>0</v>
      </c>
      <c r="W453" s="133" t="str">
        <f t="shared" ref="W453:W454" si="205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582">
        <f t="shared" si="195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199"/>
        <v>0</v>
      </c>
      <c r="N454" s="130">
        <f t="shared" si="200"/>
        <v>0</v>
      </c>
      <c r="O454" s="573"/>
      <c r="P454" s="573"/>
      <c r="Q454" s="573"/>
      <c r="R454" s="573"/>
      <c r="S454" s="573"/>
      <c r="T454" s="573"/>
      <c r="U454" s="573"/>
      <c r="V454" s="132">
        <f t="shared" si="204"/>
        <v>0</v>
      </c>
      <c r="W454" s="133" t="str">
        <f t="shared" si="205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582">
        <f t="shared" si="195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199"/>
        <v>0</v>
      </c>
      <c r="N455" s="130"/>
      <c r="O455" s="573"/>
      <c r="P455" s="573"/>
      <c r="Q455" s="573"/>
      <c r="R455" s="573"/>
      <c r="S455" s="573"/>
      <c r="T455" s="573"/>
      <c r="U455" s="573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582">
        <f t="shared" si="195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199"/>
        <v>0</v>
      </c>
      <c r="N456" s="130"/>
      <c r="O456" s="573"/>
      <c r="P456" s="573"/>
      <c r="Q456" s="573"/>
      <c r="R456" s="573"/>
      <c r="S456" s="573"/>
      <c r="T456" s="573"/>
      <c r="U456" s="573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582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573"/>
      <c r="P457" s="573"/>
      <c r="Q457" s="573"/>
      <c r="R457" s="573"/>
      <c r="S457" s="573"/>
      <c r="T457" s="573"/>
      <c r="U457" s="573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582">
        <f t="shared" si="195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199"/>
        <v>0</v>
      </c>
      <c r="N458" s="130">
        <f t="shared" ref="N458:N460" si="206">SUM(O458:U458)</f>
        <v>0</v>
      </c>
      <c r="O458" s="573"/>
      <c r="P458" s="573"/>
      <c r="Q458" s="573"/>
      <c r="R458" s="573"/>
      <c r="S458" s="573"/>
      <c r="T458" s="573"/>
      <c r="U458" s="573"/>
      <c r="V458" s="132">
        <f t="shared" ref="V458:V460" si="207">SUM(X458:AA458)</f>
        <v>0</v>
      </c>
      <c r="W458" s="133" t="str">
        <f t="shared" ref="W458:W482" si="208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582">
        <f t="shared" si="195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199"/>
        <v>0</v>
      </c>
      <c r="N459" s="130">
        <f t="shared" si="206"/>
        <v>0</v>
      </c>
      <c r="O459" s="573"/>
      <c r="P459" s="573"/>
      <c r="Q459" s="573"/>
      <c r="R459" s="573"/>
      <c r="S459" s="573"/>
      <c r="T459" s="573"/>
      <c r="U459" s="573"/>
      <c r="V459" s="132">
        <f t="shared" si="207"/>
        <v>0</v>
      </c>
      <c r="W459" s="133" t="str">
        <f t="shared" si="208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582">
        <f t="shared" si="195"/>
        <v>0</v>
      </c>
      <c r="I460" s="129"/>
      <c r="J460" s="130" t="str">
        <f t="array" ref="J460">IF(ISERROR(G460/I460),"",G460/I460)</f>
        <v/>
      </c>
      <c r="K460" s="582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si="206"/>
        <v>0</v>
      </c>
      <c r="O460" s="573"/>
      <c r="P460" s="573"/>
      <c r="Q460" s="573"/>
      <c r="R460" s="573"/>
      <c r="S460" s="573"/>
      <c r="T460" s="573"/>
      <c r="U460" s="573"/>
      <c r="V460" s="132">
        <f t="shared" si="207"/>
        <v>0</v>
      </c>
      <c r="W460" s="133" t="str">
        <f t="shared" si="208"/>
        <v/>
      </c>
      <c r="X460" s="132"/>
      <c r="Y460" s="132"/>
      <c r="Z460" s="132"/>
      <c r="AA460" s="132"/>
    </row>
    <row r="461" spans="1:27" ht="20.100000000000001" customHeight="1">
      <c r="A461" s="630" t="s">
        <v>224</v>
      </c>
      <c r="B461" s="631"/>
      <c r="C461" s="580" t="s">
        <v>202</v>
      </c>
      <c r="D461" s="143"/>
      <c r="E461" s="143"/>
      <c r="F461" s="144"/>
      <c r="G461" s="145">
        <f>SUM(G427:G460)</f>
        <v>893</v>
      </c>
      <c r="H461" s="146">
        <f>SUM(H427:H460)</f>
        <v>4491.79</v>
      </c>
      <c r="I461" s="146">
        <f>SUM(I427:I460)</f>
        <v>85</v>
      </c>
      <c r="J461" s="130">
        <f t="array" ref="J461">IF(ISERROR(G461/I461),"",G461/I461)</f>
        <v>10.505882352941176</v>
      </c>
      <c r="K461" s="146">
        <f>SUM(K427:K460)</f>
        <v>97.493890518084072</v>
      </c>
      <c r="L461" s="147"/>
      <c r="M461" s="150">
        <f t="shared" ref="M461:V461" si="209">SUM(M427:M460)</f>
        <v>-12.493890518084065</v>
      </c>
      <c r="N461" s="146">
        <f t="shared" si="209"/>
        <v>0</v>
      </c>
      <c r="O461" s="148">
        <f t="shared" si="209"/>
        <v>0</v>
      </c>
      <c r="P461" s="148">
        <f t="shared" si="209"/>
        <v>0</v>
      </c>
      <c r="Q461" s="148">
        <f t="shared" si="209"/>
        <v>0</v>
      </c>
      <c r="R461" s="148">
        <f t="shared" si="209"/>
        <v>0</v>
      </c>
      <c r="S461" s="148">
        <f t="shared" si="209"/>
        <v>0</v>
      </c>
      <c r="T461" s="148">
        <f t="shared" si="209"/>
        <v>0</v>
      </c>
      <c r="U461" s="148">
        <f t="shared" si="209"/>
        <v>0</v>
      </c>
      <c r="V461" s="149">
        <f t="shared" si="209"/>
        <v>0</v>
      </c>
      <c r="W461" s="133">
        <f t="shared" si="208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582">
        <f t="shared" ref="H462:H476" si="210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1">IF(ISERROR(I462-K462),"",I462-K462)</f>
        <v>0</v>
      </c>
      <c r="N462" s="130">
        <f t="shared" ref="N462:N476" si="212">SUM(O462:U462)</f>
        <v>0</v>
      </c>
      <c r="O462" s="573"/>
      <c r="P462" s="573"/>
      <c r="Q462" s="573"/>
      <c r="R462" s="573"/>
      <c r="S462" s="573"/>
      <c r="T462" s="573"/>
      <c r="U462" s="573"/>
      <c r="V462" s="132">
        <f t="shared" ref="V462:V476" si="213">SUM(X462:AA462)</f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582">
        <f t="shared" si="210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1"/>
        <v>0</v>
      </c>
      <c r="N463" s="130">
        <f t="shared" si="212"/>
        <v>0</v>
      </c>
      <c r="O463" s="573"/>
      <c r="P463" s="573"/>
      <c r="Q463" s="573"/>
      <c r="R463" s="573"/>
      <c r="S463" s="573"/>
      <c r="T463" s="573"/>
      <c r="U463" s="573"/>
      <c r="V463" s="132">
        <f t="shared" si="213"/>
        <v>0</v>
      </c>
      <c r="W463" s="133" t="str">
        <f t="shared" si="208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582">
        <f t="shared" si="210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1"/>
        <v>0</v>
      </c>
      <c r="N464" s="130">
        <f t="shared" si="212"/>
        <v>0</v>
      </c>
      <c r="O464" s="573"/>
      <c r="P464" s="573"/>
      <c r="Q464" s="573"/>
      <c r="R464" s="573"/>
      <c r="S464" s="573"/>
      <c r="T464" s="573"/>
      <c r="U464" s="573"/>
      <c r="V464" s="132">
        <f t="shared" si="213"/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582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1"/>
        <v>0</v>
      </c>
      <c r="N465" s="130">
        <f t="shared" si="212"/>
        <v>0</v>
      </c>
      <c r="O465" s="573"/>
      <c r="P465" s="573"/>
      <c r="Q465" s="573"/>
      <c r="R465" s="573"/>
      <c r="S465" s="573"/>
      <c r="T465" s="573"/>
      <c r="U465" s="573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578" t="s">
        <v>203</v>
      </c>
      <c r="D466" s="108">
        <v>5.03</v>
      </c>
      <c r="E466" s="108"/>
      <c r="F466" s="127"/>
      <c r="G466" s="128"/>
      <c r="H466" s="582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1"/>
        <v>0</v>
      </c>
      <c r="N466" s="130">
        <f t="shared" si="212"/>
        <v>0</v>
      </c>
      <c r="O466" s="573"/>
      <c r="P466" s="573"/>
      <c r="Q466" s="573"/>
      <c r="R466" s="573"/>
      <c r="S466" s="573"/>
      <c r="T466" s="573"/>
      <c r="U466" s="573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582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573"/>
      <c r="P467" s="573"/>
      <c r="Q467" s="573"/>
      <c r="R467" s="573"/>
      <c r="S467" s="573"/>
      <c r="T467" s="573"/>
      <c r="U467" s="573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582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573"/>
      <c r="P468" s="573"/>
      <c r="Q468" s="573"/>
      <c r="R468" s="573"/>
      <c r="S468" s="573"/>
      <c r="T468" s="573"/>
      <c r="U468" s="573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578" t="s">
        <v>228</v>
      </c>
      <c r="D469" s="108">
        <v>5.03</v>
      </c>
      <c r="E469" s="108"/>
      <c r="F469" s="127"/>
      <c r="G469" s="128"/>
      <c r="H469" s="582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573"/>
      <c r="P469" s="573"/>
      <c r="Q469" s="573"/>
      <c r="R469" s="573"/>
      <c r="S469" s="573"/>
      <c r="T469" s="573"/>
      <c r="U469" s="573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578" t="s">
        <v>212</v>
      </c>
      <c r="D470" s="108">
        <v>5.03</v>
      </c>
      <c r="E470" s="108"/>
      <c r="F470" s="127"/>
      <c r="G470" s="128"/>
      <c r="H470" s="582">
        <f t="shared" si="210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1"/>
        <v/>
      </c>
      <c r="N470" s="130">
        <f t="shared" si="212"/>
        <v>0</v>
      </c>
      <c r="O470" s="573"/>
      <c r="P470" s="573"/>
      <c r="Q470" s="573"/>
      <c r="R470" s="573"/>
      <c r="S470" s="573"/>
      <c r="T470" s="573"/>
      <c r="U470" s="573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578" t="s">
        <v>203</v>
      </c>
      <c r="D471" s="108">
        <v>5.03</v>
      </c>
      <c r="E471" s="108"/>
      <c r="F471" s="127"/>
      <c r="G471" s="128"/>
      <c r="H471" s="582">
        <f t="shared" si="210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1"/>
        <v/>
      </c>
      <c r="N471" s="130">
        <f t="shared" si="212"/>
        <v>0</v>
      </c>
      <c r="O471" s="573"/>
      <c r="P471" s="573"/>
      <c r="Q471" s="573"/>
      <c r="R471" s="573"/>
      <c r="S471" s="573"/>
      <c r="T471" s="573"/>
      <c r="U471" s="573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578" t="s">
        <v>186</v>
      </c>
      <c r="D472" s="108">
        <v>5.03</v>
      </c>
      <c r="E472" s="108"/>
      <c r="F472" s="127"/>
      <c r="G472" s="128"/>
      <c r="H472" s="582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573"/>
      <c r="P472" s="573"/>
      <c r="Q472" s="573"/>
      <c r="R472" s="573"/>
      <c r="S472" s="573"/>
      <c r="T472" s="573"/>
      <c r="U472" s="573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578" t="s">
        <v>228</v>
      </c>
      <c r="D473" s="108">
        <v>5.03</v>
      </c>
      <c r="E473" s="108"/>
      <c r="F473" s="127"/>
      <c r="G473" s="128"/>
      <c r="H473" s="582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573"/>
      <c r="P473" s="573"/>
      <c r="Q473" s="573"/>
      <c r="R473" s="573"/>
      <c r="S473" s="573"/>
      <c r="T473" s="573"/>
      <c r="U473" s="573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578" t="s">
        <v>199</v>
      </c>
      <c r="D474" s="108">
        <v>5.03</v>
      </c>
      <c r="E474" s="108"/>
      <c r="F474" s="127"/>
      <c r="G474" s="128"/>
      <c r="H474" s="582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573"/>
      <c r="P474" s="573"/>
      <c r="Q474" s="573"/>
      <c r="R474" s="573"/>
      <c r="S474" s="573"/>
      <c r="T474" s="573"/>
      <c r="U474" s="573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582">
        <f t="shared" si="210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1"/>
        <v>0</v>
      </c>
      <c r="N475" s="130">
        <f t="shared" si="212"/>
        <v>0</v>
      </c>
      <c r="O475" s="573"/>
      <c r="P475" s="573"/>
      <c r="Q475" s="573"/>
      <c r="R475" s="573"/>
      <c r="S475" s="573"/>
      <c r="T475" s="573"/>
      <c r="U475" s="573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582">
        <f t="shared" si="210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1"/>
        <v>0</v>
      </c>
      <c r="N476" s="130">
        <f t="shared" si="212"/>
        <v>0</v>
      </c>
      <c r="O476" s="573"/>
      <c r="P476" s="573"/>
      <c r="Q476" s="573"/>
      <c r="R476" s="573"/>
      <c r="S476" s="573"/>
      <c r="T476" s="573"/>
      <c r="U476" s="573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630" t="s">
        <v>231</v>
      </c>
      <c r="B477" s="631"/>
      <c r="C477" s="580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8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582">
        <f t="shared" ref="H478:H486" si="214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5">IF(ISERROR(I478-K478),"",I478-K478)</f>
        <v>0</v>
      </c>
      <c r="N478" s="130">
        <f t="shared" ref="N478:N482" si="216">SUM(O478:U478)</f>
        <v>0</v>
      </c>
      <c r="O478" s="573"/>
      <c r="P478" s="573"/>
      <c r="Q478" s="573"/>
      <c r="R478" s="573"/>
      <c r="S478" s="573"/>
      <c r="T478" s="573"/>
      <c r="U478" s="573"/>
      <c r="V478" s="132">
        <f t="shared" ref="V478:V482" si="217">SUM(X478:AA478)</f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582">
        <f t="shared" si="214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5"/>
        <v>0</v>
      </c>
      <c r="N479" s="130">
        <f t="shared" si="216"/>
        <v>0</v>
      </c>
      <c r="O479" s="573"/>
      <c r="P479" s="573"/>
      <c r="Q479" s="573"/>
      <c r="R479" s="573"/>
      <c r="S479" s="573"/>
      <c r="T479" s="573"/>
      <c r="U479" s="573"/>
      <c r="V479" s="132">
        <f t="shared" si="217"/>
        <v>0</v>
      </c>
      <c r="W479" s="133" t="str">
        <f t="shared" si="208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582">
        <f t="shared" si="214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5"/>
        <v>0</v>
      </c>
      <c r="N480" s="130">
        <f t="shared" si="216"/>
        <v>0</v>
      </c>
      <c r="O480" s="573"/>
      <c r="P480" s="573"/>
      <c r="Q480" s="573"/>
      <c r="R480" s="573"/>
      <c r="S480" s="573"/>
      <c r="T480" s="573"/>
      <c r="U480" s="573"/>
      <c r="V480" s="132">
        <f t="shared" si="217"/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582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573"/>
      <c r="P481" s="573"/>
      <c r="Q481" s="573"/>
      <c r="R481" s="573"/>
      <c r="S481" s="573"/>
      <c r="T481" s="573"/>
      <c r="U481" s="573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582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573"/>
      <c r="P482" s="573"/>
      <c r="Q482" s="573"/>
      <c r="R482" s="573"/>
      <c r="S482" s="573"/>
      <c r="T482" s="573"/>
      <c r="U482" s="573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582">
        <f t="shared" si="214"/>
        <v>0</v>
      </c>
      <c r="I483" s="129"/>
      <c r="J483" s="130"/>
      <c r="K483" s="131"/>
      <c r="L483" s="129">
        <v>13.5</v>
      </c>
      <c r="M483" s="109"/>
      <c r="N483" s="130"/>
      <c r="O483" s="573"/>
      <c r="P483" s="573"/>
      <c r="Q483" s="573"/>
      <c r="R483" s="573"/>
      <c r="S483" s="573"/>
      <c r="T483" s="573"/>
      <c r="U483" s="573"/>
      <c r="V483" s="132"/>
      <c r="W483" s="133"/>
      <c r="X483" s="132"/>
      <c r="Y483" s="132"/>
      <c r="Z483" s="132"/>
      <c r="AA483" s="132"/>
    </row>
    <row r="484" spans="1:27" ht="20.100000000000001" hidden="1" customHeight="1">
      <c r="A484" s="300">
        <v>30400020</v>
      </c>
      <c r="B484" s="134" t="s">
        <v>439</v>
      </c>
      <c r="C484" s="187" t="s">
        <v>74</v>
      </c>
      <c r="D484" s="108">
        <v>5.04</v>
      </c>
      <c r="E484" s="108"/>
      <c r="F484" s="127"/>
      <c r="G484" s="128"/>
      <c r="H484" s="582">
        <f t="shared" si="214"/>
        <v>0</v>
      </c>
      <c r="I484" s="129"/>
      <c r="J484" s="130"/>
      <c r="K484" s="131"/>
      <c r="L484" s="129">
        <v>13.5</v>
      </c>
      <c r="M484" s="109"/>
      <c r="N484" s="130"/>
      <c r="O484" s="573"/>
      <c r="P484" s="573"/>
      <c r="Q484" s="573"/>
      <c r="R484" s="573"/>
      <c r="S484" s="573"/>
      <c r="T484" s="573"/>
      <c r="U484" s="573"/>
      <c r="V484" s="132"/>
      <c r="W484" s="133"/>
      <c r="X484" s="132"/>
      <c r="Y484" s="132"/>
      <c r="Z484" s="132"/>
      <c r="AA484" s="132"/>
    </row>
    <row r="485" spans="1:27" ht="20.100000000000001" hidden="1" customHeight="1">
      <c r="A485" s="300">
        <v>30400021</v>
      </c>
      <c r="B485" s="134" t="s">
        <v>439</v>
      </c>
      <c r="C485" s="187" t="s">
        <v>53</v>
      </c>
      <c r="D485" s="108">
        <v>5.04</v>
      </c>
      <c r="E485" s="108"/>
      <c r="F485" s="127"/>
      <c r="G485" s="128"/>
      <c r="H485" s="582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573"/>
      <c r="P485" s="573"/>
      <c r="Q485" s="573"/>
      <c r="R485" s="573"/>
      <c r="S485" s="573"/>
      <c r="T485" s="573"/>
      <c r="U485" s="573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582">
        <f t="shared" si="214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8">IF(ISERROR(I486-K486),"",I486-K486)</f>
        <v>0</v>
      </c>
      <c r="N486" s="130">
        <f t="shared" ref="N486" si="219">SUM(O486:U486)</f>
        <v>0</v>
      </c>
      <c r="O486" s="573"/>
      <c r="P486" s="573"/>
      <c r="Q486" s="573"/>
      <c r="R486" s="573"/>
      <c r="S486" s="573"/>
      <c r="T486" s="573"/>
      <c r="U486" s="573"/>
      <c r="V486" s="132">
        <f t="shared" ref="V486" si="220">SUM(X486:AA486)</f>
        <v>0</v>
      </c>
      <c r="W486" s="133" t="str">
        <f t="shared" ref="W486:W491" si="221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30" t="s">
        <v>234</v>
      </c>
      <c r="B487" s="631"/>
      <c r="C487" s="580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1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572"/>
      <c r="D488" s="108">
        <v>3.65</v>
      </c>
      <c r="E488" s="108"/>
      <c r="F488" s="153"/>
      <c r="G488" s="128"/>
      <c r="H488" s="582">
        <f t="shared" ref="H488:H502" si="222">D488*G488</f>
        <v>0</v>
      </c>
      <c r="I488" s="129"/>
      <c r="J488" s="130" t="str">
        <f t="array" ref="J488">IF(ISERROR(G488/I488),"",G488/I488)</f>
        <v/>
      </c>
      <c r="K488" s="582">
        <f t="array" ref="K488">IF(ISERROR(G488/L488),"",G488/L488)</f>
        <v>0</v>
      </c>
      <c r="L488" s="129">
        <v>5</v>
      </c>
      <c r="M488" s="109">
        <f t="shared" ref="M488:M491" si="223">IF(ISERROR(I488-K488),"",I488-K488)</f>
        <v>0</v>
      </c>
      <c r="N488" s="130">
        <f t="shared" ref="N488:N491" si="224">SUM(O488:U488)</f>
        <v>0</v>
      </c>
      <c r="O488" s="573"/>
      <c r="P488" s="573"/>
      <c r="Q488" s="573"/>
      <c r="R488" s="573"/>
      <c r="S488" s="573"/>
      <c r="T488" s="573"/>
      <c r="U488" s="573"/>
      <c r="V488" s="132">
        <f t="shared" ref="V488:V491" si="225">SUM(X488:AA488)</f>
        <v>0</v>
      </c>
      <c r="W488" s="133" t="str">
        <f t="shared" si="221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572"/>
      <c r="D489" s="108">
        <v>6.58</v>
      </c>
      <c r="E489" s="108"/>
      <c r="F489" s="127"/>
      <c r="G489" s="128"/>
      <c r="H489" s="582">
        <f t="shared" si="222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3"/>
        <v>0</v>
      </c>
      <c r="N489" s="130">
        <f t="shared" si="224"/>
        <v>0</v>
      </c>
      <c r="O489" s="573"/>
      <c r="P489" s="573"/>
      <c r="Q489" s="573"/>
      <c r="R489" s="573"/>
      <c r="S489" s="573"/>
      <c r="T489" s="573"/>
      <c r="U489" s="573"/>
      <c r="V489" s="132">
        <f t="shared" si="225"/>
        <v>0</v>
      </c>
      <c r="W489" s="133" t="str">
        <f t="shared" si="221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572"/>
      <c r="D490" s="108">
        <v>7.8</v>
      </c>
      <c r="E490" s="108"/>
      <c r="F490" s="127"/>
      <c r="G490" s="128"/>
      <c r="H490" s="582">
        <f t="shared" si="222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3"/>
        <v>0</v>
      </c>
      <c r="N490" s="130">
        <f t="shared" si="224"/>
        <v>0</v>
      </c>
      <c r="O490" s="573"/>
      <c r="P490" s="573"/>
      <c r="Q490" s="573"/>
      <c r="R490" s="573"/>
      <c r="S490" s="573"/>
      <c r="T490" s="573"/>
      <c r="U490" s="573"/>
      <c r="V490" s="132">
        <f t="shared" si="225"/>
        <v>0</v>
      </c>
      <c r="W490" s="133" t="str">
        <f t="shared" si="221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572"/>
      <c r="D491" s="108">
        <v>4.4000000000000004</v>
      </c>
      <c r="E491" s="108"/>
      <c r="F491" s="127"/>
      <c r="G491" s="128"/>
      <c r="H491" s="582">
        <f t="shared" si="222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3"/>
        <v>0</v>
      </c>
      <c r="N491" s="130">
        <f t="shared" si="224"/>
        <v>0</v>
      </c>
      <c r="O491" s="573"/>
      <c r="P491" s="573"/>
      <c r="Q491" s="573"/>
      <c r="R491" s="573"/>
      <c r="S491" s="573"/>
      <c r="T491" s="573"/>
      <c r="U491" s="573"/>
      <c r="V491" s="132">
        <f t="shared" si="225"/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582">
        <f t="shared" si="222"/>
        <v>0</v>
      </c>
      <c r="I492" s="129"/>
      <c r="J492" s="130"/>
      <c r="K492" s="131"/>
      <c r="L492" s="129"/>
      <c r="M492" s="109"/>
      <c r="N492" s="130"/>
      <c r="O492" s="573"/>
      <c r="P492" s="573"/>
      <c r="Q492" s="573"/>
      <c r="R492" s="573"/>
      <c r="S492" s="573"/>
      <c r="T492" s="573"/>
      <c r="U492" s="573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572"/>
      <c r="D493" s="108"/>
      <c r="E493" s="108"/>
      <c r="F493" s="127"/>
      <c r="G493" s="128"/>
      <c r="H493" s="582">
        <f t="shared" si="222"/>
        <v>0</v>
      </c>
      <c r="I493" s="129"/>
      <c r="J493" s="130"/>
      <c r="K493" s="131"/>
      <c r="L493" s="129">
        <v>6</v>
      </c>
      <c r="M493" s="109"/>
      <c r="N493" s="130"/>
      <c r="O493" s="573"/>
      <c r="P493" s="573"/>
      <c r="Q493" s="573"/>
      <c r="R493" s="573"/>
      <c r="S493" s="573"/>
      <c r="T493" s="573"/>
      <c r="U493" s="573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572" t="s">
        <v>239</v>
      </c>
      <c r="C494" s="572" t="s">
        <v>179</v>
      </c>
      <c r="D494" s="108">
        <v>6.04</v>
      </c>
      <c r="E494" s="108"/>
      <c r="F494" s="127"/>
      <c r="G494" s="128"/>
      <c r="H494" s="582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6">IF(ISERROR(I494-K494),"",I494-K494)</f>
        <v>0</v>
      </c>
      <c r="N494" s="130">
        <f t="shared" ref="N494:N495" si="227">SUM(O494:U494)</f>
        <v>0</v>
      </c>
      <c r="O494" s="573"/>
      <c r="P494" s="573"/>
      <c r="Q494" s="573"/>
      <c r="R494" s="573"/>
      <c r="S494" s="573"/>
      <c r="T494" s="573"/>
      <c r="U494" s="573"/>
      <c r="V494" s="132">
        <f t="shared" ref="V494:V495" si="228">SUM(X494:AA494)</f>
        <v>0</v>
      </c>
      <c r="W494" s="133" t="str">
        <f t="shared" ref="W494:W495" si="229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572" t="s">
        <v>239</v>
      </c>
      <c r="C495" s="572" t="s">
        <v>186</v>
      </c>
      <c r="D495" s="108">
        <v>6.04</v>
      </c>
      <c r="E495" s="108"/>
      <c r="F495" s="127"/>
      <c r="G495" s="128"/>
      <c r="H495" s="582">
        <f t="shared" si="222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6"/>
        <v>0</v>
      </c>
      <c r="N495" s="130">
        <f t="shared" si="227"/>
        <v>0</v>
      </c>
      <c r="O495" s="573"/>
      <c r="P495" s="573"/>
      <c r="Q495" s="573"/>
      <c r="R495" s="573"/>
      <c r="S495" s="573"/>
      <c r="T495" s="573"/>
      <c r="U495" s="573"/>
      <c r="V495" s="132">
        <f t="shared" si="228"/>
        <v>0</v>
      </c>
      <c r="W495" s="133" t="str">
        <f t="shared" si="229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572" t="s">
        <v>443</v>
      </c>
      <c r="C496" s="572" t="s">
        <v>179</v>
      </c>
      <c r="D496" s="108"/>
      <c r="E496" s="108"/>
      <c r="F496" s="127"/>
      <c r="G496" s="128"/>
      <c r="H496" s="582">
        <f t="shared" si="222"/>
        <v>0</v>
      </c>
      <c r="I496" s="129"/>
      <c r="J496" s="130"/>
      <c r="K496" s="131"/>
      <c r="L496" s="129"/>
      <c r="M496" s="109"/>
      <c r="N496" s="130"/>
      <c r="O496" s="573"/>
      <c r="P496" s="573"/>
      <c r="Q496" s="573"/>
      <c r="R496" s="573"/>
      <c r="S496" s="573"/>
      <c r="T496" s="573"/>
      <c r="U496" s="573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572" t="s">
        <v>443</v>
      </c>
      <c r="C497" s="572" t="s">
        <v>186</v>
      </c>
      <c r="D497" s="108"/>
      <c r="E497" s="108"/>
      <c r="F497" s="127"/>
      <c r="G497" s="128"/>
      <c r="H497" s="582">
        <f t="shared" si="222"/>
        <v>0</v>
      </c>
      <c r="I497" s="129"/>
      <c r="J497" s="130"/>
      <c r="K497" s="131"/>
      <c r="L497" s="129"/>
      <c r="M497" s="109"/>
      <c r="N497" s="130"/>
      <c r="O497" s="573"/>
      <c r="P497" s="573"/>
      <c r="Q497" s="573"/>
      <c r="R497" s="573"/>
      <c r="S497" s="573"/>
      <c r="T497" s="573"/>
      <c r="U497" s="573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574" t="s">
        <v>240</v>
      </c>
      <c r="C498" s="126"/>
      <c r="D498" s="108">
        <v>7.3</v>
      </c>
      <c r="E498" s="108"/>
      <c r="F498" s="127"/>
      <c r="G498" s="128"/>
      <c r="H498" s="582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0">IF(ISERROR(I498-K498),"",I498-K498)</f>
        <v>0</v>
      </c>
      <c r="N498" s="130">
        <f t="shared" ref="N498" si="231">SUM(O498:U498)</f>
        <v>0</v>
      </c>
      <c r="O498" s="573"/>
      <c r="P498" s="573"/>
      <c r="Q498" s="573"/>
      <c r="R498" s="573"/>
      <c r="S498" s="573"/>
      <c r="T498" s="573"/>
      <c r="U498" s="573"/>
      <c r="V498" s="132">
        <f t="shared" ref="V498" si="232">SUM(X498:AA498)</f>
        <v>0</v>
      </c>
      <c r="W498" s="133" t="str">
        <f t="shared" ref="W498" si="233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574" t="s">
        <v>241</v>
      </c>
      <c r="C499" s="126"/>
      <c r="D499" s="108">
        <f>78*120/1000</f>
        <v>9.36</v>
      </c>
      <c r="E499" s="108"/>
      <c r="F499" s="127"/>
      <c r="G499" s="128"/>
      <c r="H499" s="582">
        <f t="shared" si="222"/>
        <v>0</v>
      </c>
      <c r="I499" s="129"/>
      <c r="J499" s="130"/>
      <c r="K499" s="131"/>
      <c r="L499" s="129"/>
      <c r="M499" s="109"/>
      <c r="N499" s="130"/>
      <c r="O499" s="573"/>
      <c r="P499" s="573"/>
      <c r="Q499" s="573"/>
      <c r="R499" s="573"/>
      <c r="S499" s="573"/>
      <c r="T499" s="573"/>
      <c r="U499" s="573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574" t="s">
        <v>242</v>
      </c>
      <c r="C500" s="126"/>
      <c r="D500" s="108">
        <v>4.5</v>
      </c>
      <c r="E500" s="108"/>
      <c r="F500" s="127"/>
      <c r="G500" s="128"/>
      <c r="H500" s="582">
        <f t="shared" si="222"/>
        <v>0</v>
      </c>
      <c r="I500" s="129"/>
      <c r="J500" s="130"/>
      <c r="K500" s="131"/>
      <c r="L500" s="129"/>
      <c r="M500" s="109"/>
      <c r="N500" s="130"/>
      <c r="O500" s="573"/>
      <c r="P500" s="573"/>
      <c r="Q500" s="573"/>
      <c r="R500" s="573"/>
      <c r="S500" s="573"/>
      <c r="T500" s="573"/>
      <c r="U500" s="573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574" t="s">
        <v>243</v>
      </c>
      <c r="C501" s="126"/>
      <c r="D501" s="108">
        <v>4.5</v>
      </c>
      <c r="E501" s="108"/>
      <c r="F501" s="127"/>
      <c r="G501" s="128"/>
      <c r="H501" s="582">
        <f t="shared" si="222"/>
        <v>0</v>
      </c>
      <c r="I501" s="129"/>
      <c r="J501" s="130"/>
      <c r="K501" s="131"/>
      <c r="L501" s="129"/>
      <c r="M501" s="109"/>
      <c r="N501" s="130"/>
      <c r="O501" s="573"/>
      <c r="P501" s="573"/>
      <c r="Q501" s="573"/>
      <c r="R501" s="573"/>
      <c r="S501" s="573"/>
      <c r="T501" s="573"/>
      <c r="U501" s="573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574"/>
      <c r="C502" s="126"/>
      <c r="D502" s="108"/>
      <c r="E502" s="108"/>
      <c r="F502" s="127"/>
      <c r="G502" s="128"/>
      <c r="H502" s="582">
        <f t="shared" si="222"/>
        <v>0</v>
      </c>
      <c r="I502" s="129"/>
      <c r="J502" s="130"/>
      <c r="K502" s="131"/>
      <c r="L502" s="129"/>
      <c r="M502" s="109"/>
      <c r="N502" s="130"/>
      <c r="O502" s="573"/>
      <c r="P502" s="573"/>
      <c r="Q502" s="573"/>
      <c r="R502" s="573"/>
      <c r="S502" s="573"/>
      <c r="T502" s="573"/>
      <c r="U502" s="573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30" t="s">
        <v>244</v>
      </c>
      <c r="B503" s="631"/>
      <c r="C503" s="580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4">SUM(M488:M498)</f>
        <v>0</v>
      </c>
      <c r="N503" s="146">
        <f t="shared" si="234"/>
        <v>0</v>
      </c>
      <c r="O503" s="148">
        <f t="shared" si="234"/>
        <v>0</v>
      </c>
      <c r="P503" s="148">
        <f t="shared" si="234"/>
        <v>0</v>
      </c>
      <c r="Q503" s="148">
        <f t="shared" si="234"/>
        <v>0</v>
      </c>
      <c r="R503" s="148">
        <f t="shared" si="234"/>
        <v>0</v>
      </c>
      <c r="S503" s="148">
        <f t="shared" si="234"/>
        <v>0</v>
      </c>
      <c r="T503" s="148">
        <f t="shared" si="234"/>
        <v>0</v>
      </c>
      <c r="U503" s="148">
        <f t="shared" si="234"/>
        <v>0</v>
      </c>
      <c r="V503" s="149">
        <f t="shared" si="234"/>
        <v>0</v>
      </c>
      <c r="W503" s="133">
        <f t="shared" si="234"/>
        <v>0</v>
      </c>
      <c r="X503" s="149">
        <f t="shared" si="234"/>
        <v>0</v>
      </c>
      <c r="Y503" s="149">
        <f t="shared" si="234"/>
        <v>0</v>
      </c>
      <c r="Z503" s="149">
        <f t="shared" si="234"/>
        <v>0</v>
      </c>
      <c r="AA503" s="149">
        <f t="shared" si="234"/>
        <v>0</v>
      </c>
    </row>
    <row r="504" spans="1:27" ht="20.100000000000001" customHeight="1">
      <c r="A504" s="632" t="s">
        <v>246</v>
      </c>
      <c r="B504" s="633"/>
      <c r="C504" s="633"/>
      <c r="D504" s="633"/>
      <c r="E504" s="633"/>
      <c r="F504" s="634"/>
      <c r="G504" s="154">
        <f>SUM(G368,G426,G461,G477,G487,G503)</f>
        <v>893</v>
      </c>
      <c r="H504" s="154">
        <f>SUM(H368,H426,H461,H477,H487,H503)</f>
        <v>4491.79</v>
      </c>
      <c r="I504" s="154">
        <f>SUM(I368,I426,I461,I477,I487,I503)</f>
        <v>85</v>
      </c>
      <c r="J504" s="155">
        <f t="array" ref="J504">IF(ISERROR(G504/I504),"",G504/I504)</f>
        <v>10.505882352941176</v>
      </c>
      <c r="K504" s="154">
        <f>SUM(K368,K426,K461,K477,K487,K503)</f>
        <v>97.493890518084072</v>
      </c>
      <c r="L504" s="155">
        <f>IF(ISERROR(G504/K504),"",G504/K504)</f>
        <v>9.1595483086641014</v>
      </c>
      <c r="M504" s="154">
        <f t="shared" ref="M504:V504" si="235">SUM(M368,M426,M461,M477,M487,M503)</f>
        <v>-12.493890518084065</v>
      </c>
      <c r="N504" s="154">
        <f t="shared" si="235"/>
        <v>0</v>
      </c>
      <c r="O504" s="154">
        <f t="shared" si="235"/>
        <v>0</v>
      </c>
      <c r="P504" s="154">
        <f t="shared" si="235"/>
        <v>0</v>
      </c>
      <c r="Q504" s="154">
        <f t="shared" si="235"/>
        <v>0</v>
      </c>
      <c r="R504" s="154">
        <f t="shared" si="235"/>
        <v>0</v>
      </c>
      <c r="S504" s="154">
        <f t="shared" si="235"/>
        <v>0</v>
      </c>
      <c r="T504" s="154">
        <f t="shared" si="235"/>
        <v>0</v>
      </c>
      <c r="U504" s="154">
        <f t="shared" si="235"/>
        <v>0</v>
      </c>
      <c r="V504" s="154">
        <f t="shared" si="235"/>
        <v>0</v>
      </c>
      <c r="W504" s="156">
        <f t="shared" ref="W504" si="236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35" t="s">
        <v>476</v>
      </c>
      <c r="B505" s="579" t="s">
        <v>247</v>
      </c>
      <c r="C505" s="638" t="s">
        <v>248</v>
      </c>
      <c r="D505" s="639"/>
      <c r="E505" s="640" t="s">
        <v>249</v>
      </c>
      <c r="F505" s="640"/>
      <c r="G505" s="643" t="s">
        <v>250</v>
      </c>
      <c r="H505" s="643"/>
      <c r="I505" s="640" t="s">
        <v>251</v>
      </c>
      <c r="J505" s="640"/>
      <c r="K505" s="640" t="s">
        <v>252</v>
      </c>
      <c r="L505" s="640"/>
      <c r="M505" s="640" t="s">
        <v>253</v>
      </c>
      <c r="N505" s="640"/>
      <c r="O505" s="640" t="s">
        <v>254</v>
      </c>
      <c r="P505" s="643" t="s">
        <v>255</v>
      </c>
      <c r="Q505" s="643"/>
      <c r="R505" s="643" t="s">
        <v>252</v>
      </c>
      <c r="S505" s="643"/>
      <c r="T505" s="643" t="s">
        <v>256</v>
      </c>
      <c r="U505" s="643"/>
      <c r="V505" s="643" t="s">
        <v>257</v>
      </c>
      <c r="W505" s="643"/>
      <c r="X505" s="643" t="s">
        <v>252</v>
      </c>
      <c r="Y505" s="643"/>
      <c r="Z505" s="643" t="s">
        <v>256</v>
      </c>
      <c r="AA505" s="643"/>
    </row>
    <row r="506" spans="1:27" ht="20.100000000000001" customHeight="1">
      <c r="A506" s="636"/>
      <c r="B506" s="579" t="s">
        <v>258</v>
      </c>
      <c r="C506" s="638">
        <v>0</v>
      </c>
      <c r="D506" s="639"/>
      <c r="E506" s="642">
        <f>C506*11</f>
        <v>0</v>
      </c>
      <c r="F506" s="642"/>
      <c r="G506" s="643">
        <v>0</v>
      </c>
      <c r="H506" s="643"/>
      <c r="I506" s="642">
        <f>G506*11</f>
        <v>0</v>
      </c>
      <c r="J506" s="642"/>
      <c r="K506" s="642">
        <f>E506-I506</f>
        <v>0</v>
      </c>
      <c r="L506" s="642"/>
      <c r="M506" s="644" t="str">
        <f>IF(ISERROR(K506/E506),"",K506/E506)</f>
        <v/>
      </c>
      <c r="N506" s="644"/>
      <c r="O506" s="640"/>
      <c r="P506" s="643" t="s">
        <v>201</v>
      </c>
      <c r="Q506" s="643"/>
      <c r="R506" s="645">
        <f>SUM(O368:U368)</f>
        <v>0</v>
      </c>
      <c r="S506" s="645"/>
      <c r="T506" s="646" t="str">
        <f t="array" ref="T506">IF(ISERROR(R506/R513),"",R506/R513)</f>
        <v/>
      </c>
      <c r="U506" s="646"/>
      <c r="V506" s="643" t="s">
        <v>259</v>
      </c>
      <c r="W506" s="643"/>
      <c r="X506" s="647">
        <f>SUM(O368,O426,O461,O477,O487,O503)</f>
        <v>0</v>
      </c>
      <c r="Y506" s="647"/>
      <c r="Z506" s="646" t="str">
        <f t="array" ref="Z506">IF(ISERROR(X506/X513),"",X506/X513)</f>
        <v/>
      </c>
      <c r="AA506" s="646"/>
    </row>
    <row r="507" spans="1:27" ht="20.100000000000001" customHeight="1">
      <c r="A507" s="636"/>
      <c r="B507" s="579" t="s">
        <v>260</v>
      </c>
      <c r="C507" s="638">
        <v>0</v>
      </c>
      <c r="D507" s="639"/>
      <c r="E507" s="642">
        <f>C507*11</f>
        <v>0</v>
      </c>
      <c r="F507" s="642"/>
      <c r="G507" s="643">
        <v>0</v>
      </c>
      <c r="H507" s="643"/>
      <c r="I507" s="642">
        <f>G507*11</f>
        <v>0</v>
      </c>
      <c r="J507" s="642"/>
      <c r="K507" s="642">
        <f>E507-I507</f>
        <v>0</v>
      </c>
      <c r="L507" s="642"/>
      <c r="M507" s="644" t="str">
        <f>IF(ISERROR(K507/E507),"",K507/E507)</f>
        <v/>
      </c>
      <c r="N507" s="644"/>
      <c r="O507" s="640"/>
      <c r="P507" s="643" t="s">
        <v>216</v>
      </c>
      <c r="Q507" s="643"/>
      <c r="R507" s="645">
        <f>SUM(O426:U426)</f>
        <v>0</v>
      </c>
      <c r="S507" s="645"/>
      <c r="T507" s="646" t="str">
        <f>IF(ISERROR(R507/R513),"",R507/R513)</f>
        <v/>
      </c>
      <c r="U507" s="646"/>
      <c r="V507" s="643" t="s">
        <v>261</v>
      </c>
      <c r="W507" s="643"/>
      <c r="X507" s="647">
        <f>SUM(O369,O427,O462,O478,O488,O504)</f>
        <v>0</v>
      </c>
      <c r="Y507" s="647"/>
      <c r="Z507" s="646" t="str">
        <f>IF(ISERROR(X507/X513),"",X507/X513)</f>
        <v/>
      </c>
      <c r="AA507" s="646"/>
    </row>
    <row r="508" spans="1:27" ht="20.100000000000001" customHeight="1">
      <c r="A508" s="636"/>
      <c r="B508" s="579" t="s">
        <v>262</v>
      </c>
      <c r="C508" s="638">
        <v>0</v>
      </c>
      <c r="D508" s="639"/>
      <c r="E508" s="642">
        <f>C508*11</f>
        <v>0</v>
      </c>
      <c r="F508" s="642"/>
      <c r="G508" s="643">
        <v>0</v>
      </c>
      <c r="H508" s="643"/>
      <c r="I508" s="642">
        <f>G508*11</f>
        <v>0</v>
      </c>
      <c r="J508" s="642"/>
      <c r="K508" s="642">
        <f>E508-I508</f>
        <v>0</v>
      </c>
      <c r="L508" s="642"/>
      <c r="M508" s="644" t="str">
        <f>IF(ISERROR(K508/E508),"",K508/E508)</f>
        <v/>
      </c>
      <c r="N508" s="644"/>
      <c r="O508" s="640"/>
      <c r="P508" s="643" t="s">
        <v>224</v>
      </c>
      <c r="Q508" s="643"/>
      <c r="R508" s="645">
        <f>SUM(O461:U461)</f>
        <v>0</v>
      </c>
      <c r="S508" s="645"/>
      <c r="T508" s="646" t="str">
        <f>IF(ISERROR(R508/R513),"",R508/R513)</f>
        <v/>
      </c>
      <c r="U508" s="646"/>
      <c r="V508" s="643" t="s">
        <v>263</v>
      </c>
      <c r="W508" s="643"/>
      <c r="X508" s="647">
        <f>SUM(O371,O428,O463,O479,O489,O505)</f>
        <v>0</v>
      </c>
      <c r="Y508" s="647"/>
      <c r="Z508" s="646" t="str">
        <f>IF(ISERROR(X508/X513),"",X508/X513)</f>
        <v/>
      </c>
      <c r="AA508" s="646"/>
    </row>
    <row r="509" spans="1:27" ht="20.100000000000001" customHeight="1">
      <c r="A509" s="636"/>
      <c r="B509" s="579" t="s">
        <v>264</v>
      </c>
      <c r="C509" s="638">
        <v>1</v>
      </c>
      <c r="D509" s="639"/>
      <c r="E509" s="642">
        <f>C509*11</f>
        <v>11</v>
      </c>
      <c r="F509" s="642"/>
      <c r="G509" s="643">
        <v>1</v>
      </c>
      <c r="H509" s="643"/>
      <c r="I509" s="642">
        <f>G509*11</f>
        <v>11</v>
      </c>
      <c r="J509" s="642"/>
      <c r="K509" s="642">
        <f>E509-I509</f>
        <v>0</v>
      </c>
      <c r="L509" s="642"/>
      <c r="M509" s="644">
        <f>IF(ISERROR(K509/E509),"",K509/E509)</f>
        <v>0</v>
      </c>
      <c r="N509" s="644"/>
      <c r="O509" s="640"/>
      <c r="P509" s="643" t="s">
        <v>231</v>
      </c>
      <c r="Q509" s="643"/>
      <c r="R509" s="645">
        <f>SUM(O477:U477)</f>
        <v>0</v>
      </c>
      <c r="S509" s="645"/>
      <c r="T509" s="646" t="str">
        <f>IF(ISERROR(R509/R513),"",R509/R513)</f>
        <v/>
      </c>
      <c r="U509" s="646"/>
      <c r="V509" s="643" t="s">
        <v>265</v>
      </c>
      <c r="W509" s="643"/>
      <c r="X509" s="647">
        <f>SUM(O372,O429,O464,O480,O490,O506)</f>
        <v>0</v>
      </c>
      <c r="Y509" s="647"/>
      <c r="Z509" s="646" t="str">
        <f>IF(ISERROR(X509/X513),"",X509/X513)</f>
        <v/>
      </c>
      <c r="AA509" s="646"/>
    </row>
    <row r="510" spans="1:27" ht="20.100000000000001" customHeight="1">
      <c r="A510" s="637"/>
      <c r="B510" s="579" t="s">
        <v>266</v>
      </c>
      <c r="C510" s="648">
        <f>SUM(C506:D509)</f>
        <v>1</v>
      </c>
      <c r="D510" s="649"/>
      <c r="E510" s="642">
        <f>SUM(E506:F509)</f>
        <v>11</v>
      </c>
      <c r="F510" s="642"/>
      <c r="G510" s="643">
        <f>SUM(G506:H509)</f>
        <v>1</v>
      </c>
      <c r="H510" s="643"/>
      <c r="I510" s="642">
        <f>SUM(I506:J509)</f>
        <v>11</v>
      </c>
      <c r="J510" s="642"/>
      <c r="K510" s="642">
        <f>SUM(K506:L509)</f>
        <v>0</v>
      </c>
      <c r="L510" s="642"/>
      <c r="M510" s="644">
        <f>IF(ISERROR(K510/E510),"",K510/E510)</f>
        <v>0</v>
      </c>
      <c r="N510" s="644"/>
      <c r="O510" s="640"/>
      <c r="P510" s="643" t="s">
        <v>234</v>
      </c>
      <c r="Q510" s="643"/>
      <c r="R510" s="645">
        <f>SUM(O487:U487)</f>
        <v>0</v>
      </c>
      <c r="S510" s="645"/>
      <c r="T510" s="646" t="str">
        <f>IF(ISERROR(R510/R513),"",R510/R513)</f>
        <v/>
      </c>
      <c r="U510" s="646"/>
      <c r="V510" s="643" t="s">
        <v>267</v>
      </c>
      <c r="W510" s="643"/>
      <c r="X510" s="647">
        <f>SUM(O373,O430,O465,O481,O491,O507)</f>
        <v>0</v>
      </c>
      <c r="Y510" s="647"/>
      <c r="Z510" s="646" t="str">
        <f>IF(ISERROR(X510/X513),"",X510/X513)</f>
        <v/>
      </c>
      <c r="AA510" s="646"/>
    </row>
    <row r="511" spans="1:27" ht="20.100000000000001" customHeight="1">
      <c r="A511" s="307" t="s">
        <v>477</v>
      </c>
      <c r="B511" s="579">
        <f>G504</f>
        <v>893</v>
      </c>
      <c r="C511" s="650" t="s">
        <v>269</v>
      </c>
      <c r="D511" s="651"/>
      <c r="E511" s="643">
        <f>H504</f>
        <v>4491.79</v>
      </c>
      <c r="F511" s="643"/>
      <c r="G511" s="643" t="s">
        <v>270</v>
      </c>
      <c r="H511" s="643"/>
      <c r="I511" s="652">
        <f>L504</f>
        <v>9.1595483086641014</v>
      </c>
      <c r="J511" s="652"/>
      <c r="K511" s="640" t="s">
        <v>271</v>
      </c>
      <c r="L511" s="640"/>
      <c r="M511" s="652">
        <f>J504</f>
        <v>10.505882352941176</v>
      </c>
      <c r="N511" s="652"/>
      <c r="O511" s="640"/>
      <c r="P511" s="643" t="s">
        <v>244</v>
      </c>
      <c r="Q511" s="643"/>
      <c r="R511" s="645">
        <f>SUM(O503:U503)</f>
        <v>0</v>
      </c>
      <c r="S511" s="645"/>
      <c r="T511" s="646" t="str">
        <f>IF(ISERROR(R511/R513),"",R511/R513)</f>
        <v/>
      </c>
      <c r="U511" s="646"/>
      <c r="V511" s="643" t="s">
        <v>272</v>
      </c>
      <c r="W511" s="643"/>
      <c r="X511" s="647">
        <f>SUM(O374,O431,O466,O482,O492,O508)</f>
        <v>0</v>
      </c>
      <c r="Y511" s="647"/>
      <c r="Z511" s="646" t="str">
        <f>IF(ISERROR(X511/X513),"",X511/X513)</f>
        <v/>
      </c>
      <c r="AA511" s="646"/>
    </row>
    <row r="512" spans="1:27" ht="20.100000000000001" customHeight="1">
      <c r="A512" s="308" t="s">
        <v>478</v>
      </c>
      <c r="B512" s="579">
        <f>I504+C510</f>
        <v>86</v>
      </c>
      <c r="C512" s="653" t="s">
        <v>251</v>
      </c>
      <c r="D512" s="654"/>
      <c r="E512" s="655">
        <f>K504+I510</f>
        <v>108.49389051808407</v>
      </c>
      <c r="F512" s="655"/>
      <c r="G512" s="643" t="s">
        <v>274</v>
      </c>
      <c r="H512" s="643"/>
      <c r="I512" s="652">
        <f>B512-E512</f>
        <v>-22.493890518084072</v>
      </c>
      <c r="J512" s="652"/>
      <c r="K512" s="640" t="s">
        <v>275</v>
      </c>
      <c r="L512" s="640"/>
      <c r="M512" s="644">
        <f>IF(ISERROR(I512/E512),"",I512/E512)</f>
        <v>-0.20732863768337928</v>
      </c>
      <c r="N512" s="644"/>
      <c r="O512" s="640"/>
      <c r="P512" s="643" t="s">
        <v>245</v>
      </c>
      <c r="Q512" s="643"/>
      <c r="R512" s="645"/>
      <c r="S512" s="645"/>
      <c r="T512" s="646" t="str">
        <f>IF(ISERROR(R512/R513),"",R512/R513)</f>
        <v/>
      </c>
      <c r="U512" s="646"/>
      <c r="V512" s="643" t="s">
        <v>264</v>
      </c>
      <c r="W512" s="643"/>
      <c r="X512" s="647">
        <f>SUM(O375,O432,O467,O486,O493,O509)</f>
        <v>0</v>
      </c>
      <c r="Y512" s="647"/>
      <c r="Z512" s="646" t="str">
        <f>IF(ISERROR(X512/X513),"",X512/X513)</f>
        <v/>
      </c>
      <c r="AA512" s="646"/>
    </row>
    <row r="513" spans="1:27" ht="20.100000000000001" customHeight="1">
      <c r="A513" s="308" t="s">
        <v>479</v>
      </c>
      <c r="B513" s="579">
        <f>N504</f>
        <v>0</v>
      </c>
      <c r="C513" s="653" t="s">
        <v>277</v>
      </c>
      <c r="D513" s="654"/>
      <c r="E513" s="646">
        <f>IF(ISERROR(B513/B512),"",B513/B512)</f>
        <v>0</v>
      </c>
      <c r="F513" s="646"/>
      <c r="G513" s="643" t="s">
        <v>278</v>
      </c>
      <c r="H513" s="643"/>
      <c r="I513" s="640">
        <f>V504</f>
        <v>0</v>
      </c>
      <c r="J513" s="640"/>
      <c r="K513" s="640" t="s">
        <v>279</v>
      </c>
      <c r="L513" s="640"/>
      <c r="M513" s="644">
        <f t="array" ref="M513">IF(ISERROR(I513/B511),"",I513/B511)</f>
        <v>0</v>
      </c>
      <c r="N513" s="644"/>
      <c r="O513" s="640"/>
      <c r="P513" s="643" t="s">
        <v>266</v>
      </c>
      <c r="Q513" s="643"/>
      <c r="R513" s="645">
        <f>SUM(R506:S512)</f>
        <v>0</v>
      </c>
      <c r="S513" s="645"/>
      <c r="T513" s="646"/>
      <c r="U513" s="646"/>
      <c r="V513" s="643" t="s">
        <v>266</v>
      </c>
      <c r="W513" s="643"/>
      <c r="X513" s="647">
        <f>SUM(X506:Y512)</f>
        <v>0</v>
      </c>
      <c r="Y513" s="647"/>
      <c r="Z513" s="646"/>
      <c r="AA513" s="646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682" t="str">
        <f>IF(ISERROR(#REF!/#REF!),"",#REF!/#REF!)</f>
        <v/>
      </c>
      <c r="H514" s="682"/>
      <c r="I514" s="682"/>
      <c r="J514" s="125"/>
      <c r="K514" s="160"/>
      <c r="L514" s="122"/>
      <c r="M514" s="122"/>
      <c r="N514" s="682" t="str">
        <f>IF(ISERROR(G514/#REF!),"",G514/#REF!)</f>
        <v/>
      </c>
      <c r="O514" s="682"/>
      <c r="P514" s="682"/>
      <c r="Q514" s="682"/>
      <c r="R514" s="682"/>
      <c r="S514" s="581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685" t="s">
        <v>268</v>
      </c>
      <c r="B516" s="685"/>
      <c r="C516" s="638">
        <f>SUM(B170,B340,B511)</f>
        <v>8434</v>
      </c>
      <c r="D516" s="639"/>
      <c r="E516" s="685" t="s">
        <v>269</v>
      </c>
      <c r="F516" s="685"/>
      <c r="G516" s="655">
        <f>SUM(E170,E340,E511)</f>
        <v>41482.07</v>
      </c>
      <c r="H516" s="655"/>
      <c r="I516" s="643" t="s">
        <v>270</v>
      </c>
      <c r="J516" s="685"/>
      <c r="K516" s="638">
        <f>IF(ISERROR(C516/G517),"",C516/G517)</f>
        <v>15.264717925326579</v>
      </c>
      <c r="L516" s="639"/>
      <c r="M516" s="643" t="s">
        <v>271</v>
      </c>
      <c r="N516" s="643"/>
      <c r="O516" s="680">
        <f t="array" ref="O516">IF(ISERROR(C516/C517),"",C516/C517)</f>
        <v>16.408560311284045</v>
      </c>
      <c r="P516" s="681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643" t="s">
        <v>273</v>
      </c>
      <c r="B517" s="643"/>
      <c r="C517" s="638">
        <f>SUM(B171,B341,B512)</f>
        <v>514</v>
      </c>
      <c r="D517" s="639"/>
      <c r="E517" s="643" t="s">
        <v>251</v>
      </c>
      <c r="F517" s="643"/>
      <c r="G517" s="655">
        <f>SUM(E171,E341,E512)</f>
        <v>552.51594174607453</v>
      </c>
      <c r="H517" s="655"/>
      <c r="I517" s="653" t="s">
        <v>274</v>
      </c>
      <c r="J517" s="654"/>
      <c r="K517" s="650">
        <f>C517-G517</f>
        <v>-38.515941746074532</v>
      </c>
      <c r="L517" s="651"/>
      <c r="M517" s="650" t="s">
        <v>275</v>
      </c>
      <c r="N517" s="651"/>
      <c r="O517" s="683">
        <f>IF(ISERROR(K517/C517),"",K517/C517)</f>
        <v>-7.4933738805592467E-2</v>
      </c>
      <c r="P517" s="684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653" t="s">
        <v>276</v>
      </c>
      <c r="B518" s="654"/>
      <c r="C518" s="638">
        <f>SUM(B172,B342,B513)</f>
        <v>0</v>
      </c>
      <c r="D518" s="639"/>
      <c r="E518" s="653" t="s">
        <v>277</v>
      </c>
      <c r="F518" s="654"/>
      <c r="G518" s="646">
        <f>IF(ISERROR(C518/C517),"",C518/C517)</f>
        <v>0</v>
      </c>
      <c r="H518" s="646"/>
      <c r="I518" s="643" t="s">
        <v>278</v>
      </c>
      <c r="J518" s="685"/>
      <c r="K518" s="655">
        <f>SUM(I172,I342,I513)</f>
        <v>0</v>
      </c>
      <c r="L518" s="655"/>
      <c r="M518" s="685" t="s">
        <v>279</v>
      </c>
      <c r="N518" s="685"/>
      <c r="O518" s="683">
        <f t="array" ref="O518">IF(ISERROR(K518/C516),"",K518/C516)</f>
        <v>0</v>
      </c>
      <c r="P518" s="684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581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653" t="s">
        <v>298</v>
      </c>
      <c r="B520" s="654"/>
      <c r="C520" s="653" t="s">
        <v>299</v>
      </c>
      <c r="D520" s="654"/>
      <c r="E520" s="653" t="s">
        <v>256</v>
      </c>
      <c r="F520" s="654"/>
      <c r="G520" s="686" t="s">
        <v>254</v>
      </c>
      <c r="H520" s="687"/>
      <c r="I520" s="653" t="s">
        <v>255</v>
      </c>
      <c r="J520" s="651"/>
      <c r="K520" s="653" t="s">
        <v>300</v>
      </c>
      <c r="L520" s="654"/>
      <c r="M520" s="653" t="s">
        <v>256</v>
      </c>
      <c r="N520" s="654"/>
      <c r="O520" s="643" t="s">
        <v>257</v>
      </c>
      <c r="P520" s="643"/>
      <c r="Q520" s="653" t="s">
        <v>300</v>
      </c>
      <c r="R520" s="654"/>
      <c r="S520" s="653" t="s">
        <v>256</v>
      </c>
      <c r="T520" s="654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692" t="s">
        <v>201</v>
      </c>
      <c r="B521" s="654"/>
      <c r="C521" s="653">
        <f>SUM(G28,G198,G368)</f>
        <v>1539</v>
      </c>
      <c r="D521" s="654"/>
      <c r="E521" s="693">
        <f>IF(ISERROR(C521/C527),"",C521/C527)</f>
        <v>0.18247569362105762</v>
      </c>
      <c r="F521" s="694"/>
      <c r="G521" s="688"/>
      <c r="H521" s="689"/>
      <c r="I521" s="695" t="s">
        <v>301</v>
      </c>
      <c r="J521" s="696"/>
      <c r="K521" s="650">
        <f t="shared" ref="K521:K526" si="237">SUM(R165,U335,U506)</f>
        <v>0</v>
      </c>
      <c r="L521" s="651"/>
      <c r="M521" s="693" t="str">
        <f t="array" ref="M521">IF(ISERROR(K521/K527),"",K521/K527)</f>
        <v/>
      </c>
      <c r="N521" s="694"/>
      <c r="O521" s="643" t="s">
        <v>259</v>
      </c>
      <c r="P521" s="643"/>
      <c r="Q521" s="680">
        <f t="shared" ref="Q521:Q526" si="238">SUM(X165,AA335,AA506)</f>
        <v>0</v>
      </c>
      <c r="R521" s="681"/>
      <c r="S521" s="693" t="str">
        <f t="array" ref="S521">IF(ISERROR(Q521/Q527),"",Q521/Q527)</f>
        <v/>
      </c>
      <c r="T521" s="694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692" t="s">
        <v>216</v>
      </c>
      <c r="B522" s="654"/>
      <c r="C522" s="653">
        <f>SUM(G86,G256,G426)</f>
        <v>4425</v>
      </c>
      <c r="D522" s="654"/>
      <c r="E522" s="693">
        <f>IF(ISERROR(C522/C527),"",C522/C527)</f>
        <v>0.5246620820488499</v>
      </c>
      <c r="F522" s="694"/>
      <c r="G522" s="688"/>
      <c r="H522" s="689"/>
      <c r="I522" s="695" t="s">
        <v>302</v>
      </c>
      <c r="J522" s="696"/>
      <c r="K522" s="650">
        <f t="shared" si="237"/>
        <v>0</v>
      </c>
      <c r="L522" s="651"/>
      <c r="M522" s="693" t="str">
        <f>IF(ISERROR(K522/K527),"",K522/K527)</f>
        <v/>
      </c>
      <c r="N522" s="694"/>
      <c r="O522" s="643" t="s">
        <v>261</v>
      </c>
      <c r="P522" s="643"/>
      <c r="Q522" s="680">
        <f t="shared" si="238"/>
        <v>0</v>
      </c>
      <c r="R522" s="681"/>
      <c r="S522" s="693" t="str">
        <f>IF(ISERROR(Q522/Q527),"",Q522/Q527)</f>
        <v/>
      </c>
      <c r="T522" s="694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692" t="s">
        <v>224</v>
      </c>
      <c r="B523" s="654"/>
      <c r="C523" s="653">
        <f>SUM(G121,G291,G461)</f>
        <v>2470</v>
      </c>
      <c r="D523" s="654"/>
      <c r="E523" s="693">
        <f>IF(ISERROR(C523/C527),"",C523/C527)</f>
        <v>0.29286222433009246</v>
      </c>
      <c r="F523" s="694"/>
      <c r="G523" s="688"/>
      <c r="H523" s="689"/>
      <c r="I523" s="695" t="s">
        <v>303</v>
      </c>
      <c r="J523" s="696"/>
      <c r="K523" s="650">
        <f t="shared" si="237"/>
        <v>0</v>
      </c>
      <c r="L523" s="651"/>
      <c r="M523" s="693" t="str">
        <f>IF(ISERROR(K523/K527),"",K523/K527)</f>
        <v/>
      </c>
      <c r="N523" s="694"/>
      <c r="O523" s="643" t="s">
        <v>263</v>
      </c>
      <c r="P523" s="643"/>
      <c r="Q523" s="680">
        <f t="shared" si="238"/>
        <v>0</v>
      </c>
      <c r="R523" s="681"/>
      <c r="S523" s="693" t="str">
        <f>IF(ISERROR(Q523/Q527),"",Q523/Q527)</f>
        <v/>
      </c>
      <c r="T523" s="694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692" t="s">
        <v>231</v>
      </c>
      <c r="B524" s="654"/>
      <c r="C524" s="653">
        <f>SUM(G137,G307,G477)</f>
        <v>0</v>
      </c>
      <c r="D524" s="654"/>
      <c r="E524" s="693">
        <f>IF(ISERROR(C524/C527),"",C524/C527)</f>
        <v>0</v>
      </c>
      <c r="F524" s="694"/>
      <c r="G524" s="688"/>
      <c r="H524" s="689"/>
      <c r="I524" s="695" t="s">
        <v>304</v>
      </c>
      <c r="J524" s="696"/>
      <c r="K524" s="650">
        <f t="shared" si="237"/>
        <v>0</v>
      </c>
      <c r="L524" s="651"/>
      <c r="M524" s="693" t="str">
        <f>IF(ISERROR(K524/K527),"",K524/K527)</f>
        <v/>
      </c>
      <c r="N524" s="694"/>
      <c r="O524" s="643" t="s">
        <v>305</v>
      </c>
      <c r="P524" s="643"/>
      <c r="Q524" s="680">
        <f t="shared" si="238"/>
        <v>0</v>
      </c>
      <c r="R524" s="681"/>
      <c r="S524" s="693" t="str">
        <f>IF(ISERROR(Q524/Q527),"",Q524/Q527)</f>
        <v/>
      </c>
      <c r="T524" s="694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92" t="s">
        <v>234</v>
      </c>
      <c r="B525" s="654"/>
      <c r="C525" s="653">
        <f>SUM(G147,G317,G487)</f>
        <v>0</v>
      </c>
      <c r="D525" s="654"/>
      <c r="E525" s="693">
        <f>IF(ISERROR(C525/C527),"",C525/C527)</f>
        <v>0</v>
      </c>
      <c r="F525" s="694"/>
      <c r="G525" s="688"/>
      <c r="H525" s="689"/>
      <c r="I525" s="695" t="s">
        <v>306</v>
      </c>
      <c r="J525" s="696"/>
      <c r="K525" s="650">
        <f t="shared" si="237"/>
        <v>0</v>
      </c>
      <c r="L525" s="651"/>
      <c r="M525" s="693" t="str">
        <f>IF(ISERROR(K525/K527),"",K525/K527)</f>
        <v/>
      </c>
      <c r="N525" s="694"/>
      <c r="O525" s="643" t="s">
        <v>267</v>
      </c>
      <c r="P525" s="643"/>
      <c r="Q525" s="680">
        <f t="shared" si="238"/>
        <v>0</v>
      </c>
      <c r="R525" s="681"/>
      <c r="S525" s="693" t="str">
        <f>IF(ISERROR(Q525/Q527),"",Q525/Q527)</f>
        <v/>
      </c>
      <c r="T525" s="694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92" t="s">
        <v>244</v>
      </c>
      <c r="B526" s="654"/>
      <c r="C526" s="653">
        <f>SUM(G162,G332,G503)</f>
        <v>0</v>
      </c>
      <c r="D526" s="654"/>
      <c r="E526" s="693">
        <f>IF(ISERROR(C526/C527),"",C526/C527)</f>
        <v>0</v>
      </c>
      <c r="F526" s="694"/>
      <c r="G526" s="688"/>
      <c r="H526" s="689"/>
      <c r="I526" s="695" t="s">
        <v>307</v>
      </c>
      <c r="J526" s="696"/>
      <c r="K526" s="650">
        <f t="shared" si="237"/>
        <v>0</v>
      </c>
      <c r="L526" s="651"/>
      <c r="M526" s="693" t="str">
        <f>IF(ISERROR(K526/K527),"",K526/K527)</f>
        <v/>
      </c>
      <c r="N526" s="694"/>
      <c r="O526" s="643" t="s">
        <v>272</v>
      </c>
      <c r="P526" s="643"/>
      <c r="Q526" s="680">
        <f t="shared" si="238"/>
        <v>0</v>
      </c>
      <c r="R526" s="681"/>
      <c r="S526" s="693" t="str">
        <f>IF(ISERROR(Q526/Q527),"",Q526/Q527)</f>
        <v/>
      </c>
      <c r="T526" s="694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53" t="s">
        <v>266</v>
      </c>
      <c r="B527" s="654"/>
      <c r="C527" s="653">
        <f>SUM(C521:C526)</f>
        <v>8434</v>
      </c>
      <c r="D527" s="654"/>
      <c r="E527" s="693">
        <f>SUM(E521:F526)</f>
        <v>1</v>
      </c>
      <c r="F527" s="694"/>
      <c r="G527" s="690"/>
      <c r="H527" s="691"/>
      <c r="I527" s="653" t="s">
        <v>266</v>
      </c>
      <c r="J527" s="651"/>
      <c r="K527" s="650">
        <f>SUM(R172,U342,U513)</f>
        <v>0</v>
      </c>
      <c r="L527" s="651"/>
      <c r="M527" s="693"/>
      <c r="N527" s="694"/>
      <c r="O527" s="643" t="s">
        <v>266</v>
      </c>
      <c r="P527" s="643"/>
      <c r="Q527" s="680">
        <f>SUM(Q521:R526)</f>
        <v>0</v>
      </c>
      <c r="R527" s="681"/>
      <c r="S527" s="693">
        <f>SUM(S521:T526)</f>
        <v>0</v>
      </c>
      <c r="T527" s="694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695" t="s">
        <v>308</v>
      </c>
      <c r="B529" s="649"/>
      <c r="C529" s="572" t="s">
        <v>309</v>
      </c>
      <c r="D529" s="572" t="s">
        <v>310</v>
      </c>
      <c r="E529" s="572" t="s">
        <v>311</v>
      </c>
      <c r="F529" s="572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573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582" t="s">
        <v>322</v>
      </c>
      <c r="Q529" s="129" t="s">
        <v>323</v>
      </c>
      <c r="R529" s="109" t="s">
        <v>324</v>
      </c>
      <c r="S529" s="572" t="s">
        <v>325</v>
      </c>
      <c r="T529" s="572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697" t="s">
        <v>327</v>
      </c>
      <c r="B530" s="698"/>
      <c r="C530" s="106">
        <f>D530+E530+F530-G530-O530-P530</f>
        <v>38</v>
      </c>
      <c r="D530" s="106">
        <f>+'20'!C530</f>
        <v>38</v>
      </c>
      <c r="E530" s="106"/>
      <c r="F530" s="106"/>
      <c r="G530" s="107"/>
      <c r="H530" s="106"/>
      <c r="I530" s="106"/>
      <c r="J530" s="106">
        <f>C530-H530-I530</f>
        <v>38</v>
      </c>
      <c r="K530" s="106"/>
      <c r="L530" s="106"/>
      <c r="M530" s="106"/>
      <c r="N530" s="106"/>
      <c r="O530" s="106"/>
      <c r="P530" s="108"/>
      <c r="Q530" s="106">
        <f>J530-K530-L530</f>
        <v>38</v>
      </c>
      <c r="R530" s="109">
        <f>Q530*11-M530-N530</f>
        <v>418</v>
      </c>
      <c r="S530" s="575">
        <f t="array" ref="S530">IF(ISERROR(Q530/J530),"",Q530/J530)</f>
        <v>1</v>
      </c>
      <c r="T530" s="575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697" t="s">
        <v>328</v>
      </c>
      <c r="B531" s="698"/>
      <c r="C531" s="106">
        <f>D531+E531+F531-G531-O531-P531</f>
        <v>31</v>
      </c>
      <c r="D531" s="106">
        <f>+'20'!C531</f>
        <v>31</v>
      </c>
      <c r="E531" s="110"/>
      <c r="F531" s="110"/>
      <c r="G531" s="107"/>
      <c r="H531" s="106"/>
      <c r="I531" s="106"/>
      <c r="J531" s="106">
        <f>C531-H531-I531</f>
        <v>31</v>
      </c>
      <c r="K531" s="106">
        <v>1</v>
      </c>
      <c r="L531" s="106"/>
      <c r="M531" s="106"/>
      <c r="N531" s="106"/>
      <c r="O531" s="110"/>
      <c r="P531" s="111"/>
      <c r="Q531" s="106">
        <f>J531-K531-L531</f>
        <v>30</v>
      </c>
      <c r="R531" s="109">
        <f>Q531*11-M531-N531</f>
        <v>330</v>
      </c>
      <c r="S531" s="575">
        <f t="array" ref="S531">IF(ISERROR(Q531/J531),"",Q531/J531)</f>
        <v>0.967741935483871</v>
      </c>
      <c r="T531" s="575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697" t="s">
        <v>329</v>
      </c>
      <c r="B532" s="698"/>
      <c r="C532" s="106">
        <f>D532+E532+F532-G532-O532-P532</f>
        <v>10</v>
      </c>
      <c r="D532" s="106">
        <f>+'20'!C532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575">
        <f t="array" ref="S532">IF(ISERROR(Q532/J532),"",Q532/J532)</f>
        <v>1</v>
      </c>
      <c r="T532" s="575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699" t="s">
        <v>330</v>
      </c>
      <c r="B533" s="700"/>
      <c r="C533" s="112">
        <f>SUM(C530:C532)</f>
        <v>79</v>
      </c>
      <c r="D533" s="112">
        <f t="shared" ref="D533:N533" si="239">SUM(D530:D532)</f>
        <v>79</v>
      </c>
      <c r="E533" s="112">
        <f t="shared" si="239"/>
        <v>0</v>
      </c>
      <c r="F533" s="112">
        <f t="shared" si="239"/>
        <v>0</v>
      </c>
      <c r="G533" s="113">
        <f t="shared" si="239"/>
        <v>0</v>
      </c>
      <c r="H533" s="112">
        <f t="shared" si="239"/>
        <v>0</v>
      </c>
      <c r="I533" s="112">
        <f t="shared" si="239"/>
        <v>0</v>
      </c>
      <c r="J533" s="112">
        <f t="shared" si="239"/>
        <v>79</v>
      </c>
      <c r="K533" s="112">
        <f t="shared" si="239"/>
        <v>1</v>
      </c>
      <c r="L533" s="112">
        <f t="shared" si="239"/>
        <v>0</v>
      </c>
      <c r="M533" s="112">
        <f t="shared" si="239"/>
        <v>0</v>
      </c>
      <c r="N533" s="112">
        <f t="shared" si="239"/>
        <v>0</v>
      </c>
      <c r="O533" s="112">
        <f>SUM(O530:O532)</f>
        <v>0</v>
      </c>
      <c r="P533" s="112">
        <f>SUM(P530:P532)</f>
        <v>0</v>
      </c>
      <c r="Q533" s="112">
        <f>SUM(Q530:Q532)</f>
        <v>78</v>
      </c>
      <c r="R533" s="114">
        <f>SUM(R530:R532)</f>
        <v>858</v>
      </c>
      <c r="S533" s="115">
        <f t="array" ref="S533">IF(ISERROR(Q533/J533),"",Q533/J533)</f>
        <v>0.98734177215189878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289" activePane="bottomRight" state="frozen"/>
      <selection activeCell="F484" sqref="F484"/>
      <selection pane="topRight" activeCell="F484" sqref="F484"/>
      <selection pane="bottomLeft" activeCell="F484" sqref="F484"/>
      <selection pane="bottomRight" activeCell="F484" sqref="F48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07" t="s">
        <v>413</v>
      </c>
      <c r="B1" s="607"/>
      <c r="C1" s="607"/>
      <c r="D1" s="607"/>
      <c r="E1" s="607"/>
      <c r="F1" s="607"/>
      <c r="G1" s="607"/>
      <c r="H1" s="607"/>
      <c r="I1" s="607"/>
      <c r="J1" s="607"/>
      <c r="K1" s="607"/>
      <c r="L1" s="607"/>
      <c r="M1" s="607"/>
      <c r="N1" s="607"/>
      <c r="O1" s="607"/>
      <c r="P1" s="607"/>
      <c r="Q1" s="607"/>
      <c r="R1" s="607"/>
      <c r="S1" s="607"/>
      <c r="T1" s="607"/>
      <c r="U1" s="607"/>
      <c r="V1" s="607"/>
      <c r="W1" s="607"/>
      <c r="X1" s="607"/>
      <c r="Y1" s="607"/>
      <c r="Z1" s="607"/>
      <c r="AA1" s="607"/>
    </row>
    <row r="2" spans="1:27" ht="18.75">
      <c r="A2" s="608"/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09" t="s">
        <v>12</v>
      </c>
      <c r="B4" s="609" t="s">
        <v>25</v>
      </c>
      <c r="C4" s="609" t="s">
        <v>26</v>
      </c>
      <c r="D4" s="609" t="s">
        <v>27</v>
      </c>
      <c r="E4" s="612" t="s">
        <v>28</v>
      </c>
      <c r="F4" s="615" t="s">
        <v>29</v>
      </c>
      <c r="G4" s="618" t="s">
        <v>30</v>
      </c>
      <c r="H4" s="618"/>
      <c r="I4" s="609" t="s">
        <v>31</v>
      </c>
      <c r="J4" s="621" t="s">
        <v>32</v>
      </c>
      <c r="K4" s="624" t="s">
        <v>33</v>
      </c>
      <c r="L4" s="609" t="s">
        <v>34</v>
      </c>
      <c r="M4" s="627" t="s">
        <v>35</v>
      </c>
      <c r="N4" s="629" t="s">
        <v>36</v>
      </c>
      <c r="O4" s="618" t="s">
        <v>37</v>
      </c>
      <c r="P4" s="618"/>
      <c r="Q4" s="618"/>
      <c r="R4" s="618"/>
      <c r="S4" s="618"/>
      <c r="T4" s="618"/>
      <c r="U4" s="618"/>
      <c r="V4" s="618" t="s">
        <v>38</v>
      </c>
      <c r="W4" s="629" t="s">
        <v>39</v>
      </c>
      <c r="X4" s="618" t="s">
        <v>40</v>
      </c>
      <c r="Y4" s="618"/>
      <c r="Z4" s="618"/>
      <c r="AA4" s="618"/>
    </row>
    <row r="5" spans="1:27" s="104" customFormat="1" ht="15" customHeight="1">
      <c r="A5" s="610"/>
      <c r="B5" s="610"/>
      <c r="C5" s="610"/>
      <c r="D5" s="610"/>
      <c r="E5" s="613"/>
      <c r="F5" s="616"/>
      <c r="G5" s="618"/>
      <c r="H5" s="618"/>
      <c r="I5" s="610"/>
      <c r="J5" s="622"/>
      <c r="K5" s="625"/>
      <c r="L5" s="610"/>
      <c r="M5" s="628"/>
      <c r="N5" s="629"/>
      <c r="O5" s="618" t="s">
        <v>41</v>
      </c>
      <c r="P5" s="618" t="s">
        <v>42</v>
      </c>
      <c r="Q5" s="618" t="s">
        <v>43</v>
      </c>
      <c r="R5" s="619" t="s">
        <v>44</v>
      </c>
      <c r="S5" s="620" t="s">
        <v>45</v>
      </c>
      <c r="T5" s="618" t="s">
        <v>46</v>
      </c>
      <c r="U5" s="618" t="s">
        <v>47</v>
      </c>
      <c r="V5" s="618"/>
      <c r="W5" s="629"/>
      <c r="X5" s="618" t="s">
        <v>13</v>
      </c>
      <c r="Y5" s="618" t="s">
        <v>48</v>
      </c>
      <c r="Z5" s="618" t="s">
        <v>49</v>
      </c>
      <c r="AA5" s="618" t="s">
        <v>47</v>
      </c>
    </row>
    <row r="6" spans="1:27" s="104" customFormat="1" ht="27.75" customHeight="1">
      <c r="A6" s="611"/>
      <c r="B6" s="611"/>
      <c r="C6" s="611"/>
      <c r="D6" s="611"/>
      <c r="E6" s="614"/>
      <c r="F6" s="617"/>
      <c r="G6" s="350" t="s">
        <v>50</v>
      </c>
      <c r="H6" s="383" t="s">
        <v>51</v>
      </c>
      <c r="I6" s="611"/>
      <c r="J6" s="623"/>
      <c r="K6" s="626"/>
      <c r="L6" s="611"/>
      <c r="M6" s="628"/>
      <c r="N6" s="629"/>
      <c r="O6" s="618"/>
      <c r="P6" s="618"/>
      <c r="Q6" s="618"/>
      <c r="R6" s="619"/>
      <c r="S6" s="620"/>
      <c r="T6" s="618"/>
      <c r="U6" s="618"/>
      <c r="V6" s="618"/>
      <c r="W6" s="629"/>
      <c r="X6" s="618"/>
      <c r="Y6" s="618"/>
      <c r="Z6" s="618"/>
      <c r="AA6" s="618"/>
    </row>
    <row r="7" spans="1:27" ht="20.100000000000001" hidden="1" customHeight="1">
      <c r="A7" s="299">
        <v>30100030</v>
      </c>
      <c r="B7" s="372" t="s">
        <v>178</v>
      </c>
      <c r="C7" s="126" t="s">
        <v>179</v>
      </c>
      <c r="D7" s="108">
        <v>5.03</v>
      </c>
      <c r="E7" s="108"/>
      <c r="F7" s="127"/>
      <c r="G7" s="128"/>
      <c r="H7" s="373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381"/>
      <c r="P7" s="381"/>
      <c r="Q7" s="381"/>
      <c r="R7" s="381"/>
      <c r="S7" s="381"/>
      <c r="T7" s="381"/>
      <c r="U7" s="381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373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381"/>
      <c r="Q8" s="381"/>
      <c r="R8" s="381"/>
      <c r="S8" s="381"/>
      <c r="T8" s="381"/>
      <c r="U8" s="381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373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381"/>
      <c r="P9" s="381"/>
      <c r="Q9" s="381"/>
      <c r="R9" s="381"/>
      <c r="S9" s="381"/>
      <c r="T9" s="381"/>
      <c r="U9" s="381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373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381"/>
      <c r="P10" s="381"/>
      <c r="Q10" s="381"/>
      <c r="R10" s="381"/>
      <c r="S10" s="381"/>
      <c r="T10" s="381"/>
      <c r="U10" s="381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373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381"/>
      <c r="P11" s="381"/>
      <c r="Q11" s="381"/>
      <c r="R11" s="381"/>
      <c r="S11" s="381"/>
      <c r="T11" s="381"/>
      <c r="U11" s="381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373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381"/>
      <c r="P12" s="381"/>
      <c r="Q12" s="381"/>
      <c r="R12" s="381"/>
      <c r="S12" s="381"/>
      <c r="T12" s="381"/>
      <c r="U12" s="381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373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381"/>
      <c r="P13" s="381"/>
      <c r="Q13" s="381"/>
      <c r="R13" s="381"/>
      <c r="S13" s="381"/>
      <c r="T13" s="381"/>
      <c r="U13" s="381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373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381"/>
      <c r="P14" s="381"/>
      <c r="Q14" s="381"/>
      <c r="R14" s="381"/>
      <c r="S14" s="381"/>
      <c r="T14" s="381"/>
      <c r="U14" s="381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373">
        <f t="shared" si="0"/>
        <v>0</v>
      </c>
      <c r="I15" s="373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381"/>
      <c r="P15" s="381"/>
      <c r="Q15" s="381"/>
      <c r="R15" s="381"/>
      <c r="S15" s="381"/>
      <c r="T15" s="381"/>
      <c r="U15" s="381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373">
        <f t="shared" si="0"/>
        <v>0</v>
      </c>
      <c r="I16" s="373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381"/>
      <c r="P16" s="381"/>
      <c r="Q16" s="381"/>
      <c r="R16" s="381"/>
      <c r="S16" s="381"/>
      <c r="T16" s="381"/>
      <c r="U16" s="381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373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381"/>
      <c r="P17" s="381"/>
      <c r="Q17" s="381"/>
      <c r="R17" s="381"/>
      <c r="S17" s="381"/>
      <c r="T17" s="381"/>
      <c r="U17" s="381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373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381"/>
      <c r="P18" s="381"/>
      <c r="Q18" s="381"/>
      <c r="R18" s="381"/>
      <c r="S18" s="381"/>
      <c r="T18" s="381"/>
      <c r="U18" s="381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373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81"/>
      <c r="P19" s="381"/>
      <c r="Q19" s="381"/>
      <c r="R19" s="381"/>
      <c r="S19" s="381"/>
      <c r="T19" s="381"/>
      <c r="U19" s="381"/>
      <c r="V19" s="132">
        <f t="shared" ref="V19:V21" si="5">SUM(X19:AA19)</f>
        <v>0</v>
      </c>
      <c r="W19" s="374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373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381"/>
      <c r="P20" s="381"/>
      <c r="Q20" s="381"/>
      <c r="R20" s="381"/>
      <c r="S20" s="381"/>
      <c r="T20" s="381"/>
      <c r="U20" s="381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373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381"/>
      <c r="P21" s="381"/>
      <c r="Q21" s="381"/>
      <c r="R21" s="381"/>
      <c r="S21" s="381"/>
      <c r="T21" s="381"/>
      <c r="U21" s="381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379" t="s">
        <v>190</v>
      </c>
      <c r="D22" s="108">
        <v>4.8</v>
      </c>
      <c r="E22" s="108"/>
      <c r="F22" s="127"/>
      <c r="G22" s="128"/>
      <c r="H22" s="373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381"/>
      <c r="P22" s="381"/>
      <c r="Q22" s="381"/>
      <c r="R22" s="381"/>
      <c r="S22" s="381"/>
      <c r="T22" s="381"/>
      <c r="U22" s="381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379" t="s">
        <v>187</v>
      </c>
      <c r="D23" s="108">
        <v>4.8</v>
      </c>
      <c r="E23" s="108"/>
      <c r="F23" s="127"/>
      <c r="G23" s="128"/>
      <c r="H23" s="373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381"/>
      <c r="P23" s="381"/>
      <c r="Q23" s="381"/>
      <c r="R23" s="381"/>
      <c r="S23" s="381"/>
      <c r="T23" s="381"/>
      <c r="U23" s="381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379" t="s">
        <v>179</v>
      </c>
      <c r="D24" s="108">
        <v>4.8</v>
      </c>
      <c r="E24" s="108"/>
      <c r="F24" s="127"/>
      <c r="G24" s="128"/>
      <c r="H24" s="373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381"/>
      <c r="P24" s="381"/>
      <c r="Q24" s="381"/>
      <c r="R24" s="381"/>
      <c r="S24" s="381"/>
      <c r="T24" s="381"/>
      <c r="U24" s="381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379" t="s">
        <v>199</v>
      </c>
      <c r="D25" s="108">
        <v>4.8</v>
      </c>
      <c r="E25" s="108"/>
      <c r="F25" s="127"/>
      <c r="G25" s="128"/>
      <c r="H25" s="373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381"/>
      <c r="P25" s="381"/>
      <c r="Q25" s="381"/>
      <c r="R25" s="381"/>
      <c r="S25" s="381"/>
      <c r="T25" s="381"/>
      <c r="U25" s="381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373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381"/>
      <c r="P26" s="381"/>
      <c r="Q26" s="381"/>
      <c r="R26" s="381"/>
      <c r="S26" s="381"/>
      <c r="T26" s="381"/>
      <c r="U26" s="381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373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381"/>
      <c r="P27" s="381"/>
      <c r="Q27" s="381"/>
      <c r="R27" s="381"/>
      <c r="S27" s="381"/>
      <c r="T27" s="381"/>
      <c r="U27" s="381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hidden="1" customHeight="1">
      <c r="A28" s="630" t="s">
        <v>201</v>
      </c>
      <c r="B28" s="631"/>
      <c r="C28" s="382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si="9"/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372" t="s">
        <v>206</v>
      </c>
      <c r="C29" s="126" t="s">
        <v>199</v>
      </c>
      <c r="D29" s="108">
        <v>5.03</v>
      </c>
      <c r="E29" s="108"/>
      <c r="F29" s="127"/>
      <c r="G29" s="128"/>
      <c r="H29" s="373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377"/>
      <c r="P29" s="377"/>
      <c r="Q29" s="377"/>
      <c r="R29" s="377"/>
      <c r="S29" s="377"/>
      <c r="T29" s="377"/>
      <c r="U29" s="377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372" t="s">
        <v>425</v>
      </c>
      <c r="C30" s="187" t="s">
        <v>427</v>
      </c>
      <c r="D30" s="108">
        <v>5.03</v>
      </c>
      <c r="E30" s="108"/>
      <c r="F30" s="127"/>
      <c r="G30" s="128"/>
      <c r="H30" s="373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377"/>
      <c r="P30" s="377"/>
      <c r="Q30" s="377"/>
      <c r="R30" s="377"/>
      <c r="S30" s="377"/>
      <c r="T30" s="377"/>
      <c r="U30" s="377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372" t="s">
        <v>206</v>
      </c>
      <c r="C31" s="126" t="s">
        <v>186</v>
      </c>
      <c r="D31" s="108">
        <v>5.03</v>
      </c>
      <c r="E31" s="108"/>
      <c r="F31" s="127"/>
      <c r="G31" s="128"/>
      <c r="H31" s="373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377"/>
      <c r="P31" s="377"/>
      <c r="Q31" s="377"/>
      <c r="R31" s="377"/>
      <c r="S31" s="377"/>
      <c r="T31" s="377"/>
      <c r="U31" s="377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372" t="s">
        <v>206</v>
      </c>
      <c r="C32" s="126" t="s">
        <v>203</v>
      </c>
      <c r="D32" s="108">
        <v>5.03</v>
      </c>
      <c r="E32" s="108"/>
      <c r="F32" s="127"/>
      <c r="G32" s="128"/>
      <c r="H32" s="373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377"/>
      <c r="P32" s="377"/>
      <c r="Q32" s="377"/>
      <c r="R32" s="377"/>
      <c r="S32" s="377"/>
      <c r="T32" s="377"/>
      <c r="U32" s="377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372" t="s">
        <v>206</v>
      </c>
      <c r="C33" s="126" t="s">
        <v>207</v>
      </c>
      <c r="D33" s="108">
        <v>5.03</v>
      </c>
      <c r="E33" s="108"/>
      <c r="F33" s="127"/>
      <c r="G33" s="128"/>
      <c r="H33" s="373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377"/>
      <c r="P33" s="377"/>
      <c r="Q33" s="377"/>
      <c r="R33" s="377"/>
      <c r="S33" s="377"/>
      <c r="T33" s="377"/>
      <c r="U33" s="377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372" t="s">
        <v>414</v>
      </c>
      <c r="C34" s="187" t="s">
        <v>415</v>
      </c>
      <c r="D34" s="108">
        <v>5.03</v>
      </c>
      <c r="E34" s="108"/>
      <c r="F34" s="127"/>
      <c r="G34" s="128"/>
      <c r="H34" s="373">
        <f t="shared" si="11"/>
        <v>0</v>
      </c>
      <c r="I34" s="129"/>
      <c r="J34" s="130"/>
      <c r="K34" s="131"/>
      <c r="L34" s="129">
        <v>52</v>
      </c>
      <c r="M34" s="109"/>
      <c r="N34" s="130"/>
      <c r="O34" s="377"/>
      <c r="P34" s="377"/>
      <c r="Q34" s="377"/>
      <c r="R34" s="377"/>
      <c r="S34" s="377"/>
      <c r="T34" s="377"/>
      <c r="U34" s="377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372" t="s">
        <v>414</v>
      </c>
      <c r="C35" s="187" t="s">
        <v>416</v>
      </c>
      <c r="D35" s="108">
        <v>5.03</v>
      </c>
      <c r="E35" s="108"/>
      <c r="F35" s="127"/>
      <c r="G35" s="128"/>
      <c r="H35" s="373">
        <f t="shared" si="11"/>
        <v>0</v>
      </c>
      <c r="I35" s="129"/>
      <c r="J35" s="130"/>
      <c r="K35" s="131"/>
      <c r="L35" s="129">
        <v>52</v>
      </c>
      <c r="M35" s="109"/>
      <c r="N35" s="130"/>
      <c r="O35" s="377"/>
      <c r="P35" s="377"/>
      <c r="Q35" s="377"/>
      <c r="R35" s="377"/>
      <c r="S35" s="377"/>
      <c r="T35" s="377"/>
      <c r="U35" s="377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372" t="s">
        <v>414</v>
      </c>
      <c r="C36" s="187" t="s">
        <v>61</v>
      </c>
      <c r="D36" s="108">
        <v>5.03</v>
      </c>
      <c r="E36" s="108"/>
      <c r="F36" s="127"/>
      <c r="G36" s="128"/>
      <c r="H36" s="373">
        <f t="shared" si="11"/>
        <v>0</v>
      </c>
      <c r="I36" s="129"/>
      <c r="J36" s="130"/>
      <c r="K36" s="131"/>
      <c r="L36" s="129">
        <v>52</v>
      </c>
      <c r="M36" s="109"/>
      <c r="N36" s="130"/>
      <c r="O36" s="377"/>
      <c r="P36" s="377"/>
      <c r="Q36" s="377"/>
      <c r="R36" s="377"/>
      <c r="S36" s="377"/>
      <c r="T36" s="377"/>
      <c r="U36" s="377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372" t="s">
        <v>208</v>
      </c>
      <c r="C37" s="126" t="s">
        <v>179</v>
      </c>
      <c r="D37" s="108">
        <v>5.08</v>
      </c>
      <c r="E37" s="108"/>
      <c r="F37" s="127"/>
      <c r="G37" s="128"/>
      <c r="H37" s="373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377"/>
      <c r="P37" s="377"/>
      <c r="Q37" s="377"/>
      <c r="R37" s="377"/>
      <c r="S37" s="377"/>
      <c r="T37" s="377"/>
      <c r="U37" s="377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372" t="s">
        <v>208</v>
      </c>
      <c r="C38" s="126" t="s">
        <v>204</v>
      </c>
      <c r="D38" s="108">
        <v>5.08</v>
      </c>
      <c r="E38" s="108"/>
      <c r="F38" s="127"/>
      <c r="G38" s="128"/>
      <c r="H38" s="373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377"/>
      <c r="P38" s="377"/>
      <c r="Q38" s="377"/>
      <c r="R38" s="377"/>
      <c r="S38" s="377"/>
      <c r="T38" s="377"/>
      <c r="U38" s="377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372" t="s">
        <v>208</v>
      </c>
      <c r="C39" s="126" t="s">
        <v>205</v>
      </c>
      <c r="D39" s="108">
        <v>5.08</v>
      </c>
      <c r="E39" s="108"/>
      <c r="F39" s="127"/>
      <c r="G39" s="128"/>
      <c r="H39" s="373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377"/>
      <c r="P39" s="377"/>
      <c r="Q39" s="377"/>
      <c r="R39" s="377"/>
      <c r="S39" s="377"/>
      <c r="T39" s="377"/>
      <c r="U39" s="377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372" t="s">
        <v>208</v>
      </c>
      <c r="C40" s="126" t="s">
        <v>186</v>
      </c>
      <c r="D40" s="108">
        <v>5.08</v>
      </c>
      <c r="E40" s="108"/>
      <c r="F40" s="127"/>
      <c r="G40" s="128"/>
      <c r="H40" s="373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377"/>
      <c r="P40" s="377"/>
      <c r="Q40" s="377"/>
      <c r="R40" s="377"/>
      <c r="S40" s="377"/>
      <c r="T40" s="377"/>
      <c r="U40" s="377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372" t="s">
        <v>208</v>
      </c>
      <c r="C41" s="126" t="s">
        <v>203</v>
      </c>
      <c r="D41" s="108">
        <v>5.08</v>
      </c>
      <c r="E41" s="108"/>
      <c r="F41" s="127"/>
      <c r="G41" s="128"/>
      <c r="H41" s="373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377"/>
      <c r="P41" s="377"/>
      <c r="Q41" s="377"/>
      <c r="R41" s="377"/>
      <c r="S41" s="377"/>
      <c r="T41" s="377"/>
      <c r="U41" s="377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372" t="s">
        <v>208</v>
      </c>
      <c r="C42" s="126" t="s">
        <v>199</v>
      </c>
      <c r="D42" s="108">
        <v>5.08</v>
      </c>
      <c r="E42" s="108"/>
      <c r="F42" s="127"/>
      <c r="G42" s="128"/>
      <c r="H42" s="373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381"/>
      <c r="P42" s="381"/>
      <c r="Q42" s="381"/>
      <c r="R42" s="381"/>
      <c r="S42" s="381"/>
      <c r="T42" s="381"/>
      <c r="U42" s="381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372" t="s">
        <v>208</v>
      </c>
      <c r="C43" s="126" t="s">
        <v>187</v>
      </c>
      <c r="D43" s="108">
        <v>5.08</v>
      </c>
      <c r="E43" s="108"/>
      <c r="F43" s="127"/>
      <c r="G43" s="128"/>
      <c r="H43" s="373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377"/>
      <c r="P43" s="377"/>
      <c r="Q43" s="377"/>
      <c r="R43" s="377"/>
      <c r="S43" s="377"/>
      <c r="T43" s="377"/>
      <c r="U43" s="377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372" t="s">
        <v>208</v>
      </c>
      <c r="C44" s="126" t="s">
        <v>207</v>
      </c>
      <c r="D44" s="108">
        <v>5.08</v>
      </c>
      <c r="E44" s="108"/>
      <c r="F44" s="127"/>
      <c r="G44" s="128"/>
      <c r="H44" s="373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381"/>
      <c r="P44" s="381"/>
      <c r="Q44" s="381"/>
      <c r="R44" s="381"/>
      <c r="S44" s="381"/>
      <c r="T44" s="381"/>
      <c r="U44" s="381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372" t="s">
        <v>209</v>
      </c>
      <c r="C45" s="126" t="s">
        <v>194</v>
      </c>
      <c r="D45" s="108">
        <v>5.03</v>
      </c>
      <c r="E45" s="108"/>
      <c r="F45" s="127"/>
      <c r="G45" s="128"/>
      <c r="H45" s="373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377"/>
      <c r="P45" s="377"/>
      <c r="Q45" s="377"/>
      <c r="R45" s="377"/>
      <c r="S45" s="377"/>
      <c r="T45" s="377"/>
      <c r="U45" s="377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372" t="s">
        <v>209</v>
      </c>
      <c r="C46" s="126" t="s">
        <v>179</v>
      </c>
      <c r="D46" s="108">
        <v>5.03</v>
      </c>
      <c r="E46" s="108"/>
      <c r="F46" s="127"/>
      <c r="G46" s="128"/>
      <c r="H46" s="373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377"/>
      <c r="P46" s="377"/>
      <c r="Q46" s="377"/>
      <c r="R46" s="377"/>
      <c r="S46" s="377"/>
      <c r="T46" s="377"/>
      <c r="U46" s="377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372" t="s">
        <v>209</v>
      </c>
      <c r="C47" s="126" t="s">
        <v>195</v>
      </c>
      <c r="D47" s="108">
        <v>5.03</v>
      </c>
      <c r="E47" s="108"/>
      <c r="F47" s="127"/>
      <c r="G47" s="128"/>
      <c r="H47" s="373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377"/>
      <c r="P47" s="377"/>
      <c r="Q47" s="377"/>
      <c r="R47" s="377"/>
      <c r="S47" s="377"/>
      <c r="T47" s="377"/>
      <c r="U47" s="377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372" t="s">
        <v>209</v>
      </c>
      <c r="C48" s="126" t="s">
        <v>204</v>
      </c>
      <c r="D48" s="108">
        <v>5.03</v>
      </c>
      <c r="E48" s="108"/>
      <c r="F48" s="127"/>
      <c r="G48" s="128"/>
      <c r="H48" s="373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377"/>
      <c r="P48" s="377"/>
      <c r="Q48" s="377"/>
      <c r="R48" s="377"/>
      <c r="S48" s="377"/>
      <c r="T48" s="377"/>
      <c r="U48" s="377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372" t="s">
        <v>382</v>
      </c>
      <c r="C49" s="187" t="s">
        <v>383</v>
      </c>
      <c r="D49" s="108">
        <v>5.03</v>
      </c>
      <c r="E49" s="108"/>
      <c r="F49" s="127"/>
      <c r="G49" s="128"/>
      <c r="H49" s="373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377"/>
      <c r="P49" s="377"/>
      <c r="Q49" s="377"/>
      <c r="R49" s="377"/>
      <c r="S49" s="377"/>
      <c r="T49" s="377"/>
      <c r="U49" s="377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372" t="s">
        <v>382</v>
      </c>
      <c r="C50" s="187" t="s">
        <v>384</v>
      </c>
      <c r="D50" s="108">
        <v>5.03</v>
      </c>
      <c r="E50" s="108"/>
      <c r="F50" s="127"/>
      <c r="G50" s="128"/>
      <c r="H50" s="373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377"/>
      <c r="P50" s="377"/>
      <c r="Q50" s="377"/>
      <c r="R50" s="377"/>
      <c r="S50" s="377"/>
      <c r="T50" s="377"/>
      <c r="U50" s="377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372" t="s">
        <v>382</v>
      </c>
      <c r="C51" s="187" t="s">
        <v>389</v>
      </c>
      <c r="D51" s="108">
        <v>5.03</v>
      </c>
      <c r="E51" s="108"/>
      <c r="F51" s="127"/>
      <c r="G51" s="128"/>
      <c r="H51" s="373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377"/>
      <c r="P51" s="377"/>
      <c r="Q51" s="377"/>
      <c r="R51" s="377"/>
      <c r="S51" s="377"/>
      <c r="T51" s="377"/>
      <c r="U51" s="377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372" t="s">
        <v>382</v>
      </c>
      <c r="C52" s="187" t="s">
        <v>391</v>
      </c>
      <c r="D52" s="108">
        <v>5.03</v>
      </c>
      <c r="E52" s="108"/>
      <c r="F52" s="127"/>
      <c r="G52" s="128"/>
      <c r="H52" s="373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377"/>
      <c r="P52" s="377"/>
      <c r="Q52" s="377"/>
      <c r="R52" s="377"/>
      <c r="S52" s="377"/>
      <c r="T52" s="377"/>
      <c r="U52" s="377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372" t="s">
        <v>418</v>
      </c>
      <c r="C53" s="187" t="s">
        <v>364</v>
      </c>
      <c r="D53" s="108">
        <v>5.03</v>
      </c>
      <c r="E53" s="108"/>
      <c r="F53" s="127"/>
      <c r="G53" s="128"/>
      <c r="H53" s="373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377"/>
      <c r="P53" s="377"/>
      <c r="Q53" s="377"/>
      <c r="R53" s="377"/>
      <c r="S53" s="377"/>
      <c r="T53" s="377"/>
      <c r="U53" s="377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372" t="s">
        <v>418</v>
      </c>
      <c r="C54" s="187" t="s">
        <v>365</v>
      </c>
      <c r="D54" s="108">
        <v>5.03</v>
      </c>
      <c r="E54" s="108"/>
      <c r="F54" s="127"/>
      <c r="G54" s="128"/>
      <c r="H54" s="373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377"/>
      <c r="P54" s="377"/>
      <c r="Q54" s="377"/>
      <c r="R54" s="377"/>
      <c r="S54" s="377"/>
      <c r="T54" s="377"/>
      <c r="U54" s="377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372" t="s">
        <v>418</v>
      </c>
      <c r="C55" s="187" t="s">
        <v>366</v>
      </c>
      <c r="D55" s="108">
        <v>5.03</v>
      </c>
      <c r="E55" s="108"/>
      <c r="F55" s="127"/>
      <c r="G55" s="128"/>
      <c r="H55" s="373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377"/>
      <c r="P55" s="377"/>
      <c r="Q55" s="377"/>
      <c r="R55" s="377"/>
      <c r="S55" s="377"/>
      <c r="T55" s="377"/>
      <c r="U55" s="377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372" t="s">
        <v>418</v>
      </c>
      <c r="C56" s="187" t="s">
        <v>367</v>
      </c>
      <c r="D56" s="108">
        <v>5.03</v>
      </c>
      <c r="E56" s="108"/>
      <c r="F56" s="127"/>
      <c r="G56" s="128"/>
      <c r="H56" s="373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377"/>
      <c r="P56" s="377"/>
      <c r="Q56" s="377"/>
      <c r="R56" s="377"/>
      <c r="S56" s="377"/>
      <c r="T56" s="377"/>
      <c r="U56" s="377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373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381"/>
      <c r="P57" s="381"/>
      <c r="Q57" s="381"/>
      <c r="R57" s="381"/>
      <c r="S57" s="381"/>
      <c r="T57" s="381"/>
      <c r="U57" s="381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373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381"/>
      <c r="P58" s="381"/>
      <c r="Q58" s="381"/>
      <c r="R58" s="381"/>
      <c r="S58" s="381"/>
      <c r="T58" s="381"/>
      <c r="U58" s="381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373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381"/>
      <c r="P59" s="381"/>
      <c r="Q59" s="381"/>
      <c r="R59" s="381"/>
      <c r="S59" s="381"/>
      <c r="T59" s="381"/>
      <c r="U59" s="381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373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381"/>
      <c r="P60" s="381"/>
      <c r="Q60" s="381"/>
      <c r="R60" s="381"/>
      <c r="S60" s="381"/>
      <c r="T60" s="381"/>
      <c r="U60" s="381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373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381"/>
      <c r="P61" s="381"/>
      <c r="Q61" s="381"/>
      <c r="R61" s="381"/>
      <c r="S61" s="381"/>
      <c r="T61" s="381"/>
      <c r="U61" s="381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373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381"/>
      <c r="P62" s="381"/>
      <c r="Q62" s="381"/>
      <c r="R62" s="381"/>
      <c r="S62" s="381"/>
      <c r="T62" s="381"/>
      <c r="U62" s="381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373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381"/>
      <c r="P63" s="381"/>
      <c r="Q63" s="381"/>
      <c r="R63" s="381"/>
      <c r="S63" s="381"/>
      <c r="T63" s="381"/>
      <c r="U63" s="381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373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381"/>
      <c r="P64" s="381"/>
      <c r="Q64" s="381"/>
      <c r="R64" s="381"/>
      <c r="S64" s="381"/>
      <c r="T64" s="381"/>
      <c r="U64" s="381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373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381"/>
      <c r="P65" s="381"/>
      <c r="Q65" s="381"/>
      <c r="R65" s="381"/>
      <c r="S65" s="381"/>
      <c r="T65" s="381"/>
      <c r="U65" s="381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373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381"/>
      <c r="P66" s="381"/>
      <c r="Q66" s="381"/>
      <c r="R66" s="381"/>
      <c r="S66" s="381"/>
      <c r="T66" s="381"/>
      <c r="U66" s="381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373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381"/>
      <c r="P67" s="381"/>
      <c r="Q67" s="381"/>
      <c r="R67" s="381"/>
      <c r="S67" s="381"/>
      <c r="T67" s="381"/>
      <c r="U67" s="381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373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381"/>
      <c r="P68" s="381"/>
      <c r="Q68" s="381"/>
      <c r="R68" s="381"/>
      <c r="S68" s="381"/>
      <c r="T68" s="381"/>
      <c r="U68" s="381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373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381"/>
      <c r="P69" s="381"/>
      <c r="Q69" s="381"/>
      <c r="R69" s="381"/>
      <c r="S69" s="381"/>
      <c r="T69" s="381"/>
      <c r="U69" s="381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373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381"/>
      <c r="P70" s="381"/>
      <c r="Q70" s="381"/>
      <c r="R70" s="381"/>
      <c r="S70" s="381"/>
      <c r="T70" s="381"/>
      <c r="U70" s="381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373">
        <f t="shared" si="11"/>
        <v>0</v>
      </c>
      <c r="I71" s="129"/>
      <c r="J71" s="130"/>
      <c r="K71" s="131"/>
      <c r="L71" s="129"/>
      <c r="M71" s="109"/>
      <c r="N71" s="130"/>
      <c r="O71" s="381"/>
      <c r="P71" s="381"/>
      <c r="Q71" s="381"/>
      <c r="R71" s="381"/>
      <c r="S71" s="381"/>
      <c r="T71" s="381"/>
      <c r="U71" s="381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373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381"/>
      <c r="P72" s="381"/>
      <c r="Q72" s="381"/>
      <c r="R72" s="381"/>
      <c r="S72" s="381"/>
      <c r="T72" s="381"/>
      <c r="U72" s="381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373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381"/>
      <c r="P73" s="381"/>
      <c r="Q73" s="381"/>
      <c r="R73" s="381"/>
      <c r="S73" s="381"/>
      <c r="T73" s="381"/>
      <c r="U73" s="381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373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381"/>
      <c r="P74" s="381"/>
      <c r="Q74" s="381"/>
      <c r="R74" s="381"/>
      <c r="S74" s="381"/>
      <c r="T74" s="381"/>
      <c r="U74" s="381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373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381"/>
      <c r="P75" s="381"/>
      <c r="Q75" s="381"/>
      <c r="R75" s="381"/>
      <c r="S75" s="381"/>
      <c r="T75" s="381"/>
      <c r="U75" s="381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373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381"/>
      <c r="P76" s="381"/>
      <c r="Q76" s="381"/>
      <c r="R76" s="381"/>
      <c r="S76" s="381"/>
      <c r="T76" s="381"/>
      <c r="U76" s="381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373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381"/>
      <c r="P77" s="381"/>
      <c r="Q77" s="381"/>
      <c r="R77" s="381"/>
      <c r="S77" s="381"/>
      <c r="T77" s="381"/>
      <c r="U77" s="381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373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381"/>
      <c r="P78" s="381"/>
      <c r="Q78" s="381"/>
      <c r="R78" s="381"/>
      <c r="S78" s="381"/>
      <c r="T78" s="381"/>
      <c r="U78" s="381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373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381"/>
      <c r="P79" s="381"/>
      <c r="Q79" s="381"/>
      <c r="R79" s="381"/>
      <c r="S79" s="381"/>
      <c r="T79" s="381"/>
      <c r="U79" s="381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373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381"/>
      <c r="P80" s="381"/>
      <c r="Q80" s="381"/>
      <c r="R80" s="381"/>
      <c r="S80" s="381"/>
      <c r="T80" s="381"/>
      <c r="U80" s="381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373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381"/>
      <c r="P81" s="381"/>
      <c r="Q81" s="381"/>
      <c r="R81" s="381"/>
      <c r="S81" s="381"/>
      <c r="T81" s="381"/>
      <c r="U81" s="381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373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381"/>
      <c r="P82" s="381"/>
      <c r="Q82" s="381"/>
      <c r="R82" s="381"/>
      <c r="S82" s="381"/>
      <c r="T82" s="381"/>
      <c r="U82" s="381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373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381"/>
      <c r="P83" s="381"/>
      <c r="Q83" s="381"/>
      <c r="R83" s="381"/>
      <c r="S83" s="381"/>
      <c r="T83" s="381"/>
      <c r="U83" s="381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373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381"/>
      <c r="P84" s="381"/>
      <c r="Q84" s="381"/>
      <c r="R84" s="381"/>
      <c r="S84" s="381"/>
      <c r="T84" s="381"/>
      <c r="U84" s="381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373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381"/>
      <c r="P85" s="381"/>
      <c r="Q85" s="381"/>
      <c r="R85" s="381"/>
      <c r="S85" s="381"/>
      <c r="T85" s="381"/>
      <c r="U85" s="381"/>
      <c r="V85" s="132"/>
      <c r="W85" s="133"/>
      <c r="X85" s="132"/>
      <c r="Y85" s="132"/>
      <c r="Z85" s="132"/>
      <c r="AA85" s="132"/>
    </row>
    <row r="86" spans="1:27" ht="20.100000000000001" hidden="1" customHeight="1">
      <c r="A86" s="641" t="s">
        <v>216</v>
      </c>
      <c r="B86" s="641"/>
      <c r="C86" s="382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4">SUM(M29:M85)</f>
        <v>0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 t="str">
        <f t="shared" ref="W86:W93" si="35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372" t="s">
        <v>217</v>
      </c>
      <c r="C87" s="126" t="s">
        <v>179</v>
      </c>
      <c r="D87" s="108">
        <v>5.03</v>
      </c>
      <c r="E87" s="108"/>
      <c r="F87" s="127"/>
      <c r="G87" s="128"/>
      <c r="H87" s="373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381"/>
      <c r="P87" s="381"/>
      <c r="Q87" s="381"/>
      <c r="R87" s="381"/>
      <c r="S87" s="381"/>
      <c r="T87" s="381"/>
      <c r="U87" s="381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372" t="s">
        <v>217</v>
      </c>
      <c r="C88" s="126" t="s">
        <v>186</v>
      </c>
      <c r="D88" s="108">
        <v>5.03</v>
      </c>
      <c r="E88" s="108"/>
      <c r="F88" s="127"/>
      <c r="G88" s="128"/>
      <c r="H88" s="373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381"/>
      <c r="P88" s="381"/>
      <c r="Q88" s="381"/>
      <c r="R88" s="381"/>
      <c r="S88" s="381"/>
      <c r="T88" s="381"/>
      <c r="U88" s="381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372" t="s">
        <v>217</v>
      </c>
      <c r="C89" s="126" t="s">
        <v>204</v>
      </c>
      <c r="D89" s="108">
        <v>5.03</v>
      </c>
      <c r="E89" s="108"/>
      <c r="F89" s="127"/>
      <c r="G89" s="128"/>
      <c r="H89" s="373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381"/>
      <c r="P89" s="381"/>
      <c r="Q89" s="381"/>
      <c r="R89" s="381"/>
      <c r="S89" s="381"/>
      <c r="T89" s="381"/>
      <c r="U89" s="381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373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381"/>
      <c r="P90" s="381"/>
      <c r="Q90" s="381"/>
      <c r="R90" s="381"/>
      <c r="S90" s="381"/>
      <c r="T90" s="381"/>
      <c r="U90" s="381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373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381"/>
      <c r="P91" s="381"/>
      <c r="Q91" s="381"/>
      <c r="R91" s="381"/>
      <c r="S91" s="381"/>
      <c r="T91" s="381"/>
      <c r="U91" s="381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373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381"/>
      <c r="P92" s="381"/>
      <c r="Q92" s="381"/>
      <c r="R92" s="381"/>
      <c r="S92" s="381"/>
      <c r="T92" s="381"/>
      <c r="U92" s="381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373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381"/>
      <c r="P93" s="381"/>
      <c r="Q93" s="381"/>
      <c r="R93" s="381"/>
      <c r="S93" s="381"/>
      <c r="T93" s="381"/>
      <c r="U93" s="381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373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381"/>
      <c r="P94" s="381"/>
      <c r="Q94" s="381"/>
      <c r="R94" s="381"/>
      <c r="S94" s="381"/>
      <c r="T94" s="381"/>
      <c r="U94" s="381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373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381"/>
      <c r="P95" s="381"/>
      <c r="Q95" s="381"/>
      <c r="R95" s="381"/>
      <c r="S95" s="381"/>
      <c r="T95" s="381"/>
      <c r="U95" s="381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373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381"/>
      <c r="P96" s="381"/>
      <c r="Q96" s="381"/>
      <c r="R96" s="381"/>
      <c r="S96" s="381"/>
      <c r="T96" s="381"/>
      <c r="U96" s="381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373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381"/>
      <c r="P97" s="381"/>
      <c r="Q97" s="381"/>
      <c r="R97" s="381"/>
      <c r="S97" s="381"/>
      <c r="T97" s="381"/>
      <c r="U97" s="381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373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381"/>
      <c r="P98" s="381"/>
      <c r="Q98" s="381"/>
      <c r="R98" s="381"/>
      <c r="S98" s="381"/>
      <c r="T98" s="381"/>
      <c r="U98" s="381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373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381"/>
      <c r="P99" s="381"/>
      <c r="Q99" s="381"/>
      <c r="R99" s="381"/>
      <c r="S99" s="381"/>
      <c r="T99" s="381"/>
      <c r="U99" s="381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373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381"/>
      <c r="P100" s="381"/>
      <c r="Q100" s="381"/>
      <c r="R100" s="381"/>
      <c r="S100" s="381"/>
      <c r="T100" s="381"/>
      <c r="U100" s="381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373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381"/>
      <c r="P101" s="381"/>
      <c r="Q101" s="381"/>
      <c r="R101" s="381"/>
      <c r="S101" s="381"/>
      <c r="T101" s="381"/>
      <c r="U101" s="381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373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381"/>
      <c r="P102" s="381"/>
      <c r="Q102" s="381"/>
      <c r="R102" s="381"/>
      <c r="S102" s="381"/>
      <c r="T102" s="381"/>
      <c r="U102" s="381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372" t="s">
        <v>222</v>
      </c>
      <c r="C103" s="126" t="s">
        <v>181</v>
      </c>
      <c r="D103" s="108">
        <v>10.199999999999999</v>
      </c>
      <c r="E103" s="108"/>
      <c r="F103" s="127"/>
      <c r="G103" s="128"/>
      <c r="H103" s="373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381"/>
      <c r="P103" s="381"/>
      <c r="Q103" s="381"/>
      <c r="R103" s="381"/>
      <c r="S103" s="381"/>
      <c r="T103" s="381"/>
      <c r="U103" s="381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372" t="s">
        <v>222</v>
      </c>
      <c r="C104" s="126" t="s">
        <v>179</v>
      </c>
      <c r="D104" s="108">
        <v>10.199999999999999</v>
      </c>
      <c r="E104" s="108"/>
      <c r="F104" s="127"/>
      <c r="G104" s="128"/>
      <c r="H104" s="373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381"/>
      <c r="P104" s="381"/>
      <c r="Q104" s="381"/>
      <c r="R104" s="381"/>
      <c r="S104" s="381"/>
      <c r="T104" s="381"/>
      <c r="U104" s="381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372" t="s">
        <v>222</v>
      </c>
      <c r="C105" s="126" t="s">
        <v>221</v>
      </c>
      <c r="D105" s="108">
        <v>10.199999999999999</v>
      </c>
      <c r="E105" s="108"/>
      <c r="F105" s="127"/>
      <c r="G105" s="128"/>
      <c r="H105" s="373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381"/>
      <c r="P105" s="381"/>
      <c r="Q105" s="381"/>
      <c r="R105" s="381"/>
      <c r="S105" s="381"/>
      <c r="T105" s="381"/>
      <c r="U105" s="381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372" t="s">
        <v>222</v>
      </c>
      <c r="C106" s="126" t="s">
        <v>186</v>
      </c>
      <c r="D106" s="108">
        <v>10.199999999999999</v>
      </c>
      <c r="E106" s="108"/>
      <c r="F106" s="127"/>
      <c r="G106" s="128"/>
      <c r="H106" s="373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381"/>
      <c r="P106" s="381"/>
      <c r="Q106" s="381"/>
      <c r="R106" s="381"/>
      <c r="S106" s="381"/>
      <c r="T106" s="381"/>
      <c r="U106" s="381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372" t="s">
        <v>393</v>
      </c>
      <c r="C107" s="187" t="s">
        <v>395</v>
      </c>
      <c r="D107" s="108">
        <v>5</v>
      </c>
      <c r="E107" s="108"/>
      <c r="F107" s="127"/>
      <c r="G107" s="128"/>
      <c r="H107" s="373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381"/>
      <c r="P107" s="381"/>
      <c r="Q107" s="381"/>
      <c r="R107" s="381"/>
      <c r="S107" s="381"/>
      <c r="T107" s="381"/>
      <c r="U107" s="381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372" t="s">
        <v>393</v>
      </c>
      <c r="C108" s="187" t="s">
        <v>402</v>
      </c>
      <c r="D108" s="108">
        <v>5</v>
      </c>
      <c r="E108" s="108"/>
      <c r="F108" s="127"/>
      <c r="G108" s="128"/>
      <c r="H108" s="373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381"/>
      <c r="P108" s="381"/>
      <c r="Q108" s="381"/>
      <c r="R108" s="381"/>
      <c r="S108" s="381"/>
      <c r="T108" s="381"/>
      <c r="U108" s="381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372" t="s">
        <v>404</v>
      </c>
      <c r="C109" s="187" t="s">
        <v>405</v>
      </c>
      <c r="D109" s="108">
        <v>5</v>
      </c>
      <c r="E109" s="108"/>
      <c r="F109" s="127"/>
      <c r="G109" s="128"/>
      <c r="H109" s="373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381"/>
      <c r="P109" s="381"/>
      <c r="Q109" s="381"/>
      <c r="R109" s="381"/>
      <c r="S109" s="381"/>
      <c r="T109" s="381"/>
      <c r="U109" s="381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372" t="s">
        <v>492</v>
      </c>
      <c r="C110" s="187" t="s">
        <v>372</v>
      </c>
      <c r="D110" s="108">
        <v>5</v>
      </c>
      <c r="E110" s="108"/>
      <c r="F110" s="127"/>
      <c r="G110" s="128"/>
      <c r="H110" s="373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381"/>
      <c r="P110" s="381"/>
      <c r="Q110" s="381"/>
      <c r="R110" s="381"/>
      <c r="S110" s="381"/>
      <c r="T110" s="381"/>
      <c r="U110" s="381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372" t="s">
        <v>343</v>
      </c>
      <c r="C111" s="126" t="s">
        <v>345</v>
      </c>
      <c r="D111" s="108">
        <v>5</v>
      </c>
      <c r="E111" s="108"/>
      <c r="F111" s="127"/>
      <c r="G111" s="128"/>
      <c r="H111" s="373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381"/>
      <c r="P111" s="381"/>
      <c r="Q111" s="381"/>
      <c r="R111" s="381"/>
      <c r="S111" s="381"/>
      <c r="T111" s="381"/>
      <c r="U111" s="381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372" t="s">
        <v>343</v>
      </c>
      <c r="C112" s="126" t="s">
        <v>347</v>
      </c>
      <c r="D112" s="108">
        <v>5</v>
      </c>
      <c r="E112" s="108"/>
      <c r="F112" s="127"/>
      <c r="G112" s="128"/>
      <c r="H112" s="373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381"/>
      <c r="P112" s="381"/>
      <c r="Q112" s="381"/>
      <c r="R112" s="381"/>
      <c r="S112" s="381"/>
      <c r="T112" s="381"/>
      <c r="U112" s="381"/>
      <c r="V112" s="132"/>
      <c r="W112" s="133"/>
      <c r="X112" s="132"/>
      <c r="Y112" s="132"/>
      <c r="Z112" s="132"/>
      <c r="AA112" s="132"/>
    </row>
    <row r="113" spans="1:27" ht="20.10000000000000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>
        <v>42707</v>
      </c>
      <c r="G113" s="128">
        <v>100</v>
      </c>
      <c r="H113" s="373">
        <f t="shared" si="36"/>
        <v>505.99999999999994</v>
      </c>
      <c r="I113" s="129">
        <v>6.5</v>
      </c>
      <c r="J113" s="130">
        <f t="array" ref="J113">IF(ISERROR(G113/I113),"",G113/I113)</f>
        <v>15.384615384615385</v>
      </c>
      <c r="K113" s="131">
        <f t="array" ref="K113">IF(ISERROR(G113/L113),"",G113/L113)</f>
        <v>6.4516129032258061</v>
      </c>
      <c r="L113" s="129">
        <v>15.5</v>
      </c>
      <c r="M113" s="109">
        <f t="shared" si="37"/>
        <v>4.8387096774193949E-2</v>
      </c>
      <c r="N113" s="130">
        <f t="shared" si="40"/>
        <v>0</v>
      </c>
      <c r="O113" s="381"/>
      <c r="P113" s="381"/>
      <c r="Q113" s="381"/>
      <c r="R113" s="381"/>
      <c r="S113" s="381"/>
      <c r="T113" s="381"/>
      <c r="U113" s="381"/>
      <c r="V113" s="132">
        <f t="shared" ref="V113:V114" si="44">SUM(X113:AA113)</f>
        <v>0</v>
      </c>
      <c r="W113" s="133">
        <f t="shared" ref="W113:W114" si="45">IF(ISERROR(V113/G113),"",V113/G113)</f>
        <v>0</v>
      </c>
      <c r="X113" s="132"/>
      <c r="Y113" s="132"/>
      <c r="Z113" s="132"/>
      <c r="AA113" s="132"/>
    </row>
    <row r="114" spans="1:27" ht="20.10000000000000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>
        <v>42707</v>
      </c>
      <c r="G114" s="128">
        <v>76</v>
      </c>
      <c r="H114" s="373">
        <f t="shared" si="36"/>
        <v>384.55999999999995</v>
      </c>
      <c r="I114" s="129">
        <v>5</v>
      </c>
      <c r="J114" s="130">
        <f t="array" ref="J114">IF(ISERROR(G114/I114),"",G114/I114)</f>
        <v>15.2</v>
      </c>
      <c r="K114" s="131">
        <f t="array" ref="K114">IF(ISERROR(G114/L114),"",G114/L114)</f>
        <v>4.903225806451613</v>
      </c>
      <c r="L114" s="129">
        <v>15.5</v>
      </c>
      <c r="M114" s="109">
        <f t="shared" si="37"/>
        <v>9.6774193548387011E-2</v>
      </c>
      <c r="N114" s="130">
        <f t="shared" si="40"/>
        <v>0</v>
      </c>
      <c r="O114" s="381"/>
      <c r="P114" s="381"/>
      <c r="Q114" s="381"/>
      <c r="R114" s="381"/>
      <c r="S114" s="381"/>
      <c r="T114" s="381"/>
      <c r="U114" s="381"/>
      <c r="V114" s="132">
        <f t="shared" si="44"/>
        <v>0</v>
      </c>
      <c r="W114" s="133">
        <f t="shared" si="45"/>
        <v>0</v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373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381"/>
      <c r="P115" s="381"/>
      <c r="Q115" s="381"/>
      <c r="R115" s="381"/>
      <c r="S115" s="381"/>
      <c r="T115" s="381"/>
      <c r="U115" s="381"/>
      <c r="V115" s="132"/>
      <c r="W115" s="133"/>
      <c r="X115" s="132"/>
      <c r="Y115" s="132"/>
      <c r="Z115" s="132"/>
      <c r="AA115" s="132"/>
    </row>
    <row r="116" spans="1:27" ht="20.10000000000000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>
        <v>42707</v>
      </c>
      <c r="G116" s="128">
        <f>90*4+20</f>
        <v>380</v>
      </c>
      <c r="H116" s="373">
        <f t="shared" si="36"/>
        <v>1900</v>
      </c>
      <c r="I116" s="129">
        <v>16</v>
      </c>
      <c r="J116" s="130"/>
      <c r="K116" s="131">
        <f t="array" ref="K116">IF(ISERROR(G116/L116),"",G116/L116)</f>
        <v>15.833333333333334</v>
      </c>
      <c r="L116" s="129">
        <v>24</v>
      </c>
      <c r="M116" s="109"/>
      <c r="N116" s="130"/>
      <c r="O116" s="381"/>
      <c r="P116" s="381"/>
      <c r="Q116" s="381"/>
      <c r="R116" s="381"/>
      <c r="S116" s="381"/>
      <c r="T116" s="381"/>
      <c r="U116" s="381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373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381"/>
      <c r="P117" s="381"/>
      <c r="Q117" s="381"/>
      <c r="R117" s="381"/>
      <c r="S117" s="381"/>
      <c r="T117" s="381"/>
      <c r="U117" s="381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373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381"/>
      <c r="P118" s="381"/>
      <c r="Q118" s="381"/>
      <c r="R118" s="381"/>
      <c r="S118" s="381"/>
      <c r="T118" s="381"/>
      <c r="U118" s="381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373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381"/>
      <c r="P119" s="381"/>
      <c r="Q119" s="381"/>
      <c r="R119" s="381"/>
      <c r="S119" s="381"/>
      <c r="T119" s="381"/>
      <c r="U119" s="381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373">
        <f t="shared" si="36"/>
        <v>0</v>
      </c>
      <c r="I120" s="129"/>
      <c r="J120" s="130" t="str">
        <f t="array" ref="J120">IF(ISERROR(G120/I120),"",G120/I120)</f>
        <v/>
      </c>
      <c r="K120" s="373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381"/>
      <c r="P120" s="381"/>
      <c r="Q120" s="381"/>
      <c r="R120" s="381"/>
      <c r="S120" s="381"/>
      <c r="T120" s="381"/>
      <c r="U120" s="381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30" t="s">
        <v>224</v>
      </c>
      <c r="B121" s="631"/>
      <c r="C121" s="382" t="s">
        <v>202</v>
      </c>
      <c r="D121" s="143"/>
      <c r="E121" s="143"/>
      <c r="F121" s="144"/>
      <c r="G121" s="145">
        <f>SUM(G87:G120)</f>
        <v>556</v>
      </c>
      <c r="H121" s="146">
        <f>SUM(H87:H120)</f>
        <v>2790.56</v>
      </c>
      <c r="I121" s="146">
        <f>SUM(I87:I120)</f>
        <v>27.5</v>
      </c>
      <c r="J121" s="130">
        <f t="array" ref="J121">IF(ISERROR(G121/I121),"",G121/I121)</f>
        <v>20.218181818181819</v>
      </c>
      <c r="K121" s="146">
        <f>SUM(K87:K120)</f>
        <v>27.188172043010752</v>
      </c>
      <c r="L121" s="147"/>
      <c r="M121" s="150">
        <f t="shared" ref="M121:V121" si="50">SUM(M87:M120)</f>
        <v>0.14516129032258096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373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381"/>
      <c r="P122" s="381"/>
      <c r="Q122" s="381"/>
      <c r="R122" s="381"/>
      <c r="S122" s="381"/>
      <c r="T122" s="381"/>
      <c r="U122" s="381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373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381"/>
      <c r="P123" s="381"/>
      <c r="Q123" s="381"/>
      <c r="R123" s="381"/>
      <c r="S123" s="381"/>
      <c r="T123" s="381"/>
      <c r="U123" s="381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373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381"/>
      <c r="P124" s="381"/>
      <c r="Q124" s="381"/>
      <c r="R124" s="381"/>
      <c r="S124" s="381"/>
      <c r="T124" s="381"/>
      <c r="U124" s="381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373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381"/>
      <c r="P125" s="381"/>
      <c r="Q125" s="381"/>
      <c r="R125" s="381"/>
      <c r="S125" s="381"/>
      <c r="T125" s="381"/>
      <c r="U125" s="381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378" t="s">
        <v>203</v>
      </c>
      <c r="D126" s="108">
        <v>5.03</v>
      </c>
      <c r="E126" s="108"/>
      <c r="F126" s="127"/>
      <c r="G126" s="128"/>
      <c r="H126" s="373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381"/>
      <c r="P126" s="381"/>
      <c r="Q126" s="381"/>
      <c r="R126" s="381"/>
      <c r="S126" s="381"/>
      <c r="T126" s="381"/>
      <c r="U126" s="381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373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381"/>
      <c r="P127" s="381"/>
      <c r="Q127" s="381"/>
      <c r="R127" s="381"/>
      <c r="S127" s="381"/>
      <c r="T127" s="381"/>
      <c r="U127" s="381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373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381"/>
      <c r="P128" s="381"/>
      <c r="Q128" s="381"/>
      <c r="R128" s="381"/>
      <c r="S128" s="381"/>
      <c r="T128" s="381"/>
      <c r="U128" s="381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378" t="s">
        <v>228</v>
      </c>
      <c r="D129" s="108">
        <v>5.03</v>
      </c>
      <c r="E129" s="108"/>
      <c r="F129" s="127"/>
      <c r="G129" s="128"/>
      <c r="H129" s="373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381"/>
      <c r="P129" s="381"/>
      <c r="Q129" s="381"/>
      <c r="R129" s="381"/>
      <c r="S129" s="381"/>
      <c r="T129" s="381"/>
      <c r="U129" s="381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378" t="s">
        <v>212</v>
      </c>
      <c r="D130" s="108">
        <v>5.03</v>
      </c>
      <c r="E130" s="108"/>
      <c r="F130" s="127"/>
      <c r="G130" s="128"/>
      <c r="H130" s="373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381"/>
      <c r="P130" s="381"/>
      <c r="Q130" s="381"/>
      <c r="R130" s="381"/>
      <c r="S130" s="381"/>
      <c r="T130" s="381"/>
      <c r="U130" s="381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378" t="s">
        <v>203</v>
      </c>
      <c r="D131" s="108">
        <v>5.03</v>
      </c>
      <c r="E131" s="108"/>
      <c r="F131" s="127"/>
      <c r="G131" s="128"/>
      <c r="H131" s="373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381"/>
      <c r="P131" s="381"/>
      <c r="Q131" s="381"/>
      <c r="R131" s="381"/>
      <c r="S131" s="381"/>
      <c r="T131" s="381"/>
      <c r="U131" s="381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378" t="s">
        <v>186</v>
      </c>
      <c r="D132" s="108">
        <v>5.03</v>
      </c>
      <c r="E132" s="108"/>
      <c r="F132" s="127"/>
      <c r="G132" s="128"/>
      <c r="H132" s="373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381"/>
      <c r="P132" s="381"/>
      <c r="Q132" s="381"/>
      <c r="R132" s="381"/>
      <c r="S132" s="381"/>
      <c r="T132" s="381"/>
      <c r="U132" s="381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378" t="s">
        <v>228</v>
      </c>
      <c r="D133" s="108">
        <v>5.03</v>
      </c>
      <c r="E133" s="108"/>
      <c r="F133" s="127"/>
      <c r="G133" s="128"/>
      <c r="H133" s="373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381"/>
      <c r="P133" s="381"/>
      <c r="Q133" s="381"/>
      <c r="R133" s="381"/>
      <c r="S133" s="381"/>
      <c r="T133" s="381"/>
      <c r="U133" s="381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378" t="s">
        <v>199</v>
      </c>
      <c r="D134" s="108">
        <v>5.03</v>
      </c>
      <c r="E134" s="108"/>
      <c r="F134" s="127"/>
      <c r="G134" s="128"/>
      <c r="H134" s="373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381"/>
      <c r="P134" s="381"/>
      <c r="Q134" s="381"/>
      <c r="R134" s="381"/>
      <c r="S134" s="381"/>
      <c r="T134" s="381"/>
      <c r="U134" s="381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373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381"/>
      <c r="P135" s="381"/>
      <c r="Q135" s="381"/>
      <c r="R135" s="381"/>
      <c r="S135" s="381"/>
      <c r="T135" s="381"/>
      <c r="U135" s="381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373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381"/>
      <c r="P136" s="381"/>
      <c r="Q136" s="381"/>
      <c r="R136" s="381"/>
      <c r="S136" s="381"/>
      <c r="T136" s="381"/>
      <c r="U136" s="381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630" t="s">
        <v>231</v>
      </c>
      <c r="B137" s="631"/>
      <c r="C137" s="382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373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381"/>
      <c r="P138" s="381"/>
      <c r="Q138" s="381"/>
      <c r="R138" s="381"/>
      <c r="S138" s="381"/>
      <c r="T138" s="381"/>
      <c r="U138" s="381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373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381"/>
      <c r="P139" s="381"/>
      <c r="Q139" s="381"/>
      <c r="R139" s="381"/>
      <c r="S139" s="381"/>
      <c r="T139" s="381"/>
      <c r="U139" s="381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373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381"/>
      <c r="P140" s="381"/>
      <c r="Q140" s="381"/>
      <c r="R140" s="381"/>
      <c r="S140" s="381"/>
      <c r="T140" s="381"/>
      <c r="U140" s="381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373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381"/>
      <c r="P141" s="381"/>
      <c r="Q141" s="381"/>
      <c r="R141" s="381"/>
      <c r="S141" s="381"/>
      <c r="T141" s="381"/>
      <c r="U141" s="381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373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381"/>
      <c r="P142" s="381"/>
      <c r="Q142" s="381"/>
      <c r="R142" s="381"/>
      <c r="S142" s="381"/>
      <c r="T142" s="381"/>
      <c r="U142" s="381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373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381"/>
      <c r="P143" s="381"/>
      <c r="Q143" s="381"/>
      <c r="R143" s="381"/>
      <c r="S143" s="381"/>
      <c r="T143" s="381"/>
      <c r="U143" s="381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/>
      <c r="G144" s="128"/>
      <c r="H144" s="479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0"/>
      <c r="P144" s="470"/>
      <c r="Q144" s="470"/>
      <c r="R144" s="470"/>
      <c r="S144" s="470"/>
      <c r="T144" s="470"/>
      <c r="U144" s="470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>
        <v>42705</v>
      </c>
      <c r="G146" s="128">
        <f>108*8+58</f>
        <v>922</v>
      </c>
      <c r="H146" s="373">
        <f t="shared" si="55"/>
        <v>4646.88</v>
      </c>
      <c r="I146" s="129">
        <f>11*4</f>
        <v>44</v>
      </c>
      <c r="J146" s="130">
        <f t="array" ref="J146">IF(ISERROR(G146/I146),"",G146/I146)</f>
        <v>20.954545454545453</v>
      </c>
      <c r="K146" s="131">
        <f t="array" ref="K146">IF(ISERROR(G146/L146),"",G146/L146)</f>
        <v>41.909090909090907</v>
      </c>
      <c r="L146" s="129">
        <v>22</v>
      </c>
      <c r="M146" s="109">
        <f t="shared" ref="M146" si="59">IF(ISERROR(I146-K146),"",I146-K146)</f>
        <v>2.0909090909090935</v>
      </c>
      <c r="N146" s="130">
        <f t="shared" ref="N146" si="60">SUM(O146:U146)</f>
        <v>0</v>
      </c>
      <c r="O146" s="381"/>
      <c r="P146" s="381"/>
      <c r="Q146" s="381"/>
      <c r="R146" s="381"/>
      <c r="S146" s="381"/>
      <c r="T146" s="381"/>
      <c r="U146" s="381"/>
      <c r="V146" s="132">
        <f t="shared" ref="V146" si="61">SUM(X146:AA146)</f>
        <v>0</v>
      </c>
      <c r="W146" s="133">
        <f t="shared" ref="W146:W151" si="62">IF(ISERROR(V146/G146),"",V146/G146)</f>
        <v>0</v>
      </c>
      <c r="X146" s="132"/>
      <c r="Y146" s="132"/>
      <c r="Z146" s="132"/>
      <c r="AA146" s="132"/>
    </row>
    <row r="147" spans="1:27" ht="20.100000000000001" customHeight="1">
      <c r="A147" s="630" t="s">
        <v>234</v>
      </c>
      <c r="B147" s="631"/>
      <c r="C147" s="382" t="s">
        <v>202</v>
      </c>
      <c r="D147" s="143"/>
      <c r="E147" s="143"/>
      <c r="F147" s="144"/>
      <c r="G147" s="145">
        <f>SUM(G138:G146)</f>
        <v>922</v>
      </c>
      <c r="H147" s="146">
        <f>SUM(H138:H146)</f>
        <v>4646.88</v>
      </c>
      <c r="I147" s="146">
        <f>SUM(I138:I146)</f>
        <v>44</v>
      </c>
      <c r="J147" s="130">
        <f t="array" ref="J147">IF(ISERROR(G147/I147),"",G147/I147)</f>
        <v>20.954545454545453</v>
      </c>
      <c r="K147" s="146">
        <f>SUM(K138:K146)</f>
        <v>41.909090909090907</v>
      </c>
      <c r="L147" s="147"/>
      <c r="M147" s="150">
        <f>SUM(M138:M146)</f>
        <v>2.0909090909090935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>
        <f t="shared" si="62"/>
        <v>0</v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379"/>
      <c r="D148" s="108">
        <v>3.65</v>
      </c>
      <c r="E148" s="108"/>
      <c r="F148" s="153"/>
      <c r="G148" s="128"/>
      <c r="H148" s="373">
        <f t="shared" ref="H148:H161" si="63">D148*G148</f>
        <v>0</v>
      </c>
      <c r="I148" s="129"/>
      <c r="J148" s="130" t="str">
        <f t="array" ref="J148">IF(ISERROR(G148/I148),"",G148/I148)</f>
        <v/>
      </c>
      <c r="K148" s="373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381"/>
      <c r="P148" s="381"/>
      <c r="Q148" s="381"/>
      <c r="R148" s="381"/>
      <c r="S148" s="381"/>
      <c r="T148" s="381"/>
      <c r="U148" s="381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379"/>
      <c r="D149" s="108">
        <v>6.58</v>
      </c>
      <c r="E149" s="108"/>
      <c r="F149" s="127"/>
      <c r="G149" s="128"/>
      <c r="H149" s="373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381"/>
      <c r="P149" s="381"/>
      <c r="Q149" s="381"/>
      <c r="R149" s="381"/>
      <c r="S149" s="381"/>
      <c r="T149" s="381"/>
      <c r="U149" s="381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379"/>
      <c r="D150" s="108">
        <v>7.8</v>
      </c>
      <c r="E150" s="108"/>
      <c r="F150" s="127"/>
      <c r="G150" s="128"/>
      <c r="H150" s="373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381"/>
      <c r="P150" s="381"/>
      <c r="Q150" s="381"/>
      <c r="R150" s="381"/>
      <c r="S150" s="381"/>
      <c r="T150" s="381"/>
      <c r="U150" s="381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customHeight="1">
      <c r="A151" s="299">
        <v>30700017</v>
      </c>
      <c r="B151" s="141" t="s">
        <v>238</v>
      </c>
      <c r="C151" s="379"/>
      <c r="D151" s="108">
        <v>4.4000000000000004</v>
      </c>
      <c r="E151" s="108"/>
      <c r="F151" s="127">
        <v>42708</v>
      </c>
      <c r="G151" s="128">
        <f>72*3</f>
        <v>216</v>
      </c>
      <c r="H151" s="373">
        <f t="shared" si="63"/>
        <v>950.40000000000009</v>
      </c>
      <c r="I151" s="129">
        <f>5.5*6+5*5.5</f>
        <v>60.5</v>
      </c>
      <c r="J151" s="130">
        <f t="array" ref="J151">IF(ISERROR(G151/I151),"",G151/I151)</f>
        <v>3.5702479338842976</v>
      </c>
      <c r="K151" s="131">
        <f t="array" ref="K151">IF(ISERROR(G151/L151),"",G151/L151)</f>
        <v>37.241379310344826</v>
      </c>
      <c r="L151" s="129">
        <v>5.8</v>
      </c>
      <c r="M151" s="109">
        <f t="shared" si="64"/>
        <v>23.258620689655174</v>
      </c>
      <c r="N151" s="130">
        <f t="shared" si="65"/>
        <v>0</v>
      </c>
      <c r="O151" s="381"/>
      <c r="P151" s="381"/>
      <c r="Q151" s="381"/>
      <c r="R151" s="381"/>
      <c r="S151" s="381"/>
      <c r="T151" s="381"/>
      <c r="U151" s="381"/>
      <c r="V151" s="132">
        <f t="shared" si="66"/>
        <v>0</v>
      </c>
      <c r="W151" s="133">
        <f t="shared" si="62"/>
        <v>0</v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373">
        <f t="shared" si="63"/>
        <v>0</v>
      </c>
      <c r="I152" s="129"/>
      <c r="J152" s="130"/>
      <c r="K152" s="131"/>
      <c r="L152" s="129">
        <v>6</v>
      </c>
      <c r="M152" s="109"/>
      <c r="N152" s="130"/>
      <c r="O152" s="381"/>
      <c r="P152" s="381"/>
      <c r="Q152" s="381"/>
      <c r="R152" s="381"/>
      <c r="S152" s="381"/>
      <c r="T152" s="381"/>
      <c r="U152" s="381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379" t="s">
        <v>239</v>
      </c>
      <c r="C153" s="379" t="s">
        <v>179</v>
      </c>
      <c r="D153" s="108">
        <v>6.04</v>
      </c>
      <c r="E153" s="108"/>
      <c r="F153" s="127"/>
      <c r="G153" s="128"/>
      <c r="H153" s="373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381"/>
      <c r="P153" s="381"/>
      <c r="Q153" s="381"/>
      <c r="R153" s="381"/>
      <c r="S153" s="381"/>
      <c r="T153" s="381"/>
      <c r="U153" s="381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379" t="s">
        <v>239</v>
      </c>
      <c r="C154" s="379" t="s">
        <v>186</v>
      </c>
      <c r="D154" s="108">
        <v>6.04</v>
      </c>
      <c r="E154" s="108"/>
      <c r="F154" s="127"/>
      <c r="G154" s="128"/>
      <c r="H154" s="373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381"/>
      <c r="P154" s="381"/>
      <c r="Q154" s="381"/>
      <c r="R154" s="381"/>
      <c r="S154" s="381"/>
      <c r="T154" s="381"/>
      <c r="U154" s="381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379" t="s">
        <v>443</v>
      </c>
      <c r="C155" s="379" t="s">
        <v>179</v>
      </c>
      <c r="D155" s="108">
        <v>6</v>
      </c>
      <c r="E155" s="108"/>
      <c r="F155" s="127"/>
      <c r="G155" s="128"/>
      <c r="H155" s="373">
        <f t="shared" si="63"/>
        <v>0</v>
      </c>
      <c r="I155" s="129"/>
      <c r="J155" s="130"/>
      <c r="K155" s="131"/>
      <c r="L155" s="129"/>
      <c r="M155" s="109"/>
      <c r="N155" s="130"/>
      <c r="O155" s="381"/>
      <c r="P155" s="381"/>
      <c r="Q155" s="381"/>
      <c r="R155" s="381"/>
      <c r="S155" s="381"/>
      <c r="T155" s="381"/>
      <c r="U155" s="381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379" t="s">
        <v>443</v>
      </c>
      <c r="C156" s="379" t="s">
        <v>60</v>
      </c>
      <c r="D156" s="108">
        <v>6</v>
      </c>
      <c r="E156" s="108"/>
      <c r="F156" s="127"/>
      <c r="G156" s="128"/>
      <c r="H156" s="373">
        <f t="shared" si="63"/>
        <v>0</v>
      </c>
      <c r="I156" s="129"/>
      <c r="J156" s="130"/>
      <c r="K156" s="131"/>
      <c r="L156" s="129">
        <v>6</v>
      </c>
      <c r="M156" s="109"/>
      <c r="N156" s="130"/>
      <c r="O156" s="381"/>
      <c r="P156" s="381"/>
      <c r="Q156" s="381"/>
      <c r="R156" s="381"/>
      <c r="S156" s="381"/>
      <c r="T156" s="381"/>
      <c r="U156" s="381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372" t="s">
        <v>240</v>
      </c>
      <c r="C157" s="126"/>
      <c r="D157" s="108">
        <v>7.3</v>
      </c>
      <c r="E157" s="108"/>
      <c r="F157" s="127"/>
      <c r="G157" s="128"/>
      <c r="H157" s="373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381"/>
      <c r="P157" s="381"/>
      <c r="Q157" s="381"/>
      <c r="R157" s="381"/>
      <c r="S157" s="381"/>
      <c r="T157" s="381"/>
      <c r="U157" s="381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372" t="s">
        <v>241</v>
      </c>
      <c r="C158" s="126"/>
      <c r="D158" s="108">
        <f>78*120/1000</f>
        <v>9.36</v>
      </c>
      <c r="E158" s="108"/>
      <c r="F158" s="127"/>
      <c r="G158" s="128"/>
      <c r="H158" s="373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381"/>
      <c r="P158" s="381"/>
      <c r="Q158" s="381"/>
      <c r="R158" s="381"/>
      <c r="S158" s="381"/>
      <c r="T158" s="381"/>
      <c r="U158" s="381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372" t="s">
        <v>242</v>
      </c>
      <c r="C159" s="126"/>
      <c r="D159" s="108">
        <v>4.5</v>
      </c>
      <c r="E159" s="108"/>
      <c r="F159" s="127"/>
      <c r="G159" s="128"/>
      <c r="H159" s="373">
        <f t="shared" si="63"/>
        <v>0</v>
      </c>
      <c r="I159" s="129"/>
      <c r="J159" s="130"/>
      <c r="K159" s="131"/>
      <c r="L159" s="129"/>
      <c r="M159" s="109"/>
      <c r="N159" s="130"/>
      <c r="O159" s="381"/>
      <c r="P159" s="381"/>
      <c r="Q159" s="381"/>
      <c r="R159" s="381"/>
      <c r="S159" s="381"/>
      <c r="T159" s="381"/>
      <c r="U159" s="381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372" t="s">
        <v>243</v>
      </c>
      <c r="C160" s="126"/>
      <c r="D160" s="108">
        <v>4.5</v>
      </c>
      <c r="E160" s="108"/>
      <c r="F160" s="127"/>
      <c r="G160" s="128"/>
      <c r="H160" s="373">
        <f t="shared" si="63"/>
        <v>0</v>
      </c>
      <c r="I160" s="129"/>
      <c r="J160" s="130"/>
      <c r="K160" s="131"/>
      <c r="L160" s="129"/>
      <c r="M160" s="109"/>
      <c r="N160" s="130"/>
      <c r="O160" s="381"/>
      <c r="P160" s="381"/>
      <c r="Q160" s="381"/>
      <c r="R160" s="381"/>
      <c r="S160" s="381"/>
      <c r="T160" s="381"/>
      <c r="U160" s="381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373">
        <f t="shared" si="63"/>
        <v>0</v>
      </c>
      <c r="I161" s="129"/>
      <c r="J161" s="130"/>
      <c r="K161" s="131"/>
      <c r="L161" s="129"/>
      <c r="M161" s="109"/>
      <c r="N161" s="130"/>
      <c r="O161" s="381"/>
      <c r="P161" s="381"/>
      <c r="Q161" s="381"/>
      <c r="R161" s="381"/>
      <c r="S161" s="381"/>
      <c r="T161" s="381"/>
      <c r="U161" s="381"/>
      <c r="V161" s="132"/>
      <c r="W161" s="133"/>
      <c r="X161" s="132"/>
      <c r="Y161" s="132"/>
      <c r="Z161" s="132"/>
      <c r="AA161" s="132"/>
    </row>
    <row r="162" spans="1:27" ht="20.100000000000001" customHeight="1">
      <c r="A162" s="630" t="s">
        <v>244</v>
      </c>
      <c r="B162" s="631"/>
      <c r="C162" s="382" t="s">
        <v>202</v>
      </c>
      <c r="D162" s="143"/>
      <c r="E162" s="143"/>
      <c r="F162" s="144"/>
      <c r="G162" s="145">
        <f>SUM(G148:G160)</f>
        <v>216</v>
      </c>
      <c r="H162" s="146">
        <f>SUM(H148:H158)</f>
        <v>950.40000000000009</v>
      </c>
      <c r="I162" s="146">
        <f>SUM(I148:I160)</f>
        <v>60.5</v>
      </c>
      <c r="J162" s="130">
        <f t="array" ref="J162">IF(ISERROR(G162/I162),"",G162/I162)</f>
        <v>3.5702479338842976</v>
      </c>
      <c r="K162" s="146">
        <f>SUM(K148:K158)</f>
        <v>37.241379310344826</v>
      </c>
      <c r="L162" s="147"/>
      <c r="M162" s="150">
        <f t="shared" ref="M162:V162" si="75">SUM(M148:M158)</f>
        <v>23.258620689655174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>
        <f>IF(ISERROR(V162/G162),"",V162/G162)</f>
        <v>0</v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32" t="s">
        <v>246</v>
      </c>
      <c r="B163" s="633"/>
      <c r="C163" s="633"/>
      <c r="D163" s="633"/>
      <c r="E163" s="633"/>
      <c r="F163" s="634"/>
      <c r="G163" s="154">
        <f>SUM(G28,G86,G121,G137,G147,G162)</f>
        <v>1694</v>
      </c>
      <c r="H163" s="154">
        <f>SUM(H28,H86,H121,H137,H147,H162)</f>
        <v>8387.84</v>
      </c>
      <c r="I163" s="154">
        <f>SUM(I28,I86,I121,I137,I147,I162)</f>
        <v>132</v>
      </c>
      <c r="J163" s="155">
        <f t="array" ref="J163">IF(ISERROR(G163/I163),"",G163/I163)</f>
        <v>12.833333333333334</v>
      </c>
      <c r="K163" s="154">
        <f>SUM(K28,K86,K121,K137,K147,K162)</f>
        <v>106.33864226244648</v>
      </c>
      <c r="L163" s="155">
        <f>IF(ISERROR(G163/K163),"",G163/K163)</f>
        <v>15.93023912999721</v>
      </c>
      <c r="M163" s="154">
        <f t="shared" ref="M163:AA163" si="76">SUM(M28,M86,M121,M137,M147,M162)</f>
        <v>25.494691070886848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635" t="s">
        <v>476</v>
      </c>
      <c r="B164" s="375" t="s">
        <v>247</v>
      </c>
      <c r="C164" s="638" t="s">
        <v>248</v>
      </c>
      <c r="D164" s="639"/>
      <c r="E164" s="640" t="s">
        <v>249</v>
      </c>
      <c r="F164" s="640"/>
      <c r="G164" s="643" t="s">
        <v>250</v>
      </c>
      <c r="H164" s="643"/>
      <c r="I164" s="640" t="s">
        <v>251</v>
      </c>
      <c r="J164" s="640"/>
      <c r="K164" s="640" t="s">
        <v>252</v>
      </c>
      <c r="L164" s="640"/>
      <c r="M164" s="640" t="s">
        <v>253</v>
      </c>
      <c r="N164" s="640"/>
      <c r="O164" s="640" t="s">
        <v>254</v>
      </c>
      <c r="P164" s="643" t="s">
        <v>255</v>
      </c>
      <c r="Q164" s="643"/>
      <c r="R164" s="643" t="s">
        <v>252</v>
      </c>
      <c r="S164" s="643"/>
      <c r="T164" s="643" t="s">
        <v>256</v>
      </c>
      <c r="U164" s="643"/>
      <c r="V164" s="643" t="s">
        <v>257</v>
      </c>
      <c r="W164" s="643"/>
      <c r="X164" s="643" t="s">
        <v>252</v>
      </c>
      <c r="Y164" s="643"/>
      <c r="Z164" s="643" t="s">
        <v>256</v>
      </c>
      <c r="AA164" s="643"/>
    </row>
    <row r="165" spans="1:27" ht="20.100000000000001" customHeight="1">
      <c r="A165" s="636"/>
      <c r="B165" s="375" t="s">
        <v>258</v>
      </c>
      <c r="C165" s="638">
        <v>1</v>
      </c>
      <c r="D165" s="639"/>
      <c r="E165" s="642">
        <f>C165*11</f>
        <v>11</v>
      </c>
      <c r="F165" s="642"/>
      <c r="G165" s="643">
        <v>1</v>
      </c>
      <c r="H165" s="643"/>
      <c r="I165" s="642">
        <f>G165*11</f>
        <v>11</v>
      </c>
      <c r="J165" s="642"/>
      <c r="K165" s="642">
        <f>E165-I165</f>
        <v>0</v>
      </c>
      <c r="L165" s="642"/>
      <c r="M165" s="644">
        <f>IF(ISERROR(K165/E165),"",K165/E165)</f>
        <v>0</v>
      </c>
      <c r="N165" s="644"/>
      <c r="O165" s="640"/>
      <c r="P165" s="643" t="s">
        <v>201</v>
      </c>
      <c r="Q165" s="643"/>
      <c r="R165" s="645">
        <f>SUM(O28:U28)</f>
        <v>0</v>
      </c>
      <c r="S165" s="645"/>
      <c r="T165" s="646" t="str">
        <f t="array" ref="T165">IF(ISERROR(R165/R172),"",R165/R172)</f>
        <v/>
      </c>
      <c r="U165" s="646"/>
      <c r="V165" s="643" t="s">
        <v>259</v>
      </c>
      <c r="W165" s="643"/>
      <c r="X165" s="647">
        <f>SUM(P27,P85,P120,P136,P146,P160)</f>
        <v>0</v>
      </c>
      <c r="Y165" s="647"/>
      <c r="Z165" s="646" t="str">
        <f t="array" ref="Z165">IF(ISERROR(X165/X172),"",X165/X172)</f>
        <v/>
      </c>
      <c r="AA165" s="646"/>
    </row>
    <row r="166" spans="1:27" ht="20.100000000000001" customHeight="1">
      <c r="A166" s="636"/>
      <c r="B166" s="375" t="s">
        <v>260</v>
      </c>
      <c r="C166" s="638">
        <v>1</v>
      </c>
      <c r="D166" s="639"/>
      <c r="E166" s="642">
        <f>C166*11</f>
        <v>11</v>
      </c>
      <c r="F166" s="642"/>
      <c r="G166" s="643">
        <v>1</v>
      </c>
      <c r="H166" s="643"/>
      <c r="I166" s="642">
        <f>G166*11</f>
        <v>11</v>
      </c>
      <c r="J166" s="642"/>
      <c r="K166" s="642">
        <f>E166-I166</f>
        <v>0</v>
      </c>
      <c r="L166" s="642"/>
      <c r="M166" s="644">
        <f>IF(ISERROR(K166/E166),"",K166/E166)</f>
        <v>0</v>
      </c>
      <c r="N166" s="644"/>
      <c r="O166" s="640"/>
      <c r="P166" s="643" t="s">
        <v>216</v>
      </c>
      <c r="Q166" s="643"/>
      <c r="R166" s="645">
        <f>SUM(O86:U86)</f>
        <v>0</v>
      </c>
      <c r="S166" s="645"/>
      <c r="T166" s="646" t="str">
        <f>IF(ISERROR(R166/R172),"",R166/R172)</f>
        <v/>
      </c>
      <c r="U166" s="646"/>
      <c r="V166" s="643" t="s">
        <v>261</v>
      </c>
      <c r="W166" s="643"/>
      <c r="X166" s="647">
        <f>SUM(P28,P86,P121,P137,P147,P162)</f>
        <v>0</v>
      </c>
      <c r="Y166" s="647"/>
      <c r="Z166" s="646" t="str">
        <f>IF(ISERROR(X166/X172),"",X166/X172)</f>
        <v/>
      </c>
      <c r="AA166" s="646"/>
    </row>
    <row r="167" spans="1:27" ht="20.100000000000001" customHeight="1">
      <c r="A167" s="636"/>
      <c r="B167" s="375" t="s">
        <v>262</v>
      </c>
      <c r="C167" s="638">
        <v>1</v>
      </c>
      <c r="D167" s="639"/>
      <c r="E167" s="642">
        <f>C167*8</f>
        <v>8</v>
      </c>
      <c r="F167" s="642"/>
      <c r="G167" s="643">
        <v>1</v>
      </c>
      <c r="H167" s="643"/>
      <c r="I167" s="642">
        <f>G167*8</f>
        <v>8</v>
      </c>
      <c r="J167" s="642"/>
      <c r="K167" s="642">
        <f>E167-I167</f>
        <v>0</v>
      </c>
      <c r="L167" s="642"/>
      <c r="M167" s="644">
        <f>IF(ISERROR(K167/E167),"",K167/E167)</f>
        <v>0</v>
      </c>
      <c r="N167" s="644"/>
      <c r="O167" s="640"/>
      <c r="P167" s="643" t="s">
        <v>224</v>
      </c>
      <c r="Q167" s="643"/>
      <c r="R167" s="645">
        <f>SUM(O121:U121)</f>
        <v>0</v>
      </c>
      <c r="S167" s="645"/>
      <c r="T167" s="646" t="str">
        <f>IF(ISERROR(R167/R172),"",R167/R172)</f>
        <v/>
      </c>
      <c r="U167" s="646"/>
      <c r="V167" s="643" t="s">
        <v>263</v>
      </c>
      <c r="W167" s="643"/>
      <c r="X167" s="647">
        <f>SUM(P29,P87,P122,P138,P148,P163)</f>
        <v>0</v>
      </c>
      <c r="Y167" s="647"/>
      <c r="Z167" s="646" t="str">
        <f>IF(ISERROR(X167/X172),"",X167/X172)</f>
        <v/>
      </c>
      <c r="AA167" s="646"/>
    </row>
    <row r="168" spans="1:27" ht="20.100000000000001" customHeight="1">
      <c r="A168" s="636"/>
      <c r="B168" s="375" t="s">
        <v>264</v>
      </c>
      <c r="C168" s="638">
        <v>1</v>
      </c>
      <c r="D168" s="639"/>
      <c r="E168" s="642">
        <f>C168*11</f>
        <v>11</v>
      </c>
      <c r="F168" s="642"/>
      <c r="G168" s="643">
        <v>1</v>
      </c>
      <c r="H168" s="643"/>
      <c r="I168" s="642">
        <f>G168*11</f>
        <v>11</v>
      </c>
      <c r="J168" s="642"/>
      <c r="K168" s="642">
        <f>E168-I168</f>
        <v>0</v>
      </c>
      <c r="L168" s="642"/>
      <c r="M168" s="644">
        <f>IF(ISERROR(K168/E168),"",K168/E168)</f>
        <v>0</v>
      </c>
      <c r="N168" s="644"/>
      <c r="O168" s="640"/>
      <c r="P168" s="643" t="s">
        <v>231</v>
      </c>
      <c r="Q168" s="643"/>
      <c r="R168" s="645">
        <f>SUM(O137:U137)</f>
        <v>0</v>
      </c>
      <c r="S168" s="645"/>
      <c r="T168" s="646" t="str">
        <f>IF(ISERROR(R168/R172),"",R168/R172)</f>
        <v/>
      </c>
      <c r="U168" s="646"/>
      <c r="V168" s="643" t="s">
        <v>265</v>
      </c>
      <c r="W168" s="643"/>
      <c r="X168" s="647">
        <f>SUM(P31,P88,P123,P139,P149,P164)</f>
        <v>0</v>
      </c>
      <c r="Y168" s="647"/>
      <c r="Z168" s="646" t="str">
        <f>IF(ISERROR(X168/X172),"",X168/X172)</f>
        <v/>
      </c>
      <c r="AA168" s="646"/>
    </row>
    <row r="169" spans="1:27" ht="20.100000000000001" customHeight="1">
      <c r="A169" s="637"/>
      <c r="B169" s="375" t="s">
        <v>266</v>
      </c>
      <c r="C169" s="648">
        <f>SUM(C165:D168)</f>
        <v>4</v>
      </c>
      <c r="D169" s="649"/>
      <c r="E169" s="642">
        <f>SUM(E165:F168)</f>
        <v>41</v>
      </c>
      <c r="F169" s="642"/>
      <c r="G169" s="643">
        <f>SUM(G165:H168)</f>
        <v>4</v>
      </c>
      <c r="H169" s="643"/>
      <c r="I169" s="642">
        <f>SUM(I165:J168)</f>
        <v>41</v>
      </c>
      <c r="J169" s="642"/>
      <c r="K169" s="642">
        <f>SUM(K165:L168)</f>
        <v>0</v>
      </c>
      <c r="L169" s="642"/>
      <c r="M169" s="644">
        <f>IF(ISERROR(K169/E169),"",K169/E169)</f>
        <v>0</v>
      </c>
      <c r="N169" s="644"/>
      <c r="O169" s="640"/>
      <c r="P169" s="643" t="s">
        <v>234</v>
      </c>
      <c r="Q169" s="643"/>
      <c r="R169" s="645">
        <f>SUM(O147:U147)</f>
        <v>0</v>
      </c>
      <c r="S169" s="645"/>
      <c r="T169" s="646" t="str">
        <f>IF(ISERROR(R169/R172),"",R169/R172)</f>
        <v/>
      </c>
      <c r="U169" s="646"/>
      <c r="V169" s="643" t="s">
        <v>267</v>
      </c>
      <c r="W169" s="643"/>
      <c r="X169" s="647">
        <f>SUM(P32,P89,P124,P140,P150,P165)</f>
        <v>0</v>
      </c>
      <c r="Y169" s="647"/>
      <c r="Z169" s="646" t="str">
        <f>IF(ISERROR(X169/X172),"",X169/X172)</f>
        <v/>
      </c>
      <c r="AA169" s="646"/>
    </row>
    <row r="170" spans="1:27" ht="20.100000000000001" customHeight="1">
      <c r="A170" s="307" t="s">
        <v>477</v>
      </c>
      <c r="B170" s="375">
        <f>G163</f>
        <v>1694</v>
      </c>
      <c r="C170" s="650" t="s">
        <v>269</v>
      </c>
      <c r="D170" s="651"/>
      <c r="E170" s="643">
        <f>H163</f>
        <v>8387.84</v>
      </c>
      <c r="F170" s="643"/>
      <c r="G170" s="643" t="s">
        <v>270</v>
      </c>
      <c r="H170" s="643"/>
      <c r="I170" s="652">
        <f>L163</f>
        <v>15.93023912999721</v>
      </c>
      <c r="J170" s="652"/>
      <c r="K170" s="640" t="s">
        <v>271</v>
      </c>
      <c r="L170" s="640"/>
      <c r="M170" s="652">
        <f>J163</f>
        <v>12.833333333333334</v>
      </c>
      <c r="N170" s="652"/>
      <c r="O170" s="640"/>
      <c r="P170" s="643" t="s">
        <v>244</v>
      </c>
      <c r="Q170" s="643"/>
      <c r="R170" s="645">
        <f>SUM(O162:U162)</f>
        <v>0</v>
      </c>
      <c r="S170" s="645"/>
      <c r="T170" s="646" t="str">
        <f>IF(ISERROR(R170/R172),"",R170/R172)</f>
        <v/>
      </c>
      <c r="U170" s="646"/>
      <c r="V170" s="643" t="s">
        <v>272</v>
      </c>
      <c r="W170" s="643"/>
      <c r="X170" s="647">
        <f>SUM(P33,P90,P125,P141,P151,P166)</f>
        <v>0</v>
      </c>
      <c r="Y170" s="647"/>
      <c r="Z170" s="646" t="str">
        <f>IF(ISERROR(X170/X172),"",X170/X172)</f>
        <v/>
      </c>
      <c r="AA170" s="646"/>
    </row>
    <row r="171" spans="1:27" ht="20.100000000000001" customHeight="1">
      <c r="A171" s="308" t="s">
        <v>478</v>
      </c>
      <c r="B171" s="375">
        <f>I163+C169</f>
        <v>136</v>
      </c>
      <c r="C171" s="653" t="s">
        <v>251</v>
      </c>
      <c r="D171" s="654"/>
      <c r="E171" s="655">
        <f>K163+I169</f>
        <v>147.33864226244648</v>
      </c>
      <c r="F171" s="655"/>
      <c r="G171" s="643" t="s">
        <v>274</v>
      </c>
      <c r="H171" s="643"/>
      <c r="I171" s="652">
        <f>B171-E171</f>
        <v>-11.338642262446484</v>
      </c>
      <c r="J171" s="652"/>
      <c r="K171" s="640" t="s">
        <v>275</v>
      </c>
      <c r="L171" s="640"/>
      <c r="M171" s="644">
        <f>IF(ISERROR(I171/E171),"",I171/E171)</f>
        <v>-7.6956337375836306E-2</v>
      </c>
      <c r="N171" s="644"/>
      <c r="O171" s="640"/>
      <c r="P171" s="643" t="s">
        <v>245</v>
      </c>
      <c r="Q171" s="643"/>
      <c r="R171" s="645"/>
      <c r="S171" s="645"/>
      <c r="T171" s="646" t="str">
        <f>IF(ISERROR(R171/R172),"",R171/R172)</f>
        <v/>
      </c>
      <c r="U171" s="646"/>
      <c r="V171" s="643" t="s">
        <v>264</v>
      </c>
      <c r="W171" s="643"/>
      <c r="X171" s="647"/>
      <c r="Y171" s="647"/>
      <c r="Z171" s="646" t="str">
        <f>IF(ISERROR(X171/X172),"",X171/X172)</f>
        <v/>
      </c>
      <c r="AA171" s="646"/>
    </row>
    <row r="172" spans="1:27" ht="20.100000000000001" customHeight="1">
      <c r="A172" s="308" t="s">
        <v>479</v>
      </c>
      <c r="B172" s="375">
        <f>N163</f>
        <v>0</v>
      </c>
      <c r="C172" s="653" t="s">
        <v>277</v>
      </c>
      <c r="D172" s="654"/>
      <c r="E172" s="646">
        <f>IF(ISERROR(B172/B171),"",B172/B171)</f>
        <v>0</v>
      </c>
      <c r="F172" s="646"/>
      <c r="G172" s="643" t="s">
        <v>278</v>
      </c>
      <c r="H172" s="643"/>
      <c r="I172" s="640">
        <f>V163</f>
        <v>0</v>
      </c>
      <c r="J172" s="640"/>
      <c r="K172" s="640" t="s">
        <v>279</v>
      </c>
      <c r="L172" s="640"/>
      <c r="M172" s="644">
        <f t="array" ref="M172">IF(ISERROR(I172/B170),"",I172/B170)</f>
        <v>0</v>
      </c>
      <c r="N172" s="644"/>
      <c r="O172" s="640"/>
      <c r="P172" s="643" t="s">
        <v>266</v>
      </c>
      <c r="Q172" s="643"/>
      <c r="R172" s="645">
        <f>SUM(R165:S171)</f>
        <v>0</v>
      </c>
      <c r="S172" s="645"/>
      <c r="T172" s="646"/>
      <c r="U172" s="646"/>
      <c r="V172" s="643" t="s">
        <v>266</v>
      </c>
      <c r="W172" s="643"/>
      <c r="X172" s="647">
        <f>SUM(X165:Y171)</f>
        <v>0</v>
      </c>
      <c r="Y172" s="647"/>
      <c r="Z172" s="646"/>
      <c r="AA172" s="646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56" t="s">
        <v>480</v>
      </c>
      <c r="B174" s="659" t="s">
        <v>280</v>
      </c>
      <c r="C174" s="659" t="s">
        <v>281</v>
      </c>
      <c r="D174" s="659" t="s">
        <v>282</v>
      </c>
      <c r="E174" s="662" t="s">
        <v>283</v>
      </c>
      <c r="F174" s="675" t="s">
        <v>284</v>
      </c>
      <c r="G174" s="640" t="s">
        <v>285</v>
      </c>
      <c r="H174" s="640"/>
      <c r="I174" s="659" t="s">
        <v>286</v>
      </c>
      <c r="J174" s="665" t="s">
        <v>271</v>
      </c>
      <c r="K174" s="668" t="s">
        <v>287</v>
      </c>
      <c r="L174" s="659" t="s">
        <v>270</v>
      </c>
      <c r="M174" s="671" t="s">
        <v>288</v>
      </c>
      <c r="N174" s="673" t="s">
        <v>252</v>
      </c>
      <c r="O174" s="640" t="s">
        <v>289</v>
      </c>
      <c r="P174" s="640"/>
      <c r="Q174" s="640"/>
      <c r="R174" s="640"/>
      <c r="S174" s="640"/>
      <c r="T174" s="640"/>
      <c r="U174" s="640"/>
      <c r="V174" s="640" t="s">
        <v>290</v>
      </c>
      <c r="W174" s="673" t="s">
        <v>291</v>
      </c>
      <c r="X174" s="640" t="s">
        <v>292</v>
      </c>
      <c r="Y174" s="640"/>
      <c r="Z174" s="640"/>
      <c r="AA174" s="640"/>
    </row>
    <row r="175" spans="1:27" ht="21.95" customHeight="1">
      <c r="A175" s="657"/>
      <c r="B175" s="660"/>
      <c r="C175" s="660"/>
      <c r="D175" s="660"/>
      <c r="E175" s="663"/>
      <c r="F175" s="676"/>
      <c r="G175" s="640"/>
      <c r="H175" s="640"/>
      <c r="I175" s="660"/>
      <c r="J175" s="666"/>
      <c r="K175" s="669"/>
      <c r="L175" s="660"/>
      <c r="M175" s="672"/>
      <c r="N175" s="673"/>
      <c r="O175" s="640" t="s">
        <v>259</v>
      </c>
      <c r="P175" s="640" t="s">
        <v>261</v>
      </c>
      <c r="Q175" s="640" t="s">
        <v>263</v>
      </c>
      <c r="R175" s="674" t="s">
        <v>265</v>
      </c>
      <c r="S175" s="643" t="s">
        <v>267</v>
      </c>
      <c r="T175" s="640" t="s">
        <v>272</v>
      </c>
      <c r="U175" s="640" t="s">
        <v>264</v>
      </c>
      <c r="V175" s="640"/>
      <c r="W175" s="673"/>
      <c r="X175" s="640" t="s">
        <v>293</v>
      </c>
      <c r="Y175" s="640" t="s">
        <v>294</v>
      </c>
      <c r="Z175" s="640" t="s">
        <v>295</v>
      </c>
      <c r="AA175" s="640" t="s">
        <v>264</v>
      </c>
    </row>
    <row r="176" spans="1:27" ht="21.95" customHeight="1">
      <c r="A176" s="658"/>
      <c r="B176" s="661"/>
      <c r="C176" s="661"/>
      <c r="D176" s="661"/>
      <c r="E176" s="664"/>
      <c r="F176" s="677"/>
      <c r="G176" s="348" t="s">
        <v>296</v>
      </c>
      <c r="H176" s="379" t="s">
        <v>297</v>
      </c>
      <c r="I176" s="661"/>
      <c r="J176" s="667"/>
      <c r="K176" s="670"/>
      <c r="L176" s="661"/>
      <c r="M176" s="672"/>
      <c r="N176" s="673"/>
      <c r="O176" s="640"/>
      <c r="P176" s="640"/>
      <c r="Q176" s="640"/>
      <c r="R176" s="674"/>
      <c r="S176" s="643"/>
      <c r="T176" s="640"/>
      <c r="U176" s="640"/>
      <c r="V176" s="640"/>
      <c r="W176" s="673"/>
      <c r="X176" s="640"/>
      <c r="Y176" s="640"/>
      <c r="Z176" s="640"/>
      <c r="AA176" s="640"/>
    </row>
    <row r="177" spans="1:27" ht="20.100000000000001" hidden="1" customHeight="1">
      <c r="A177" s="299">
        <v>30100030</v>
      </c>
      <c r="B177" s="372" t="s">
        <v>178</v>
      </c>
      <c r="C177" s="126" t="s">
        <v>179</v>
      </c>
      <c r="D177" s="108">
        <v>5.03</v>
      </c>
      <c r="E177" s="108"/>
      <c r="F177" s="127"/>
      <c r="G177" s="128"/>
      <c r="H177" s="373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381"/>
      <c r="P177" s="381"/>
      <c r="Q177" s="381"/>
      <c r="R177" s="381"/>
      <c r="S177" s="381"/>
      <c r="T177" s="381"/>
      <c r="U177" s="381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373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381"/>
      <c r="P178" s="381"/>
      <c r="Q178" s="381"/>
      <c r="R178" s="381"/>
      <c r="S178" s="381"/>
      <c r="T178" s="381"/>
      <c r="U178" s="381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373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381"/>
      <c r="P179" s="381"/>
      <c r="Q179" s="381"/>
      <c r="R179" s="381"/>
      <c r="S179" s="381"/>
      <c r="T179" s="381"/>
      <c r="U179" s="381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373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381"/>
      <c r="P180" s="381"/>
      <c r="Q180" s="381"/>
      <c r="R180" s="381"/>
      <c r="S180" s="381"/>
      <c r="T180" s="381"/>
      <c r="U180" s="381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373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381"/>
      <c r="P181" s="381"/>
      <c r="Q181" s="381"/>
      <c r="R181" s="381"/>
      <c r="S181" s="381"/>
      <c r="T181" s="381"/>
      <c r="U181" s="381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373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381"/>
      <c r="P182" s="381"/>
      <c r="Q182" s="381"/>
      <c r="R182" s="381"/>
      <c r="S182" s="381"/>
      <c r="T182" s="381"/>
      <c r="U182" s="381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373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381"/>
      <c r="P183" s="381"/>
      <c r="Q183" s="381"/>
      <c r="R183" s="381"/>
      <c r="S183" s="381"/>
      <c r="T183" s="381"/>
      <c r="U183" s="381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373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381"/>
      <c r="P184" s="381"/>
      <c r="Q184" s="381"/>
      <c r="R184" s="381"/>
      <c r="S184" s="381"/>
      <c r="T184" s="381"/>
      <c r="U184" s="381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373">
        <f t="shared" si="77"/>
        <v>0</v>
      </c>
      <c r="I185" s="373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381"/>
      <c r="P185" s="381"/>
      <c r="Q185" s="381"/>
      <c r="R185" s="381"/>
      <c r="S185" s="381"/>
      <c r="T185" s="381"/>
      <c r="U185" s="381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373">
        <f t="shared" si="77"/>
        <v>0</v>
      </c>
      <c r="I186" s="373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381"/>
      <c r="P186" s="381"/>
      <c r="Q186" s="381"/>
      <c r="R186" s="381"/>
      <c r="S186" s="381"/>
      <c r="T186" s="381"/>
      <c r="U186" s="381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373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381"/>
      <c r="P187" s="381"/>
      <c r="Q187" s="381"/>
      <c r="R187" s="381"/>
      <c r="S187" s="381"/>
      <c r="T187" s="381"/>
      <c r="U187" s="381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373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381"/>
      <c r="P188" s="381"/>
      <c r="Q188" s="381"/>
      <c r="R188" s="381"/>
      <c r="S188" s="381"/>
      <c r="T188" s="381"/>
      <c r="U188" s="381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373">
        <f t="shared" ref="H189:H197" si="82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3">IF(ISERROR(I189-K189),"",I189-K189)</f>
        <v>0</v>
      </c>
      <c r="N189" s="130">
        <f t="shared" ref="N189:N191" si="84">SUM(O189:U189)</f>
        <v>0</v>
      </c>
      <c r="O189" s="381"/>
      <c r="P189" s="381"/>
      <c r="Q189" s="381"/>
      <c r="R189" s="381"/>
      <c r="S189" s="381"/>
      <c r="T189" s="381"/>
      <c r="U189" s="381"/>
      <c r="V189" s="132">
        <f t="shared" ref="V189:V191" si="85">SUM(X189:AA189)</f>
        <v>0</v>
      </c>
      <c r="W189" s="133" t="str">
        <f t="shared" ref="W189:W191" si="86">IF(ISERROR(V189/G189),"",V189/G189)</f>
        <v/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373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381"/>
      <c r="P190" s="381"/>
      <c r="Q190" s="381"/>
      <c r="R190" s="381"/>
      <c r="S190" s="381"/>
      <c r="T190" s="381"/>
      <c r="U190" s="381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373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381"/>
      <c r="P191" s="381"/>
      <c r="Q191" s="381"/>
      <c r="R191" s="381"/>
      <c r="S191" s="381"/>
      <c r="T191" s="381"/>
      <c r="U191" s="381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379" t="s">
        <v>190</v>
      </c>
      <c r="D192" s="108">
        <v>4.8</v>
      </c>
      <c r="E192" s="108"/>
      <c r="F192" s="127"/>
      <c r="G192" s="128"/>
      <c r="H192" s="373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381"/>
      <c r="P192" s="381"/>
      <c r="Q192" s="381"/>
      <c r="R192" s="381"/>
      <c r="S192" s="381"/>
      <c r="T192" s="381"/>
      <c r="U192" s="381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379" t="s">
        <v>187</v>
      </c>
      <c r="D193" s="108">
        <v>4.8</v>
      </c>
      <c r="E193" s="108"/>
      <c r="F193" s="127"/>
      <c r="G193" s="128"/>
      <c r="H193" s="373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381"/>
      <c r="P193" s="381"/>
      <c r="Q193" s="381"/>
      <c r="R193" s="381"/>
      <c r="S193" s="381"/>
      <c r="T193" s="381"/>
      <c r="U193" s="381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379" t="s">
        <v>179</v>
      </c>
      <c r="D194" s="108">
        <v>4.8</v>
      </c>
      <c r="E194" s="108"/>
      <c r="F194" s="127"/>
      <c r="G194" s="128"/>
      <c r="H194" s="373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381"/>
      <c r="P194" s="381"/>
      <c r="Q194" s="381"/>
      <c r="R194" s="381"/>
      <c r="S194" s="381"/>
      <c r="T194" s="381"/>
      <c r="U194" s="381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379" t="s">
        <v>199</v>
      </c>
      <c r="D195" s="108">
        <v>4.8</v>
      </c>
      <c r="E195" s="108"/>
      <c r="F195" s="127"/>
      <c r="G195" s="128"/>
      <c r="H195" s="373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381"/>
      <c r="P195" s="381"/>
      <c r="Q195" s="381"/>
      <c r="R195" s="381"/>
      <c r="S195" s="381"/>
      <c r="T195" s="381"/>
      <c r="U195" s="381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373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381"/>
      <c r="P196" s="381"/>
      <c r="Q196" s="381"/>
      <c r="R196" s="381"/>
      <c r="S196" s="381"/>
      <c r="T196" s="381"/>
      <c r="U196" s="381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373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381"/>
      <c r="P197" s="381"/>
      <c r="Q197" s="381"/>
      <c r="R197" s="381"/>
      <c r="S197" s="381"/>
      <c r="T197" s="381"/>
      <c r="U197" s="381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hidden="1" customHeight="1">
      <c r="A198" s="630" t="s">
        <v>201</v>
      </c>
      <c r="B198" s="631"/>
      <c r="C198" s="382" t="s">
        <v>202</v>
      </c>
      <c r="D198" s="143"/>
      <c r="E198" s="143"/>
      <c r="F198" s="144"/>
      <c r="G198" s="145">
        <f>SUM(G177:G197)</f>
        <v>0</v>
      </c>
      <c r="H198" s="146">
        <f>SUM(H177:H197)</f>
        <v>0</v>
      </c>
      <c r="I198" s="146">
        <f>SUM(I177:I197)</f>
        <v>0</v>
      </c>
      <c r="J198" s="130" t="str">
        <f t="array" ref="J198">IF(ISERROR(G198/I198),"",G198/I198)</f>
        <v/>
      </c>
      <c r="K198" s="146">
        <f>SUM(K177:K197)</f>
        <v>0</v>
      </c>
      <c r="L198" s="147"/>
      <c r="M198" s="150">
        <f t="shared" ref="M198:AA198" si="90">SUM(M177:M197)</f>
        <v>0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372" t="s">
        <v>206</v>
      </c>
      <c r="C199" s="126" t="s">
        <v>199</v>
      </c>
      <c r="D199" s="108">
        <v>5.03</v>
      </c>
      <c r="E199" s="108"/>
      <c r="F199" s="127"/>
      <c r="G199" s="128"/>
      <c r="H199" s="373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377"/>
      <c r="P199" s="377"/>
      <c r="Q199" s="377"/>
      <c r="R199" s="377"/>
      <c r="S199" s="377"/>
      <c r="T199" s="377"/>
      <c r="U199" s="377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372" t="s">
        <v>425</v>
      </c>
      <c r="C200" s="187" t="s">
        <v>427</v>
      </c>
      <c r="D200" s="108">
        <v>5.03</v>
      </c>
      <c r="E200" s="108"/>
      <c r="F200" s="127"/>
      <c r="G200" s="128"/>
      <c r="H200" s="373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377"/>
      <c r="P200" s="377"/>
      <c r="Q200" s="377"/>
      <c r="R200" s="377"/>
      <c r="S200" s="377"/>
      <c r="T200" s="377"/>
      <c r="U200" s="377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372" t="s">
        <v>206</v>
      </c>
      <c r="C201" s="126" t="s">
        <v>186</v>
      </c>
      <c r="D201" s="108">
        <v>5.03</v>
      </c>
      <c r="E201" s="108"/>
      <c r="F201" s="127"/>
      <c r="G201" s="128"/>
      <c r="H201" s="373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377"/>
      <c r="P201" s="377"/>
      <c r="Q201" s="377"/>
      <c r="R201" s="377"/>
      <c r="S201" s="377"/>
      <c r="T201" s="377"/>
      <c r="U201" s="377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372" t="s">
        <v>206</v>
      </c>
      <c r="C202" s="126" t="s">
        <v>203</v>
      </c>
      <c r="D202" s="108">
        <v>5.03</v>
      </c>
      <c r="E202" s="108"/>
      <c r="F202" s="127"/>
      <c r="G202" s="128"/>
      <c r="H202" s="373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377"/>
      <c r="P202" s="377"/>
      <c r="Q202" s="377"/>
      <c r="R202" s="377"/>
      <c r="S202" s="377"/>
      <c r="T202" s="377"/>
      <c r="U202" s="377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372" t="s">
        <v>206</v>
      </c>
      <c r="C203" s="126" t="s">
        <v>207</v>
      </c>
      <c r="D203" s="108">
        <v>5.03</v>
      </c>
      <c r="E203" s="108"/>
      <c r="F203" s="127"/>
      <c r="G203" s="128"/>
      <c r="H203" s="373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0">IF(ISERROR(I203-K203),"",I203-K203)</f>
        <v>0</v>
      </c>
      <c r="N203" s="130">
        <f t="shared" si="97"/>
        <v>0</v>
      </c>
      <c r="O203" s="377"/>
      <c r="P203" s="377"/>
      <c r="Q203" s="377"/>
      <c r="R203" s="377"/>
      <c r="S203" s="377"/>
      <c r="T203" s="377"/>
      <c r="U203" s="377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372" t="s">
        <v>414</v>
      </c>
      <c r="C204" s="187" t="s">
        <v>415</v>
      </c>
      <c r="D204" s="108">
        <v>5.03</v>
      </c>
      <c r="E204" s="108"/>
      <c r="F204" s="127"/>
      <c r="G204" s="128"/>
      <c r="H204" s="373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377"/>
      <c r="P204" s="377"/>
      <c r="Q204" s="377"/>
      <c r="R204" s="377"/>
      <c r="S204" s="377"/>
      <c r="T204" s="377"/>
      <c r="U204" s="377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372" t="s">
        <v>414</v>
      </c>
      <c r="C205" s="187" t="s">
        <v>416</v>
      </c>
      <c r="D205" s="108">
        <v>5.03</v>
      </c>
      <c r="E205" s="108"/>
      <c r="F205" s="127"/>
      <c r="G205" s="128"/>
      <c r="H205" s="373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377"/>
      <c r="P205" s="377"/>
      <c r="Q205" s="377"/>
      <c r="R205" s="377"/>
      <c r="S205" s="377"/>
      <c r="T205" s="377"/>
      <c r="U205" s="377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372" t="s">
        <v>414</v>
      </c>
      <c r="C206" s="187" t="s">
        <v>61</v>
      </c>
      <c r="D206" s="108">
        <v>5.03</v>
      </c>
      <c r="E206" s="108"/>
      <c r="F206" s="127"/>
      <c r="G206" s="128"/>
      <c r="H206" s="373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377"/>
      <c r="P206" s="377"/>
      <c r="Q206" s="377"/>
      <c r="R206" s="377"/>
      <c r="S206" s="377"/>
      <c r="T206" s="377"/>
      <c r="U206" s="377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372" t="s">
        <v>208</v>
      </c>
      <c r="C207" s="126" t="s">
        <v>179</v>
      </c>
      <c r="D207" s="108">
        <v>5.08</v>
      </c>
      <c r="E207" s="108"/>
      <c r="F207" s="127"/>
      <c r="G207" s="128"/>
      <c r="H207" s="373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1">IF(ISERROR(I207-K207),"",I207-K207)</f>
        <v>0</v>
      </c>
      <c r="N207" s="130">
        <f t="shared" ref="N207:N236" si="102">SUM(O207:U207)</f>
        <v>0</v>
      </c>
      <c r="O207" s="377"/>
      <c r="P207" s="377"/>
      <c r="Q207" s="377"/>
      <c r="R207" s="377"/>
      <c r="S207" s="377"/>
      <c r="T207" s="377"/>
      <c r="U207" s="377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372" t="s">
        <v>208</v>
      </c>
      <c r="C208" s="126" t="s">
        <v>204</v>
      </c>
      <c r="D208" s="108">
        <v>5.08</v>
      </c>
      <c r="E208" s="108"/>
      <c r="F208" s="127"/>
      <c r="G208" s="128"/>
      <c r="H208" s="373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377"/>
      <c r="P208" s="377"/>
      <c r="Q208" s="377"/>
      <c r="R208" s="377"/>
      <c r="S208" s="377"/>
      <c r="T208" s="377"/>
      <c r="U208" s="377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372" t="s">
        <v>208</v>
      </c>
      <c r="C209" s="126" t="s">
        <v>205</v>
      </c>
      <c r="D209" s="108">
        <v>5.08</v>
      </c>
      <c r="E209" s="108"/>
      <c r="F209" s="127"/>
      <c r="G209" s="128"/>
      <c r="H209" s="373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377"/>
      <c r="P209" s="377"/>
      <c r="Q209" s="377"/>
      <c r="R209" s="377"/>
      <c r="S209" s="377"/>
      <c r="T209" s="377"/>
      <c r="U209" s="377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372" t="s">
        <v>208</v>
      </c>
      <c r="C210" s="126" t="s">
        <v>186</v>
      </c>
      <c r="D210" s="108">
        <v>5.08</v>
      </c>
      <c r="E210" s="108"/>
      <c r="F210" s="127"/>
      <c r="G210" s="128"/>
      <c r="H210" s="373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377"/>
      <c r="P210" s="377"/>
      <c r="Q210" s="377"/>
      <c r="R210" s="377"/>
      <c r="S210" s="377"/>
      <c r="T210" s="377"/>
      <c r="U210" s="377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372" t="s">
        <v>208</v>
      </c>
      <c r="C211" s="126" t="s">
        <v>203</v>
      </c>
      <c r="D211" s="108">
        <v>5.08</v>
      </c>
      <c r="E211" s="108"/>
      <c r="F211" s="127"/>
      <c r="G211" s="128"/>
      <c r="H211" s="373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377"/>
      <c r="P211" s="377"/>
      <c r="Q211" s="377"/>
      <c r="R211" s="377"/>
      <c r="S211" s="377"/>
      <c r="T211" s="377"/>
      <c r="U211" s="377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372" t="s">
        <v>208</v>
      </c>
      <c r="C212" s="126" t="s">
        <v>199</v>
      </c>
      <c r="D212" s="108">
        <v>5.08</v>
      </c>
      <c r="E212" s="108"/>
      <c r="F212" s="127"/>
      <c r="G212" s="128"/>
      <c r="H212" s="373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381"/>
      <c r="P212" s="381"/>
      <c r="Q212" s="381"/>
      <c r="R212" s="381"/>
      <c r="S212" s="381"/>
      <c r="T212" s="381"/>
      <c r="U212" s="381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372" t="s">
        <v>208</v>
      </c>
      <c r="C213" s="126" t="s">
        <v>187</v>
      </c>
      <c r="D213" s="108">
        <v>5.08</v>
      </c>
      <c r="E213" s="108"/>
      <c r="F213" s="127"/>
      <c r="G213" s="128"/>
      <c r="H213" s="373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377"/>
      <c r="P213" s="377"/>
      <c r="Q213" s="377"/>
      <c r="R213" s="377"/>
      <c r="S213" s="377"/>
      <c r="T213" s="377"/>
      <c r="U213" s="377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372" t="s">
        <v>208</v>
      </c>
      <c r="C214" s="126" t="s">
        <v>207</v>
      </c>
      <c r="D214" s="108">
        <v>5.08</v>
      </c>
      <c r="E214" s="108"/>
      <c r="F214" s="127"/>
      <c r="G214" s="128"/>
      <c r="H214" s="373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381"/>
      <c r="P214" s="381"/>
      <c r="Q214" s="381"/>
      <c r="R214" s="381"/>
      <c r="S214" s="381"/>
      <c r="T214" s="381"/>
      <c r="U214" s="381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372" t="s">
        <v>209</v>
      </c>
      <c r="C215" s="126" t="s">
        <v>194</v>
      </c>
      <c r="D215" s="108">
        <v>5.03</v>
      </c>
      <c r="E215" s="108"/>
      <c r="F215" s="127"/>
      <c r="G215" s="128"/>
      <c r="H215" s="373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377"/>
      <c r="P215" s="377"/>
      <c r="Q215" s="377"/>
      <c r="R215" s="377"/>
      <c r="S215" s="377"/>
      <c r="T215" s="377"/>
      <c r="U215" s="377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372" t="s">
        <v>209</v>
      </c>
      <c r="C216" s="126" t="s">
        <v>179</v>
      </c>
      <c r="D216" s="108">
        <v>5.03</v>
      </c>
      <c r="E216" s="108"/>
      <c r="F216" s="127"/>
      <c r="G216" s="128"/>
      <c r="H216" s="373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377"/>
      <c r="P216" s="377"/>
      <c r="Q216" s="377"/>
      <c r="R216" s="377"/>
      <c r="S216" s="377"/>
      <c r="T216" s="377"/>
      <c r="U216" s="377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372" t="s">
        <v>209</v>
      </c>
      <c r="C217" s="126" t="s">
        <v>195</v>
      </c>
      <c r="D217" s="108">
        <v>5.03</v>
      </c>
      <c r="E217" s="108"/>
      <c r="F217" s="127"/>
      <c r="G217" s="128"/>
      <c r="H217" s="373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377"/>
      <c r="P217" s="377"/>
      <c r="Q217" s="377"/>
      <c r="R217" s="377"/>
      <c r="S217" s="377"/>
      <c r="T217" s="377"/>
      <c r="U217" s="377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372" t="s">
        <v>209</v>
      </c>
      <c r="C218" s="126" t="s">
        <v>204</v>
      </c>
      <c r="D218" s="108">
        <v>5.03</v>
      </c>
      <c r="E218" s="108"/>
      <c r="F218" s="127"/>
      <c r="G218" s="128"/>
      <c r="H218" s="373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377"/>
      <c r="P218" s="377"/>
      <c r="Q218" s="377"/>
      <c r="R218" s="377"/>
      <c r="S218" s="377"/>
      <c r="T218" s="377"/>
      <c r="U218" s="377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372" t="s">
        <v>382</v>
      </c>
      <c r="C219" s="187" t="s">
        <v>383</v>
      </c>
      <c r="D219" s="108">
        <v>5.03</v>
      </c>
      <c r="E219" s="108"/>
      <c r="F219" s="127"/>
      <c r="G219" s="128"/>
      <c r="H219" s="373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377"/>
      <c r="P219" s="377"/>
      <c r="Q219" s="377"/>
      <c r="R219" s="377"/>
      <c r="S219" s="377"/>
      <c r="T219" s="377"/>
      <c r="U219" s="377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372" t="s">
        <v>382</v>
      </c>
      <c r="C220" s="187" t="s">
        <v>384</v>
      </c>
      <c r="D220" s="108">
        <v>5.03</v>
      </c>
      <c r="E220" s="108"/>
      <c r="F220" s="127"/>
      <c r="G220" s="128"/>
      <c r="H220" s="373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377"/>
      <c r="P220" s="377"/>
      <c r="Q220" s="377"/>
      <c r="R220" s="377"/>
      <c r="S220" s="377"/>
      <c r="T220" s="377"/>
      <c r="U220" s="377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372" t="s">
        <v>382</v>
      </c>
      <c r="C221" s="187" t="s">
        <v>389</v>
      </c>
      <c r="D221" s="108">
        <v>5.03</v>
      </c>
      <c r="E221" s="108"/>
      <c r="F221" s="127"/>
      <c r="G221" s="128"/>
      <c r="H221" s="373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377"/>
      <c r="P221" s="377"/>
      <c r="Q221" s="377"/>
      <c r="R221" s="377"/>
      <c r="S221" s="377"/>
      <c r="T221" s="377"/>
      <c r="U221" s="377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372" t="s">
        <v>382</v>
      </c>
      <c r="C222" s="187" t="s">
        <v>391</v>
      </c>
      <c r="D222" s="108">
        <v>5.03</v>
      </c>
      <c r="E222" s="108"/>
      <c r="F222" s="127"/>
      <c r="G222" s="128"/>
      <c r="H222" s="373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377"/>
      <c r="P222" s="377"/>
      <c r="Q222" s="377"/>
      <c r="R222" s="377"/>
      <c r="S222" s="377"/>
      <c r="T222" s="377"/>
      <c r="U222" s="377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372" t="s">
        <v>418</v>
      </c>
      <c r="C223" s="187" t="s">
        <v>364</v>
      </c>
      <c r="D223" s="108">
        <v>5.03</v>
      </c>
      <c r="E223" s="108"/>
      <c r="F223" s="127"/>
      <c r="G223" s="128"/>
      <c r="H223" s="373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377"/>
      <c r="P223" s="377"/>
      <c r="Q223" s="377"/>
      <c r="R223" s="377"/>
      <c r="S223" s="377"/>
      <c r="T223" s="377"/>
      <c r="U223" s="377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372" t="s">
        <v>418</v>
      </c>
      <c r="C224" s="187" t="s">
        <v>365</v>
      </c>
      <c r="D224" s="108">
        <v>5.03</v>
      </c>
      <c r="E224" s="108"/>
      <c r="F224" s="127"/>
      <c r="G224" s="128"/>
      <c r="H224" s="373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377"/>
      <c r="P224" s="377"/>
      <c r="Q224" s="377"/>
      <c r="R224" s="377"/>
      <c r="S224" s="377"/>
      <c r="T224" s="377"/>
      <c r="U224" s="377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372" t="s">
        <v>418</v>
      </c>
      <c r="C225" s="187" t="s">
        <v>366</v>
      </c>
      <c r="D225" s="108">
        <v>5.03</v>
      </c>
      <c r="E225" s="108"/>
      <c r="F225" s="127"/>
      <c r="G225" s="128"/>
      <c r="H225" s="373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377"/>
      <c r="P225" s="377"/>
      <c r="Q225" s="377"/>
      <c r="R225" s="377"/>
      <c r="S225" s="377"/>
      <c r="T225" s="377"/>
      <c r="U225" s="377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372" t="s">
        <v>418</v>
      </c>
      <c r="C226" s="187" t="s">
        <v>367</v>
      </c>
      <c r="D226" s="108">
        <v>5.03</v>
      </c>
      <c r="E226" s="108"/>
      <c r="F226" s="127"/>
      <c r="G226" s="128"/>
      <c r="H226" s="373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377"/>
      <c r="P226" s="377"/>
      <c r="Q226" s="377"/>
      <c r="R226" s="377"/>
      <c r="S226" s="377"/>
      <c r="T226" s="377"/>
      <c r="U226" s="377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373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381"/>
      <c r="P227" s="381"/>
      <c r="Q227" s="381"/>
      <c r="R227" s="381"/>
      <c r="S227" s="381"/>
      <c r="T227" s="381"/>
      <c r="U227" s="381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373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381"/>
      <c r="P228" s="381"/>
      <c r="Q228" s="381"/>
      <c r="R228" s="381"/>
      <c r="S228" s="381"/>
      <c r="T228" s="381"/>
      <c r="U228" s="381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373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381"/>
      <c r="P229" s="381"/>
      <c r="Q229" s="381"/>
      <c r="R229" s="381"/>
      <c r="S229" s="381"/>
      <c r="T229" s="381"/>
      <c r="U229" s="381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373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381"/>
      <c r="P230" s="381"/>
      <c r="Q230" s="381"/>
      <c r="R230" s="381"/>
      <c r="S230" s="381"/>
      <c r="T230" s="381"/>
      <c r="U230" s="381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373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381"/>
      <c r="P231" s="381"/>
      <c r="Q231" s="381"/>
      <c r="R231" s="381"/>
      <c r="S231" s="381"/>
      <c r="T231" s="381"/>
      <c r="U231" s="381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373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381"/>
      <c r="P232" s="381"/>
      <c r="Q232" s="381"/>
      <c r="R232" s="381"/>
      <c r="S232" s="381"/>
      <c r="T232" s="381"/>
      <c r="U232" s="381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373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381"/>
      <c r="P233" s="381"/>
      <c r="Q233" s="381"/>
      <c r="R233" s="381"/>
      <c r="S233" s="381"/>
      <c r="T233" s="381"/>
      <c r="U233" s="381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373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381"/>
      <c r="P234" s="381"/>
      <c r="Q234" s="381"/>
      <c r="R234" s="381"/>
      <c r="S234" s="381"/>
      <c r="T234" s="381"/>
      <c r="U234" s="381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373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381"/>
      <c r="P235" s="381"/>
      <c r="Q235" s="381"/>
      <c r="R235" s="381"/>
      <c r="S235" s="381"/>
      <c r="T235" s="381"/>
      <c r="U235" s="381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373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381"/>
      <c r="P236" s="381"/>
      <c r="Q236" s="381"/>
      <c r="R236" s="381"/>
      <c r="S236" s="381"/>
      <c r="T236" s="381"/>
      <c r="U236" s="381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373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381"/>
      <c r="P237" s="381"/>
      <c r="Q237" s="381"/>
      <c r="R237" s="381"/>
      <c r="S237" s="381"/>
      <c r="T237" s="381"/>
      <c r="U237" s="381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373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7">IF(ISERROR(I238-K238),"",I238-K238)</f>
        <v>0</v>
      </c>
      <c r="N238" s="130"/>
      <c r="O238" s="381"/>
      <c r="P238" s="381"/>
      <c r="Q238" s="381"/>
      <c r="R238" s="381"/>
      <c r="S238" s="381"/>
      <c r="T238" s="381"/>
      <c r="U238" s="381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373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7"/>
        <v>0</v>
      </c>
      <c r="N239" s="130">
        <f t="shared" ref="N239:N240" si="108">SUM(O239:U239)</f>
        <v>0</v>
      </c>
      <c r="O239" s="381"/>
      <c r="P239" s="381"/>
      <c r="Q239" s="381"/>
      <c r="R239" s="381"/>
      <c r="S239" s="381"/>
      <c r="T239" s="381"/>
      <c r="U239" s="381"/>
      <c r="V239" s="132">
        <f t="shared" ref="V239:V240" si="109">SUM(X239:AA239)</f>
        <v>0</v>
      </c>
      <c r="W239" s="133" t="str">
        <f t="shared" ref="W239:W240" si="110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373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381"/>
      <c r="P240" s="381"/>
      <c r="Q240" s="381"/>
      <c r="R240" s="381"/>
      <c r="S240" s="381"/>
      <c r="T240" s="381"/>
      <c r="U240" s="381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373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381"/>
      <c r="P241" s="381"/>
      <c r="Q241" s="381"/>
      <c r="R241" s="381"/>
      <c r="S241" s="381"/>
      <c r="T241" s="381"/>
      <c r="U241" s="381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373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381"/>
      <c r="P242" s="381"/>
      <c r="Q242" s="381"/>
      <c r="R242" s="381"/>
      <c r="S242" s="381"/>
      <c r="T242" s="381"/>
      <c r="U242" s="381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373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381"/>
      <c r="P243" s="381"/>
      <c r="Q243" s="381"/>
      <c r="R243" s="381"/>
      <c r="S243" s="381"/>
      <c r="T243" s="381"/>
      <c r="U243" s="381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373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381"/>
      <c r="P244" s="381"/>
      <c r="Q244" s="381"/>
      <c r="R244" s="381"/>
      <c r="S244" s="381"/>
      <c r="T244" s="381"/>
      <c r="U244" s="381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373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381"/>
      <c r="P245" s="381"/>
      <c r="Q245" s="381"/>
      <c r="R245" s="381"/>
      <c r="S245" s="381"/>
      <c r="T245" s="381"/>
      <c r="U245" s="381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373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381"/>
      <c r="P246" s="381"/>
      <c r="Q246" s="381"/>
      <c r="R246" s="381"/>
      <c r="S246" s="381"/>
      <c r="T246" s="381"/>
      <c r="U246" s="381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373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381"/>
      <c r="P247" s="381"/>
      <c r="Q247" s="381"/>
      <c r="R247" s="381"/>
      <c r="S247" s="381"/>
      <c r="T247" s="381"/>
      <c r="U247" s="381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373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381"/>
      <c r="P248" s="381"/>
      <c r="Q248" s="381"/>
      <c r="R248" s="381"/>
      <c r="S248" s="381"/>
      <c r="T248" s="381"/>
      <c r="U248" s="381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373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381"/>
      <c r="P249" s="381"/>
      <c r="Q249" s="381"/>
      <c r="R249" s="381"/>
      <c r="S249" s="381"/>
      <c r="T249" s="381"/>
      <c r="U249" s="381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373">
        <f t="shared" si="91"/>
        <v>0</v>
      </c>
      <c r="I250" s="129"/>
      <c r="J250" s="130"/>
      <c r="K250" s="131"/>
      <c r="L250" s="129">
        <v>4</v>
      </c>
      <c r="M250" s="109"/>
      <c r="N250" s="130"/>
      <c r="O250" s="381"/>
      <c r="P250" s="381"/>
      <c r="Q250" s="381"/>
      <c r="R250" s="381"/>
      <c r="S250" s="381"/>
      <c r="T250" s="381"/>
      <c r="U250" s="381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373">
        <f t="shared" si="91"/>
        <v>0</v>
      </c>
      <c r="I251" s="129"/>
      <c r="J251" s="130"/>
      <c r="K251" s="131"/>
      <c r="L251" s="129">
        <v>4</v>
      </c>
      <c r="M251" s="109"/>
      <c r="N251" s="130"/>
      <c r="O251" s="381"/>
      <c r="P251" s="381"/>
      <c r="Q251" s="381"/>
      <c r="R251" s="381"/>
      <c r="S251" s="381"/>
      <c r="T251" s="381"/>
      <c r="U251" s="381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373">
        <f t="shared" si="91"/>
        <v>0</v>
      </c>
      <c r="I252" s="129"/>
      <c r="J252" s="130"/>
      <c r="K252" s="131"/>
      <c r="L252" s="129">
        <v>4</v>
      </c>
      <c r="M252" s="109"/>
      <c r="N252" s="130"/>
      <c r="O252" s="381"/>
      <c r="P252" s="381"/>
      <c r="Q252" s="381"/>
      <c r="R252" s="381"/>
      <c r="S252" s="381"/>
      <c r="T252" s="381"/>
      <c r="U252" s="381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373">
        <f t="shared" si="91"/>
        <v>0</v>
      </c>
      <c r="I253" s="129"/>
      <c r="J253" s="130"/>
      <c r="K253" s="131"/>
      <c r="L253" s="129">
        <v>4</v>
      </c>
      <c r="M253" s="109"/>
      <c r="N253" s="130"/>
      <c r="O253" s="381"/>
      <c r="P253" s="381"/>
      <c r="Q253" s="381"/>
      <c r="R253" s="381"/>
      <c r="S253" s="381"/>
      <c r="T253" s="381"/>
      <c r="U253" s="381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373">
        <f t="shared" si="91"/>
        <v>0</v>
      </c>
      <c r="I254" s="129"/>
      <c r="J254" s="130"/>
      <c r="K254" s="131"/>
      <c r="L254" s="129">
        <v>4</v>
      </c>
      <c r="M254" s="109"/>
      <c r="N254" s="130"/>
      <c r="O254" s="381"/>
      <c r="P254" s="381"/>
      <c r="Q254" s="381"/>
      <c r="R254" s="381"/>
      <c r="S254" s="381"/>
      <c r="T254" s="381"/>
      <c r="U254" s="381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373">
        <f t="shared" si="91"/>
        <v>0</v>
      </c>
      <c r="I255" s="129"/>
      <c r="J255" s="130"/>
      <c r="K255" s="131"/>
      <c r="L255" s="129">
        <v>4</v>
      </c>
      <c r="M255" s="109"/>
      <c r="N255" s="130"/>
      <c r="O255" s="381"/>
      <c r="P255" s="381"/>
      <c r="Q255" s="381"/>
      <c r="R255" s="381"/>
      <c r="S255" s="381"/>
      <c r="T255" s="381"/>
      <c r="U255" s="381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641" t="s">
        <v>216</v>
      </c>
      <c r="B256" s="641"/>
      <c r="C256" s="382" t="s">
        <v>202</v>
      </c>
      <c r="D256" s="143"/>
      <c r="E256" s="143"/>
      <c r="F256" s="144"/>
      <c r="G256" s="145">
        <f>SUM(G199:G255)</f>
        <v>0</v>
      </c>
      <c r="H256" s="146">
        <f>SUM(H199:H255)</f>
        <v>0</v>
      </c>
      <c r="I256" s="146">
        <f>SUM(I199:I255)</f>
        <v>0</v>
      </c>
      <c r="J256" s="130" t="str">
        <f t="array" ref="J256">IF(ISERROR(G256/I256),"",G256/I256)</f>
        <v/>
      </c>
      <c r="K256" s="146">
        <f>SUM(K199:K255)</f>
        <v>0</v>
      </c>
      <c r="L256" s="147"/>
      <c r="M256" s="150">
        <f t="shared" ref="M256:V256" si="114">SUM(M199:M255)</f>
        <v>0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 t="str">
        <f t="shared" ref="W256:W263" si="115">IF(ISERROR(V256/G256),"",V256/G256)</f>
        <v/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372" t="s">
        <v>217</v>
      </c>
      <c r="C257" s="126" t="s">
        <v>179</v>
      </c>
      <c r="D257" s="108">
        <v>5.03</v>
      </c>
      <c r="E257" s="108"/>
      <c r="F257" s="127"/>
      <c r="G257" s="128"/>
      <c r="H257" s="373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381"/>
      <c r="P257" s="381"/>
      <c r="Q257" s="381"/>
      <c r="R257" s="381"/>
      <c r="S257" s="381"/>
      <c r="T257" s="381"/>
      <c r="U257" s="381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372" t="s">
        <v>217</v>
      </c>
      <c r="C258" s="126" t="s">
        <v>186</v>
      </c>
      <c r="D258" s="108">
        <v>5.03</v>
      </c>
      <c r="E258" s="108"/>
      <c r="F258" s="127"/>
      <c r="G258" s="128"/>
      <c r="H258" s="373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381"/>
      <c r="P258" s="381"/>
      <c r="Q258" s="381"/>
      <c r="R258" s="381"/>
      <c r="S258" s="381"/>
      <c r="T258" s="381"/>
      <c r="U258" s="381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372" t="s">
        <v>217</v>
      </c>
      <c r="C259" s="126" t="s">
        <v>204</v>
      </c>
      <c r="D259" s="108">
        <v>5.03</v>
      </c>
      <c r="E259" s="108"/>
      <c r="F259" s="127"/>
      <c r="G259" s="128"/>
      <c r="H259" s="373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381"/>
      <c r="P259" s="381"/>
      <c r="Q259" s="381"/>
      <c r="R259" s="381"/>
      <c r="S259" s="381"/>
      <c r="T259" s="381"/>
      <c r="U259" s="381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373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381"/>
      <c r="P260" s="381"/>
      <c r="Q260" s="381"/>
      <c r="R260" s="381"/>
      <c r="S260" s="381"/>
      <c r="T260" s="381"/>
      <c r="U260" s="381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>
        <v>42707</v>
      </c>
      <c r="G261" s="128">
        <v>33</v>
      </c>
      <c r="H261" s="373">
        <f t="shared" si="116"/>
        <v>165.99</v>
      </c>
      <c r="I261" s="129">
        <f>6</f>
        <v>6</v>
      </c>
      <c r="J261" s="130">
        <f t="array" ref="J261">IF(ISERROR(G261/I261),"",G261/I261)</f>
        <v>5.5</v>
      </c>
      <c r="K261" s="131">
        <f t="array" ref="K261">IF(ISERROR(G261/L261),"",G261/L261)</f>
        <v>3.5483870967741931</v>
      </c>
      <c r="L261" s="129">
        <v>9.3000000000000007</v>
      </c>
      <c r="M261" s="109">
        <f t="shared" si="117"/>
        <v>2.4516129032258069</v>
      </c>
      <c r="N261" s="130">
        <f t="shared" si="118"/>
        <v>0</v>
      </c>
      <c r="O261" s="381"/>
      <c r="P261" s="381"/>
      <c r="Q261" s="381"/>
      <c r="R261" s="381"/>
      <c r="S261" s="381"/>
      <c r="T261" s="381"/>
      <c r="U261" s="381"/>
      <c r="V261" s="132">
        <f t="shared" si="119"/>
        <v>0</v>
      </c>
      <c r="W261" s="133">
        <f t="shared" si="115"/>
        <v>0</v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373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381"/>
      <c r="P262" s="381"/>
      <c r="Q262" s="381"/>
      <c r="R262" s="381"/>
      <c r="S262" s="381"/>
      <c r="T262" s="381"/>
      <c r="U262" s="381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373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381"/>
      <c r="P263" s="381"/>
      <c r="Q263" s="381"/>
      <c r="R263" s="381"/>
      <c r="S263" s="381"/>
      <c r="T263" s="381"/>
      <c r="U263" s="381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373">
        <f t="shared" si="116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381"/>
      <c r="P264" s="381"/>
      <c r="Q264" s="381"/>
      <c r="R264" s="381"/>
      <c r="S264" s="381"/>
      <c r="T264" s="381"/>
      <c r="U264" s="381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373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381"/>
      <c r="P265" s="381"/>
      <c r="Q265" s="381"/>
      <c r="R265" s="381"/>
      <c r="S265" s="381"/>
      <c r="T265" s="381"/>
      <c r="U265" s="381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373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381"/>
      <c r="P266" s="381"/>
      <c r="Q266" s="381"/>
      <c r="R266" s="381"/>
      <c r="S266" s="381"/>
      <c r="T266" s="381"/>
      <c r="U266" s="381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373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381"/>
      <c r="P267" s="381"/>
      <c r="Q267" s="381"/>
      <c r="R267" s="381"/>
      <c r="S267" s="381"/>
      <c r="T267" s="381"/>
      <c r="U267" s="381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373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381"/>
      <c r="P268" s="381"/>
      <c r="Q268" s="381"/>
      <c r="R268" s="381"/>
      <c r="S268" s="381"/>
      <c r="T268" s="381"/>
      <c r="U268" s="381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373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0">IF(ISERROR(I269-K269),"",I269-K269)</f>
        <v>0</v>
      </c>
      <c r="N269" s="130">
        <f t="shared" ref="N269:N284" si="121">SUM(O269:U269)</f>
        <v>0</v>
      </c>
      <c r="O269" s="381"/>
      <c r="P269" s="381"/>
      <c r="Q269" s="381"/>
      <c r="R269" s="381"/>
      <c r="S269" s="381"/>
      <c r="T269" s="381"/>
      <c r="U269" s="381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373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381"/>
      <c r="P270" s="381"/>
      <c r="Q270" s="381"/>
      <c r="R270" s="381"/>
      <c r="S270" s="381"/>
      <c r="T270" s="381"/>
      <c r="U270" s="381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373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381"/>
      <c r="P271" s="381"/>
      <c r="Q271" s="381"/>
      <c r="R271" s="381"/>
      <c r="S271" s="381"/>
      <c r="T271" s="381"/>
      <c r="U271" s="381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373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381"/>
      <c r="P272" s="381"/>
      <c r="Q272" s="381"/>
      <c r="R272" s="381"/>
      <c r="S272" s="381"/>
      <c r="T272" s="381"/>
      <c r="U272" s="381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372" t="s">
        <v>222</v>
      </c>
      <c r="C273" s="126" t="s">
        <v>181</v>
      </c>
      <c r="D273" s="108">
        <v>9.36</v>
      </c>
      <c r="E273" s="108"/>
      <c r="F273" s="127"/>
      <c r="G273" s="128"/>
      <c r="H273" s="373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381"/>
      <c r="P273" s="381"/>
      <c r="Q273" s="381"/>
      <c r="R273" s="381"/>
      <c r="S273" s="381"/>
      <c r="T273" s="381"/>
      <c r="U273" s="381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372" t="s">
        <v>222</v>
      </c>
      <c r="C274" s="126" t="s">
        <v>179</v>
      </c>
      <c r="D274" s="108">
        <v>9.36</v>
      </c>
      <c r="E274" s="108"/>
      <c r="F274" s="127"/>
      <c r="G274" s="128"/>
      <c r="H274" s="373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381"/>
      <c r="P274" s="381"/>
      <c r="Q274" s="381"/>
      <c r="R274" s="381"/>
      <c r="S274" s="381"/>
      <c r="T274" s="381"/>
      <c r="U274" s="381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372" t="s">
        <v>222</v>
      </c>
      <c r="C275" s="126" t="s">
        <v>221</v>
      </c>
      <c r="D275" s="108">
        <v>9.36</v>
      </c>
      <c r="E275" s="108"/>
      <c r="F275" s="127"/>
      <c r="G275" s="128"/>
      <c r="H275" s="373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381"/>
      <c r="P275" s="381"/>
      <c r="Q275" s="381"/>
      <c r="R275" s="381"/>
      <c r="S275" s="381"/>
      <c r="T275" s="381"/>
      <c r="U275" s="381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372" t="s">
        <v>222</v>
      </c>
      <c r="C276" s="126" t="s">
        <v>186</v>
      </c>
      <c r="D276" s="108">
        <v>9.36</v>
      </c>
      <c r="E276" s="108"/>
      <c r="F276" s="127"/>
      <c r="G276" s="128"/>
      <c r="H276" s="373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381"/>
      <c r="P276" s="381"/>
      <c r="Q276" s="381"/>
      <c r="R276" s="381"/>
      <c r="S276" s="381"/>
      <c r="T276" s="381"/>
      <c r="U276" s="381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372" t="s">
        <v>393</v>
      </c>
      <c r="C277" s="187" t="s">
        <v>395</v>
      </c>
      <c r="D277" s="108">
        <v>5</v>
      </c>
      <c r="E277" s="108"/>
      <c r="F277" s="127"/>
      <c r="G277" s="128"/>
      <c r="H277" s="373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381"/>
      <c r="P277" s="381"/>
      <c r="Q277" s="381"/>
      <c r="R277" s="381"/>
      <c r="S277" s="381"/>
      <c r="T277" s="381"/>
      <c r="U277" s="381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372" t="s">
        <v>393</v>
      </c>
      <c r="C278" s="187" t="s">
        <v>402</v>
      </c>
      <c r="D278" s="108">
        <v>5</v>
      </c>
      <c r="E278" s="108"/>
      <c r="F278" s="127"/>
      <c r="G278" s="128"/>
      <c r="H278" s="373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381"/>
      <c r="P278" s="381"/>
      <c r="Q278" s="381"/>
      <c r="R278" s="381"/>
      <c r="S278" s="381"/>
      <c r="T278" s="381"/>
      <c r="U278" s="381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372" t="s">
        <v>404</v>
      </c>
      <c r="C279" s="187" t="s">
        <v>405</v>
      </c>
      <c r="D279" s="108">
        <v>5</v>
      </c>
      <c r="E279" s="108"/>
      <c r="F279" s="127"/>
      <c r="G279" s="128"/>
      <c r="H279" s="373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381"/>
      <c r="P279" s="381"/>
      <c r="Q279" s="381"/>
      <c r="R279" s="381"/>
      <c r="S279" s="381"/>
      <c r="T279" s="381"/>
      <c r="U279" s="381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372" t="s">
        <v>342</v>
      </c>
      <c r="C280" s="187" t="s">
        <v>372</v>
      </c>
      <c r="D280" s="108">
        <v>5</v>
      </c>
      <c r="E280" s="108"/>
      <c r="F280" s="127"/>
      <c r="G280" s="128"/>
      <c r="H280" s="373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381"/>
      <c r="P280" s="381"/>
      <c r="Q280" s="381"/>
      <c r="R280" s="381"/>
      <c r="S280" s="381"/>
      <c r="T280" s="381"/>
      <c r="U280" s="381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372" t="s">
        <v>343</v>
      </c>
      <c r="C281" s="126" t="s">
        <v>345</v>
      </c>
      <c r="D281" s="108">
        <v>5</v>
      </c>
      <c r="E281" s="108"/>
      <c r="F281" s="127"/>
      <c r="G281" s="128"/>
      <c r="H281" s="373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381"/>
      <c r="P281" s="381"/>
      <c r="Q281" s="381"/>
      <c r="R281" s="381"/>
      <c r="S281" s="381"/>
      <c r="T281" s="381"/>
      <c r="U281" s="381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372" t="s">
        <v>343</v>
      </c>
      <c r="C282" s="126" t="s">
        <v>347</v>
      </c>
      <c r="D282" s="108">
        <v>5</v>
      </c>
      <c r="E282" s="108"/>
      <c r="F282" s="127"/>
      <c r="G282" s="128"/>
      <c r="H282" s="373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381"/>
      <c r="P282" s="381"/>
      <c r="Q282" s="381"/>
      <c r="R282" s="381"/>
      <c r="S282" s="381"/>
      <c r="T282" s="381"/>
      <c r="U282" s="381"/>
      <c r="V282" s="132"/>
      <c r="W282" s="133"/>
      <c r="X282" s="132"/>
      <c r="Y282" s="132"/>
      <c r="Z282" s="132"/>
      <c r="AA282" s="132"/>
    </row>
    <row r="283" spans="1:27" ht="20.10000000000000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>
        <v>42707</v>
      </c>
      <c r="G283" s="128">
        <f>100+72</f>
        <v>172</v>
      </c>
      <c r="H283" s="373">
        <f t="shared" si="116"/>
        <v>870.31999999999994</v>
      </c>
      <c r="I283" s="129">
        <v>11</v>
      </c>
      <c r="J283" s="130">
        <f t="array" ref="J283">IF(ISERROR(G283/I283),"",G283/I283)</f>
        <v>15.636363636363637</v>
      </c>
      <c r="K283" s="131">
        <f t="array" ref="K283">IF(ISERROR(G283/L283),"",G283/L283)</f>
        <v>11.096774193548388</v>
      </c>
      <c r="L283" s="129">
        <v>15.5</v>
      </c>
      <c r="M283" s="109">
        <f t="shared" si="120"/>
        <v>-9.6774193548387899E-2</v>
      </c>
      <c r="N283" s="130">
        <f t="shared" si="121"/>
        <v>0</v>
      </c>
      <c r="O283" s="381"/>
      <c r="P283" s="381"/>
      <c r="Q283" s="381"/>
      <c r="R283" s="381"/>
      <c r="S283" s="381"/>
      <c r="T283" s="381"/>
      <c r="U283" s="381"/>
      <c r="V283" s="132">
        <f t="shared" ref="V283:V284" si="125">SUM(X283:AA283)</f>
        <v>0</v>
      </c>
      <c r="W283" s="133">
        <f t="shared" ref="W283:W284" si="126">IF(ISERROR(V283/G283),"",V283/G283)</f>
        <v>0</v>
      </c>
      <c r="X283" s="132"/>
      <c r="Y283" s="132"/>
      <c r="Z283" s="132"/>
      <c r="AA283" s="132"/>
    </row>
    <row r="284" spans="1:27" ht="20.10000000000000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>
        <v>42707</v>
      </c>
      <c r="G284" s="128">
        <v>67</v>
      </c>
      <c r="H284" s="373">
        <f t="shared" si="116"/>
        <v>339.02</v>
      </c>
      <c r="I284" s="129">
        <v>4.3</v>
      </c>
      <c r="J284" s="130">
        <f t="array" ref="J284">IF(ISERROR(G284/I284),"",G284/I284)</f>
        <v>15.58139534883721</v>
      </c>
      <c r="K284" s="131">
        <f t="array" ref="K284">IF(ISERROR(G284/L284),"",G284/L284)</f>
        <v>4.32258064516129</v>
      </c>
      <c r="L284" s="129">
        <v>15.5</v>
      </c>
      <c r="M284" s="109">
        <f t="shared" si="120"/>
        <v>-2.2580645161290214E-2</v>
      </c>
      <c r="N284" s="130">
        <f t="shared" si="121"/>
        <v>0</v>
      </c>
      <c r="O284" s="381"/>
      <c r="P284" s="381"/>
      <c r="Q284" s="381"/>
      <c r="R284" s="381"/>
      <c r="S284" s="381"/>
      <c r="T284" s="381"/>
      <c r="U284" s="381"/>
      <c r="V284" s="132">
        <f t="shared" si="125"/>
        <v>0</v>
      </c>
      <c r="W284" s="133">
        <f t="shared" si="126"/>
        <v>0</v>
      </c>
      <c r="X284" s="132"/>
      <c r="Y284" s="132"/>
      <c r="Z284" s="132"/>
      <c r="AA284" s="132"/>
    </row>
    <row r="285" spans="1:27" ht="20.10000000000000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>
        <v>42707</v>
      </c>
      <c r="G285" s="128">
        <f>90*7+100+38</f>
        <v>768</v>
      </c>
      <c r="H285" s="373">
        <f t="shared" si="116"/>
        <v>3863.04</v>
      </c>
      <c r="I285" s="129">
        <f>5.5*6+6*7</f>
        <v>75</v>
      </c>
      <c r="J285" s="130"/>
      <c r="K285" s="131"/>
      <c r="L285" s="129">
        <v>24</v>
      </c>
      <c r="M285" s="109"/>
      <c r="N285" s="130"/>
      <c r="O285" s="381"/>
      <c r="P285" s="381"/>
      <c r="Q285" s="381"/>
      <c r="R285" s="381"/>
      <c r="S285" s="381"/>
      <c r="T285" s="381"/>
      <c r="U285" s="381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373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381"/>
      <c r="P286" s="381"/>
      <c r="Q286" s="381"/>
      <c r="R286" s="381"/>
      <c r="S286" s="381"/>
      <c r="T286" s="381"/>
      <c r="U286" s="381"/>
      <c r="V286" s="132"/>
      <c r="W286" s="133"/>
      <c r="X286" s="132"/>
      <c r="Y286" s="132"/>
      <c r="Z286" s="132"/>
      <c r="AA286" s="132"/>
    </row>
    <row r="287" spans="1:27" ht="20.10000000000000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>
        <v>42707</v>
      </c>
      <c r="G287" s="128">
        <f>90+50+90+26+48+90+90</f>
        <v>484</v>
      </c>
      <c r="H287" s="373">
        <f t="shared" si="116"/>
        <v>2434.52</v>
      </c>
      <c r="I287" s="129">
        <f>6*6+5.5*7</f>
        <v>74.5</v>
      </c>
      <c r="J287" s="130"/>
      <c r="K287" s="131"/>
      <c r="L287" s="129">
        <v>24</v>
      </c>
      <c r="M287" s="109"/>
      <c r="N287" s="130"/>
      <c r="O287" s="381"/>
      <c r="P287" s="381"/>
      <c r="Q287" s="381"/>
      <c r="R287" s="381"/>
      <c r="S287" s="381"/>
      <c r="T287" s="381"/>
      <c r="U287" s="381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373">
        <f t="shared" si="116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7">IF(ISERROR(I288-K288),"",I288-K288)</f>
        <v>0</v>
      </c>
      <c r="N288" s="130">
        <f t="shared" ref="N288:N290" si="128">SUM(O288:U288)</f>
        <v>0</v>
      </c>
      <c r="O288" s="381"/>
      <c r="P288" s="381"/>
      <c r="Q288" s="381"/>
      <c r="R288" s="381"/>
      <c r="S288" s="381"/>
      <c r="T288" s="381"/>
      <c r="U288" s="381"/>
      <c r="V288" s="132">
        <f t="shared" ref="V288:V290" si="129">SUM(X288:AA288)</f>
        <v>0</v>
      </c>
      <c r="W288" s="133" t="str">
        <f t="shared" ref="W288:W312" si="130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373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381"/>
      <c r="P289" s="381"/>
      <c r="Q289" s="381"/>
      <c r="R289" s="381"/>
      <c r="S289" s="381"/>
      <c r="T289" s="381"/>
      <c r="U289" s="381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373">
        <f t="shared" si="116"/>
        <v>0</v>
      </c>
      <c r="I290" s="129"/>
      <c r="J290" s="130" t="str">
        <f t="array" ref="J290">IF(ISERROR(G290/I290),"",G290/I290)</f>
        <v/>
      </c>
      <c r="K290" s="373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381"/>
      <c r="P290" s="381"/>
      <c r="Q290" s="381"/>
      <c r="R290" s="381"/>
      <c r="S290" s="381"/>
      <c r="T290" s="381"/>
      <c r="U290" s="381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630" t="s">
        <v>224</v>
      </c>
      <c r="B291" s="631"/>
      <c r="C291" s="382" t="s">
        <v>202</v>
      </c>
      <c r="D291" s="143"/>
      <c r="E291" s="143"/>
      <c r="F291" s="144"/>
      <c r="G291" s="145">
        <f>SUM(G257:G290)</f>
        <v>1524</v>
      </c>
      <c r="H291" s="146">
        <f>SUM(H257:H290)</f>
        <v>7672.8899999999994</v>
      </c>
      <c r="I291" s="146">
        <f>SUM(I257:I290)</f>
        <v>170.8</v>
      </c>
      <c r="J291" s="130">
        <f t="array" ref="J291">IF(ISERROR(G291/I291),"",G291/I291)</f>
        <v>8.9227166276346601</v>
      </c>
      <c r="K291" s="146">
        <f>SUM(K257:K290)</f>
        <v>18.967741935483872</v>
      </c>
      <c r="L291" s="147"/>
      <c r="M291" s="150">
        <f t="shared" ref="M291:V291" si="131">SUM(M257:M290)</f>
        <v>2.3322580645161288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>
        <f t="shared" si="130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373">
        <f t="shared" ref="H292:H306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3">IF(ISERROR(I292-K292),"",I292-K292)</f>
        <v>0</v>
      </c>
      <c r="N292" s="130">
        <f t="shared" ref="N292:N306" si="134">SUM(O292:U292)</f>
        <v>0</v>
      </c>
      <c r="O292" s="381"/>
      <c r="P292" s="381"/>
      <c r="Q292" s="381"/>
      <c r="R292" s="381"/>
      <c r="S292" s="381"/>
      <c r="T292" s="381"/>
      <c r="U292" s="381"/>
      <c r="V292" s="132">
        <f t="shared" ref="V292:V306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373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381"/>
      <c r="P293" s="381"/>
      <c r="Q293" s="381"/>
      <c r="R293" s="381"/>
      <c r="S293" s="381"/>
      <c r="T293" s="381"/>
      <c r="U293" s="381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373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3"/>
        <v>0</v>
      </c>
      <c r="N294" s="130">
        <f t="shared" si="134"/>
        <v>0</v>
      </c>
      <c r="O294" s="381"/>
      <c r="P294" s="381"/>
      <c r="Q294" s="381"/>
      <c r="R294" s="381"/>
      <c r="S294" s="381"/>
      <c r="T294" s="381"/>
      <c r="U294" s="381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373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381"/>
      <c r="P295" s="381"/>
      <c r="Q295" s="381"/>
      <c r="R295" s="381"/>
      <c r="S295" s="381"/>
      <c r="T295" s="381"/>
      <c r="U295" s="381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378" t="s">
        <v>203</v>
      </c>
      <c r="D296" s="108">
        <v>5.03</v>
      </c>
      <c r="E296" s="108"/>
      <c r="F296" s="127"/>
      <c r="G296" s="128"/>
      <c r="H296" s="373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381"/>
      <c r="P296" s="381"/>
      <c r="Q296" s="381"/>
      <c r="R296" s="381"/>
      <c r="S296" s="381"/>
      <c r="T296" s="381"/>
      <c r="U296" s="381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373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381"/>
      <c r="P297" s="381"/>
      <c r="Q297" s="381"/>
      <c r="R297" s="381"/>
      <c r="S297" s="381"/>
      <c r="T297" s="381"/>
      <c r="U297" s="381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373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381"/>
      <c r="P298" s="381"/>
      <c r="Q298" s="381"/>
      <c r="R298" s="381"/>
      <c r="S298" s="381"/>
      <c r="T298" s="381"/>
      <c r="U298" s="381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378" t="s">
        <v>228</v>
      </c>
      <c r="D299" s="108">
        <v>5.03</v>
      </c>
      <c r="E299" s="108"/>
      <c r="F299" s="127"/>
      <c r="G299" s="128"/>
      <c r="H299" s="373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381"/>
      <c r="P299" s="381"/>
      <c r="Q299" s="381"/>
      <c r="R299" s="381"/>
      <c r="S299" s="381"/>
      <c r="T299" s="381"/>
      <c r="U299" s="381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378" t="s">
        <v>212</v>
      </c>
      <c r="D300" s="108">
        <v>5.03</v>
      </c>
      <c r="E300" s="108"/>
      <c r="F300" s="127"/>
      <c r="G300" s="128"/>
      <c r="H300" s="373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381"/>
      <c r="P300" s="381"/>
      <c r="Q300" s="381"/>
      <c r="R300" s="381"/>
      <c r="S300" s="381"/>
      <c r="T300" s="381"/>
      <c r="U300" s="381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378" t="s">
        <v>203</v>
      </c>
      <c r="D301" s="108">
        <v>5.03</v>
      </c>
      <c r="E301" s="108"/>
      <c r="F301" s="127"/>
      <c r="G301" s="128"/>
      <c r="H301" s="373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381"/>
      <c r="P301" s="381"/>
      <c r="Q301" s="381"/>
      <c r="R301" s="381"/>
      <c r="S301" s="381"/>
      <c r="T301" s="381"/>
      <c r="U301" s="381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378" t="s">
        <v>186</v>
      </c>
      <c r="D302" s="108">
        <v>5.03</v>
      </c>
      <c r="E302" s="108"/>
      <c r="F302" s="127"/>
      <c r="G302" s="128"/>
      <c r="H302" s="373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381"/>
      <c r="P302" s="381"/>
      <c r="Q302" s="381"/>
      <c r="R302" s="381"/>
      <c r="S302" s="381"/>
      <c r="T302" s="381"/>
      <c r="U302" s="381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378" t="s">
        <v>228</v>
      </c>
      <c r="D303" s="108">
        <v>5.03</v>
      </c>
      <c r="E303" s="108"/>
      <c r="F303" s="127"/>
      <c r="G303" s="128"/>
      <c r="H303" s="373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381"/>
      <c r="P303" s="381"/>
      <c r="Q303" s="381"/>
      <c r="R303" s="381"/>
      <c r="S303" s="381"/>
      <c r="T303" s="381"/>
      <c r="U303" s="381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378" t="s">
        <v>199</v>
      </c>
      <c r="D304" s="108">
        <v>5.03</v>
      </c>
      <c r="E304" s="108"/>
      <c r="F304" s="127"/>
      <c r="G304" s="128"/>
      <c r="H304" s="373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381"/>
      <c r="P304" s="381"/>
      <c r="Q304" s="381"/>
      <c r="R304" s="381"/>
      <c r="S304" s="381"/>
      <c r="T304" s="381"/>
      <c r="U304" s="381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373">
        <f t="shared" si="132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3"/>
        <v>0</v>
      </c>
      <c r="N305" s="130">
        <f t="shared" si="134"/>
        <v>0</v>
      </c>
      <c r="O305" s="381"/>
      <c r="P305" s="381"/>
      <c r="Q305" s="381"/>
      <c r="R305" s="381"/>
      <c r="S305" s="381"/>
      <c r="T305" s="381"/>
      <c r="U305" s="381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373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381"/>
      <c r="P306" s="381"/>
      <c r="Q306" s="381"/>
      <c r="R306" s="381"/>
      <c r="S306" s="381"/>
      <c r="T306" s="381"/>
      <c r="U306" s="381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630" t="s">
        <v>231</v>
      </c>
      <c r="B307" s="631"/>
      <c r="C307" s="382" t="s">
        <v>202</v>
      </c>
      <c r="D307" s="143"/>
      <c r="E307" s="143"/>
      <c r="F307" s="144"/>
      <c r="G307" s="145">
        <f>SUM(G292:G306)</f>
        <v>0</v>
      </c>
      <c r="H307" s="146">
        <f>SUM(H292:H306)</f>
        <v>0</v>
      </c>
      <c r="I307" s="146">
        <f>SUM(I292:I306)</f>
        <v>0</v>
      </c>
      <c r="J307" s="130" t="str">
        <f t="array" ref="J307">IF(ISERROR(G307/I307),"",G307/I307)</f>
        <v/>
      </c>
      <c r="K307" s="146">
        <f>SUM(K292:K306)</f>
        <v>0</v>
      </c>
      <c r="L307" s="146"/>
      <c r="M307" s="150">
        <f>SUM(M292:M306)</f>
        <v>0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 t="str">
        <f t="shared" si="130"/>
        <v/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373">
        <f t="shared" ref="H308:H315" si="136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7">IF(ISERROR(I308-K308),"",I308-K308)</f>
        <v>0</v>
      </c>
      <c r="N308" s="130">
        <f t="shared" ref="N308:N312" si="138">SUM(O308:U308)</f>
        <v>0</v>
      </c>
      <c r="O308" s="381"/>
      <c r="P308" s="381"/>
      <c r="Q308" s="381"/>
      <c r="R308" s="381"/>
      <c r="S308" s="381"/>
      <c r="T308" s="381"/>
      <c r="U308" s="381"/>
      <c r="V308" s="132">
        <f t="shared" ref="V308:V312" si="139">SUM(X308:AA308)</f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373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381"/>
      <c r="P309" s="381"/>
      <c r="Q309" s="381"/>
      <c r="R309" s="381"/>
      <c r="S309" s="381"/>
      <c r="T309" s="381"/>
      <c r="U309" s="381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>
        <v>42705</v>
      </c>
      <c r="G310" s="128">
        <v>86</v>
      </c>
      <c r="H310" s="373">
        <f t="shared" si="136"/>
        <v>433.44</v>
      </c>
      <c r="I310" s="129">
        <v>4</v>
      </c>
      <c r="J310" s="130">
        <f t="array" ref="J310">IF(ISERROR(G310/I310),"",G310/I310)</f>
        <v>21.5</v>
      </c>
      <c r="K310" s="131">
        <f t="array" ref="K310">IF(ISERROR(G310/L310),"",G310/L310)</f>
        <v>3.9090909090909092</v>
      </c>
      <c r="L310" s="129">
        <v>22</v>
      </c>
      <c r="M310" s="109">
        <f t="shared" si="137"/>
        <v>9.0909090909090828E-2</v>
      </c>
      <c r="N310" s="130">
        <f t="shared" si="138"/>
        <v>0</v>
      </c>
      <c r="O310" s="381"/>
      <c r="P310" s="381"/>
      <c r="Q310" s="381"/>
      <c r="R310" s="381"/>
      <c r="S310" s="381"/>
      <c r="T310" s="381"/>
      <c r="U310" s="381"/>
      <c r="V310" s="132">
        <f t="shared" si="139"/>
        <v>0</v>
      </c>
      <c r="W310" s="133">
        <f t="shared" si="130"/>
        <v>0</v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373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381"/>
      <c r="P311" s="381"/>
      <c r="Q311" s="381"/>
      <c r="R311" s="381"/>
      <c r="S311" s="381"/>
      <c r="T311" s="381"/>
      <c r="U311" s="381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373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381"/>
      <c r="P312" s="381"/>
      <c r="Q312" s="381"/>
      <c r="R312" s="381"/>
      <c r="S312" s="381"/>
      <c r="T312" s="381"/>
      <c r="U312" s="381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79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381"/>
      <c r="P313" s="381"/>
      <c r="Q313" s="381"/>
      <c r="R313" s="381"/>
      <c r="S313" s="381"/>
      <c r="T313" s="381"/>
      <c r="U313" s="381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/>
      <c r="G314" s="128"/>
      <c r="H314" s="479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70"/>
      <c r="P314" s="470"/>
      <c r="Q314" s="470"/>
      <c r="R314" s="470"/>
      <c r="S314" s="470"/>
      <c r="T314" s="470"/>
      <c r="U314" s="470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>
        <v>42705</v>
      </c>
      <c r="G316" s="128">
        <f>58+108*2+50+108*3+72+38+108-58</f>
        <v>808</v>
      </c>
      <c r="H316" s="373">
        <f t="shared" ref="H316" si="140">D316*G316</f>
        <v>4072.32</v>
      </c>
      <c r="I316" s="129">
        <f>5*3+8.5*4</f>
        <v>49</v>
      </c>
      <c r="J316" s="130">
        <f t="array" ref="J316">IF(ISERROR(G316/I316),"",G316/I316)</f>
        <v>16.489795918367346</v>
      </c>
      <c r="K316" s="131">
        <f t="array" ref="K316">IF(ISERROR(G316/L316),"",G316/L316)</f>
        <v>36.727272727272727</v>
      </c>
      <c r="L316" s="129">
        <v>22</v>
      </c>
      <c r="M316" s="109">
        <f t="shared" ref="M316" si="141">IF(ISERROR(I316-K316),"",I316-K316)</f>
        <v>12.272727272727273</v>
      </c>
      <c r="N316" s="130">
        <f t="shared" ref="N316" si="142">SUM(O316:U316)</f>
        <v>0</v>
      </c>
      <c r="O316" s="381"/>
      <c r="P316" s="381"/>
      <c r="Q316" s="381"/>
      <c r="R316" s="381"/>
      <c r="S316" s="381"/>
      <c r="T316" s="381"/>
      <c r="U316" s="381"/>
      <c r="V316" s="132">
        <f t="shared" ref="V316" si="143">SUM(X316:AA316)</f>
        <v>0</v>
      </c>
      <c r="W316" s="133">
        <f t="shared" ref="W316:W321" si="144">IF(ISERROR(V316/G316),"",V316/G316)</f>
        <v>0</v>
      </c>
      <c r="X316" s="132"/>
      <c r="Y316" s="132"/>
      <c r="Z316" s="132"/>
      <c r="AA316" s="132"/>
    </row>
    <row r="317" spans="1:27" ht="20.100000000000001" customHeight="1">
      <c r="A317" s="630" t="s">
        <v>234</v>
      </c>
      <c r="B317" s="631"/>
      <c r="C317" s="382" t="s">
        <v>202</v>
      </c>
      <c r="D317" s="143"/>
      <c r="E317" s="143"/>
      <c r="F317" s="144"/>
      <c r="G317" s="145">
        <f>SUM(G308:G316)</f>
        <v>894</v>
      </c>
      <c r="H317" s="146">
        <f>SUM(H308:H316)</f>
        <v>4505.76</v>
      </c>
      <c r="I317" s="146">
        <f>SUM(I308:I316)</f>
        <v>53</v>
      </c>
      <c r="J317" s="130">
        <f t="array" ref="J317">IF(ISERROR(G317/I317),"",G317/I317)</f>
        <v>16.867924528301888</v>
      </c>
      <c r="K317" s="146">
        <f>SUM(K308:K316)</f>
        <v>40.636363636363633</v>
      </c>
      <c r="L317" s="147"/>
      <c r="M317" s="150">
        <f>SUM(M308:M316)</f>
        <v>12.363636363636363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>
        <f t="shared" si="144"/>
        <v>0</v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379"/>
      <c r="D318" s="108">
        <v>3.65</v>
      </c>
      <c r="E318" s="108"/>
      <c r="F318" s="153"/>
      <c r="G318" s="128"/>
      <c r="H318" s="373">
        <f t="shared" ref="H318:H331" si="145">D318*G318</f>
        <v>0</v>
      </c>
      <c r="I318" s="129"/>
      <c r="J318" s="130" t="str">
        <f t="array" ref="J318">IF(ISERROR(G318/I318),"",G318/I318)</f>
        <v/>
      </c>
      <c r="K318" s="373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381"/>
      <c r="P318" s="381"/>
      <c r="Q318" s="381"/>
      <c r="R318" s="381"/>
      <c r="S318" s="381"/>
      <c r="T318" s="381"/>
      <c r="U318" s="381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379"/>
      <c r="D319" s="108">
        <v>6.58</v>
      </c>
      <c r="E319" s="108"/>
      <c r="F319" s="127"/>
      <c r="G319" s="128"/>
      <c r="H319" s="373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381"/>
      <c r="P319" s="381"/>
      <c r="Q319" s="381"/>
      <c r="R319" s="381"/>
      <c r="S319" s="381"/>
      <c r="T319" s="381"/>
      <c r="U319" s="381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customHeight="1">
      <c r="A320" s="299">
        <v>30700016</v>
      </c>
      <c r="B320" s="141" t="s">
        <v>237</v>
      </c>
      <c r="C320" s="379"/>
      <c r="D320" s="108">
        <v>7.8</v>
      </c>
      <c r="E320" s="108"/>
      <c r="F320" s="127">
        <v>42707</v>
      </c>
      <c r="G320" s="128">
        <v>24</v>
      </c>
      <c r="H320" s="373">
        <f t="shared" si="145"/>
        <v>187.2</v>
      </c>
      <c r="I320" s="129">
        <v>5</v>
      </c>
      <c r="J320" s="130">
        <f t="array" ref="J320">IF(ISERROR(G320/I320),"",G320/I320)</f>
        <v>4.8</v>
      </c>
      <c r="K320" s="131">
        <f t="array" ref="K320">IF(ISERROR(G320/L320),"",G320/L320)</f>
        <v>5.2173913043478262</v>
      </c>
      <c r="L320" s="129">
        <v>4.5999999999999996</v>
      </c>
      <c r="M320" s="109">
        <f t="shared" si="146"/>
        <v>-0.21739130434782616</v>
      </c>
      <c r="N320" s="130">
        <f t="shared" si="147"/>
        <v>0</v>
      </c>
      <c r="O320" s="381"/>
      <c r="P320" s="381"/>
      <c r="Q320" s="381"/>
      <c r="R320" s="381"/>
      <c r="S320" s="381"/>
      <c r="T320" s="381"/>
      <c r="U320" s="381"/>
      <c r="V320" s="132">
        <f t="shared" si="148"/>
        <v>0</v>
      </c>
      <c r="W320" s="133">
        <f t="shared" si="144"/>
        <v>0</v>
      </c>
      <c r="X320" s="132"/>
      <c r="Y320" s="132"/>
      <c r="Z320" s="132"/>
      <c r="AA320" s="132"/>
    </row>
    <row r="321" spans="1:27" ht="20.100000000000001" customHeight="1">
      <c r="A321" s="299">
        <v>30700017</v>
      </c>
      <c r="B321" s="141" t="s">
        <v>238</v>
      </c>
      <c r="C321" s="379"/>
      <c r="D321" s="108">
        <v>4.4000000000000004</v>
      </c>
      <c r="E321" s="108"/>
      <c r="F321" s="127">
        <v>42708</v>
      </c>
      <c r="G321" s="128">
        <f>72*3+27</f>
        <v>243</v>
      </c>
      <c r="H321" s="373">
        <f t="shared" si="145"/>
        <v>1069.2</v>
      </c>
      <c r="I321" s="129">
        <v>42</v>
      </c>
      <c r="J321" s="130">
        <f t="array" ref="J321">IF(ISERROR(G321/I321),"",G321/I321)</f>
        <v>5.7857142857142856</v>
      </c>
      <c r="K321" s="131">
        <f t="array" ref="K321">IF(ISERROR(G321/L321),"",G321/L321)</f>
        <v>41.896551724137929</v>
      </c>
      <c r="L321" s="129">
        <v>5.8</v>
      </c>
      <c r="M321" s="109">
        <f t="shared" si="146"/>
        <v>0.10344827586207117</v>
      </c>
      <c r="N321" s="130">
        <f t="shared" si="147"/>
        <v>0</v>
      </c>
      <c r="O321" s="381"/>
      <c r="P321" s="381"/>
      <c r="Q321" s="381"/>
      <c r="R321" s="381"/>
      <c r="S321" s="381"/>
      <c r="T321" s="381"/>
      <c r="U321" s="381"/>
      <c r="V321" s="132">
        <f t="shared" si="148"/>
        <v>0</v>
      </c>
      <c r="W321" s="133">
        <f t="shared" si="144"/>
        <v>0</v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379"/>
      <c r="D322" s="108"/>
      <c r="E322" s="108"/>
      <c r="F322" s="127"/>
      <c r="G322" s="128"/>
      <c r="H322" s="373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381"/>
      <c r="P322" s="381"/>
      <c r="Q322" s="381"/>
      <c r="R322" s="381"/>
      <c r="S322" s="381"/>
      <c r="T322" s="381"/>
      <c r="U322" s="381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379" t="s">
        <v>239</v>
      </c>
      <c r="C323" s="379" t="s">
        <v>179</v>
      </c>
      <c r="D323" s="108">
        <v>6.04</v>
      </c>
      <c r="E323" s="108"/>
      <c r="F323" s="127"/>
      <c r="G323" s="128"/>
      <c r="H323" s="373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381"/>
      <c r="P323" s="381"/>
      <c r="Q323" s="381"/>
      <c r="R323" s="381"/>
      <c r="S323" s="381"/>
      <c r="T323" s="381"/>
      <c r="U323" s="381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379" t="s">
        <v>239</v>
      </c>
      <c r="C324" s="379" t="s">
        <v>186</v>
      </c>
      <c r="D324" s="108">
        <v>6.04</v>
      </c>
      <c r="E324" s="108"/>
      <c r="F324" s="127"/>
      <c r="G324" s="128"/>
      <c r="H324" s="373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381"/>
      <c r="P324" s="381"/>
      <c r="Q324" s="381"/>
      <c r="R324" s="381"/>
      <c r="S324" s="381"/>
      <c r="T324" s="381"/>
      <c r="U324" s="381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379" t="s">
        <v>443</v>
      </c>
      <c r="C325" s="379" t="s">
        <v>179</v>
      </c>
      <c r="D325" s="108">
        <v>6</v>
      </c>
      <c r="E325" s="108"/>
      <c r="F325" s="127"/>
      <c r="G325" s="128"/>
      <c r="H325" s="373">
        <f t="shared" si="145"/>
        <v>0</v>
      </c>
      <c r="I325" s="129"/>
      <c r="J325" s="130"/>
      <c r="K325" s="131"/>
      <c r="L325" s="129"/>
      <c r="M325" s="109"/>
      <c r="N325" s="130"/>
      <c r="O325" s="381"/>
      <c r="P325" s="381"/>
      <c r="Q325" s="381"/>
      <c r="R325" s="381"/>
      <c r="S325" s="381"/>
      <c r="T325" s="381"/>
      <c r="U325" s="381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379" t="s">
        <v>443</v>
      </c>
      <c r="C326" s="379" t="s">
        <v>60</v>
      </c>
      <c r="D326" s="108">
        <v>6</v>
      </c>
      <c r="E326" s="108"/>
      <c r="F326" s="127"/>
      <c r="G326" s="128"/>
      <c r="H326" s="373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381"/>
      <c r="P326" s="381"/>
      <c r="Q326" s="381"/>
      <c r="R326" s="381"/>
      <c r="S326" s="381"/>
      <c r="T326" s="381"/>
      <c r="U326" s="381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372" t="s">
        <v>240</v>
      </c>
      <c r="C327" s="126"/>
      <c r="D327" s="108">
        <v>7.3</v>
      </c>
      <c r="E327" s="108"/>
      <c r="F327" s="127"/>
      <c r="G327" s="128"/>
      <c r="H327" s="373">
        <f t="shared" si="145"/>
        <v>0</v>
      </c>
      <c r="I327" s="129"/>
      <c r="J327" s="130"/>
      <c r="K327" s="131"/>
      <c r="L327" s="129"/>
      <c r="M327" s="109"/>
      <c r="N327" s="130"/>
      <c r="O327" s="381"/>
      <c r="P327" s="381"/>
      <c r="Q327" s="381"/>
      <c r="R327" s="381"/>
      <c r="S327" s="381"/>
      <c r="T327" s="381"/>
      <c r="U327" s="381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372" t="s">
        <v>241</v>
      </c>
      <c r="C328" s="126"/>
      <c r="D328" s="108">
        <f>78*120/1000</f>
        <v>9.36</v>
      </c>
      <c r="E328" s="108"/>
      <c r="F328" s="127"/>
      <c r="G328" s="128"/>
      <c r="H328" s="373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381"/>
      <c r="P328" s="381"/>
      <c r="Q328" s="381"/>
      <c r="R328" s="381"/>
      <c r="S328" s="381"/>
      <c r="T328" s="381"/>
      <c r="U328" s="381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372" t="s">
        <v>242</v>
      </c>
      <c r="C329" s="126"/>
      <c r="D329" s="108">
        <v>4.5</v>
      </c>
      <c r="E329" s="108"/>
      <c r="F329" s="127"/>
      <c r="G329" s="128"/>
      <c r="H329" s="373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381"/>
      <c r="P329" s="381"/>
      <c r="Q329" s="381"/>
      <c r="R329" s="381"/>
      <c r="S329" s="381"/>
      <c r="T329" s="381"/>
      <c r="U329" s="381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372" t="s">
        <v>243</v>
      </c>
      <c r="C330" s="126"/>
      <c r="D330" s="108">
        <v>4.5</v>
      </c>
      <c r="E330" s="108"/>
      <c r="F330" s="127"/>
      <c r="G330" s="128"/>
      <c r="H330" s="373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381"/>
      <c r="P330" s="381"/>
      <c r="Q330" s="381"/>
      <c r="R330" s="381"/>
      <c r="S330" s="381"/>
      <c r="T330" s="381"/>
      <c r="U330" s="381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373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381"/>
      <c r="P331" s="381"/>
      <c r="Q331" s="381"/>
      <c r="R331" s="381"/>
      <c r="S331" s="381"/>
      <c r="T331" s="381"/>
      <c r="U331" s="381"/>
      <c r="V331" s="132"/>
      <c r="W331" s="133"/>
      <c r="X331" s="132"/>
      <c r="Y331" s="132"/>
      <c r="Z331" s="132"/>
      <c r="AA331" s="132"/>
    </row>
    <row r="332" spans="1:27" ht="20.100000000000001" customHeight="1">
      <c r="A332" s="630" t="s">
        <v>244</v>
      </c>
      <c r="B332" s="631"/>
      <c r="C332" s="382" t="s">
        <v>202</v>
      </c>
      <c r="D332" s="143"/>
      <c r="E332" s="143"/>
      <c r="F332" s="144"/>
      <c r="G332" s="145">
        <f>SUM(G318:G331)</f>
        <v>267</v>
      </c>
      <c r="H332" s="146">
        <f>SUM(H318:H328)</f>
        <v>1256.4000000000001</v>
      </c>
      <c r="I332" s="146">
        <f>SUM(I318:I331)</f>
        <v>47</v>
      </c>
      <c r="J332" s="130"/>
      <c r="K332" s="146">
        <f>SUM(K318:K328)</f>
        <v>47.113943028485757</v>
      </c>
      <c r="L332" s="147"/>
      <c r="M332" s="150">
        <f t="shared" ref="M332:AA332" si="156">SUM(M318:M328)</f>
        <v>-0.11394302848575499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632" t="s">
        <v>246</v>
      </c>
      <c r="B333" s="633"/>
      <c r="C333" s="633"/>
      <c r="D333" s="633"/>
      <c r="E333" s="633"/>
      <c r="F333" s="634"/>
      <c r="G333" s="154">
        <f>SUM(G198,G256,G291,G307,G317,G332)</f>
        <v>2685</v>
      </c>
      <c r="H333" s="154">
        <f>SUM(H198,H256,H291,H307,H317,H332)</f>
        <v>13435.05</v>
      </c>
      <c r="I333" s="154">
        <f>SUM(I198,I256,I291,I307,I317,I332)</f>
        <v>270.8</v>
      </c>
      <c r="J333" s="155">
        <f t="array" ref="J333">IF(ISERROR(G333/I333),"",G333/I333)</f>
        <v>9.9150664697193491</v>
      </c>
      <c r="K333" s="154">
        <f>SUM(K198,K256,K291,K307,K317,K332)</f>
        <v>106.71804860033326</v>
      </c>
      <c r="L333" s="155">
        <f>IF(ISERROR(G333/K333),"",G333/K333)</f>
        <v>25.159755404219556</v>
      </c>
      <c r="M333" s="154">
        <f t="shared" ref="M333:AA333" si="157">SUM(M198,M256,M291,M307,M317,M332)</f>
        <v>14.581951399666737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635" t="s">
        <v>476</v>
      </c>
      <c r="B334" s="375" t="s">
        <v>247</v>
      </c>
      <c r="C334" s="638" t="s">
        <v>248</v>
      </c>
      <c r="D334" s="639"/>
      <c r="E334" s="640" t="s">
        <v>249</v>
      </c>
      <c r="F334" s="640"/>
      <c r="G334" s="643" t="s">
        <v>250</v>
      </c>
      <c r="H334" s="643"/>
      <c r="I334" s="640" t="s">
        <v>251</v>
      </c>
      <c r="J334" s="640"/>
      <c r="K334" s="640" t="s">
        <v>252</v>
      </c>
      <c r="L334" s="640"/>
      <c r="M334" s="640" t="s">
        <v>253</v>
      </c>
      <c r="N334" s="640"/>
      <c r="O334" s="640" t="s">
        <v>254</v>
      </c>
      <c r="P334" s="643" t="s">
        <v>255</v>
      </c>
      <c r="Q334" s="643"/>
      <c r="R334" s="643" t="s">
        <v>252</v>
      </c>
      <c r="S334" s="643"/>
      <c r="T334" s="643" t="s">
        <v>256</v>
      </c>
      <c r="U334" s="643"/>
      <c r="V334" s="643" t="s">
        <v>257</v>
      </c>
      <c r="W334" s="643"/>
      <c r="X334" s="643" t="s">
        <v>252</v>
      </c>
      <c r="Y334" s="643"/>
      <c r="Z334" s="643" t="s">
        <v>256</v>
      </c>
      <c r="AA334" s="643"/>
    </row>
    <row r="335" spans="1:27" ht="20.100000000000001" customHeight="1">
      <c r="A335" s="636"/>
      <c r="B335" s="375" t="s">
        <v>258</v>
      </c>
      <c r="C335" s="678">
        <v>1</v>
      </c>
      <c r="D335" s="679"/>
      <c r="E335" s="642">
        <f>C335*11</f>
        <v>11</v>
      </c>
      <c r="F335" s="642"/>
      <c r="G335" s="643">
        <v>1</v>
      </c>
      <c r="H335" s="643"/>
      <c r="I335" s="642">
        <f>G335*11</f>
        <v>11</v>
      </c>
      <c r="J335" s="642"/>
      <c r="K335" s="642">
        <f>E335-I335</f>
        <v>0</v>
      </c>
      <c r="L335" s="642"/>
      <c r="M335" s="644">
        <f>IF(ISERROR(K335/E335),"",K335/E335)</f>
        <v>0</v>
      </c>
      <c r="N335" s="644"/>
      <c r="O335" s="640"/>
      <c r="P335" s="643" t="s">
        <v>201</v>
      </c>
      <c r="Q335" s="643"/>
      <c r="R335" s="645">
        <f>SUM(O198:U198)</f>
        <v>0</v>
      </c>
      <c r="S335" s="645"/>
      <c r="T335" s="646" t="str">
        <f t="array" ref="T335">IF(ISERROR(R335/R342),"",R335/R342)</f>
        <v/>
      </c>
      <c r="U335" s="646"/>
      <c r="V335" s="643" t="s">
        <v>259</v>
      </c>
      <c r="W335" s="643"/>
      <c r="X335" s="680">
        <f>SUM(P197,P255,P290,P306,P316,P331)</f>
        <v>0</v>
      </c>
      <c r="Y335" s="681"/>
      <c r="Z335" s="646" t="str">
        <f t="array" ref="Z335">IF(ISERROR(X335/X342),"",X335/X342)</f>
        <v/>
      </c>
      <c r="AA335" s="646"/>
    </row>
    <row r="336" spans="1:27" ht="20.100000000000001" customHeight="1">
      <c r="A336" s="636"/>
      <c r="B336" s="375" t="s">
        <v>260</v>
      </c>
      <c r="C336" s="638">
        <v>0</v>
      </c>
      <c r="D336" s="639"/>
      <c r="E336" s="642">
        <f>C336*11</f>
        <v>0</v>
      </c>
      <c r="F336" s="642"/>
      <c r="G336" s="643">
        <v>0</v>
      </c>
      <c r="H336" s="643"/>
      <c r="I336" s="642">
        <f>G336*11</f>
        <v>0</v>
      </c>
      <c r="J336" s="642"/>
      <c r="K336" s="642">
        <f>E336-I336</f>
        <v>0</v>
      </c>
      <c r="L336" s="642"/>
      <c r="M336" s="644" t="str">
        <f>IF(ISERROR(K336/E336),"",K336/E336)</f>
        <v/>
      </c>
      <c r="N336" s="644"/>
      <c r="O336" s="640"/>
      <c r="P336" s="643" t="s">
        <v>216</v>
      </c>
      <c r="Q336" s="643"/>
      <c r="R336" s="645">
        <f>SUM(O256:U256)</f>
        <v>0</v>
      </c>
      <c r="S336" s="645"/>
      <c r="T336" s="646" t="str">
        <f>IF(ISERROR(R336/R342),"",R336/R342)</f>
        <v/>
      </c>
      <c r="U336" s="646"/>
      <c r="V336" s="643" t="s">
        <v>261</v>
      </c>
      <c r="W336" s="643"/>
      <c r="X336" s="680">
        <f>SUM(P198,P256,P291,P307,P317,P332)</f>
        <v>0</v>
      </c>
      <c r="Y336" s="681"/>
      <c r="Z336" s="646" t="str">
        <f>IF(ISERROR(X336/X342),"",X336/X342)</f>
        <v/>
      </c>
      <c r="AA336" s="646"/>
    </row>
    <row r="337" spans="1:27" ht="20.100000000000001" customHeight="1">
      <c r="A337" s="636"/>
      <c r="B337" s="375" t="s">
        <v>262</v>
      </c>
      <c r="C337" s="638">
        <v>0</v>
      </c>
      <c r="D337" s="639"/>
      <c r="E337" s="642">
        <f>C337*8</f>
        <v>0</v>
      </c>
      <c r="F337" s="642"/>
      <c r="G337" s="643">
        <v>1</v>
      </c>
      <c r="H337" s="643"/>
      <c r="I337" s="642">
        <f>G337*8</f>
        <v>8</v>
      </c>
      <c r="J337" s="642"/>
      <c r="K337" s="642">
        <f>E337-I337</f>
        <v>-8</v>
      </c>
      <c r="L337" s="642"/>
      <c r="M337" s="644" t="str">
        <f>IF(ISERROR(K337/E337),"",K337/E337)</f>
        <v/>
      </c>
      <c r="N337" s="644"/>
      <c r="O337" s="640"/>
      <c r="P337" s="643" t="s">
        <v>224</v>
      </c>
      <c r="Q337" s="643"/>
      <c r="R337" s="645">
        <f>SUM(O291:U291)</f>
        <v>0</v>
      </c>
      <c r="S337" s="645"/>
      <c r="T337" s="646" t="str">
        <f>IF(ISERROR(R337/R342),"",R337/R342)</f>
        <v/>
      </c>
      <c r="U337" s="646"/>
      <c r="V337" s="643" t="s">
        <v>263</v>
      </c>
      <c r="W337" s="643"/>
      <c r="X337" s="680">
        <f>SUM(P199,P257,P292,P308,P318,P333)</f>
        <v>0</v>
      </c>
      <c r="Y337" s="681"/>
      <c r="Z337" s="646" t="str">
        <f>IF(ISERROR(X337/X342),"",X337/X342)</f>
        <v/>
      </c>
      <c r="AA337" s="646"/>
    </row>
    <row r="338" spans="1:27" ht="20.100000000000001" customHeight="1">
      <c r="A338" s="636"/>
      <c r="B338" s="375" t="s">
        <v>264</v>
      </c>
      <c r="C338" s="638">
        <v>1</v>
      </c>
      <c r="D338" s="639"/>
      <c r="E338" s="642">
        <f>C338*11</f>
        <v>11</v>
      </c>
      <c r="F338" s="642"/>
      <c r="G338" s="643">
        <v>1</v>
      </c>
      <c r="H338" s="643"/>
      <c r="I338" s="642">
        <f>G338*11</f>
        <v>11</v>
      </c>
      <c r="J338" s="642"/>
      <c r="K338" s="642">
        <f>E338-I338</f>
        <v>0</v>
      </c>
      <c r="L338" s="642"/>
      <c r="M338" s="644">
        <f>IF(ISERROR(K338/E338),"",K338/E338)</f>
        <v>0</v>
      </c>
      <c r="N338" s="644"/>
      <c r="O338" s="640"/>
      <c r="P338" s="643" t="s">
        <v>231</v>
      </c>
      <c r="Q338" s="643"/>
      <c r="R338" s="645">
        <f>SUM(O307:U307)</f>
        <v>0</v>
      </c>
      <c r="S338" s="645"/>
      <c r="T338" s="646" t="str">
        <f>IF(ISERROR(R338/R342),"",R338/R342)</f>
        <v/>
      </c>
      <c r="U338" s="646"/>
      <c r="V338" s="643" t="s">
        <v>265</v>
      </c>
      <c r="W338" s="643"/>
      <c r="X338" s="680">
        <f>SUM(P201,P258,P293,P309,P319,P334)</f>
        <v>0</v>
      </c>
      <c r="Y338" s="681"/>
      <c r="Z338" s="646" t="str">
        <f>IF(ISERROR(X338/X342),"",X338/X342)</f>
        <v/>
      </c>
      <c r="AA338" s="646"/>
    </row>
    <row r="339" spans="1:27" ht="20.100000000000001" customHeight="1">
      <c r="A339" s="637"/>
      <c r="B339" s="375" t="s">
        <v>266</v>
      </c>
      <c r="C339" s="648">
        <f>SUM(C335:D338)</f>
        <v>2</v>
      </c>
      <c r="D339" s="649"/>
      <c r="E339" s="642">
        <f>SUM(E335:F338)</f>
        <v>22</v>
      </c>
      <c r="F339" s="642"/>
      <c r="G339" s="643">
        <f>SUM(G335:H338)</f>
        <v>3</v>
      </c>
      <c r="H339" s="643"/>
      <c r="I339" s="642">
        <f>SUM(I335:J338)</f>
        <v>30</v>
      </c>
      <c r="J339" s="642"/>
      <c r="K339" s="642">
        <f>SUM(K335:L338)</f>
        <v>-8</v>
      </c>
      <c r="L339" s="642"/>
      <c r="M339" s="644">
        <f>IF(ISERROR(K339/E339),"",K339/E339)</f>
        <v>-0.36363636363636365</v>
      </c>
      <c r="N339" s="644"/>
      <c r="O339" s="640"/>
      <c r="P339" s="643" t="s">
        <v>234</v>
      </c>
      <c r="Q339" s="643"/>
      <c r="R339" s="645">
        <f>SUM(O317:U317)</f>
        <v>0</v>
      </c>
      <c r="S339" s="645"/>
      <c r="T339" s="646" t="str">
        <f>IF(ISERROR(R339/R342),"",R339/R342)</f>
        <v/>
      </c>
      <c r="U339" s="646"/>
      <c r="V339" s="643" t="s">
        <v>267</v>
      </c>
      <c r="W339" s="643"/>
      <c r="X339" s="680">
        <f>SUM(P202,P259,P294,P310,P320,P335)</f>
        <v>0</v>
      </c>
      <c r="Y339" s="681"/>
      <c r="Z339" s="646" t="str">
        <f>IF(ISERROR(X339/X342),"",X339/X342)</f>
        <v/>
      </c>
      <c r="AA339" s="646"/>
    </row>
    <row r="340" spans="1:27" ht="20.100000000000001" customHeight="1">
      <c r="A340" s="309" t="s">
        <v>477</v>
      </c>
      <c r="B340" s="375">
        <f>G333</f>
        <v>2685</v>
      </c>
      <c r="C340" s="650" t="s">
        <v>269</v>
      </c>
      <c r="D340" s="651"/>
      <c r="E340" s="643">
        <f>H333</f>
        <v>13435.05</v>
      </c>
      <c r="F340" s="643"/>
      <c r="G340" s="643" t="s">
        <v>270</v>
      </c>
      <c r="H340" s="643"/>
      <c r="I340" s="652">
        <f>L333</f>
        <v>25.159755404219556</v>
      </c>
      <c r="J340" s="652"/>
      <c r="K340" s="640" t="s">
        <v>271</v>
      </c>
      <c r="L340" s="640"/>
      <c r="M340" s="652">
        <f>J333</f>
        <v>9.9150664697193491</v>
      </c>
      <c r="N340" s="652"/>
      <c r="O340" s="640"/>
      <c r="P340" s="643" t="s">
        <v>244</v>
      </c>
      <c r="Q340" s="643"/>
      <c r="R340" s="645">
        <f>SUM(O332:U332)</f>
        <v>0</v>
      </c>
      <c r="S340" s="645"/>
      <c r="T340" s="646" t="str">
        <f>IF(ISERROR(R340/R342),"",R340/R342)</f>
        <v/>
      </c>
      <c r="U340" s="646"/>
      <c r="V340" s="643" t="s">
        <v>272</v>
      </c>
      <c r="W340" s="643"/>
      <c r="X340" s="680">
        <f>SUM(P203,P260,P295,P311,P321,P336)</f>
        <v>0</v>
      </c>
      <c r="Y340" s="681"/>
      <c r="Z340" s="646" t="str">
        <f>IF(ISERROR(X340/X342),"",X340/X342)</f>
        <v/>
      </c>
      <c r="AA340" s="646"/>
    </row>
    <row r="341" spans="1:27" ht="20.100000000000001" customHeight="1">
      <c r="A341" s="310" t="s">
        <v>478</v>
      </c>
      <c r="B341" s="375">
        <f>I333+C339</f>
        <v>272.8</v>
      </c>
      <c r="C341" s="653" t="s">
        <v>251</v>
      </c>
      <c r="D341" s="654"/>
      <c r="E341" s="655">
        <f>K333+I339</f>
        <v>136.71804860033325</v>
      </c>
      <c r="F341" s="655"/>
      <c r="G341" s="643" t="s">
        <v>274</v>
      </c>
      <c r="H341" s="643"/>
      <c r="I341" s="652">
        <f>B341-E341</f>
        <v>136.08195139966676</v>
      </c>
      <c r="J341" s="652"/>
      <c r="K341" s="640" t="s">
        <v>275</v>
      </c>
      <c r="L341" s="640"/>
      <c r="M341" s="644">
        <f>IF(ISERROR(I341/E341),"",I341/E341)</f>
        <v>0.99534737946321938</v>
      </c>
      <c r="N341" s="644"/>
      <c r="O341" s="640"/>
      <c r="P341" s="643" t="s">
        <v>245</v>
      </c>
      <c r="Q341" s="643"/>
      <c r="R341" s="645"/>
      <c r="S341" s="645"/>
      <c r="T341" s="646" t="str">
        <f>IF(ISERROR(R341/R342),"",R341/R342)</f>
        <v/>
      </c>
      <c r="U341" s="646"/>
      <c r="V341" s="643" t="s">
        <v>264</v>
      </c>
      <c r="W341" s="643"/>
      <c r="X341" s="680">
        <f>SUM(P204,P261,P296,P312,P322,P337)</f>
        <v>0</v>
      </c>
      <c r="Y341" s="681"/>
      <c r="Z341" s="646" t="str">
        <f>IF(ISERROR(X341/X342),"",X341/X342)</f>
        <v/>
      </c>
      <c r="AA341" s="646"/>
    </row>
    <row r="342" spans="1:27" ht="20.100000000000001" customHeight="1">
      <c r="A342" s="310" t="s">
        <v>479</v>
      </c>
      <c r="B342" s="375">
        <f>N333</f>
        <v>0</v>
      </c>
      <c r="C342" s="653" t="s">
        <v>277</v>
      </c>
      <c r="D342" s="654"/>
      <c r="E342" s="646">
        <f>IF(ISERROR(B342/B341),"",B342/B341)</f>
        <v>0</v>
      </c>
      <c r="F342" s="646"/>
      <c r="G342" s="643" t="s">
        <v>278</v>
      </c>
      <c r="H342" s="643"/>
      <c r="I342" s="640">
        <f>V333</f>
        <v>0</v>
      </c>
      <c r="J342" s="640"/>
      <c r="K342" s="640" t="s">
        <v>279</v>
      </c>
      <c r="L342" s="640"/>
      <c r="M342" s="644">
        <f t="array" ref="M342">IF(ISERROR(I342/B340),"",I342/B340)</f>
        <v>0</v>
      </c>
      <c r="N342" s="644"/>
      <c r="O342" s="640"/>
      <c r="P342" s="643" t="s">
        <v>266</v>
      </c>
      <c r="Q342" s="643"/>
      <c r="R342" s="645">
        <f>SUM(R335:S341)</f>
        <v>0</v>
      </c>
      <c r="S342" s="645"/>
      <c r="T342" s="646"/>
      <c r="U342" s="646"/>
      <c r="V342" s="643" t="s">
        <v>266</v>
      </c>
      <c r="W342" s="643"/>
      <c r="X342" s="647">
        <f>SUM(X335:Y341)</f>
        <v>0</v>
      </c>
      <c r="Y342" s="647"/>
      <c r="Z342" s="646"/>
      <c r="AA342" s="646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56" t="s">
        <v>480</v>
      </c>
      <c r="B344" s="659" t="s">
        <v>280</v>
      </c>
      <c r="C344" s="659" t="s">
        <v>281</v>
      </c>
      <c r="D344" s="659" t="s">
        <v>282</v>
      </c>
      <c r="E344" s="662" t="s">
        <v>283</v>
      </c>
      <c r="F344" s="675" t="s">
        <v>284</v>
      </c>
      <c r="G344" s="640" t="s">
        <v>285</v>
      </c>
      <c r="H344" s="640"/>
      <c r="I344" s="659" t="s">
        <v>286</v>
      </c>
      <c r="J344" s="665" t="s">
        <v>271</v>
      </c>
      <c r="K344" s="668" t="s">
        <v>287</v>
      </c>
      <c r="L344" s="659" t="s">
        <v>270</v>
      </c>
      <c r="M344" s="671" t="s">
        <v>288</v>
      </c>
      <c r="N344" s="673" t="s">
        <v>252</v>
      </c>
      <c r="O344" s="640" t="s">
        <v>289</v>
      </c>
      <c r="P344" s="640"/>
      <c r="Q344" s="640"/>
      <c r="R344" s="640"/>
      <c r="S344" s="640"/>
      <c r="T344" s="640"/>
      <c r="U344" s="640"/>
      <c r="V344" s="640" t="s">
        <v>290</v>
      </c>
      <c r="W344" s="673" t="s">
        <v>291</v>
      </c>
      <c r="X344" s="640" t="s">
        <v>292</v>
      </c>
      <c r="Y344" s="640"/>
      <c r="Z344" s="640"/>
      <c r="AA344" s="640"/>
    </row>
    <row r="345" spans="1:27" ht="21.95" customHeight="1">
      <c r="A345" s="657"/>
      <c r="B345" s="660"/>
      <c r="C345" s="660"/>
      <c r="D345" s="660"/>
      <c r="E345" s="663"/>
      <c r="F345" s="676"/>
      <c r="G345" s="640"/>
      <c r="H345" s="640"/>
      <c r="I345" s="660"/>
      <c r="J345" s="666"/>
      <c r="K345" s="669"/>
      <c r="L345" s="660"/>
      <c r="M345" s="672"/>
      <c r="N345" s="673"/>
      <c r="O345" s="640" t="s">
        <v>259</v>
      </c>
      <c r="P345" s="640" t="s">
        <v>261</v>
      </c>
      <c r="Q345" s="640" t="s">
        <v>263</v>
      </c>
      <c r="R345" s="674" t="s">
        <v>265</v>
      </c>
      <c r="S345" s="643" t="s">
        <v>267</v>
      </c>
      <c r="T345" s="640" t="s">
        <v>272</v>
      </c>
      <c r="U345" s="640" t="s">
        <v>264</v>
      </c>
      <c r="V345" s="640"/>
      <c r="W345" s="673"/>
      <c r="X345" s="640" t="s">
        <v>293</v>
      </c>
      <c r="Y345" s="640" t="s">
        <v>294</v>
      </c>
      <c r="Z345" s="640" t="s">
        <v>295</v>
      </c>
      <c r="AA345" s="640" t="s">
        <v>264</v>
      </c>
    </row>
    <row r="346" spans="1:27" ht="21.95" customHeight="1">
      <c r="A346" s="658"/>
      <c r="B346" s="661"/>
      <c r="C346" s="661"/>
      <c r="D346" s="661"/>
      <c r="E346" s="664"/>
      <c r="F346" s="677"/>
      <c r="G346" s="348" t="s">
        <v>296</v>
      </c>
      <c r="H346" s="379" t="s">
        <v>297</v>
      </c>
      <c r="I346" s="661"/>
      <c r="J346" s="667"/>
      <c r="K346" s="670"/>
      <c r="L346" s="661"/>
      <c r="M346" s="672"/>
      <c r="N346" s="673"/>
      <c r="O346" s="640"/>
      <c r="P346" s="640"/>
      <c r="Q346" s="640"/>
      <c r="R346" s="674"/>
      <c r="S346" s="643"/>
      <c r="T346" s="640"/>
      <c r="U346" s="640"/>
      <c r="V346" s="640"/>
      <c r="W346" s="673"/>
      <c r="X346" s="640"/>
      <c r="Y346" s="640"/>
      <c r="Z346" s="640"/>
      <c r="AA346" s="640"/>
    </row>
    <row r="347" spans="1:27" ht="20.100000000000001" hidden="1" customHeight="1">
      <c r="A347" s="299">
        <v>30100030</v>
      </c>
      <c r="B347" s="372" t="s">
        <v>178</v>
      </c>
      <c r="C347" s="126" t="s">
        <v>179</v>
      </c>
      <c r="D347" s="108">
        <v>5.03</v>
      </c>
      <c r="E347" s="108"/>
      <c r="F347" s="127"/>
      <c r="G347" s="128"/>
      <c r="H347" s="373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381"/>
      <c r="P347" s="381"/>
      <c r="Q347" s="381"/>
      <c r="R347" s="381"/>
      <c r="S347" s="381"/>
      <c r="T347" s="381"/>
      <c r="U347" s="381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373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381"/>
      <c r="P348" s="381"/>
      <c r="Q348" s="381"/>
      <c r="R348" s="381"/>
      <c r="S348" s="381"/>
      <c r="T348" s="381"/>
      <c r="U348" s="381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373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381"/>
      <c r="P349" s="381"/>
      <c r="Q349" s="381"/>
      <c r="R349" s="381"/>
      <c r="S349" s="381"/>
      <c r="T349" s="381"/>
      <c r="U349" s="381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373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381"/>
      <c r="P350" s="381"/>
      <c r="Q350" s="381"/>
      <c r="R350" s="381"/>
      <c r="S350" s="381"/>
      <c r="T350" s="381"/>
      <c r="U350" s="381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373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381"/>
      <c r="P351" s="381"/>
      <c r="Q351" s="381"/>
      <c r="R351" s="381"/>
      <c r="S351" s="381"/>
      <c r="T351" s="381"/>
      <c r="U351" s="381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373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381"/>
      <c r="P352" s="381"/>
      <c r="Q352" s="381"/>
      <c r="R352" s="381"/>
      <c r="S352" s="381"/>
      <c r="T352" s="381"/>
      <c r="U352" s="381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373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381"/>
      <c r="P353" s="381"/>
      <c r="Q353" s="381"/>
      <c r="R353" s="381"/>
      <c r="S353" s="381"/>
      <c r="T353" s="381"/>
      <c r="U353" s="381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373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381"/>
      <c r="P354" s="381"/>
      <c r="Q354" s="381"/>
      <c r="R354" s="381"/>
      <c r="S354" s="381"/>
      <c r="T354" s="381"/>
      <c r="U354" s="381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373">
        <f t="shared" si="158"/>
        <v>0</v>
      </c>
      <c r="I355" s="373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381"/>
      <c r="P355" s="381"/>
      <c r="Q355" s="381"/>
      <c r="R355" s="381"/>
      <c r="S355" s="381"/>
      <c r="T355" s="381"/>
      <c r="U355" s="381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373">
        <f t="shared" si="158"/>
        <v>0</v>
      </c>
      <c r="I356" s="373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381"/>
      <c r="P356" s="381"/>
      <c r="Q356" s="381"/>
      <c r="R356" s="381"/>
      <c r="S356" s="381"/>
      <c r="T356" s="381"/>
      <c r="U356" s="381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373">
        <f t="shared" si="158"/>
        <v>0</v>
      </c>
      <c r="I357" s="373"/>
      <c r="J357" s="130"/>
      <c r="K357" s="131"/>
      <c r="L357" s="129"/>
      <c r="M357" s="109"/>
      <c r="N357" s="130"/>
      <c r="O357" s="381"/>
      <c r="P357" s="381"/>
      <c r="Q357" s="381"/>
      <c r="R357" s="381"/>
      <c r="S357" s="381"/>
      <c r="T357" s="381"/>
      <c r="U357" s="381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373">
        <f t="shared" si="158"/>
        <v>0</v>
      </c>
      <c r="I358" s="373"/>
      <c r="J358" s="130"/>
      <c r="K358" s="131"/>
      <c r="L358" s="129"/>
      <c r="M358" s="109"/>
      <c r="N358" s="130"/>
      <c r="O358" s="381"/>
      <c r="P358" s="381"/>
      <c r="Q358" s="381"/>
      <c r="R358" s="381"/>
      <c r="S358" s="381"/>
      <c r="T358" s="381"/>
      <c r="U358" s="381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373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381"/>
      <c r="P359" s="381"/>
      <c r="Q359" s="381"/>
      <c r="R359" s="381"/>
      <c r="S359" s="381"/>
      <c r="T359" s="381"/>
      <c r="U359" s="381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373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381"/>
      <c r="P360" s="381"/>
      <c r="Q360" s="381"/>
      <c r="R360" s="381"/>
      <c r="S360" s="381"/>
      <c r="T360" s="381"/>
      <c r="U360" s="381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373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381"/>
      <c r="P361" s="381"/>
      <c r="Q361" s="381"/>
      <c r="R361" s="381"/>
      <c r="S361" s="381"/>
      <c r="T361" s="381"/>
      <c r="U361" s="381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379" t="s">
        <v>190</v>
      </c>
      <c r="D362" s="108">
        <v>4.8</v>
      </c>
      <c r="E362" s="108"/>
      <c r="F362" s="127"/>
      <c r="G362" s="128"/>
      <c r="H362" s="373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381"/>
      <c r="P362" s="381"/>
      <c r="Q362" s="381"/>
      <c r="R362" s="381"/>
      <c r="S362" s="381"/>
      <c r="T362" s="381"/>
      <c r="U362" s="381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379" t="s">
        <v>187</v>
      </c>
      <c r="D363" s="108">
        <v>4.8</v>
      </c>
      <c r="E363" s="108"/>
      <c r="F363" s="127"/>
      <c r="G363" s="128"/>
      <c r="H363" s="373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381"/>
      <c r="P363" s="381"/>
      <c r="Q363" s="381"/>
      <c r="R363" s="381"/>
      <c r="S363" s="381"/>
      <c r="T363" s="381"/>
      <c r="U363" s="381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379" t="s">
        <v>179</v>
      </c>
      <c r="D364" s="108">
        <v>4.8</v>
      </c>
      <c r="E364" s="108"/>
      <c r="F364" s="127"/>
      <c r="G364" s="128"/>
      <c r="H364" s="373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381"/>
      <c r="P364" s="381"/>
      <c r="Q364" s="381"/>
      <c r="R364" s="381"/>
      <c r="S364" s="381"/>
      <c r="T364" s="381"/>
      <c r="U364" s="381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379" t="s">
        <v>199</v>
      </c>
      <c r="D365" s="108">
        <v>4.8</v>
      </c>
      <c r="E365" s="108"/>
      <c r="F365" s="127"/>
      <c r="G365" s="128"/>
      <c r="H365" s="373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381"/>
      <c r="P365" s="381"/>
      <c r="Q365" s="381"/>
      <c r="R365" s="381"/>
      <c r="S365" s="381"/>
      <c r="T365" s="381"/>
      <c r="U365" s="381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373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381"/>
      <c r="P366" s="381"/>
      <c r="Q366" s="381"/>
      <c r="R366" s="381"/>
      <c r="S366" s="381"/>
      <c r="T366" s="381"/>
      <c r="U366" s="381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373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381"/>
      <c r="P367" s="381"/>
      <c r="Q367" s="381"/>
      <c r="R367" s="381"/>
      <c r="S367" s="381"/>
      <c r="T367" s="381"/>
      <c r="U367" s="381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630" t="s">
        <v>201</v>
      </c>
      <c r="B368" s="631"/>
      <c r="C368" s="382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372" t="s">
        <v>206</v>
      </c>
      <c r="C369" s="126" t="s">
        <v>199</v>
      </c>
      <c r="D369" s="108">
        <v>5.03</v>
      </c>
      <c r="E369" s="108"/>
      <c r="F369" s="127"/>
      <c r="G369" s="128"/>
      <c r="H369" s="373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377"/>
      <c r="P369" s="377"/>
      <c r="Q369" s="377"/>
      <c r="R369" s="377"/>
      <c r="S369" s="377"/>
      <c r="T369" s="377"/>
      <c r="U369" s="377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372" t="s">
        <v>425</v>
      </c>
      <c r="C370" s="187" t="s">
        <v>427</v>
      </c>
      <c r="D370" s="108">
        <v>5.03</v>
      </c>
      <c r="E370" s="108"/>
      <c r="F370" s="127"/>
      <c r="G370" s="128"/>
      <c r="H370" s="373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377"/>
      <c r="P370" s="377"/>
      <c r="Q370" s="377"/>
      <c r="R370" s="377"/>
      <c r="S370" s="377"/>
      <c r="T370" s="377"/>
      <c r="U370" s="377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372" t="s">
        <v>206</v>
      </c>
      <c r="C371" s="126" t="s">
        <v>186</v>
      </c>
      <c r="D371" s="108">
        <v>5.03</v>
      </c>
      <c r="E371" s="108"/>
      <c r="F371" s="127"/>
      <c r="G371" s="128"/>
      <c r="H371" s="373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377"/>
      <c r="P371" s="377"/>
      <c r="Q371" s="377"/>
      <c r="R371" s="377"/>
      <c r="S371" s="377"/>
      <c r="T371" s="377"/>
      <c r="U371" s="377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372" t="s">
        <v>206</v>
      </c>
      <c r="C372" s="126" t="s">
        <v>203</v>
      </c>
      <c r="D372" s="108">
        <v>5.03</v>
      </c>
      <c r="E372" s="108"/>
      <c r="F372" s="127"/>
      <c r="G372" s="128"/>
      <c r="H372" s="373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377"/>
      <c r="P372" s="377"/>
      <c r="Q372" s="377"/>
      <c r="R372" s="377"/>
      <c r="S372" s="377"/>
      <c r="T372" s="377"/>
      <c r="U372" s="377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372" t="s">
        <v>206</v>
      </c>
      <c r="C373" s="126" t="s">
        <v>207</v>
      </c>
      <c r="D373" s="108">
        <v>5.03</v>
      </c>
      <c r="E373" s="108"/>
      <c r="F373" s="127"/>
      <c r="G373" s="128"/>
      <c r="H373" s="373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377"/>
      <c r="P373" s="377"/>
      <c r="Q373" s="377"/>
      <c r="R373" s="377"/>
      <c r="S373" s="377"/>
      <c r="T373" s="377"/>
      <c r="U373" s="377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372" t="s">
        <v>414</v>
      </c>
      <c r="C374" s="187" t="s">
        <v>415</v>
      </c>
      <c r="D374" s="108"/>
      <c r="E374" s="108"/>
      <c r="F374" s="127"/>
      <c r="G374" s="128"/>
      <c r="H374" s="373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377"/>
      <c r="P374" s="377"/>
      <c r="Q374" s="377"/>
      <c r="R374" s="377"/>
      <c r="S374" s="377"/>
      <c r="T374" s="377"/>
      <c r="U374" s="377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372" t="s">
        <v>414</v>
      </c>
      <c r="C375" s="187" t="s">
        <v>416</v>
      </c>
      <c r="D375" s="108"/>
      <c r="E375" s="108"/>
      <c r="F375" s="127"/>
      <c r="G375" s="128"/>
      <c r="H375" s="373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377"/>
      <c r="P375" s="377"/>
      <c r="Q375" s="377"/>
      <c r="R375" s="377"/>
      <c r="S375" s="377"/>
      <c r="T375" s="377"/>
      <c r="U375" s="377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372" t="s">
        <v>414</v>
      </c>
      <c r="C376" s="187" t="s">
        <v>61</v>
      </c>
      <c r="D376" s="108"/>
      <c r="E376" s="108"/>
      <c r="F376" s="127"/>
      <c r="G376" s="128"/>
      <c r="H376" s="373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377"/>
      <c r="P376" s="377"/>
      <c r="Q376" s="377"/>
      <c r="R376" s="377"/>
      <c r="S376" s="377"/>
      <c r="T376" s="377"/>
      <c r="U376" s="377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372" t="s">
        <v>208</v>
      </c>
      <c r="C377" s="126" t="s">
        <v>179</v>
      </c>
      <c r="D377" s="108">
        <v>5.08</v>
      </c>
      <c r="E377" s="108"/>
      <c r="F377" s="127"/>
      <c r="G377" s="128"/>
      <c r="H377" s="373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377"/>
      <c r="P377" s="377"/>
      <c r="Q377" s="377"/>
      <c r="R377" s="377"/>
      <c r="S377" s="377"/>
      <c r="T377" s="377"/>
      <c r="U377" s="377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372" t="s">
        <v>208</v>
      </c>
      <c r="C378" s="126" t="s">
        <v>204</v>
      </c>
      <c r="D378" s="108">
        <v>5.08</v>
      </c>
      <c r="E378" s="108"/>
      <c r="F378" s="127"/>
      <c r="G378" s="128"/>
      <c r="H378" s="373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377"/>
      <c r="P378" s="377"/>
      <c r="Q378" s="377"/>
      <c r="R378" s="377"/>
      <c r="S378" s="377"/>
      <c r="T378" s="377"/>
      <c r="U378" s="377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372" t="s">
        <v>208</v>
      </c>
      <c r="C379" s="126" t="s">
        <v>205</v>
      </c>
      <c r="D379" s="108">
        <v>5.08</v>
      </c>
      <c r="E379" s="108"/>
      <c r="F379" s="127"/>
      <c r="G379" s="128"/>
      <c r="H379" s="373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377"/>
      <c r="P379" s="377"/>
      <c r="Q379" s="377"/>
      <c r="R379" s="377"/>
      <c r="S379" s="377"/>
      <c r="T379" s="377"/>
      <c r="U379" s="377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372" t="s">
        <v>208</v>
      </c>
      <c r="C380" s="126" t="s">
        <v>186</v>
      </c>
      <c r="D380" s="108">
        <v>5.08</v>
      </c>
      <c r="E380" s="108"/>
      <c r="F380" s="127"/>
      <c r="G380" s="128"/>
      <c r="H380" s="373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377"/>
      <c r="P380" s="377"/>
      <c r="Q380" s="377"/>
      <c r="R380" s="377"/>
      <c r="S380" s="377"/>
      <c r="T380" s="377"/>
      <c r="U380" s="377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372" t="s">
        <v>208</v>
      </c>
      <c r="C381" s="126" t="s">
        <v>203</v>
      </c>
      <c r="D381" s="108">
        <v>5.08</v>
      </c>
      <c r="E381" s="108"/>
      <c r="F381" s="127"/>
      <c r="G381" s="128"/>
      <c r="H381" s="373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377"/>
      <c r="P381" s="377"/>
      <c r="Q381" s="377"/>
      <c r="R381" s="377"/>
      <c r="S381" s="377"/>
      <c r="T381" s="377"/>
      <c r="U381" s="377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372" t="s">
        <v>208</v>
      </c>
      <c r="C382" s="126" t="s">
        <v>199</v>
      </c>
      <c r="D382" s="108">
        <v>5.08</v>
      </c>
      <c r="E382" s="108"/>
      <c r="F382" s="127"/>
      <c r="G382" s="128"/>
      <c r="H382" s="373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381"/>
      <c r="P382" s="381"/>
      <c r="Q382" s="381"/>
      <c r="R382" s="381"/>
      <c r="S382" s="381"/>
      <c r="T382" s="381"/>
      <c r="U382" s="381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372" t="s">
        <v>208</v>
      </c>
      <c r="C383" s="126" t="s">
        <v>187</v>
      </c>
      <c r="D383" s="108">
        <v>5.08</v>
      </c>
      <c r="E383" s="108"/>
      <c r="F383" s="127"/>
      <c r="G383" s="128"/>
      <c r="H383" s="373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377"/>
      <c r="P383" s="377"/>
      <c r="Q383" s="377"/>
      <c r="R383" s="377"/>
      <c r="S383" s="377"/>
      <c r="T383" s="377"/>
      <c r="U383" s="377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372" t="s">
        <v>208</v>
      </c>
      <c r="C384" s="126" t="s">
        <v>207</v>
      </c>
      <c r="D384" s="108">
        <v>5.08</v>
      </c>
      <c r="E384" s="108"/>
      <c r="F384" s="127"/>
      <c r="G384" s="128"/>
      <c r="H384" s="373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381"/>
      <c r="P384" s="381"/>
      <c r="Q384" s="381"/>
      <c r="R384" s="381"/>
      <c r="S384" s="381"/>
      <c r="T384" s="381"/>
      <c r="U384" s="381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372" t="s">
        <v>209</v>
      </c>
      <c r="C385" s="126" t="s">
        <v>194</v>
      </c>
      <c r="D385" s="108">
        <v>5.03</v>
      </c>
      <c r="E385" s="108"/>
      <c r="F385" s="127"/>
      <c r="G385" s="128"/>
      <c r="H385" s="373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377"/>
      <c r="P385" s="377"/>
      <c r="Q385" s="377"/>
      <c r="R385" s="377"/>
      <c r="S385" s="377"/>
      <c r="T385" s="377"/>
      <c r="U385" s="377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372" t="s">
        <v>209</v>
      </c>
      <c r="C386" s="126" t="s">
        <v>179</v>
      </c>
      <c r="D386" s="108">
        <v>5.03</v>
      </c>
      <c r="E386" s="108"/>
      <c r="F386" s="127"/>
      <c r="G386" s="128"/>
      <c r="H386" s="373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377"/>
      <c r="P386" s="377"/>
      <c r="Q386" s="377"/>
      <c r="R386" s="377"/>
      <c r="S386" s="377"/>
      <c r="T386" s="377"/>
      <c r="U386" s="377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372" t="s">
        <v>209</v>
      </c>
      <c r="C387" s="126" t="s">
        <v>195</v>
      </c>
      <c r="D387" s="108">
        <v>5.03</v>
      </c>
      <c r="E387" s="108"/>
      <c r="F387" s="127"/>
      <c r="G387" s="128"/>
      <c r="H387" s="373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377"/>
      <c r="P387" s="377"/>
      <c r="Q387" s="377"/>
      <c r="R387" s="377"/>
      <c r="S387" s="377"/>
      <c r="T387" s="377"/>
      <c r="U387" s="377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372" t="s">
        <v>209</v>
      </c>
      <c r="C388" s="126" t="s">
        <v>204</v>
      </c>
      <c r="D388" s="108">
        <v>5.03</v>
      </c>
      <c r="E388" s="108"/>
      <c r="F388" s="127"/>
      <c r="G388" s="128"/>
      <c r="H388" s="373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377"/>
      <c r="P388" s="377"/>
      <c r="Q388" s="377"/>
      <c r="R388" s="377"/>
      <c r="S388" s="377"/>
      <c r="T388" s="377"/>
      <c r="U388" s="377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372" t="s">
        <v>382</v>
      </c>
      <c r="C389" s="187" t="s">
        <v>383</v>
      </c>
      <c r="D389" s="108">
        <v>5.03</v>
      </c>
      <c r="E389" s="108"/>
      <c r="F389" s="127"/>
      <c r="G389" s="128"/>
      <c r="H389" s="373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377"/>
      <c r="P389" s="377"/>
      <c r="Q389" s="377"/>
      <c r="R389" s="377"/>
      <c r="S389" s="377"/>
      <c r="T389" s="377"/>
      <c r="U389" s="377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372" t="s">
        <v>382</v>
      </c>
      <c r="C390" s="187" t="s">
        <v>384</v>
      </c>
      <c r="D390" s="108">
        <v>5.03</v>
      </c>
      <c r="E390" s="108"/>
      <c r="F390" s="127"/>
      <c r="G390" s="128"/>
      <c r="H390" s="373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377"/>
      <c r="P390" s="377"/>
      <c r="Q390" s="377"/>
      <c r="R390" s="377"/>
      <c r="S390" s="377"/>
      <c r="T390" s="377"/>
      <c r="U390" s="377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372" t="s">
        <v>382</v>
      </c>
      <c r="C391" s="187" t="s">
        <v>389</v>
      </c>
      <c r="D391" s="108">
        <v>5.03</v>
      </c>
      <c r="E391" s="108"/>
      <c r="F391" s="127"/>
      <c r="G391" s="128"/>
      <c r="H391" s="373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377"/>
      <c r="P391" s="377"/>
      <c r="Q391" s="377"/>
      <c r="R391" s="377"/>
      <c r="S391" s="377"/>
      <c r="T391" s="377"/>
      <c r="U391" s="377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372" t="s">
        <v>382</v>
      </c>
      <c r="C392" s="187" t="s">
        <v>391</v>
      </c>
      <c r="D392" s="108">
        <v>5.03</v>
      </c>
      <c r="E392" s="108"/>
      <c r="F392" s="127"/>
      <c r="G392" s="128"/>
      <c r="H392" s="373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377"/>
      <c r="P392" s="377"/>
      <c r="Q392" s="377"/>
      <c r="R392" s="377"/>
      <c r="S392" s="377"/>
      <c r="T392" s="377"/>
      <c r="U392" s="377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372" t="s">
        <v>418</v>
      </c>
      <c r="C393" s="187" t="s">
        <v>364</v>
      </c>
      <c r="D393" s="108">
        <v>5.03</v>
      </c>
      <c r="E393" s="108"/>
      <c r="F393" s="127"/>
      <c r="G393" s="128"/>
      <c r="H393" s="373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377"/>
      <c r="P393" s="377"/>
      <c r="Q393" s="377"/>
      <c r="R393" s="377"/>
      <c r="S393" s="377"/>
      <c r="T393" s="377"/>
      <c r="U393" s="377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372" t="s">
        <v>418</v>
      </c>
      <c r="C394" s="187" t="s">
        <v>365</v>
      </c>
      <c r="D394" s="108">
        <v>5.03</v>
      </c>
      <c r="E394" s="108"/>
      <c r="F394" s="127"/>
      <c r="G394" s="128"/>
      <c r="H394" s="373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377"/>
      <c r="P394" s="377"/>
      <c r="Q394" s="377"/>
      <c r="R394" s="377"/>
      <c r="S394" s="377"/>
      <c r="T394" s="377"/>
      <c r="U394" s="377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372" t="s">
        <v>418</v>
      </c>
      <c r="C395" s="187" t="s">
        <v>366</v>
      </c>
      <c r="D395" s="108">
        <v>5.03</v>
      </c>
      <c r="E395" s="108"/>
      <c r="F395" s="127"/>
      <c r="G395" s="128"/>
      <c r="H395" s="373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377"/>
      <c r="P395" s="377"/>
      <c r="Q395" s="377"/>
      <c r="R395" s="377"/>
      <c r="S395" s="377"/>
      <c r="T395" s="377"/>
      <c r="U395" s="377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372" t="s">
        <v>418</v>
      </c>
      <c r="C396" s="187" t="s">
        <v>367</v>
      </c>
      <c r="D396" s="108">
        <v>5.03</v>
      </c>
      <c r="E396" s="108"/>
      <c r="F396" s="127"/>
      <c r="G396" s="128"/>
      <c r="H396" s="373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377"/>
      <c r="P396" s="377"/>
      <c r="Q396" s="377"/>
      <c r="R396" s="377"/>
      <c r="S396" s="377"/>
      <c r="T396" s="377"/>
      <c r="U396" s="377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373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381"/>
      <c r="P397" s="381"/>
      <c r="Q397" s="381"/>
      <c r="R397" s="381"/>
      <c r="S397" s="381"/>
      <c r="T397" s="381"/>
      <c r="U397" s="381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373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381"/>
      <c r="P398" s="381"/>
      <c r="Q398" s="381"/>
      <c r="R398" s="381"/>
      <c r="S398" s="381"/>
      <c r="T398" s="381"/>
      <c r="U398" s="381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373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381"/>
      <c r="P399" s="381"/>
      <c r="Q399" s="381"/>
      <c r="R399" s="381"/>
      <c r="S399" s="381"/>
      <c r="T399" s="381"/>
      <c r="U399" s="381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373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381"/>
      <c r="P400" s="381"/>
      <c r="Q400" s="381"/>
      <c r="R400" s="381"/>
      <c r="S400" s="381"/>
      <c r="T400" s="381"/>
      <c r="U400" s="381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373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381"/>
      <c r="P401" s="381"/>
      <c r="Q401" s="381"/>
      <c r="R401" s="381"/>
      <c r="S401" s="381"/>
      <c r="T401" s="381"/>
      <c r="U401" s="381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373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381"/>
      <c r="P402" s="381"/>
      <c r="Q402" s="381"/>
      <c r="R402" s="381"/>
      <c r="S402" s="381"/>
      <c r="T402" s="381"/>
      <c r="U402" s="381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373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381"/>
      <c r="P403" s="381"/>
      <c r="Q403" s="381"/>
      <c r="R403" s="381"/>
      <c r="S403" s="381"/>
      <c r="T403" s="381"/>
      <c r="U403" s="381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373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381"/>
      <c r="P404" s="381"/>
      <c r="Q404" s="381"/>
      <c r="R404" s="381"/>
      <c r="S404" s="381"/>
      <c r="T404" s="381"/>
      <c r="U404" s="381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373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381"/>
      <c r="P405" s="381"/>
      <c r="Q405" s="381"/>
      <c r="R405" s="381"/>
      <c r="S405" s="381"/>
      <c r="T405" s="381"/>
      <c r="U405" s="381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373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381"/>
      <c r="P406" s="381"/>
      <c r="Q406" s="381"/>
      <c r="R406" s="381"/>
      <c r="S406" s="381"/>
      <c r="T406" s="381"/>
      <c r="U406" s="381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373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381"/>
      <c r="P407" s="381"/>
      <c r="Q407" s="381"/>
      <c r="R407" s="381"/>
      <c r="S407" s="381"/>
      <c r="T407" s="381"/>
      <c r="U407" s="381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373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381"/>
      <c r="P408" s="381"/>
      <c r="Q408" s="381"/>
      <c r="R408" s="381"/>
      <c r="S408" s="381"/>
      <c r="T408" s="381"/>
      <c r="U408" s="381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373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381"/>
      <c r="P409" s="381"/>
      <c r="Q409" s="381"/>
      <c r="R409" s="381"/>
      <c r="S409" s="381"/>
      <c r="T409" s="381"/>
      <c r="U409" s="381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373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381"/>
      <c r="P410" s="381"/>
      <c r="Q410" s="381"/>
      <c r="R410" s="381"/>
      <c r="S410" s="381"/>
      <c r="T410" s="381"/>
      <c r="U410" s="381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373">
        <f t="shared" si="171"/>
        <v>0</v>
      </c>
      <c r="I411" s="129"/>
      <c r="J411" s="130"/>
      <c r="K411" s="131"/>
      <c r="L411" s="129"/>
      <c r="M411" s="109"/>
      <c r="N411" s="130"/>
      <c r="O411" s="381"/>
      <c r="P411" s="381"/>
      <c r="Q411" s="381"/>
      <c r="R411" s="381"/>
      <c r="S411" s="381"/>
      <c r="T411" s="381"/>
      <c r="U411" s="381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373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381"/>
      <c r="P412" s="381"/>
      <c r="Q412" s="381"/>
      <c r="R412" s="381"/>
      <c r="S412" s="381"/>
      <c r="T412" s="381"/>
      <c r="U412" s="381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373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381"/>
      <c r="P413" s="381"/>
      <c r="Q413" s="381"/>
      <c r="R413" s="381"/>
      <c r="S413" s="381"/>
      <c r="T413" s="381"/>
      <c r="U413" s="381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373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381"/>
      <c r="P414" s="381"/>
      <c r="Q414" s="381"/>
      <c r="R414" s="381"/>
      <c r="S414" s="381"/>
      <c r="T414" s="381"/>
      <c r="U414" s="381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373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381"/>
      <c r="P415" s="381"/>
      <c r="Q415" s="381"/>
      <c r="R415" s="381"/>
      <c r="S415" s="381"/>
      <c r="T415" s="381"/>
      <c r="U415" s="381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373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381"/>
      <c r="P416" s="381"/>
      <c r="Q416" s="381"/>
      <c r="R416" s="381"/>
      <c r="S416" s="381"/>
      <c r="T416" s="381"/>
      <c r="U416" s="381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373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381"/>
      <c r="P417" s="381"/>
      <c r="Q417" s="381"/>
      <c r="R417" s="381"/>
      <c r="S417" s="381"/>
      <c r="T417" s="381"/>
      <c r="U417" s="381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373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381"/>
      <c r="P418" s="381"/>
      <c r="Q418" s="381"/>
      <c r="R418" s="381"/>
      <c r="S418" s="381"/>
      <c r="T418" s="381"/>
      <c r="U418" s="381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373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381"/>
      <c r="P419" s="381"/>
      <c r="Q419" s="381"/>
      <c r="R419" s="381"/>
      <c r="S419" s="381"/>
      <c r="T419" s="381"/>
      <c r="U419" s="381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373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381"/>
      <c r="P420" s="381"/>
      <c r="Q420" s="381"/>
      <c r="R420" s="381"/>
      <c r="S420" s="381"/>
      <c r="T420" s="381"/>
      <c r="U420" s="381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373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381"/>
      <c r="P421" s="381"/>
      <c r="Q421" s="381"/>
      <c r="R421" s="381"/>
      <c r="S421" s="381"/>
      <c r="T421" s="381"/>
      <c r="U421" s="381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373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381"/>
      <c r="P422" s="381"/>
      <c r="Q422" s="381"/>
      <c r="R422" s="381"/>
      <c r="S422" s="381"/>
      <c r="T422" s="381"/>
      <c r="U422" s="381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373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381"/>
      <c r="P423" s="381"/>
      <c r="Q423" s="381"/>
      <c r="R423" s="381"/>
      <c r="S423" s="381"/>
      <c r="T423" s="381"/>
      <c r="U423" s="381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373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381"/>
      <c r="P424" s="381"/>
      <c r="Q424" s="381"/>
      <c r="R424" s="381"/>
      <c r="S424" s="381"/>
      <c r="T424" s="381"/>
      <c r="U424" s="381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373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381"/>
      <c r="P425" s="381"/>
      <c r="Q425" s="381"/>
      <c r="R425" s="381"/>
      <c r="S425" s="381"/>
      <c r="T425" s="381"/>
      <c r="U425" s="381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41" t="s">
        <v>216</v>
      </c>
      <c r="B426" s="641"/>
      <c r="C426" s="382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372" t="s">
        <v>217</v>
      </c>
      <c r="C427" s="126" t="s">
        <v>179</v>
      </c>
      <c r="D427" s="108">
        <v>5.03</v>
      </c>
      <c r="E427" s="108"/>
      <c r="F427" s="127"/>
      <c r="G427" s="128"/>
      <c r="H427" s="373">
        <f t="shared" ref="H427:H460" si="196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7">IF(ISERROR(I427-K427),"",I427-K427)</f>
        <v>0</v>
      </c>
      <c r="N427" s="130">
        <f t="shared" ref="N427:N434" si="198">SUM(O427:U427)</f>
        <v>0</v>
      </c>
      <c r="O427" s="381"/>
      <c r="P427" s="381"/>
      <c r="Q427" s="381"/>
      <c r="R427" s="381"/>
      <c r="S427" s="381"/>
      <c r="T427" s="381"/>
      <c r="U427" s="381"/>
      <c r="V427" s="132">
        <f t="shared" ref="V427:V433" si="199">SUM(X427:AA427)</f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372" t="s">
        <v>217</v>
      </c>
      <c r="C428" s="126" t="s">
        <v>186</v>
      </c>
      <c r="D428" s="108">
        <v>5.03</v>
      </c>
      <c r="E428" s="108"/>
      <c r="F428" s="127"/>
      <c r="G428" s="128"/>
      <c r="H428" s="373">
        <f t="shared" si="196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7"/>
        <v>0</v>
      </c>
      <c r="N428" s="130">
        <f t="shared" si="198"/>
        <v>0</v>
      </c>
      <c r="O428" s="381"/>
      <c r="P428" s="381"/>
      <c r="Q428" s="381"/>
      <c r="R428" s="381"/>
      <c r="S428" s="381"/>
      <c r="T428" s="381"/>
      <c r="U428" s="381"/>
      <c r="V428" s="132">
        <f t="shared" si="199"/>
        <v>0</v>
      </c>
      <c r="W428" s="133" t="str">
        <f t="shared" si="195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372" t="s">
        <v>217</v>
      </c>
      <c r="C429" s="126" t="s">
        <v>204</v>
      </c>
      <c r="D429" s="108">
        <v>5.03</v>
      </c>
      <c r="E429" s="108"/>
      <c r="F429" s="127"/>
      <c r="G429" s="128"/>
      <c r="H429" s="373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7"/>
        <v>0</v>
      </c>
      <c r="N429" s="130">
        <f t="shared" si="198"/>
        <v>0</v>
      </c>
      <c r="O429" s="381"/>
      <c r="P429" s="381"/>
      <c r="Q429" s="381"/>
      <c r="R429" s="381"/>
      <c r="S429" s="381"/>
      <c r="T429" s="381"/>
      <c r="U429" s="381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373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381"/>
      <c r="P430" s="381"/>
      <c r="Q430" s="381"/>
      <c r="R430" s="381"/>
      <c r="S430" s="381"/>
      <c r="T430" s="381"/>
      <c r="U430" s="381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373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7"/>
        <v>0</v>
      </c>
      <c r="N431" s="130">
        <f t="shared" si="198"/>
        <v>0</v>
      </c>
      <c r="O431" s="381"/>
      <c r="P431" s="381"/>
      <c r="Q431" s="381"/>
      <c r="R431" s="381"/>
      <c r="S431" s="381"/>
      <c r="T431" s="381"/>
      <c r="U431" s="381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373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7"/>
        <v>0</v>
      </c>
      <c r="N432" s="130">
        <f t="shared" si="198"/>
        <v>0</v>
      </c>
      <c r="O432" s="381"/>
      <c r="P432" s="381"/>
      <c r="Q432" s="381"/>
      <c r="R432" s="381"/>
      <c r="S432" s="381"/>
      <c r="T432" s="381"/>
      <c r="U432" s="381"/>
      <c r="V432" s="132">
        <f t="shared" si="199"/>
        <v>0</v>
      </c>
      <c r="W432" s="133" t="str">
        <f t="shared" si="195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373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381"/>
      <c r="P433" s="381"/>
      <c r="Q433" s="381"/>
      <c r="R433" s="381"/>
      <c r="S433" s="381"/>
      <c r="T433" s="381"/>
      <c r="U433" s="381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373">
        <f t="shared" si="196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381"/>
      <c r="P434" s="381"/>
      <c r="Q434" s="381"/>
      <c r="R434" s="381"/>
      <c r="S434" s="381"/>
      <c r="T434" s="381"/>
      <c r="U434" s="381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373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381"/>
      <c r="P435" s="381"/>
      <c r="Q435" s="381"/>
      <c r="R435" s="381"/>
      <c r="S435" s="381"/>
      <c r="T435" s="381"/>
      <c r="U435" s="381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373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381"/>
      <c r="P436" s="381"/>
      <c r="Q436" s="381"/>
      <c r="R436" s="381"/>
      <c r="S436" s="381"/>
      <c r="T436" s="381"/>
      <c r="U436" s="381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373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381"/>
      <c r="P437" s="381"/>
      <c r="Q437" s="381"/>
      <c r="R437" s="381"/>
      <c r="S437" s="381"/>
      <c r="T437" s="381"/>
      <c r="U437" s="381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373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381"/>
      <c r="P438" s="381"/>
      <c r="Q438" s="381"/>
      <c r="R438" s="381"/>
      <c r="S438" s="381"/>
      <c r="T438" s="381"/>
      <c r="U438" s="381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373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381"/>
      <c r="P439" s="381"/>
      <c r="Q439" s="381"/>
      <c r="R439" s="381"/>
      <c r="S439" s="381"/>
      <c r="T439" s="381"/>
      <c r="U439" s="381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373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381"/>
      <c r="P440" s="381"/>
      <c r="Q440" s="381"/>
      <c r="R440" s="381"/>
      <c r="S440" s="381"/>
      <c r="T440" s="381"/>
      <c r="U440" s="381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373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381"/>
      <c r="P441" s="381"/>
      <c r="Q441" s="381"/>
      <c r="R441" s="381"/>
      <c r="S441" s="381"/>
      <c r="T441" s="381"/>
      <c r="U441" s="381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373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381"/>
      <c r="P442" s="381"/>
      <c r="Q442" s="381"/>
      <c r="R442" s="381"/>
      <c r="S442" s="381"/>
      <c r="T442" s="381"/>
      <c r="U442" s="381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372" t="s">
        <v>222</v>
      </c>
      <c r="C443" s="126" t="s">
        <v>181</v>
      </c>
      <c r="D443" s="108">
        <v>9.36</v>
      </c>
      <c r="E443" s="108"/>
      <c r="F443" s="127"/>
      <c r="G443" s="128"/>
      <c r="H443" s="373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381"/>
      <c r="P443" s="381"/>
      <c r="Q443" s="381"/>
      <c r="R443" s="381"/>
      <c r="S443" s="381"/>
      <c r="T443" s="381"/>
      <c r="U443" s="381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372" t="s">
        <v>222</v>
      </c>
      <c r="C444" s="126" t="s">
        <v>179</v>
      </c>
      <c r="D444" s="108">
        <v>9.36</v>
      </c>
      <c r="E444" s="108"/>
      <c r="F444" s="127"/>
      <c r="G444" s="128"/>
      <c r="H444" s="373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381"/>
      <c r="P444" s="381"/>
      <c r="Q444" s="381"/>
      <c r="R444" s="381"/>
      <c r="S444" s="381"/>
      <c r="T444" s="381"/>
      <c r="U444" s="381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372" t="s">
        <v>222</v>
      </c>
      <c r="C445" s="126" t="s">
        <v>221</v>
      </c>
      <c r="D445" s="108">
        <v>9.36</v>
      </c>
      <c r="E445" s="108"/>
      <c r="F445" s="127"/>
      <c r="G445" s="128"/>
      <c r="H445" s="373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381"/>
      <c r="P445" s="381"/>
      <c r="Q445" s="381"/>
      <c r="R445" s="381"/>
      <c r="S445" s="381"/>
      <c r="T445" s="381"/>
      <c r="U445" s="381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372" t="s">
        <v>222</v>
      </c>
      <c r="C446" s="126" t="s">
        <v>186</v>
      </c>
      <c r="D446" s="108">
        <v>9.36</v>
      </c>
      <c r="E446" s="108"/>
      <c r="F446" s="127"/>
      <c r="G446" s="128"/>
      <c r="H446" s="373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381"/>
      <c r="P446" s="381"/>
      <c r="Q446" s="381"/>
      <c r="R446" s="381"/>
      <c r="S446" s="381"/>
      <c r="T446" s="381"/>
      <c r="U446" s="381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372" t="s">
        <v>393</v>
      </c>
      <c r="C447" s="187" t="s">
        <v>395</v>
      </c>
      <c r="D447" s="108">
        <v>5</v>
      </c>
      <c r="E447" s="108"/>
      <c r="F447" s="127"/>
      <c r="G447" s="128"/>
      <c r="H447" s="373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381"/>
      <c r="P447" s="381"/>
      <c r="Q447" s="381"/>
      <c r="R447" s="381"/>
      <c r="S447" s="381"/>
      <c r="T447" s="381"/>
      <c r="U447" s="381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372" t="s">
        <v>393</v>
      </c>
      <c r="C448" s="187" t="s">
        <v>402</v>
      </c>
      <c r="D448" s="108">
        <v>5</v>
      </c>
      <c r="E448" s="108"/>
      <c r="F448" s="127"/>
      <c r="G448" s="128"/>
      <c r="H448" s="373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381"/>
      <c r="P448" s="381"/>
      <c r="Q448" s="381"/>
      <c r="R448" s="381"/>
      <c r="S448" s="381"/>
      <c r="T448" s="381"/>
      <c r="U448" s="381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372" t="s">
        <v>404</v>
      </c>
      <c r="C449" s="187" t="s">
        <v>405</v>
      </c>
      <c r="D449" s="108">
        <v>5</v>
      </c>
      <c r="E449" s="108"/>
      <c r="F449" s="127"/>
      <c r="G449" s="128"/>
      <c r="H449" s="373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381"/>
      <c r="P449" s="381"/>
      <c r="Q449" s="381"/>
      <c r="R449" s="381"/>
      <c r="S449" s="381"/>
      <c r="T449" s="381"/>
      <c r="U449" s="381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372" t="s">
        <v>342</v>
      </c>
      <c r="C450" s="187" t="s">
        <v>372</v>
      </c>
      <c r="D450" s="108">
        <v>5</v>
      </c>
      <c r="E450" s="108"/>
      <c r="F450" s="127"/>
      <c r="G450" s="128"/>
      <c r="H450" s="373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381"/>
      <c r="P450" s="381"/>
      <c r="Q450" s="381"/>
      <c r="R450" s="381"/>
      <c r="S450" s="381"/>
      <c r="T450" s="381"/>
      <c r="U450" s="381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372" t="s">
        <v>343</v>
      </c>
      <c r="C451" s="126" t="s">
        <v>345</v>
      </c>
      <c r="D451" s="108">
        <v>5</v>
      </c>
      <c r="E451" s="108"/>
      <c r="F451" s="127"/>
      <c r="G451" s="128"/>
      <c r="H451" s="373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381"/>
      <c r="P451" s="381"/>
      <c r="Q451" s="381"/>
      <c r="R451" s="381"/>
      <c r="S451" s="381"/>
      <c r="T451" s="381"/>
      <c r="U451" s="381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372" t="s">
        <v>343</v>
      </c>
      <c r="C452" s="126" t="s">
        <v>347</v>
      </c>
      <c r="D452" s="108">
        <v>5</v>
      </c>
      <c r="E452" s="108"/>
      <c r="F452" s="127"/>
      <c r="G452" s="128"/>
      <c r="H452" s="373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381"/>
      <c r="P452" s="381"/>
      <c r="Q452" s="381"/>
      <c r="R452" s="381"/>
      <c r="S452" s="381"/>
      <c r="T452" s="381"/>
      <c r="U452" s="381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373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381"/>
      <c r="P453" s="381"/>
      <c r="Q453" s="381"/>
      <c r="R453" s="381"/>
      <c r="S453" s="381"/>
      <c r="T453" s="381"/>
      <c r="U453" s="381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373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381"/>
      <c r="P454" s="381"/>
      <c r="Q454" s="381"/>
      <c r="R454" s="381"/>
      <c r="S454" s="381"/>
      <c r="T454" s="381"/>
      <c r="U454" s="381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373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381"/>
      <c r="P455" s="381"/>
      <c r="Q455" s="381"/>
      <c r="R455" s="381"/>
      <c r="S455" s="381"/>
      <c r="T455" s="381"/>
      <c r="U455" s="381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373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381"/>
      <c r="P456" s="381"/>
      <c r="Q456" s="381"/>
      <c r="R456" s="381"/>
      <c r="S456" s="381"/>
      <c r="T456" s="381"/>
      <c r="U456" s="381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373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381"/>
      <c r="P457" s="381"/>
      <c r="Q457" s="381"/>
      <c r="R457" s="381"/>
      <c r="S457" s="381"/>
      <c r="T457" s="381"/>
      <c r="U457" s="381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373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381"/>
      <c r="P458" s="381"/>
      <c r="Q458" s="381"/>
      <c r="R458" s="381"/>
      <c r="S458" s="381"/>
      <c r="T458" s="381"/>
      <c r="U458" s="381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373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381"/>
      <c r="P459" s="381"/>
      <c r="Q459" s="381"/>
      <c r="R459" s="381"/>
      <c r="S459" s="381"/>
      <c r="T459" s="381"/>
      <c r="U459" s="381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373">
        <f t="shared" si="196"/>
        <v>0</v>
      </c>
      <c r="I460" s="129"/>
      <c r="J460" s="130" t="str">
        <f t="array" ref="J460">IF(ISERROR(G460/I460),"",G460/I460)</f>
        <v/>
      </c>
      <c r="K460" s="373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381"/>
      <c r="P460" s="381"/>
      <c r="Q460" s="381"/>
      <c r="R460" s="381"/>
      <c r="S460" s="381"/>
      <c r="T460" s="381"/>
      <c r="U460" s="381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hidden="1" customHeight="1">
      <c r="A461" s="630" t="s">
        <v>224</v>
      </c>
      <c r="B461" s="631"/>
      <c r="C461" s="382" t="s">
        <v>202</v>
      </c>
      <c r="D461" s="143"/>
      <c r="E461" s="143"/>
      <c r="F461" s="144"/>
      <c r="G461" s="145">
        <f>SUM(G427:G460)</f>
        <v>0</v>
      </c>
      <c r="H461" s="146">
        <f>SUM(H427:H460)</f>
        <v>0</v>
      </c>
      <c r="I461" s="146">
        <f>SUM(I427:I460)</f>
        <v>0</v>
      </c>
      <c r="J461" s="130" t="str">
        <f t="array" ref="J461">IF(ISERROR(G461/I461),"",G461/I461)</f>
        <v/>
      </c>
      <c r="K461" s="146">
        <f>SUM(K427:K460)</f>
        <v>0</v>
      </c>
      <c r="L461" s="147"/>
      <c r="M461" s="150">
        <f t="shared" ref="M461:V461" si="210">SUM(M427:M460)</f>
        <v>0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 t="str">
        <f t="shared" si="209"/>
        <v/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373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381"/>
      <c r="P462" s="381"/>
      <c r="Q462" s="381"/>
      <c r="R462" s="381"/>
      <c r="S462" s="381"/>
      <c r="T462" s="381"/>
      <c r="U462" s="381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373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381"/>
      <c r="P463" s="381"/>
      <c r="Q463" s="381"/>
      <c r="R463" s="381"/>
      <c r="S463" s="381"/>
      <c r="T463" s="381"/>
      <c r="U463" s="381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373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381"/>
      <c r="P464" s="381"/>
      <c r="Q464" s="381"/>
      <c r="R464" s="381"/>
      <c r="S464" s="381"/>
      <c r="T464" s="381"/>
      <c r="U464" s="381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373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381"/>
      <c r="P465" s="381"/>
      <c r="Q465" s="381"/>
      <c r="R465" s="381"/>
      <c r="S465" s="381"/>
      <c r="T465" s="381"/>
      <c r="U465" s="381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378" t="s">
        <v>203</v>
      </c>
      <c r="D466" s="108">
        <v>5.03</v>
      </c>
      <c r="E466" s="108"/>
      <c r="F466" s="127"/>
      <c r="G466" s="128"/>
      <c r="H466" s="373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381"/>
      <c r="P466" s="381"/>
      <c r="Q466" s="381"/>
      <c r="R466" s="381"/>
      <c r="S466" s="381"/>
      <c r="T466" s="381"/>
      <c r="U466" s="381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373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381"/>
      <c r="P467" s="381"/>
      <c r="Q467" s="381"/>
      <c r="R467" s="381"/>
      <c r="S467" s="381"/>
      <c r="T467" s="381"/>
      <c r="U467" s="381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373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381"/>
      <c r="P468" s="381"/>
      <c r="Q468" s="381"/>
      <c r="R468" s="381"/>
      <c r="S468" s="381"/>
      <c r="T468" s="381"/>
      <c r="U468" s="381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378" t="s">
        <v>228</v>
      </c>
      <c r="D469" s="108">
        <v>5.03</v>
      </c>
      <c r="E469" s="108"/>
      <c r="F469" s="127"/>
      <c r="G469" s="128"/>
      <c r="H469" s="373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381"/>
      <c r="P469" s="381"/>
      <c r="Q469" s="381"/>
      <c r="R469" s="381"/>
      <c r="S469" s="381"/>
      <c r="T469" s="381"/>
      <c r="U469" s="381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378" t="s">
        <v>212</v>
      </c>
      <c r="D470" s="108">
        <v>5.03</v>
      </c>
      <c r="E470" s="108"/>
      <c r="F470" s="127"/>
      <c r="G470" s="128"/>
      <c r="H470" s="373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381"/>
      <c r="P470" s="381"/>
      <c r="Q470" s="381"/>
      <c r="R470" s="381"/>
      <c r="S470" s="381"/>
      <c r="T470" s="381"/>
      <c r="U470" s="381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378" t="s">
        <v>203</v>
      </c>
      <c r="D471" s="108">
        <v>5.03</v>
      </c>
      <c r="E471" s="108"/>
      <c r="F471" s="127"/>
      <c r="G471" s="128"/>
      <c r="H471" s="373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381"/>
      <c r="P471" s="381"/>
      <c r="Q471" s="381"/>
      <c r="R471" s="381"/>
      <c r="S471" s="381"/>
      <c r="T471" s="381"/>
      <c r="U471" s="381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378" t="s">
        <v>186</v>
      </c>
      <c r="D472" s="108">
        <v>5.03</v>
      </c>
      <c r="E472" s="108"/>
      <c r="F472" s="127"/>
      <c r="G472" s="128"/>
      <c r="H472" s="373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381"/>
      <c r="P472" s="381"/>
      <c r="Q472" s="381"/>
      <c r="R472" s="381"/>
      <c r="S472" s="381"/>
      <c r="T472" s="381"/>
      <c r="U472" s="381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378" t="s">
        <v>228</v>
      </c>
      <c r="D473" s="108">
        <v>5.03</v>
      </c>
      <c r="E473" s="108"/>
      <c r="F473" s="127"/>
      <c r="G473" s="128"/>
      <c r="H473" s="373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381"/>
      <c r="P473" s="381"/>
      <c r="Q473" s="381"/>
      <c r="R473" s="381"/>
      <c r="S473" s="381"/>
      <c r="T473" s="381"/>
      <c r="U473" s="381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378" t="s">
        <v>199</v>
      </c>
      <c r="D474" s="108">
        <v>5.03</v>
      </c>
      <c r="E474" s="108"/>
      <c r="F474" s="127"/>
      <c r="G474" s="128"/>
      <c r="H474" s="373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381"/>
      <c r="P474" s="381"/>
      <c r="Q474" s="381"/>
      <c r="R474" s="381"/>
      <c r="S474" s="381"/>
      <c r="T474" s="381"/>
      <c r="U474" s="381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373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381"/>
      <c r="P475" s="381"/>
      <c r="Q475" s="381"/>
      <c r="R475" s="381"/>
      <c r="S475" s="381"/>
      <c r="T475" s="381"/>
      <c r="U475" s="381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373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381"/>
      <c r="P476" s="381"/>
      <c r="Q476" s="381"/>
      <c r="R476" s="381"/>
      <c r="S476" s="381"/>
      <c r="T476" s="381"/>
      <c r="U476" s="381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630" t="s">
        <v>231</v>
      </c>
      <c r="B477" s="631"/>
      <c r="C477" s="382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373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381"/>
      <c r="P478" s="381"/>
      <c r="Q478" s="381"/>
      <c r="R478" s="381"/>
      <c r="S478" s="381"/>
      <c r="T478" s="381"/>
      <c r="U478" s="381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373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381"/>
      <c r="P479" s="381"/>
      <c r="Q479" s="381"/>
      <c r="R479" s="381"/>
      <c r="S479" s="381"/>
      <c r="T479" s="381"/>
      <c r="U479" s="381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373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381"/>
      <c r="P480" s="381"/>
      <c r="Q480" s="381"/>
      <c r="R480" s="381"/>
      <c r="S480" s="381"/>
      <c r="T480" s="381"/>
      <c r="U480" s="381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373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381"/>
      <c r="P481" s="381"/>
      <c r="Q481" s="381"/>
      <c r="R481" s="381"/>
      <c r="S481" s="381"/>
      <c r="T481" s="381"/>
      <c r="U481" s="381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373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381"/>
      <c r="P482" s="381"/>
      <c r="Q482" s="381"/>
      <c r="R482" s="381"/>
      <c r="S482" s="381"/>
      <c r="T482" s="381"/>
      <c r="U482" s="381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373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381"/>
      <c r="P483" s="381"/>
      <c r="Q483" s="381"/>
      <c r="R483" s="381"/>
      <c r="S483" s="381"/>
      <c r="T483" s="381"/>
      <c r="U483" s="381"/>
      <c r="V483" s="132"/>
      <c r="W483" s="133"/>
      <c r="X483" s="132"/>
      <c r="Y483" s="132"/>
      <c r="Z483" s="132"/>
      <c r="AA483" s="132"/>
    </row>
    <row r="484" spans="1:27" ht="20.10000000000000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470"/>
      <c r="P484" s="470"/>
      <c r="Q484" s="470"/>
      <c r="R484" s="470"/>
      <c r="S484" s="470"/>
      <c r="T484" s="470"/>
      <c r="U484" s="470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373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381"/>
      <c r="P486" s="381"/>
      <c r="Q486" s="381"/>
      <c r="R486" s="381"/>
      <c r="S486" s="381"/>
      <c r="T486" s="381"/>
      <c r="U486" s="381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30" t="s">
        <v>234</v>
      </c>
      <c r="B487" s="631"/>
      <c r="C487" s="382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379"/>
      <c r="D488" s="108">
        <v>3.65</v>
      </c>
      <c r="E488" s="108"/>
      <c r="F488" s="153"/>
      <c r="G488" s="128"/>
      <c r="H488" s="373">
        <f t="shared" ref="H488:H502" si="223">D488*G488</f>
        <v>0</v>
      </c>
      <c r="I488" s="129"/>
      <c r="J488" s="130" t="str">
        <f t="array" ref="J488">IF(ISERROR(G488/I488),"",G488/I488)</f>
        <v/>
      </c>
      <c r="K488" s="373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381"/>
      <c r="P488" s="381"/>
      <c r="Q488" s="381"/>
      <c r="R488" s="381"/>
      <c r="S488" s="381"/>
      <c r="T488" s="381"/>
      <c r="U488" s="381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379"/>
      <c r="D489" s="108">
        <v>6.58</v>
      </c>
      <c r="E489" s="108"/>
      <c r="F489" s="127"/>
      <c r="G489" s="128"/>
      <c r="H489" s="373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381"/>
      <c r="P489" s="381"/>
      <c r="Q489" s="381"/>
      <c r="R489" s="381"/>
      <c r="S489" s="381"/>
      <c r="T489" s="381"/>
      <c r="U489" s="381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379"/>
      <c r="D490" s="108">
        <v>7.8</v>
      </c>
      <c r="E490" s="108"/>
      <c r="F490" s="127"/>
      <c r="G490" s="128"/>
      <c r="H490" s="373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381"/>
      <c r="P490" s="381"/>
      <c r="Q490" s="381"/>
      <c r="R490" s="381"/>
      <c r="S490" s="381"/>
      <c r="T490" s="381"/>
      <c r="U490" s="381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379"/>
      <c r="D491" s="108">
        <v>4.4000000000000004</v>
      </c>
      <c r="E491" s="108"/>
      <c r="F491" s="127"/>
      <c r="G491" s="128"/>
      <c r="H491" s="373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381"/>
      <c r="P491" s="381"/>
      <c r="Q491" s="381"/>
      <c r="R491" s="381"/>
      <c r="S491" s="381"/>
      <c r="T491" s="381"/>
      <c r="U491" s="381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373">
        <f t="shared" si="223"/>
        <v>0</v>
      </c>
      <c r="I492" s="129"/>
      <c r="J492" s="130"/>
      <c r="K492" s="131"/>
      <c r="L492" s="129"/>
      <c r="M492" s="109"/>
      <c r="N492" s="130"/>
      <c r="O492" s="381"/>
      <c r="P492" s="381"/>
      <c r="Q492" s="381"/>
      <c r="R492" s="381"/>
      <c r="S492" s="381"/>
      <c r="T492" s="381"/>
      <c r="U492" s="381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379"/>
      <c r="D493" s="108"/>
      <c r="E493" s="108"/>
      <c r="F493" s="127"/>
      <c r="G493" s="128"/>
      <c r="H493" s="373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381"/>
      <c r="P493" s="381"/>
      <c r="Q493" s="381"/>
      <c r="R493" s="381"/>
      <c r="S493" s="381"/>
      <c r="T493" s="381"/>
      <c r="U493" s="381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379" t="s">
        <v>239</v>
      </c>
      <c r="C494" s="379" t="s">
        <v>179</v>
      </c>
      <c r="D494" s="108">
        <v>6.04</v>
      </c>
      <c r="E494" s="108"/>
      <c r="F494" s="127"/>
      <c r="G494" s="128"/>
      <c r="H494" s="373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381"/>
      <c r="P494" s="381"/>
      <c r="Q494" s="381"/>
      <c r="R494" s="381"/>
      <c r="S494" s="381"/>
      <c r="T494" s="381"/>
      <c r="U494" s="381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379" t="s">
        <v>239</v>
      </c>
      <c r="C495" s="379" t="s">
        <v>186</v>
      </c>
      <c r="D495" s="108">
        <v>6.04</v>
      </c>
      <c r="E495" s="108"/>
      <c r="F495" s="127"/>
      <c r="G495" s="128"/>
      <c r="H495" s="373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381"/>
      <c r="P495" s="381"/>
      <c r="Q495" s="381"/>
      <c r="R495" s="381"/>
      <c r="S495" s="381"/>
      <c r="T495" s="381"/>
      <c r="U495" s="381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379" t="s">
        <v>443</v>
      </c>
      <c r="C496" s="379" t="s">
        <v>179</v>
      </c>
      <c r="D496" s="108"/>
      <c r="E496" s="108"/>
      <c r="F496" s="127"/>
      <c r="G496" s="128"/>
      <c r="H496" s="373">
        <f t="shared" si="223"/>
        <v>0</v>
      </c>
      <c r="I496" s="129"/>
      <c r="J496" s="130"/>
      <c r="K496" s="131"/>
      <c r="L496" s="129"/>
      <c r="M496" s="109"/>
      <c r="N496" s="130"/>
      <c r="O496" s="381"/>
      <c r="P496" s="381"/>
      <c r="Q496" s="381"/>
      <c r="R496" s="381"/>
      <c r="S496" s="381"/>
      <c r="T496" s="381"/>
      <c r="U496" s="381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379" t="s">
        <v>443</v>
      </c>
      <c r="C497" s="379" t="s">
        <v>186</v>
      </c>
      <c r="D497" s="108"/>
      <c r="E497" s="108"/>
      <c r="F497" s="127"/>
      <c r="G497" s="128"/>
      <c r="H497" s="373">
        <f t="shared" si="223"/>
        <v>0</v>
      </c>
      <c r="I497" s="129"/>
      <c r="J497" s="130"/>
      <c r="K497" s="131"/>
      <c r="L497" s="129"/>
      <c r="M497" s="109"/>
      <c r="N497" s="130"/>
      <c r="O497" s="381"/>
      <c r="P497" s="381"/>
      <c r="Q497" s="381"/>
      <c r="R497" s="381"/>
      <c r="S497" s="381"/>
      <c r="T497" s="381"/>
      <c r="U497" s="381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372" t="s">
        <v>240</v>
      </c>
      <c r="C498" s="126"/>
      <c r="D498" s="108">
        <v>7.3</v>
      </c>
      <c r="E498" s="108"/>
      <c r="F498" s="127"/>
      <c r="G498" s="128"/>
      <c r="H498" s="373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381"/>
      <c r="P498" s="381"/>
      <c r="Q498" s="381"/>
      <c r="R498" s="381"/>
      <c r="S498" s="381"/>
      <c r="T498" s="381"/>
      <c r="U498" s="381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372" t="s">
        <v>241</v>
      </c>
      <c r="C499" s="126"/>
      <c r="D499" s="108">
        <f>78*120/1000</f>
        <v>9.36</v>
      </c>
      <c r="E499" s="108"/>
      <c r="F499" s="127"/>
      <c r="G499" s="128"/>
      <c r="H499" s="373">
        <f t="shared" si="223"/>
        <v>0</v>
      </c>
      <c r="I499" s="129"/>
      <c r="J499" s="130"/>
      <c r="K499" s="131"/>
      <c r="L499" s="129"/>
      <c r="M499" s="109"/>
      <c r="N499" s="130"/>
      <c r="O499" s="381"/>
      <c r="P499" s="381"/>
      <c r="Q499" s="381"/>
      <c r="R499" s="381"/>
      <c r="S499" s="381"/>
      <c r="T499" s="381"/>
      <c r="U499" s="381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372" t="s">
        <v>242</v>
      </c>
      <c r="C500" s="126"/>
      <c r="D500" s="108">
        <v>4.5</v>
      </c>
      <c r="E500" s="108"/>
      <c r="F500" s="127"/>
      <c r="G500" s="128"/>
      <c r="H500" s="373">
        <f t="shared" si="223"/>
        <v>0</v>
      </c>
      <c r="I500" s="129"/>
      <c r="J500" s="130"/>
      <c r="K500" s="131"/>
      <c r="L500" s="129"/>
      <c r="M500" s="109"/>
      <c r="N500" s="130"/>
      <c r="O500" s="381"/>
      <c r="P500" s="381"/>
      <c r="Q500" s="381"/>
      <c r="R500" s="381"/>
      <c r="S500" s="381"/>
      <c r="T500" s="381"/>
      <c r="U500" s="381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372" t="s">
        <v>243</v>
      </c>
      <c r="C501" s="126"/>
      <c r="D501" s="108">
        <v>4.5</v>
      </c>
      <c r="E501" s="108"/>
      <c r="F501" s="127"/>
      <c r="G501" s="128"/>
      <c r="H501" s="373">
        <f t="shared" si="223"/>
        <v>0</v>
      </c>
      <c r="I501" s="129"/>
      <c r="J501" s="130"/>
      <c r="K501" s="131"/>
      <c r="L501" s="129"/>
      <c r="M501" s="109"/>
      <c r="N501" s="130"/>
      <c r="O501" s="381"/>
      <c r="P501" s="381"/>
      <c r="Q501" s="381"/>
      <c r="R501" s="381"/>
      <c r="S501" s="381"/>
      <c r="T501" s="381"/>
      <c r="U501" s="381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372"/>
      <c r="C502" s="126"/>
      <c r="D502" s="108"/>
      <c r="E502" s="108"/>
      <c r="F502" s="127"/>
      <c r="G502" s="128"/>
      <c r="H502" s="373">
        <f t="shared" si="223"/>
        <v>0</v>
      </c>
      <c r="I502" s="129"/>
      <c r="J502" s="130"/>
      <c r="K502" s="131"/>
      <c r="L502" s="129"/>
      <c r="M502" s="109"/>
      <c r="N502" s="130"/>
      <c r="O502" s="381"/>
      <c r="P502" s="381"/>
      <c r="Q502" s="381"/>
      <c r="R502" s="381"/>
      <c r="S502" s="381"/>
      <c r="T502" s="381"/>
      <c r="U502" s="381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30" t="s">
        <v>244</v>
      </c>
      <c r="B503" s="631"/>
      <c r="C503" s="382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632" t="s">
        <v>246</v>
      </c>
      <c r="B504" s="633"/>
      <c r="C504" s="633"/>
      <c r="D504" s="633"/>
      <c r="E504" s="633"/>
      <c r="F504" s="634"/>
      <c r="G504" s="154">
        <f>SUM(G368,G426,G461,G477,G487,G503)</f>
        <v>0</v>
      </c>
      <c r="H504" s="154">
        <f>SUM(H368,H426,H461,H477,H487,H503)</f>
        <v>0</v>
      </c>
      <c r="I504" s="154">
        <f>SUM(I368,I426,I461,I477,I487,I503)</f>
        <v>0</v>
      </c>
      <c r="J504" s="155" t="str">
        <f t="array" ref="J504">IF(ISERROR(G504/I504),"",G504/I504)</f>
        <v/>
      </c>
      <c r="K504" s="154">
        <f>SUM(K368,K426,K461,K477,K487,K503)</f>
        <v>0</v>
      </c>
      <c r="L504" s="155" t="str">
        <f>IF(ISERROR(G504/K504),"",G504/K504)</f>
        <v/>
      </c>
      <c r="M504" s="154">
        <f t="shared" ref="M504:V504" si="236">SUM(M368,M426,M461,M477,M487,M503)</f>
        <v>0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 t="str">
        <f t="shared" ref="W504" si="237">IF(ISERROR(V504/G504),"",V504/G504)</f>
        <v/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35" t="s">
        <v>476</v>
      </c>
      <c r="B505" s="375" t="s">
        <v>247</v>
      </c>
      <c r="C505" s="638" t="s">
        <v>248</v>
      </c>
      <c r="D505" s="639"/>
      <c r="E505" s="640" t="s">
        <v>249</v>
      </c>
      <c r="F505" s="640"/>
      <c r="G505" s="643" t="s">
        <v>250</v>
      </c>
      <c r="H505" s="643"/>
      <c r="I505" s="640" t="s">
        <v>251</v>
      </c>
      <c r="J505" s="640"/>
      <c r="K505" s="640" t="s">
        <v>252</v>
      </c>
      <c r="L505" s="640"/>
      <c r="M505" s="640" t="s">
        <v>253</v>
      </c>
      <c r="N505" s="640"/>
      <c r="O505" s="640" t="s">
        <v>254</v>
      </c>
      <c r="P505" s="643" t="s">
        <v>255</v>
      </c>
      <c r="Q505" s="643"/>
      <c r="R505" s="643" t="s">
        <v>252</v>
      </c>
      <c r="S505" s="643"/>
      <c r="T505" s="643" t="s">
        <v>256</v>
      </c>
      <c r="U505" s="643"/>
      <c r="V505" s="643" t="s">
        <v>257</v>
      </c>
      <c r="W505" s="643"/>
      <c r="X505" s="643" t="s">
        <v>252</v>
      </c>
      <c r="Y505" s="643"/>
      <c r="Z505" s="643" t="s">
        <v>256</v>
      </c>
      <c r="AA505" s="643"/>
    </row>
    <row r="506" spans="1:27" ht="20.100000000000001" customHeight="1">
      <c r="A506" s="636"/>
      <c r="B506" s="375" t="s">
        <v>258</v>
      </c>
      <c r="C506" s="638">
        <v>0</v>
      </c>
      <c r="D506" s="639"/>
      <c r="E506" s="642">
        <f>C506*11</f>
        <v>0</v>
      </c>
      <c r="F506" s="642"/>
      <c r="G506" s="643">
        <v>0</v>
      </c>
      <c r="H506" s="643"/>
      <c r="I506" s="642">
        <f>G506*11</f>
        <v>0</v>
      </c>
      <c r="J506" s="642"/>
      <c r="K506" s="642">
        <f>E506-I506</f>
        <v>0</v>
      </c>
      <c r="L506" s="642"/>
      <c r="M506" s="644" t="str">
        <f>IF(ISERROR(K506/E506),"",K506/E506)</f>
        <v/>
      </c>
      <c r="N506" s="644"/>
      <c r="O506" s="640"/>
      <c r="P506" s="643" t="s">
        <v>201</v>
      </c>
      <c r="Q506" s="643"/>
      <c r="R506" s="645">
        <f>SUM(O368:U368)</f>
        <v>0</v>
      </c>
      <c r="S506" s="645"/>
      <c r="T506" s="646" t="str">
        <f t="array" ref="T506">IF(ISERROR(R506/R513),"",R506/R513)</f>
        <v/>
      </c>
      <c r="U506" s="646"/>
      <c r="V506" s="643" t="s">
        <v>259</v>
      </c>
      <c r="W506" s="643"/>
      <c r="X506" s="647">
        <f>SUM(O368,O426,O461,O477,O487,O503)</f>
        <v>0</v>
      </c>
      <c r="Y506" s="647"/>
      <c r="Z506" s="646" t="str">
        <f t="array" ref="Z506">IF(ISERROR(X506/X513),"",X506/X513)</f>
        <v/>
      </c>
      <c r="AA506" s="646"/>
    </row>
    <row r="507" spans="1:27" ht="20.100000000000001" customHeight="1">
      <c r="A507" s="636"/>
      <c r="B507" s="375" t="s">
        <v>260</v>
      </c>
      <c r="C507" s="638">
        <v>0</v>
      </c>
      <c r="D507" s="639"/>
      <c r="E507" s="642">
        <f>C507*11</f>
        <v>0</v>
      </c>
      <c r="F507" s="642"/>
      <c r="G507" s="643">
        <v>0</v>
      </c>
      <c r="H507" s="643"/>
      <c r="I507" s="642">
        <f>G507*11</f>
        <v>0</v>
      </c>
      <c r="J507" s="642"/>
      <c r="K507" s="642">
        <f>E507-I507</f>
        <v>0</v>
      </c>
      <c r="L507" s="642"/>
      <c r="M507" s="644" t="str">
        <f>IF(ISERROR(K507/E507),"",K507/E507)</f>
        <v/>
      </c>
      <c r="N507" s="644"/>
      <c r="O507" s="640"/>
      <c r="P507" s="643" t="s">
        <v>216</v>
      </c>
      <c r="Q507" s="643"/>
      <c r="R507" s="645">
        <f>SUM(O426:U426)</f>
        <v>0</v>
      </c>
      <c r="S507" s="645"/>
      <c r="T507" s="646" t="str">
        <f>IF(ISERROR(R507/R513),"",R507/R513)</f>
        <v/>
      </c>
      <c r="U507" s="646"/>
      <c r="V507" s="643" t="s">
        <v>261</v>
      </c>
      <c r="W507" s="643"/>
      <c r="X507" s="647">
        <f>SUM(O369,O427,O462,O478,O488,O504)</f>
        <v>0</v>
      </c>
      <c r="Y507" s="647"/>
      <c r="Z507" s="646" t="str">
        <f>IF(ISERROR(X507/X513),"",X507/X513)</f>
        <v/>
      </c>
      <c r="AA507" s="646"/>
    </row>
    <row r="508" spans="1:27" ht="20.100000000000001" customHeight="1">
      <c r="A508" s="636"/>
      <c r="B508" s="375" t="s">
        <v>262</v>
      </c>
      <c r="C508" s="638">
        <v>0</v>
      </c>
      <c r="D508" s="639"/>
      <c r="E508" s="642">
        <f>C508*11</f>
        <v>0</v>
      </c>
      <c r="F508" s="642"/>
      <c r="G508" s="643">
        <v>0</v>
      </c>
      <c r="H508" s="643"/>
      <c r="I508" s="642">
        <f>G508*11</f>
        <v>0</v>
      </c>
      <c r="J508" s="642"/>
      <c r="K508" s="642">
        <f>E508-I508</f>
        <v>0</v>
      </c>
      <c r="L508" s="642"/>
      <c r="M508" s="644" t="str">
        <f>IF(ISERROR(K508/E508),"",K508/E508)</f>
        <v/>
      </c>
      <c r="N508" s="644"/>
      <c r="O508" s="640"/>
      <c r="P508" s="643" t="s">
        <v>224</v>
      </c>
      <c r="Q508" s="643"/>
      <c r="R508" s="645">
        <f>SUM(O461:U461)</f>
        <v>0</v>
      </c>
      <c r="S508" s="645"/>
      <c r="T508" s="646" t="str">
        <f>IF(ISERROR(R508/R513),"",R508/R513)</f>
        <v/>
      </c>
      <c r="U508" s="646"/>
      <c r="V508" s="643" t="s">
        <v>263</v>
      </c>
      <c r="W508" s="643"/>
      <c r="X508" s="647">
        <f>SUM(O371,O428,O463,O479,O489,O505)</f>
        <v>0</v>
      </c>
      <c r="Y508" s="647"/>
      <c r="Z508" s="646" t="str">
        <f>IF(ISERROR(X508/X513),"",X508/X513)</f>
        <v/>
      </c>
      <c r="AA508" s="646"/>
    </row>
    <row r="509" spans="1:27" ht="20.100000000000001" customHeight="1">
      <c r="A509" s="636"/>
      <c r="B509" s="375" t="s">
        <v>264</v>
      </c>
      <c r="C509" s="638">
        <v>1</v>
      </c>
      <c r="D509" s="639"/>
      <c r="E509" s="642">
        <f>C509*11</f>
        <v>11</v>
      </c>
      <c r="F509" s="642"/>
      <c r="G509" s="643">
        <v>1</v>
      </c>
      <c r="H509" s="643"/>
      <c r="I509" s="642">
        <f>G509*11</f>
        <v>11</v>
      </c>
      <c r="J509" s="642"/>
      <c r="K509" s="642">
        <f>E509-I509</f>
        <v>0</v>
      </c>
      <c r="L509" s="642"/>
      <c r="M509" s="644">
        <f>IF(ISERROR(K509/E509),"",K509/E509)</f>
        <v>0</v>
      </c>
      <c r="N509" s="644"/>
      <c r="O509" s="640"/>
      <c r="P509" s="643" t="s">
        <v>231</v>
      </c>
      <c r="Q509" s="643"/>
      <c r="R509" s="645">
        <f>SUM(O477:U477)</f>
        <v>0</v>
      </c>
      <c r="S509" s="645"/>
      <c r="T509" s="646" t="str">
        <f>IF(ISERROR(R509/R513),"",R509/R513)</f>
        <v/>
      </c>
      <c r="U509" s="646"/>
      <c r="V509" s="643" t="s">
        <v>265</v>
      </c>
      <c r="W509" s="643"/>
      <c r="X509" s="647">
        <f>SUM(O372,O429,O464,O480,O490,O506)</f>
        <v>0</v>
      </c>
      <c r="Y509" s="647"/>
      <c r="Z509" s="646" t="str">
        <f>IF(ISERROR(X509/X513),"",X509/X513)</f>
        <v/>
      </c>
      <c r="AA509" s="646"/>
    </row>
    <row r="510" spans="1:27" ht="20.100000000000001" customHeight="1">
      <c r="A510" s="637"/>
      <c r="B510" s="375" t="s">
        <v>266</v>
      </c>
      <c r="C510" s="648">
        <f>SUM(C506:D509)</f>
        <v>1</v>
      </c>
      <c r="D510" s="649"/>
      <c r="E510" s="642">
        <f>SUM(E506:F509)</f>
        <v>11</v>
      </c>
      <c r="F510" s="642"/>
      <c r="G510" s="643">
        <f>SUM(G506:H509)</f>
        <v>1</v>
      </c>
      <c r="H510" s="643"/>
      <c r="I510" s="642">
        <f>SUM(I506:J509)</f>
        <v>11</v>
      </c>
      <c r="J510" s="642"/>
      <c r="K510" s="642">
        <f>SUM(K506:L509)</f>
        <v>0</v>
      </c>
      <c r="L510" s="642"/>
      <c r="M510" s="644">
        <f>IF(ISERROR(K510/E510),"",K510/E510)</f>
        <v>0</v>
      </c>
      <c r="N510" s="644"/>
      <c r="O510" s="640"/>
      <c r="P510" s="643" t="s">
        <v>234</v>
      </c>
      <c r="Q510" s="643"/>
      <c r="R510" s="645">
        <f>SUM(O487:U487)</f>
        <v>0</v>
      </c>
      <c r="S510" s="645"/>
      <c r="T510" s="646" t="str">
        <f>IF(ISERROR(R510/R513),"",R510/R513)</f>
        <v/>
      </c>
      <c r="U510" s="646"/>
      <c r="V510" s="643" t="s">
        <v>267</v>
      </c>
      <c r="W510" s="643"/>
      <c r="X510" s="647">
        <f>SUM(O373,O430,O465,O481,O491,O507)</f>
        <v>0</v>
      </c>
      <c r="Y510" s="647"/>
      <c r="Z510" s="646" t="str">
        <f>IF(ISERROR(X510/X513),"",X510/X513)</f>
        <v/>
      </c>
      <c r="AA510" s="646"/>
    </row>
    <row r="511" spans="1:27" ht="20.100000000000001" customHeight="1">
      <c r="A511" s="307" t="s">
        <v>477</v>
      </c>
      <c r="B511" s="375">
        <f>G504</f>
        <v>0</v>
      </c>
      <c r="C511" s="650" t="s">
        <v>269</v>
      </c>
      <c r="D511" s="651"/>
      <c r="E511" s="643">
        <f>H504</f>
        <v>0</v>
      </c>
      <c r="F511" s="643"/>
      <c r="G511" s="643" t="s">
        <v>270</v>
      </c>
      <c r="H511" s="643"/>
      <c r="I511" s="652" t="str">
        <f>L504</f>
        <v/>
      </c>
      <c r="J511" s="652"/>
      <c r="K511" s="640" t="s">
        <v>271</v>
      </c>
      <c r="L511" s="640"/>
      <c r="M511" s="652" t="str">
        <f>J504</f>
        <v/>
      </c>
      <c r="N511" s="652"/>
      <c r="O511" s="640"/>
      <c r="P511" s="643" t="s">
        <v>244</v>
      </c>
      <c r="Q511" s="643"/>
      <c r="R511" s="645">
        <f>SUM(O503:U503)</f>
        <v>0</v>
      </c>
      <c r="S511" s="645"/>
      <c r="T511" s="646" t="str">
        <f>IF(ISERROR(R511/R513),"",R511/R513)</f>
        <v/>
      </c>
      <c r="U511" s="646"/>
      <c r="V511" s="643" t="s">
        <v>272</v>
      </c>
      <c r="W511" s="643"/>
      <c r="X511" s="647">
        <f>SUM(O374,O431,O466,O482,O492,O508)</f>
        <v>0</v>
      </c>
      <c r="Y511" s="647"/>
      <c r="Z511" s="646" t="str">
        <f>IF(ISERROR(X511/X513),"",X511/X513)</f>
        <v/>
      </c>
      <c r="AA511" s="646"/>
    </row>
    <row r="512" spans="1:27" ht="20.100000000000001" customHeight="1">
      <c r="A512" s="308" t="s">
        <v>478</v>
      </c>
      <c r="B512" s="375">
        <f>I504+C510</f>
        <v>1</v>
      </c>
      <c r="C512" s="653" t="s">
        <v>251</v>
      </c>
      <c r="D512" s="654"/>
      <c r="E512" s="655">
        <f>K504+I510</f>
        <v>11</v>
      </c>
      <c r="F512" s="655"/>
      <c r="G512" s="643" t="s">
        <v>274</v>
      </c>
      <c r="H512" s="643"/>
      <c r="I512" s="652">
        <f>B512-E512</f>
        <v>-10</v>
      </c>
      <c r="J512" s="652"/>
      <c r="K512" s="640" t="s">
        <v>275</v>
      </c>
      <c r="L512" s="640"/>
      <c r="M512" s="644">
        <f>IF(ISERROR(I512/E512),"",I512/E512)</f>
        <v>-0.90909090909090906</v>
      </c>
      <c r="N512" s="644"/>
      <c r="O512" s="640"/>
      <c r="P512" s="643" t="s">
        <v>245</v>
      </c>
      <c r="Q512" s="643"/>
      <c r="R512" s="645"/>
      <c r="S512" s="645"/>
      <c r="T512" s="646" t="str">
        <f>IF(ISERROR(R512/R513),"",R512/R513)</f>
        <v/>
      </c>
      <c r="U512" s="646"/>
      <c r="V512" s="643" t="s">
        <v>264</v>
      </c>
      <c r="W512" s="643"/>
      <c r="X512" s="647">
        <f>SUM(O375,O432,O467,O486,O493,O509)</f>
        <v>0</v>
      </c>
      <c r="Y512" s="647"/>
      <c r="Z512" s="646" t="str">
        <f>IF(ISERROR(X512/X513),"",X512/X513)</f>
        <v/>
      </c>
      <c r="AA512" s="646"/>
    </row>
    <row r="513" spans="1:27" ht="20.100000000000001" customHeight="1">
      <c r="A513" s="308" t="s">
        <v>479</v>
      </c>
      <c r="B513" s="375">
        <f>N504</f>
        <v>0</v>
      </c>
      <c r="C513" s="653" t="s">
        <v>277</v>
      </c>
      <c r="D513" s="654"/>
      <c r="E513" s="646">
        <f>IF(ISERROR(B513/B512),"",B513/B512)</f>
        <v>0</v>
      </c>
      <c r="F513" s="646"/>
      <c r="G513" s="643" t="s">
        <v>278</v>
      </c>
      <c r="H513" s="643"/>
      <c r="I513" s="640">
        <f>V504</f>
        <v>0</v>
      </c>
      <c r="J513" s="640"/>
      <c r="K513" s="640" t="s">
        <v>279</v>
      </c>
      <c r="L513" s="640"/>
      <c r="M513" s="644" t="str">
        <f t="array" ref="M513">IF(ISERROR(I513/B511),"",I513/B511)</f>
        <v/>
      </c>
      <c r="N513" s="644"/>
      <c r="O513" s="640"/>
      <c r="P513" s="643" t="s">
        <v>266</v>
      </c>
      <c r="Q513" s="643"/>
      <c r="R513" s="645">
        <f>SUM(R506:S512)</f>
        <v>0</v>
      </c>
      <c r="S513" s="645"/>
      <c r="T513" s="646"/>
      <c r="U513" s="646"/>
      <c r="V513" s="643" t="s">
        <v>266</v>
      </c>
      <c r="W513" s="643"/>
      <c r="X513" s="647">
        <f>SUM(X506:Y512)</f>
        <v>0</v>
      </c>
      <c r="Y513" s="647"/>
      <c r="Z513" s="646"/>
      <c r="AA513" s="646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682" t="str">
        <f>IF(ISERROR(#REF!/#REF!),"",#REF!/#REF!)</f>
        <v/>
      </c>
      <c r="H514" s="682"/>
      <c r="I514" s="682"/>
      <c r="J514" s="125"/>
      <c r="K514" s="160"/>
      <c r="L514" s="122"/>
      <c r="M514" s="122"/>
      <c r="N514" s="682" t="str">
        <f>IF(ISERROR(G514/#REF!),"",G514/#REF!)</f>
        <v/>
      </c>
      <c r="O514" s="682"/>
      <c r="P514" s="682"/>
      <c r="Q514" s="682"/>
      <c r="R514" s="682"/>
      <c r="S514" s="376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685" t="s">
        <v>268</v>
      </c>
      <c r="B516" s="685"/>
      <c r="C516" s="638">
        <f>SUM(B170,B340,B511)</f>
        <v>4379</v>
      </c>
      <c r="D516" s="639"/>
      <c r="E516" s="685" t="s">
        <v>269</v>
      </c>
      <c r="F516" s="685"/>
      <c r="G516" s="655">
        <f>SUM(E170,E340,E511)</f>
        <v>21822.89</v>
      </c>
      <c r="H516" s="655"/>
      <c r="I516" s="643" t="s">
        <v>270</v>
      </c>
      <c r="J516" s="685"/>
      <c r="K516" s="638">
        <f>IF(ISERROR(C516/G517),"",C516/G517)</f>
        <v>14.841215724325043</v>
      </c>
      <c r="L516" s="639"/>
      <c r="M516" s="643" t="s">
        <v>271</v>
      </c>
      <c r="N516" s="643"/>
      <c r="O516" s="680">
        <f t="array" ref="O516">IF(ISERROR(C516/C517),"",C516/C517)</f>
        <v>10.685700341630064</v>
      </c>
      <c r="P516" s="681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643" t="s">
        <v>273</v>
      </c>
      <c r="B517" s="643"/>
      <c r="C517" s="638">
        <f>SUM(B171,B341,B512)</f>
        <v>409.8</v>
      </c>
      <c r="D517" s="639"/>
      <c r="E517" s="643" t="s">
        <v>251</v>
      </c>
      <c r="F517" s="643"/>
      <c r="G517" s="655">
        <f>SUM(E171,E341,E512)</f>
        <v>295.05669086277976</v>
      </c>
      <c r="H517" s="655"/>
      <c r="I517" s="653" t="s">
        <v>274</v>
      </c>
      <c r="J517" s="654"/>
      <c r="K517" s="650">
        <f>C517-G517</f>
        <v>114.74330913722025</v>
      </c>
      <c r="L517" s="651"/>
      <c r="M517" s="650" t="s">
        <v>275</v>
      </c>
      <c r="N517" s="651"/>
      <c r="O517" s="683">
        <f>IF(ISERROR(K517/C517),"",K517/C517)</f>
        <v>0.27999831414646231</v>
      </c>
      <c r="P517" s="684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653" t="s">
        <v>276</v>
      </c>
      <c r="B518" s="654"/>
      <c r="C518" s="638">
        <f>SUM(B172,B342,B513)</f>
        <v>0</v>
      </c>
      <c r="D518" s="639"/>
      <c r="E518" s="653" t="s">
        <v>277</v>
      </c>
      <c r="F518" s="654"/>
      <c r="G518" s="646">
        <f>IF(ISERROR(C518/C517),"",C518/C517)</f>
        <v>0</v>
      </c>
      <c r="H518" s="646"/>
      <c r="I518" s="643" t="s">
        <v>278</v>
      </c>
      <c r="J518" s="685"/>
      <c r="K518" s="655">
        <f>SUM(I172,I342,I513)</f>
        <v>0</v>
      </c>
      <c r="L518" s="655"/>
      <c r="M518" s="685" t="s">
        <v>279</v>
      </c>
      <c r="N518" s="685"/>
      <c r="O518" s="683">
        <f t="array" ref="O518">IF(ISERROR(K518/C516),"",K518/C516)</f>
        <v>0</v>
      </c>
      <c r="P518" s="684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376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653" t="s">
        <v>298</v>
      </c>
      <c r="B520" s="654"/>
      <c r="C520" s="653" t="s">
        <v>299</v>
      </c>
      <c r="D520" s="654"/>
      <c r="E520" s="653" t="s">
        <v>256</v>
      </c>
      <c r="F520" s="654"/>
      <c r="G520" s="686" t="s">
        <v>254</v>
      </c>
      <c r="H520" s="687"/>
      <c r="I520" s="653" t="s">
        <v>255</v>
      </c>
      <c r="J520" s="651"/>
      <c r="K520" s="653" t="s">
        <v>300</v>
      </c>
      <c r="L520" s="654"/>
      <c r="M520" s="653" t="s">
        <v>256</v>
      </c>
      <c r="N520" s="654"/>
      <c r="O520" s="643" t="s">
        <v>257</v>
      </c>
      <c r="P520" s="643"/>
      <c r="Q520" s="653" t="s">
        <v>300</v>
      </c>
      <c r="R520" s="654"/>
      <c r="S520" s="653" t="s">
        <v>256</v>
      </c>
      <c r="T520" s="654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692" t="s">
        <v>201</v>
      </c>
      <c r="B521" s="654"/>
      <c r="C521" s="653">
        <f>SUM(G28,G198,G368)</f>
        <v>0</v>
      </c>
      <c r="D521" s="654"/>
      <c r="E521" s="693">
        <f>IF(ISERROR(C521/C527),"",C521/C527)</f>
        <v>0</v>
      </c>
      <c r="F521" s="694"/>
      <c r="G521" s="688"/>
      <c r="H521" s="689"/>
      <c r="I521" s="695" t="s">
        <v>301</v>
      </c>
      <c r="J521" s="696"/>
      <c r="K521" s="650">
        <f t="shared" ref="K521:K526" si="238">SUM(R165,U335,U506)</f>
        <v>0</v>
      </c>
      <c r="L521" s="651"/>
      <c r="M521" s="693" t="str">
        <f t="array" ref="M521">IF(ISERROR(K521/K527),"",K521/K527)</f>
        <v/>
      </c>
      <c r="N521" s="694"/>
      <c r="O521" s="643" t="s">
        <v>259</v>
      </c>
      <c r="P521" s="643"/>
      <c r="Q521" s="680">
        <f t="shared" ref="Q521:Q526" si="239">SUM(X165,AA335,AA506)</f>
        <v>0</v>
      </c>
      <c r="R521" s="681"/>
      <c r="S521" s="693" t="str">
        <f t="array" ref="S521">IF(ISERROR(Q521/Q527),"",Q521/Q527)</f>
        <v/>
      </c>
      <c r="T521" s="694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692" t="s">
        <v>216</v>
      </c>
      <c r="B522" s="654"/>
      <c r="C522" s="653">
        <f>SUM(G86,G256,G426)</f>
        <v>0</v>
      </c>
      <c r="D522" s="654"/>
      <c r="E522" s="693">
        <f>IF(ISERROR(C522/C527),"",C522/C527)</f>
        <v>0</v>
      </c>
      <c r="F522" s="694"/>
      <c r="G522" s="688"/>
      <c r="H522" s="689"/>
      <c r="I522" s="695" t="s">
        <v>302</v>
      </c>
      <c r="J522" s="696"/>
      <c r="K522" s="650">
        <f t="shared" si="238"/>
        <v>0</v>
      </c>
      <c r="L522" s="651"/>
      <c r="M522" s="693" t="str">
        <f>IF(ISERROR(K522/K527),"",K522/K527)</f>
        <v/>
      </c>
      <c r="N522" s="694"/>
      <c r="O522" s="643" t="s">
        <v>261</v>
      </c>
      <c r="P522" s="643"/>
      <c r="Q522" s="680">
        <f t="shared" si="239"/>
        <v>0</v>
      </c>
      <c r="R522" s="681"/>
      <c r="S522" s="693" t="str">
        <f>IF(ISERROR(Q522/Q527),"",Q522/Q527)</f>
        <v/>
      </c>
      <c r="T522" s="694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692" t="s">
        <v>224</v>
      </c>
      <c r="B523" s="654"/>
      <c r="C523" s="653">
        <f>SUM(G121,G291,G461)</f>
        <v>2080</v>
      </c>
      <c r="D523" s="654"/>
      <c r="E523" s="693">
        <f>IF(ISERROR(C523/C527),"",C523/C527)</f>
        <v>0.47499429093400319</v>
      </c>
      <c r="F523" s="694"/>
      <c r="G523" s="688"/>
      <c r="H523" s="689"/>
      <c r="I523" s="695" t="s">
        <v>303</v>
      </c>
      <c r="J523" s="696"/>
      <c r="K523" s="650">
        <f t="shared" si="238"/>
        <v>0</v>
      </c>
      <c r="L523" s="651"/>
      <c r="M523" s="693" t="str">
        <f>IF(ISERROR(K523/K527),"",K523/K527)</f>
        <v/>
      </c>
      <c r="N523" s="694"/>
      <c r="O523" s="643" t="s">
        <v>263</v>
      </c>
      <c r="P523" s="643"/>
      <c r="Q523" s="680">
        <f t="shared" si="239"/>
        <v>0</v>
      </c>
      <c r="R523" s="681"/>
      <c r="S523" s="693" t="str">
        <f>IF(ISERROR(Q523/Q527),"",Q523/Q527)</f>
        <v/>
      </c>
      <c r="T523" s="694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692" t="s">
        <v>231</v>
      </c>
      <c r="B524" s="654"/>
      <c r="C524" s="653">
        <f>SUM(G137,G307,G477)</f>
        <v>0</v>
      </c>
      <c r="D524" s="654"/>
      <c r="E524" s="693">
        <f>IF(ISERROR(C524/C527),"",C524/C527)</f>
        <v>0</v>
      </c>
      <c r="F524" s="694"/>
      <c r="G524" s="688"/>
      <c r="H524" s="689"/>
      <c r="I524" s="695" t="s">
        <v>304</v>
      </c>
      <c r="J524" s="696"/>
      <c r="K524" s="650">
        <f t="shared" si="238"/>
        <v>0</v>
      </c>
      <c r="L524" s="651"/>
      <c r="M524" s="693" t="str">
        <f>IF(ISERROR(K524/K527),"",K524/K527)</f>
        <v/>
      </c>
      <c r="N524" s="694"/>
      <c r="O524" s="643" t="s">
        <v>305</v>
      </c>
      <c r="P524" s="643"/>
      <c r="Q524" s="680">
        <f t="shared" si="239"/>
        <v>0</v>
      </c>
      <c r="R524" s="681"/>
      <c r="S524" s="693" t="str">
        <f>IF(ISERROR(Q524/Q527),"",Q524/Q527)</f>
        <v/>
      </c>
      <c r="T524" s="694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92" t="s">
        <v>234</v>
      </c>
      <c r="B525" s="654"/>
      <c r="C525" s="653">
        <f>SUM(G147,G317,G487)</f>
        <v>1816</v>
      </c>
      <c r="D525" s="654"/>
      <c r="E525" s="693">
        <f>IF(ISERROR(C525/C527),"",C525/C527)</f>
        <v>0.41470655400776435</v>
      </c>
      <c r="F525" s="694"/>
      <c r="G525" s="688"/>
      <c r="H525" s="689"/>
      <c r="I525" s="695" t="s">
        <v>306</v>
      </c>
      <c r="J525" s="696"/>
      <c r="K525" s="650">
        <f t="shared" si="238"/>
        <v>0</v>
      </c>
      <c r="L525" s="651"/>
      <c r="M525" s="693" t="str">
        <f>IF(ISERROR(K525/K527),"",K525/K527)</f>
        <v/>
      </c>
      <c r="N525" s="694"/>
      <c r="O525" s="643" t="s">
        <v>267</v>
      </c>
      <c r="P525" s="643"/>
      <c r="Q525" s="680">
        <f t="shared" si="239"/>
        <v>0</v>
      </c>
      <c r="R525" s="681"/>
      <c r="S525" s="693" t="str">
        <f>IF(ISERROR(Q525/Q527),"",Q525/Q527)</f>
        <v/>
      </c>
      <c r="T525" s="694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92" t="s">
        <v>244</v>
      </c>
      <c r="B526" s="654"/>
      <c r="C526" s="653">
        <f>SUM(G162,G332,G503)</f>
        <v>483</v>
      </c>
      <c r="D526" s="654"/>
      <c r="E526" s="693">
        <f>IF(ISERROR(C526/C527),"",C526/C527)</f>
        <v>0.11029915505823247</v>
      </c>
      <c r="F526" s="694"/>
      <c r="G526" s="688"/>
      <c r="H526" s="689"/>
      <c r="I526" s="695" t="s">
        <v>307</v>
      </c>
      <c r="J526" s="696"/>
      <c r="K526" s="650">
        <f t="shared" si="238"/>
        <v>0</v>
      </c>
      <c r="L526" s="651"/>
      <c r="M526" s="693" t="str">
        <f>IF(ISERROR(K526/K527),"",K526/K527)</f>
        <v/>
      </c>
      <c r="N526" s="694"/>
      <c r="O526" s="643" t="s">
        <v>272</v>
      </c>
      <c r="P526" s="643"/>
      <c r="Q526" s="680">
        <f t="shared" si="239"/>
        <v>0</v>
      </c>
      <c r="R526" s="681"/>
      <c r="S526" s="693" t="str">
        <f>IF(ISERROR(Q526/Q527),"",Q526/Q527)</f>
        <v/>
      </c>
      <c r="T526" s="694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53" t="s">
        <v>266</v>
      </c>
      <c r="B527" s="654"/>
      <c r="C527" s="653">
        <f>SUM(C521:C526)</f>
        <v>4379</v>
      </c>
      <c r="D527" s="654"/>
      <c r="E527" s="693">
        <f>SUM(E521:F526)</f>
        <v>1</v>
      </c>
      <c r="F527" s="694"/>
      <c r="G527" s="690"/>
      <c r="H527" s="691"/>
      <c r="I527" s="653" t="s">
        <v>266</v>
      </c>
      <c r="J527" s="651"/>
      <c r="K527" s="650">
        <f>SUM(R172,U342,U513)</f>
        <v>0</v>
      </c>
      <c r="L527" s="651"/>
      <c r="M527" s="693"/>
      <c r="N527" s="694"/>
      <c r="O527" s="643" t="s">
        <v>266</v>
      </c>
      <c r="P527" s="643"/>
      <c r="Q527" s="680">
        <f>SUM(Q521:R526)</f>
        <v>0</v>
      </c>
      <c r="R527" s="681"/>
      <c r="S527" s="693">
        <f>SUM(S521:T526)</f>
        <v>0</v>
      </c>
      <c r="T527" s="694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695" t="s">
        <v>308</v>
      </c>
      <c r="B529" s="649"/>
      <c r="C529" s="379" t="s">
        <v>309</v>
      </c>
      <c r="D529" s="379" t="s">
        <v>310</v>
      </c>
      <c r="E529" s="379" t="s">
        <v>311</v>
      </c>
      <c r="F529" s="379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381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373" t="s">
        <v>322</v>
      </c>
      <c r="Q529" s="129" t="s">
        <v>323</v>
      </c>
      <c r="R529" s="109" t="s">
        <v>324</v>
      </c>
      <c r="S529" s="379" t="s">
        <v>325</v>
      </c>
      <c r="T529" s="379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697" t="s">
        <v>327</v>
      </c>
      <c r="B530" s="698"/>
      <c r="C530" s="106">
        <f>D530+E530+F530-G530-O530-P530</f>
        <v>31</v>
      </c>
      <c r="D530" s="106">
        <v>31</v>
      </c>
      <c r="E530" s="106"/>
      <c r="F530" s="106"/>
      <c r="G530" s="107"/>
      <c r="H530" s="106"/>
      <c r="I530" s="106"/>
      <c r="J530" s="106">
        <f>C530-H530-I530</f>
        <v>31</v>
      </c>
      <c r="K530" s="106"/>
      <c r="L530" s="106"/>
      <c r="M530" s="106"/>
      <c r="N530" s="106"/>
      <c r="O530" s="106"/>
      <c r="P530" s="108"/>
      <c r="Q530" s="106">
        <f>J530-K530-L530</f>
        <v>31</v>
      </c>
      <c r="R530" s="109">
        <f>Q530*11-M530-N530</f>
        <v>341</v>
      </c>
      <c r="S530" s="380">
        <f t="array" ref="S530">IF(ISERROR(Q530/J530),"",Q530/J530)</f>
        <v>1</v>
      </c>
      <c r="T530" s="380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697" t="s">
        <v>328</v>
      </c>
      <c r="B531" s="698"/>
      <c r="C531" s="106">
        <f>D531+E531+F531-G531-O531-P531</f>
        <v>30</v>
      </c>
      <c r="D531" s="110">
        <v>30</v>
      </c>
      <c r="E531" s="110"/>
      <c r="F531" s="110"/>
      <c r="G531" s="107"/>
      <c r="H531" s="106">
        <v>1</v>
      </c>
      <c r="I531" s="106"/>
      <c r="J531" s="106">
        <f>C531-H531-I531</f>
        <v>29</v>
      </c>
      <c r="K531" s="106"/>
      <c r="L531" s="106"/>
      <c r="M531" s="106"/>
      <c r="N531" s="106"/>
      <c r="O531" s="110"/>
      <c r="P531" s="111"/>
      <c r="Q531" s="106">
        <f>J531-K531-L531</f>
        <v>29</v>
      </c>
      <c r="R531" s="109">
        <f>Q531*11-M531-N531</f>
        <v>319</v>
      </c>
      <c r="S531" s="380">
        <f t="array" ref="S531">IF(ISERROR(Q531/J531),"",Q531/J531)</f>
        <v>1</v>
      </c>
      <c r="T531" s="380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697" t="s">
        <v>329</v>
      </c>
      <c r="B532" s="698"/>
      <c r="C532" s="106">
        <f>D532+E532+F532-G532-O532-P532</f>
        <v>10</v>
      </c>
      <c r="D532" s="110">
        <v>10</v>
      </c>
      <c r="E532" s="110"/>
      <c r="F532" s="110"/>
      <c r="G532" s="107"/>
      <c r="H532" s="106">
        <v>10</v>
      </c>
      <c r="I532" s="106"/>
      <c r="J532" s="106">
        <f>C532-H532-I532</f>
        <v>0</v>
      </c>
      <c r="K532" s="106"/>
      <c r="L532" s="106"/>
      <c r="M532" s="106"/>
      <c r="N532" s="106"/>
      <c r="O532" s="110"/>
      <c r="P532" s="111"/>
      <c r="Q532" s="106">
        <f>J532-K532-L532</f>
        <v>0</v>
      </c>
      <c r="R532" s="109">
        <f>Q532*11-M532-N532</f>
        <v>0</v>
      </c>
      <c r="S532" s="380" t="str">
        <f t="array" ref="S532">IF(ISERROR(Q532/J532),"",Q532/J532)</f>
        <v/>
      </c>
      <c r="T532" s="380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699" t="s">
        <v>330</v>
      </c>
      <c r="B533" s="700"/>
      <c r="C533" s="112">
        <f>SUM(C530:C532)</f>
        <v>71</v>
      </c>
      <c r="D533" s="112">
        <f t="shared" ref="D533:N533" si="240">SUM(D530:D532)</f>
        <v>71</v>
      </c>
      <c r="E533" s="112">
        <f t="shared" si="240"/>
        <v>0</v>
      </c>
      <c r="F533" s="112">
        <f t="shared" si="240"/>
        <v>0</v>
      </c>
      <c r="G533" s="113">
        <f t="shared" si="240"/>
        <v>0</v>
      </c>
      <c r="H533" s="112">
        <f t="shared" si="240"/>
        <v>11</v>
      </c>
      <c r="I533" s="112">
        <f t="shared" si="240"/>
        <v>0</v>
      </c>
      <c r="J533" s="112">
        <f t="shared" si="240"/>
        <v>60</v>
      </c>
      <c r="K533" s="112">
        <f t="shared" si="240"/>
        <v>0</v>
      </c>
      <c r="L533" s="112">
        <f t="shared" si="240"/>
        <v>0</v>
      </c>
      <c r="M533" s="112">
        <f t="shared" si="240"/>
        <v>0</v>
      </c>
      <c r="N533" s="112">
        <f t="shared" si="240"/>
        <v>0</v>
      </c>
      <c r="O533" s="112">
        <f>SUM(O530:O532)</f>
        <v>0</v>
      </c>
      <c r="P533" s="112">
        <f>SUM(P530:P532)</f>
        <v>0</v>
      </c>
      <c r="Q533" s="112">
        <f>SUM(Q530:Q532)</f>
        <v>60</v>
      </c>
      <c r="R533" s="114">
        <f>SUM(R530:R532)</f>
        <v>660</v>
      </c>
      <c r="S533" s="115">
        <f t="array" ref="S533">IF(ISERROR(Q533/J533),"",Q533/J533)</f>
        <v>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528" activePane="bottomRight" state="frozen"/>
      <selection activeCell="F484" sqref="F484"/>
      <selection pane="topRight" activeCell="F484" sqref="F484"/>
      <selection pane="bottomLeft" activeCell="F484" sqref="F484"/>
      <selection pane="bottomRight" activeCell="G531" sqref="G531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07" t="s">
        <v>413</v>
      </c>
      <c r="B1" s="607"/>
      <c r="C1" s="607"/>
      <c r="D1" s="607"/>
      <c r="E1" s="607"/>
      <c r="F1" s="607"/>
      <c r="G1" s="607"/>
      <c r="H1" s="607"/>
      <c r="I1" s="607"/>
      <c r="J1" s="607"/>
      <c r="K1" s="607"/>
      <c r="L1" s="607"/>
      <c r="M1" s="607"/>
      <c r="N1" s="607"/>
      <c r="O1" s="607"/>
      <c r="P1" s="607"/>
      <c r="Q1" s="607"/>
      <c r="R1" s="607"/>
      <c r="S1" s="607"/>
      <c r="T1" s="607"/>
      <c r="U1" s="607"/>
      <c r="V1" s="607"/>
      <c r="W1" s="607"/>
      <c r="X1" s="607"/>
      <c r="Y1" s="607"/>
      <c r="Z1" s="607"/>
      <c r="AA1" s="607"/>
    </row>
    <row r="2" spans="1:27" ht="18.75">
      <c r="A2" s="608"/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09" t="s">
        <v>12</v>
      </c>
      <c r="B4" s="609" t="s">
        <v>25</v>
      </c>
      <c r="C4" s="609" t="s">
        <v>26</v>
      </c>
      <c r="D4" s="609" t="s">
        <v>27</v>
      </c>
      <c r="E4" s="612" t="s">
        <v>28</v>
      </c>
      <c r="F4" s="615" t="s">
        <v>29</v>
      </c>
      <c r="G4" s="618" t="s">
        <v>30</v>
      </c>
      <c r="H4" s="618"/>
      <c r="I4" s="609" t="s">
        <v>31</v>
      </c>
      <c r="J4" s="621" t="s">
        <v>32</v>
      </c>
      <c r="K4" s="624" t="s">
        <v>33</v>
      </c>
      <c r="L4" s="609" t="s">
        <v>34</v>
      </c>
      <c r="M4" s="627" t="s">
        <v>35</v>
      </c>
      <c r="N4" s="629" t="s">
        <v>36</v>
      </c>
      <c r="O4" s="618" t="s">
        <v>37</v>
      </c>
      <c r="P4" s="618"/>
      <c r="Q4" s="618"/>
      <c r="R4" s="618"/>
      <c r="S4" s="618"/>
      <c r="T4" s="618"/>
      <c r="U4" s="618"/>
      <c r="V4" s="618" t="s">
        <v>38</v>
      </c>
      <c r="W4" s="629" t="s">
        <v>39</v>
      </c>
      <c r="X4" s="618" t="s">
        <v>40</v>
      </c>
      <c r="Y4" s="618"/>
      <c r="Z4" s="618"/>
      <c r="AA4" s="618"/>
    </row>
    <row r="5" spans="1:27" s="104" customFormat="1" ht="15" customHeight="1">
      <c r="A5" s="610"/>
      <c r="B5" s="610"/>
      <c r="C5" s="610"/>
      <c r="D5" s="610"/>
      <c r="E5" s="613"/>
      <c r="F5" s="616"/>
      <c r="G5" s="618"/>
      <c r="H5" s="618"/>
      <c r="I5" s="610"/>
      <c r="J5" s="622"/>
      <c r="K5" s="625"/>
      <c r="L5" s="610"/>
      <c r="M5" s="628"/>
      <c r="N5" s="629"/>
      <c r="O5" s="618" t="s">
        <v>41</v>
      </c>
      <c r="P5" s="618" t="s">
        <v>42</v>
      </c>
      <c r="Q5" s="618" t="s">
        <v>43</v>
      </c>
      <c r="R5" s="619" t="s">
        <v>44</v>
      </c>
      <c r="S5" s="620" t="s">
        <v>45</v>
      </c>
      <c r="T5" s="618" t="s">
        <v>46</v>
      </c>
      <c r="U5" s="618" t="s">
        <v>47</v>
      </c>
      <c r="V5" s="618"/>
      <c r="W5" s="629"/>
      <c r="X5" s="618" t="s">
        <v>13</v>
      </c>
      <c r="Y5" s="618" t="s">
        <v>48</v>
      </c>
      <c r="Z5" s="618" t="s">
        <v>49</v>
      </c>
      <c r="AA5" s="618" t="s">
        <v>47</v>
      </c>
    </row>
    <row r="6" spans="1:27" s="104" customFormat="1" ht="27.75" customHeight="1">
      <c r="A6" s="611"/>
      <c r="B6" s="611"/>
      <c r="C6" s="611"/>
      <c r="D6" s="611"/>
      <c r="E6" s="614"/>
      <c r="F6" s="617"/>
      <c r="G6" s="350" t="s">
        <v>50</v>
      </c>
      <c r="H6" s="594" t="s">
        <v>51</v>
      </c>
      <c r="I6" s="611"/>
      <c r="J6" s="623"/>
      <c r="K6" s="626"/>
      <c r="L6" s="611"/>
      <c r="M6" s="628"/>
      <c r="N6" s="629"/>
      <c r="O6" s="618"/>
      <c r="P6" s="618"/>
      <c r="Q6" s="618"/>
      <c r="R6" s="619"/>
      <c r="S6" s="620"/>
      <c r="T6" s="618"/>
      <c r="U6" s="618"/>
      <c r="V6" s="618"/>
      <c r="W6" s="629"/>
      <c r="X6" s="618"/>
      <c r="Y6" s="618"/>
      <c r="Z6" s="618"/>
      <c r="AA6" s="618"/>
    </row>
    <row r="7" spans="1:27" ht="20.100000000000001" hidden="1" customHeight="1">
      <c r="A7" s="299">
        <v>30100030</v>
      </c>
      <c r="B7" s="583" t="s">
        <v>178</v>
      </c>
      <c r="C7" s="126" t="s">
        <v>179</v>
      </c>
      <c r="D7" s="108">
        <v>5.03</v>
      </c>
      <c r="E7" s="108"/>
      <c r="F7" s="127"/>
      <c r="G7" s="128"/>
      <c r="H7" s="584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592"/>
      <c r="P7" s="592"/>
      <c r="Q7" s="592"/>
      <c r="R7" s="592"/>
      <c r="S7" s="592"/>
      <c r="T7" s="592"/>
      <c r="U7" s="592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584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592"/>
      <c r="Q8" s="592"/>
      <c r="R8" s="592"/>
      <c r="S8" s="592"/>
      <c r="T8" s="592"/>
      <c r="U8" s="592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584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592"/>
      <c r="P9" s="592"/>
      <c r="Q9" s="592"/>
      <c r="R9" s="592"/>
      <c r="S9" s="592"/>
      <c r="T9" s="592"/>
      <c r="U9" s="592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584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592"/>
      <c r="P10" s="592"/>
      <c r="Q10" s="592"/>
      <c r="R10" s="592"/>
      <c r="S10" s="592"/>
      <c r="T10" s="592"/>
      <c r="U10" s="592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584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592"/>
      <c r="P11" s="592"/>
      <c r="Q11" s="592"/>
      <c r="R11" s="592"/>
      <c r="S11" s="592"/>
      <c r="T11" s="592"/>
      <c r="U11" s="592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584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592"/>
      <c r="P12" s="592"/>
      <c r="Q12" s="592"/>
      <c r="R12" s="592"/>
      <c r="S12" s="592"/>
      <c r="T12" s="592"/>
      <c r="U12" s="592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584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592"/>
      <c r="P13" s="592"/>
      <c r="Q13" s="592"/>
      <c r="R13" s="592"/>
      <c r="S13" s="592"/>
      <c r="T13" s="592"/>
      <c r="U13" s="592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584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592"/>
      <c r="P14" s="592"/>
      <c r="Q14" s="592"/>
      <c r="R14" s="592"/>
      <c r="S14" s="592"/>
      <c r="T14" s="592"/>
      <c r="U14" s="592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584">
        <f t="shared" si="0"/>
        <v>0</v>
      </c>
      <c r="I15" s="584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592"/>
      <c r="P15" s="592"/>
      <c r="Q15" s="592"/>
      <c r="R15" s="592"/>
      <c r="S15" s="592"/>
      <c r="T15" s="592"/>
      <c r="U15" s="592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39">
        <v>42725</v>
      </c>
      <c r="G16" s="128">
        <f>93+100*5</f>
        <v>593</v>
      </c>
      <c r="H16" s="584">
        <f t="shared" si="0"/>
        <v>2988.72</v>
      </c>
      <c r="I16" s="584">
        <f>9*5</f>
        <v>45</v>
      </c>
      <c r="J16" s="130">
        <f t="array" ref="J16">IF(ISERROR(G16/I16),"",G16/I16)</f>
        <v>13.177777777777777</v>
      </c>
      <c r="K16" s="131">
        <f t="array" ref="K16">IF(ISERROR(G16/L16),"",G16/L16)</f>
        <v>34.882352941176471</v>
      </c>
      <c r="L16" s="129">
        <v>17</v>
      </c>
      <c r="M16" s="109">
        <f t="shared" si="1"/>
        <v>10.117647058823529</v>
      </c>
      <c r="N16" s="130">
        <f t="shared" si="4"/>
        <v>0</v>
      </c>
      <c r="O16" s="592"/>
      <c r="P16" s="592"/>
      <c r="Q16" s="592"/>
      <c r="R16" s="592"/>
      <c r="S16" s="592"/>
      <c r="T16" s="592"/>
      <c r="U16" s="592"/>
      <c r="V16" s="132">
        <f>SUM(X16:AA16)</f>
        <v>0</v>
      </c>
      <c r="W16" s="133">
        <f>IF(ISERROR(V16/G16),"",V16/G16)</f>
        <v>0</v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584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592"/>
      <c r="P17" s="592"/>
      <c r="Q17" s="592"/>
      <c r="R17" s="592"/>
      <c r="S17" s="592"/>
      <c r="T17" s="592"/>
      <c r="U17" s="592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584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592"/>
      <c r="P18" s="592"/>
      <c r="Q18" s="592"/>
      <c r="R18" s="592"/>
      <c r="S18" s="592"/>
      <c r="T18" s="592"/>
      <c r="U18" s="592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584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592"/>
      <c r="P19" s="592"/>
      <c r="Q19" s="592"/>
      <c r="R19" s="592"/>
      <c r="S19" s="592"/>
      <c r="T19" s="592"/>
      <c r="U19" s="592"/>
      <c r="V19" s="132">
        <f t="shared" ref="V19:V21" si="5">SUM(X19:AA19)</f>
        <v>0</v>
      </c>
      <c r="W19" s="585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584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592"/>
      <c r="P20" s="592"/>
      <c r="Q20" s="592"/>
      <c r="R20" s="592"/>
      <c r="S20" s="592"/>
      <c r="T20" s="592"/>
      <c r="U20" s="592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584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592"/>
      <c r="P21" s="592"/>
      <c r="Q21" s="592"/>
      <c r="R21" s="592"/>
      <c r="S21" s="592"/>
      <c r="T21" s="592"/>
      <c r="U21" s="592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590" t="s">
        <v>190</v>
      </c>
      <c r="D22" s="108">
        <v>4.8</v>
      </c>
      <c r="E22" s="108"/>
      <c r="F22" s="127"/>
      <c r="G22" s="128"/>
      <c r="H22" s="584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592"/>
      <c r="P22" s="592"/>
      <c r="Q22" s="592"/>
      <c r="R22" s="592"/>
      <c r="S22" s="592"/>
      <c r="T22" s="592"/>
      <c r="U22" s="592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590" t="s">
        <v>187</v>
      </c>
      <c r="D23" s="108">
        <v>4.8</v>
      </c>
      <c r="E23" s="108"/>
      <c r="F23" s="127"/>
      <c r="G23" s="128"/>
      <c r="H23" s="584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592"/>
      <c r="P23" s="592"/>
      <c r="Q23" s="592"/>
      <c r="R23" s="592"/>
      <c r="S23" s="592"/>
      <c r="T23" s="592"/>
      <c r="U23" s="592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590" t="s">
        <v>179</v>
      </c>
      <c r="D24" s="108">
        <v>4.8</v>
      </c>
      <c r="E24" s="108"/>
      <c r="F24" s="127"/>
      <c r="G24" s="128"/>
      <c r="H24" s="584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592"/>
      <c r="P24" s="592"/>
      <c r="Q24" s="592"/>
      <c r="R24" s="592"/>
      <c r="S24" s="592"/>
      <c r="T24" s="592"/>
      <c r="U24" s="592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590" t="s">
        <v>199</v>
      </c>
      <c r="D25" s="108">
        <v>4.8</v>
      </c>
      <c r="E25" s="108"/>
      <c r="F25" s="127"/>
      <c r="G25" s="128"/>
      <c r="H25" s="584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592"/>
      <c r="P25" s="592"/>
      <c r="Q25" s="592"/>
      <c r="R25" s="592"/>
      <c r="S25" s="592"/>
      <c r="T25" s="592"/>
      <c r="U25" s="592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584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592"/>
      <c r="P26" s="592"/>
      <c r="Q26" s="592"/>
      <c r="R26" s="592"/>
      <c r="S26" s="592"/>
      <c r="T26" s="592"/>
      <c r="U26" s="592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584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592"/>
      <c r="P27" s="592"/>
      <c r="Q27" s="592"/>
      <c r="R27" s="592"/>
      <c r="S27" s="592"/>
      <c r="T27" s="592"/>
      <c r="U27" s="592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30" t="s">
        <v>201</v>
      </c>
      <c r="B28" s="631"/>
      <c r="C28" s="593" t="s">
        <v>202</v>
      </c>
      <c r="D28" s="143"/>
      <c r="E28" s="143"/>
      <c r="F28" s="144"/>
      <c r="G28" s="145">
        <f>SUM(G7:G27)</f>
        <v>593</v>
      </c>
      <c r="H28" s="146">
        <f>SUM(H7:H27)</f>
        <v>2988.72</v>
      </c>
      <c r="I28" s="146">
        <f>SUM(I7:I27)</f>
        <v>45</v>
      </c>
      <c r="J28" s="130">
        <f t="array" ref="J28">IF(ISERROR(G28/I28),"",G28/I28)</f>
        <v>13.177777777777777</v>
      </c>
      <c r="K28" s="146">
        <f>SUM(K7:K27)</f>
        <v>34.882352941176471</v>
      </c>
      <c r="L28" s="147"/>
      <c r="M28" s="146">
        <f t="shared" ref="M28:V28" si="10">SUM(M7:M27)</f>
        <v>10.117647058823529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583" t="s">
        <v>206</v>
      </c>
      <c r="C29" s="126" t="s">
        <v>199</v>
      </c>
      <c r="D29" s="108">
        <v>5.03</v>
      </c>
      <c r="E29" s="108"/>
      <c r="F29" s="127"/>
      <c r="G29" s="128"/>
      <c r="H29" s="584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588"/>
      <c r="P29" s="588"/>
      <c r="Q29" s="588"/>
      <c r="R29" s="588"/>
      <c r="S29" s="588"/>
      <c r="T29" s="588"/>
      <c r="U29" s="588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583" t="s">
        <v>425</v>
      </c>
      <c r="C30" s="187" t="s">
        <v>427</v>
      </c>
      <c r="D30" s="108">
        <v>5.03</v>
      </c>
      <c r="E30" s="108"/>
      <c r="F30" s="127"/>
      <c r="G30" s="128"/>
      <c r="H30" s="584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588"/>
      <c r="P30" s="588"/>
      <c r="Q30" s="588"/>
      <c r="R30" s="588"/>
      <c r="S30" s="588"/>
      <c r="T30" s="588"/>
      <c r="U30" s="588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583" t="s">
        <v>206</v>
      </c>
      <c r="C31" s="126" t="s">
        <v>186</v>
      </c>
      <c r="D31" s="108">
        <v>5.03</v>
      </c>
      <c r="E31" s="108"/>
      <c r="F31" s="127"/>
      <c r="G31" s="128"/>
      <c r="H31" s="584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588"/>
      <c r="P31" s="588"/>
      <c r="Q31" s="588"/>
      <c r="R31" s="588"/>
      <c r="S31" s="588"/>
      <c r="T31" s="588"/>
      <c r="U31" s="588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583" t="s">
        <v>206</v>
      </c>
      <c r="C32" s="126" t="s">
        <v>203</v>
      </c>
      <c r="D32" s="108">
        <v>5.03</v>
      </c>
      <c r="E32" s="108"/>
      <c r="F32" s="127"/>
      <c r="G32" s="128"/>
      <c r="H32" s="584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588"/>
      <c r="P32" s="588"/>
      <c r="Q32" s="588"/>
      <c r="R32" s="588"/>
      <c r="S32" s="588"/>
      <c r="T32" s="588"/>
      <c r="U32" s="588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customHeight="1">
      <c r="A33" s="300">
        <v>30100013</v>
      </c>
      <c r="B33" s="583" t="s">
        <v>206</v>
      </c>
      <c r="C33" s="126" t="s">
        <v>207</v>
      </c>
      <c r="D33" s="108">
        <v>5.03</v>
      </c>
      <c r="E33" s="108"/>
      <c r="F33" s="127">
        <v>42724</v>
      </c>
      <c r="G33" s="128">
        <f>92+108*4+114</f>
        <v>638</v>
      </c>
      <c r="H33" s="584">
        <f t="shared" si="11"/>
        <v>3209.1400000000003</v>
      </c>
      <c r="I33" s="129">
        <v>7.5</v>
      </c>
      <c r="J33" s="130">
        <f t="array" ref="J33">IF(ISERROR(G33/I33),"",G33/I33)</f>
        <v>85.066666666666663</v>
      </c>
      <c r="K33" s="131">
        <f t="array" ref="K33">IF(ISERROR(G33/L33),"",G33/L33)</f>
        <v>12.26923076923077</v>
      </c>
      <c r="L33" s="129">
        <v>52</v>
      </c>
      <c r="M33" s="109">
        <f t="shared" si="15"/>
        <v>-4.7692307692307701</v>
      </c>
      <c r="N33" s="130">
        <f t="shared" si="16"/>
        <v>0</v>
      </c>
      <c r="O33" s="588"/>
      <c r="P33" s="588"/>
      <c r="Q33" s="588"/>
      <c r="R33" s="588"/>
      <c r="S33" s="588"/>
      <c r="T33" s="588"/>
      <c r="U33" s="588"/>
      <c r="V33" s="132">
        <f t="shared" si="17"/>
        <v>0</v>
      </c>
      <c r="W33" s="133">
        <f t="shared" si="18"/>
        <v>0</v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583" t="s">
        <v>414</v>
      </c>
      <c r="C34" s="187" t="s">
        <v>415</v>
      </c>
      <c r="D34" s="108">
        <v>5.03</v>
      </c>
      <c r="E34" s="108"/>
      <c r="F34" s="127"/>
      <c r="G34" s="128"/>
      <c r="H34" s="584">
        <f t="shared" si="11"/>
        <v>0</v>
      </c>
      <c r="I34" s="129"/>
      <c r="J34" s="130"/>
      <c r="K34" s="131"/>
      <c r="L34" s="129">
        <v>52</v>
      </c>
      <c r="M34" s="109"/>
      <c r="N34" s="130"/>
      <c r="O34" s="588"/>
      <c r="P34" s="588"/>
      <c r="Q34" s="588"/>
      <c r="R34" s="588"/>
      <c r="S34" s="588"/>
      <c r="T34" s="588"/>
      <c r="U34" s="588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583" t="s">
        <v>414</v>
      </c>
      <c r="C35" s="187" t="s">
        <v>416</v>
      </c>
      <c r="D35" s="108">
        <v>5.03</v>
      </c>
      <c r="E35" s="108"/>
      <c r="F35" s="127"/>
      <c r="G35" s="128"/>
      <c r="H35" s="584">
        <f t="shared" si="11"/>
        <v>0</v>
      </c>
      <c r="I35" s="129"/>
      <c r="J35" s="130"/>
      <c r="K35" s="131"/>
      <c r="L35" s="129">
        <v>52</v>
      </c>
      <c r="M35" s="109"/>
      <c r="N35" s="130"/>
      <c r="O35" s="588"/>
      <c r="P35" s="588"/>
      <c r="Q35" s="588"/>
      <c r="R35" s="588"/>
      <c r="S35" s="588"/>
      <c r="T35" s="588"/>
      <c r="U35" s="588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583" t="s">
        <v>414</v>
      </c>
      <c r="C36" s="187" t="s">
        <v>61</v>
      </c>
      <c r="D36" s="108">
        <v>5.03</v>
      </c>
      <c r="E36" s="108"/>
      <c r="F36" s="127"/>
      <c r="G36" s="128"/>
      <c r="H36" s="584">
        <f t="shared" si="11"/>
        <v>0</v>
      </c>
      <c r="I36" s="129"/>
      <c r="J36" s="130"/>
      <c r="K36" s="131"/>
      <c r="L36" s="129">
        <v>52</v>
      </c>
      <c r="M36" s="109"/>
      <c r="N36" s="130"/>
      <c r="O36" s="588"/>
      <c r="P36" s="588"/>
      <c r="Q36" s="588"/>
      <c r="R36" s="588"/>
      <c r="S36" s="588"/>
      <c r="T36" s="588"/>
      <c r="U36" s="588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583" t="s">
        <v>208</v>
      </c>
      <c r="C37" s="126" t="s">
        <v>179</v>
      </c>
      <c r="D37" s="108">
        <v>5.08</v>
      </c>
      <c r="E37" s="108"/>
      <c r="F37" s="127"/>
      <c r="G37" s="128"/>
      <c r="H37" s="584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588"/>
      <c r="P37" s="588"/>
      <c r="Q37" s="588"/>
      <c r="R37" s="588"/>
      <c r="S37" s="588"/>
      <c r="T37" s="588"/>
      <c r="U37" s="588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583" t="s">
        <v>208</v>
      </c>
      <c r="C38" s="126" t="s">
        <v>204</v>
      </c>
      <c r="D38" s="108">
        <v>5.08</v>
      </c>
      <c r="E38" s="108"/>
      <c r="F38" s="127"/>
      <c r="G38" s="128"/>
      <c r="H38" s="584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588"/>
      <c r="P38" s="588"/>
      <c r="Q38" s="588"/>
      <c r="R38" s="588"/>
      <c r="S38" s="588"/>
      <c r="T38" s="588"/>
      <c r="U38" s="588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583" t="s">
        <v>208</v>
      </c>
      <c r="C39" s="126" t="s">
        <v>205</v>
      </c>
      <c r="D39" s="108">
        <v>5.08</v>
      </c>
      <c r="E39" s="108"/>
      <c r="F39" s="127"/>
      <c r="G39" s="128"/>
      <c r="H39" s="584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588"/>
      <c r="P39" s="588"/>
      <c r="Q39" s="588"/>
      <c r="R39" s="588"/>
      <c r="S39" s="588"/>
      <c r="T39" s="588"/>
      <c r="U39" s="588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customHeight="1">
      <c r="A40" s="300">
        <v>30100022</v>
      </c>
      <c r="B40" s="583" t="s">
        <v>208</v>
      </c>
      <c r="C40" s="126" t="s">
        <v>186</v>
      </c>
      <c r="D40" s="108">
        <v>5.08</v>
      </c>
      <c r="E40" s="108"/>
      <c r="F40" s="127">
        <v>42725</v>
      </c>
      <c r="G40" s="128">
        <f>108*4+100</f>
        <v>532</v>
      </c>
      <c r="H40" s="584">
        <f t="shared" si="11"/>
        <v>2702.56</v>
      </c>
      <c r="I40" s="129">
        <f>7*2</f>
        <v>14</v>
      </c>
      <c r="J40" s="130">
        <f t="array" ref="J40">IF(ISERROR(G40/I40),"",G40/I40)</f>
        <v>38</v>
      </c>
      <c r="K40" s="131">
        <f t="array" ref="K40">IF(ISERROR(G40/L40),"",G40/L40)</f>
        <v>25.333333333333332</v>
      </c>
      <c r="L40" s="129">
        <v>21</v>
      </c>
      <c r="M40" s="109">
        <f t="shared" si="19"/>
        <v>-11.333333333333332</v>
      </c>
      <c r="N40" s="130">
        <f t="shared" si="20"/>
        <v>0</v>
      </c>
      <c r="O40" s="588"/>
      <c r="P40" s="588"/>
      <c r="Q40" s="588"/>
      <c r="R40" s="588"/>
      <c r="S40" s="588"/>
      <c r="T40" s="588"/>
      <c r="U40" s="588"/>
      <c r="V40" s="132">
        <f t="shared" si="21"/>
        <v>0</v>
      </c>
      <c r="W40" s="133">
        <f t="shared" si="22"/>
        <v>0</v>
      </c>
      <c r="X40" s="132"/>
      <c r="Y40" s="132"/>
      <c r="Z40" s="132"/>
      <c r="AA40" s="132"/>
    </row>
    <row r="41" spans="1:27" ht="20.100000000000001" customHeight="1">
      <c r="A41" s="300">
        <v>30100029</v>
      </c>
      <c r="B41" s="583" t="s">
        <v>208</v>
      </c>
      <c r="C41" s="126" t="s">
        <v>203</v>
      </c>
      <c r="D41" s="108">
        <v>5.08</v>
      </c>
      <c r="E41" s="108"/>
      <c r="F41" s="127">
        <v>42725</v>
      </c>
      <c r="G41" s="128">
        <f>108+61</f>
        <v>169</v>
      </c>
      <c r="H41" s="584">
        <f t="shared" si="11"/>
        <v>858.52</v>
      </c>
      <c r="I41" s="129">
        <f>4.5*2</f>
        <v>9</v>
      </c>
      <c r="J41" s="130">
        <f t="array" ref="J41">IF(ISERROR(G41/I41),"",G41/I41)</f>
        <v>18.777777777777779</v>
      </c>
      <c r="K41" s="131">
        <f t="array" ref="K41">IF(ISERROR(G41/L41),"",G41/L41)</f>
        <v>8.0476190476190474</v>
      </c>
      <c r="L41" s="129">
        <v>21</v>
      </c>
      <c r="M41" s="109">
        <f t="shared" si="19"/>
        <v>0.95238095238095255</v>
      </c>
      <c r="N41" s="130">
        <f t="shared" si="20"/>
        <v>0</v>
      </c>
      <c r="O41" s="588"/>
      <c r="P41" s="588"/>
      <c r="Q41" s="588"/>
      <c r="R41" s="588"/>
      <c r="S41" s="588"/>
      <c r="T41" s="588"/>
      <c r="U41" s="588"/>
      <c r="V41" s="132">
        <f t="shared" si="21"/>
        <v>0</v>
      </c>
      <c r="W41" s="133">
        <f t="shared" si="22"/>
        <v>0</v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583" t="s">
        <v>208</v>
      </c>
      <c r="C42" s="126" t="s">
        <v>199</v>
      </c>
      <c r="D42" s="108">
        <v>5.08</v>
      </c>
      <c r="E42" s="108"/>
      <c r="F42" s="127"/>
      <c r="G42" s="128"/>
      <c r="H42" s="584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592"/>
      <c r="P42" s="592"/>
      <c r="Q42" s="592"/>
      <c r="R42" s="592"/>
      <c r="S42" s="592"/>
      <c r="T42" s="592"/>
      <c r="U42" s="592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583" t="s">
        <v>208</v>
      </c>
      <c r="C43" s="126" t="s">
        <v>187</v>
      </c>
      <c r="D43" s="108">
        <v>5.08</v>
      </c>
      <c r="E43" s="108"/>
      <c r="F43" s="127"/>
      <c r="G43" s="128"/>
      <c r="H43" s="584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588"/>
      <c r="P43" s="588"/>
      <c r="Q43" s="588"/>
      <c r="R43" s="588"/>
      <c r="S43" s="588"/>
      <c r="T43" s="588"/>
      <c r="U43" s="588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583" t="s">
        <v>208</v>
      </c>
      <c r="C44" s="126" t="s">
        <v>207</v>
      </c>
      <c r="D44" s="108">
        <v>5.08</v>
      </c>
      <c r="E44" s="108"/>
      <c r="F44" s="127"/>
      <c r="G44" s="128"/>
      <c r="H44" s="584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592"/>
      <c r="P44" s="592"/>
      <c r="Q44" s="592"/>
      <c r="R44" s="592"/>
      <c r="S44" s="592"/>
      <c r="T44" s="592"/>
      <c r="U44" s="592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583" t="s">
        <v>209</v>
      </c>
      <c r="C45" s="126" t="s">
        <v>194</v>
      </c>
      <c r="D45" s="108">
        <v>5.03</v>
      </c>
      <c r="E45" s="108"/>
      <c r="F45" s="127"/>
      <c r="G45" s="128"/>
      <c r="H45" s="584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588"/>
      <c r="P45" s="588"/>
      <c r="Q45" s="588"/>
      <c r="R45" s="588"/>
      <c r="S45" s="588"/>
      <c r="T45" s="588"/>
      <c r="U45" s="588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583" t="s">
        <v>209</v>
      </c>
      <c r="C46" s="126" t="s">
        <v>179</v>
      </c>
      <c r="D46" s="108">
        <v>5.03</v>
      </c>
      <c r="E46" s="108"/>
      <c r="F46" s="127"/>
      <c r="G46" s="128"/>
      <c r="H46" s="584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588"/>
      <c r="P46" s="588"/>
      <c r="Q46" s="588"/>
      <c r="R46" s="588"/>
      <c r="S46" s="588"/>
      <c r="T46" s="588"/>
      <c r="U46" s="588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583" t="s">
        <v>209</v>
      </c>
      <c r="C47" s="126" t="s">
        <v>195</v>
      </c>
      <c r="D47" s="108">
        <v>5.03</v>
      </c>
      <c r="E47" s="108"/>
      <c r="F47" s="127"/>
      <c r="G47" s="128"/>
      <c r="H47" s="584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588"/>
      <c r="P47" s="588"/>
      <c r="Q47" s="588"/>
      <c r="R47" s="588"/>
      <c r="S47" s="588"/>
      <c r="T47" s="588"/>
      <c r="U47" s="588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customHeight="1">
      <c r="A48" s="300">
        <v>30100031</v>
      </c>
      <c r="B48" s="583" t="s">
        <v>209</v>
      </c>
      <c r="C48" s="126" t="s">
        <v>204</v>
      </c>
      <c r="D48" s="108">
        <v>5.03</v>
      </c>
      <c r="E48" s="108"/>
      <c r="F48" s="127">
        <v>42724</v>
      </c>
      <c r="G48" s="128">
        <f>108*3+76</f>
        <v>400</v>
      </c>
      <c r="H48" s="584">
        <f t="shared" si="11"/>
        <v>2012</v>
      </c>
      <c r="I48" s="129">
        <v>4</v>
      </c>
      <c r="J48" s="130">
        <f t="array" ref="J48">IF(ISERROR(G48/I48),"",G48/I48)</f>
        <v>100</v>
      </c>
      <c r="K48" s="131">
        <f t="array" ref="K48">IF(ISERROR(G48/L48),"",G48/L48)</f>
        <v>7.1428571428571432</v>
      </c>
      <c r="L48" s="129">
        <v>56</v>
      </c>
      <c r="M48" s="109">
        <f t="shared" si="19"/>
        <v>-3.1428571428571432</v>
      </c>
      <c r="N48" s="130">
        <f t="shared" si="20"/>
        <v>0</v>
      </c>
      <c r="O48" s="588"/>
      <c r="P48" s="588"/>
      <c r="Q48" s="588"/>
      <c r="R48" s="588"/>
      <c r="S48" s="588"/>
      <c r="T48" s="588"/>
      <c r="U48" s="588"/>
      <c r="V48" s="132">
        <f t="shared" si="21"/>
        <v>0</v>
      </c>
      <c r="W48" s="133">
        <f t="shared" si="22"/>
        <v>0</v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583" t="s">
        <v>382</v>
      </c>
      <c r="C49" s="187" t="s">
        <v>383</v>
      </c>
      <c r="D49" s="108">
        <v>5.03</v>
      </c>
      <c r="E49" s="108"/>
      <c r="F49" s="127"/>
      <c r="G49" s="128"/>
      <c r="H49" s="584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588"/>
      <c r="P49" s="588"/>
      <c r="Q49" s="588"/>
      <c r="R49" s="588"/>
      <c r="S49" s="588"/>
      <c r="T49" s="588"/>
      <c r="U49" s="588"/>
      <c r="V49" s="132"/>
      <c r="W49" s="133"/>
      <c r="X49" s="132"/>
      <c r="Y49" s="132"/>
      <c r="Z49" s="132"/>
      <c r="AA49" s="132"/>
    </row>
    <row r="50" spans="1:27" ht="20.100000000000001" customHeight="1">
      <c r="A50" s="300">
        <v>30100020</v>
      </c>
      <c r="B50" s="583" t="s">
        <v>382</v>
      </c>
      <c r="C50" s="187" t="s">
        <v>384</v>
      </c>
      <c r="D50" s="108">
        <v>5.03</v>
      </c>
      <c r="E50" s="108"/>
      <c r="F50" s="127">
        <v>42725</v>
      </c>
      <c r="G50" s="128">
        <f>90*3+57+90*4</f>
        <v>687</v>
      </c>
      <c r="H50" s="584">
        <f t="shared" si="11"/>
        <v>3455.61</v>
      </c>
      <c r="I50" s="129">
        <v>11.5</v>
      </c>
      <c r="J50" s="130">
        <f t="array" ref="J50">IF(ISERROR(G50/I50),"",G50/I50)</f>
        <v>59.739130434782609</v>
      </c>
      <c r="K50" s="131">
        <f t="array" ref="K50">IF(ISERROR(G50/L50),"",G50/L50)</f>
        <v>12.722222222222221</v>
      </c>
      <c r="L50" s="129">
        <v>54</v>
      </c>
      <c r="M50" s="109">
        <f t="shared" si="19"/>
        <v>-1.2222222222222214</v>
      </c>
      <c r="N50" s="130">
        <f t="shared" si="20"/>
        <v>0</v>
      </c>
      <c r="O50" s="588"/>
      <c r="P50" s="588"/>
      <c r="Q50" s="588"/>
      <c r="R50" s="588"/>
      <c r="S50" s="588"/>
      <c r="T50" s="588"/>
      <c r="U50" s="588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583" t="s">
        <v>382</v>
      </c>
      <c r="C51" s="187" t="s">
        <v>389</v>
      </c>
      <c r="D51" s="108">
        <v>5.03</v>
      </c>
      <c r="E51" s="108"/>
      <c r="F51" s="127"/>
      <c r="G51" s="128"/>
      <c r="H51" s="584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588"/>
      <c r="P51" s="588"/>
      <c r="Q51" s="588"/>
      <c r="R51" s="588"/>
      <c r="S51" s="588"/>
      <c r="T51" s="588"/>
      <c r="U51" s="588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583" t="s">
        <v>382</v>
      </c>
      <c r="C52" s="187" t="s">
        <v>391</v>
      </c>
      <c r="D52" s="108">
        <v>5.03</v>
      </c>
      <c r="E52" s="108"/>
      <c r="F52" s="127"/>
      <c r="G52" s="128"/>
      <c r="H52" s="584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588"/>
      <c r="P52" s="588"/>
      <c r="Q52" s="588"/>
      <c r="R52" s="588"/>
      <c r="S52" s="588"/>
      <c r="T52" s="588"/>
      <c r="U52" s="588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583" t="s">
        <v>418</v>
      </c>
      <c r="C53" s="187" t="s">
        <v>364</v>
      </c>
      <c r="D53" s="108">
        <v>5.03</v>
      </c>
      <c r="E53" s="108"/>
      <c r="F53" s="127"/>
      <c r="G53" s="128"/>
      <c r="H53" s="584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588"/>
      <c r="P53" s="588"/>
      <c r="Q53" s="588"/>
      <c r="R53" s="588"/>
      <c r="S53" s="588"/>
      <c r="T53" s="588"/>
      <c r="U53" s="588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583" t="s">
        <v>418</v>
      </c>
      <c r="C54" s="187" t="s">
        <v>365</v>
      </c>
      <c r="D54" s="108">
        <v>5.03</v>
      </c>
      <c r="E54" s="108"/>
      <c r="F54" s="127"/>
      <c r="G54" s="128"/>
      <c r="H54" s="584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588"/>
      <c r="P54" s="588"/>
      <c r="Q54" s="588"/>
      <c r="R54" s="588"/>
      <c r="S54" s="588"/>
      <c r="T54" s="588"/>
      <c r="U54" s="588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583" t="s">
        <v>418</v>
      </c>
      <c r="C55" s="187" t="s">
        <v>366</v>
      </c>
      <c r="D55" s="108">
        <v>5.03</v>
      </c>
      <c r="E55" s="108"/>
      <c r="F55" s="127"/>
      <c r="G55" s="128"/>
      <c r="H55" s="584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588"/>
      <c r="P55" s="588"/>
      <c r="Q55" s="588"/>
      <c r="R55" s="588"/>
      <c r="S55" s="588"/>
      <c r="T55" s="588"/>
      <c r="U55" s="588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583" t="s">
        <v>418</v>
      </c>
      <c r="C56" s="187" t="s">
        <v>367</v>
      </c>
      <c r="D56" s="108">
        <v>5.03</v>
      </c>
      <c r="E56" s="108"/>
      <c r="F56" s="127"/>
      <c r="G56" s="128"/>
      <c r="H56" s="584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588"/>
      <c r="P56" s="588"/>
      <c r="Q56" s="588"/>
      <c r="R56" s="588"/>
      <c r="S56" s="588"/>
      <c r="T56" s="588"/>
      <c r="U56" s="588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584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592"/>
      <c r="P57" s="592"/>
      <c r="Q57" s="592"/>
      <c r="R57" s="592"/>
      <c r="S57" s="592"/>
      <c r="T57" s="592"/>
      <c r="U57" s="592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584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592"/>
      <c r="P58" s="592"/>
      <c r="Q58" s="592"/>
      <c r="R58" s="592"/>
      <c r="S58" s="592"/>
      <c r="T58" s="592"/>
      <c r="U58" s="592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584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592"/>
      <c r="P59" s="592"/>
      <c r="Q59" s="592"/>
      <c r="R59" s="592"/>
      <c r="S59" s="592"/>
      <c r="T59" s="592"/>
      <c r="U59" s="592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584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592"/>
      <c r="P60" s="592"/>
      <c r="Q60" s="592"/>
      <c r="R60" s="592"/>
      <c r="S60" s="592"/>
      <c r="T60" s="592"/>
      <c r="U60" s="592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584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592"/>
      <c r="P61" s="592"/>
      <c r="Q61" s="592"/>
      <c r="R61" s="592"/>
      <c r="S61" s="592"/>
      <c r="T61" s="592"/>
      <c r="U61" s="592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584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592"/>
      <c r="P62" s="592"/>
      <c r="Q62" s="592"/>
      <c r="R62" s="592"/>
      <c r="S62" s="592"/>
      <c r="T62" s="592"/>
      <c r="U62" s="592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584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592"/>
      <c r="P63" s="592"/>
      <c r="Q63" s="592"/>
      <c r="R63" s="592"/>
      <c r="S63" s="592"/>
      <c r="T63" s="592"/>
      <c r="U63" s="592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584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592"/>
      <c r="P64" s="592"/>
      <c r="Q64" s="592"/>
      <c r="R64" s="592"/>
      <c r="S64" s="592"/>
      <c r="T64" s="592"/>
      <c r="U64" s="592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584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592"/>
      <c r="P65" s="592"/>
      <c r="Q65" s="592"/>
      <c r="R65" s="592"/>
      <c r="S65" s="592"/>
      <c r="T65" s="592"/>
      <c r="U65" s="592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584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592"/>
      <c r="P66" s="592"/>
      <c r="Q66" s="592"/>
      <c r="R66" s="592"/>
      <c r="S66" s="592"/>
      <c r="T66" s="592"/>
      <c r="U66" s="592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584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592"/>
      <c r="P67" s="592"/>
      <c r="Q67" s="592"/>
      <c r="R67" s="592"/>
      <c r="S67" s="592"/>
      <c r="T67" s="592"/>
      <c r="U67" s="592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584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592"/>
      <c r="P68" s="592"/>
      <c r="Q68" s="592"/>
      <c r="R68" s="592"/>
      <c r="S68" s="592"/>
      <c r="T68" s="592"/>
      <c r="U68" s="592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584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592"/>
      <c r="P69" s="592"/>
      <c r="Q69" s="592"/>
      <c r="R69" s="592"/>
      <c r="S69" s="592"/>
      <c r="T69" s="592"/>
      <c r="U69" s="592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584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592"/>
      <c r="P70" s="592"/>
      <c r="Q70" s="592"/>
      <c r="R70" s="592"/>
      <c r="S70" s="592"/>
      <c r="T70" s="592"/>
      <c r="U70" s="592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584">
        <f t="shared" si="11"/>
        <v>0</v>
      </c>
      <c r="I71" s="129"/>
      <c r="J71" s="130"/>
      <c r="K71" s="131"/>
      <c r="L71" s="129"/>
      <c r="M71" s="109"/>
      <c r="N71" s="130"/>
      <c r="O71" s="592"/>
      <c r="P71" s="592"/>
      <c r="Q71" s="592"/>
      <c r="R71" s="592"/>
      <c r="S71" s="592"/>
      <c r="T71" s="592"/>
      <c r="U71" s="592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584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592"/>
      <c r="P72" s="592"/>
      <c r="Q72" s="592"/>
      <c r="R72" s="592"/>
      <c r="S72" s="592"/>
      <c r="T72" s="592"/>
      <c r="U72" s="592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584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592"/>
      <c r="P73" s="592"/>
      <c r="Q73" s="592"/>
      <c r="R73" s="592"/>
      <c r="S73" s="592"/>
      <c r="T73" s="592"/>
      <c r="U73" s="592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584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592"/>
      <c r="P74" s="592"/>
      <c r="Q74" s="592"/>
      <c r="R74" s="592"/>
      <c r="S74" s="592"/>
      <c r="T74" s="592"/>
      <c r="U74" s="592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584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592"/>
      <c r="P75" s="592"/>
      <c r="Q75" s="592"/>
      <c r="R75" s="592"/>
      <c r="S75" s="592"/>
      <c r="T75" s="592"/>
      <c r="U75" s="592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584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592"/>
      <c r="P76" s="592"/>
      <c r="Q76" s="592"/>
      <c r="R76" s="592"/>
      <c r="S76" s="592"/>
      <c r="T76" s="592"/>
      <c r="U76" s="592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584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592"/>
      <c r="P77" s="592"/>
      <c r="Q77" s="592"/>
      <c r="R77" s="592"/>
      <c r="S77" s="592"/>
      <c r="T77" s="592"/>
      <c r="U77" s="592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584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592"/>
      <c r="P78" s="592"/>
      <c r="Q78" s="592"/>
      <c r="R78" s="592"/>
      <c r="S78" s="592"/>
      <c r="T78" s="592"/>
      <c r="U78" s="592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584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592"/>
      <c r="P79" s="592"/>
      <c r="Q79" s="592"/>
      <c r="R79" s="592"/>
      <c r="S79" s="592"/>
      <c r="T79" s="592"/>
      <c r="U79" s="592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584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592"/>
      <c r="P80" s="592"/>
      <c r="Q80" s="592"/>
      <c r="R80" s="592"/>
      <c r="S80" s="592"/>
      <c r="T80" s="592"/>
      <c r="U80" s="592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584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592"/>
      <c r="P81" s="592"/>
      <c r="Q81" s="592"/>
      <c r="R81" s="592"/>
      <c r="S81" s="592"/>
      <c r="T81" s="592"/>
      <c r="U81" s="592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584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592"/>
      <c r="P82" s="592"/>
      <c r="Q82" s="592"/>
      <c r="R82" s="592"/>
      <c r="S82" s="592"/>
      <c r="T82" s="592"/>
      <c r="U82" s="592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584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592"/>
      <c r="P83" s="592"/>
      <c r="Q83" s="592"/>
      <c r="R83" s="592"/>
      <c r="S83" s="592"/>
      <c r="T83" s="592"/>
      <c r="U83" s="592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584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592"/>
      <c r="P84" s="592"/>
      <c r="Q84" s="592"/>
      <c r="R84" s="592"/>
      <c r="S84" s="592"/>
      <c r="T84" s="592"/>
      <c r="U84" s="592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584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592"/>
      <c r="P85" s="592"/>
      <c r="Q85" s="592"/>
      <c r="R85" s="592"/>
      <c r="S85" s="592"/>
      <c r="T85" s="592"/>
      <c r="U85" s="592"/>
      <c r="V85" s="132"/>
      <c r="W85" s="133"/>
      <c r="X85" s="132"/>
      <c r="Y85" s="132"/>
      <c r="Z85" s="132"/>
      <c r="AA85" s="132"/>
    </row>
    <row r="86" spans="1:27" ht="20.100000000000001" customHeight="1">
      <c r="A86" s="641" t="s">
        <v>216</v>
      </c>
      <c r="B86" s="641"/>
      <c r="C86" s="593" t="s">
        <v>202</v>
      </c>
      <c r="D86" s="143"/>
      <c r="E86" s="143"/>
      <c r="F86" s="144"/>
      <c r="G86" s="145">
        <f>SUM(G29:G85)</f>
        <v>2426</v>
      </c>
      <c r="H86" s="146">
        <f>SUM(H29:H85)</f>
        <v>12237.830000000002</v>
      </c>
      <c r="I86" s="146">
        <f>SUM(I29:I85)</f>
        <v>46</v>
      </c>
      <c r="J86" s="130">
        <f t="array" ref="J86">IF(ISERROR(G86/I86),"",G86/I86)</f>
        <v>52.739130434782609</v>
      </c>
      <c r="K86" s="146">
        <f>SUM(K29:K85)</f>
        <v>65.515262515262521</v>
      </c>
      <c r="L86" s="147"/>
      <c r="M86" s="150">
        <f t="shared" ref="M86:V86" si="34">SUM(M29:M85)</f>
        <v>-19.515262515262513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583" t="s">
        <v>217</v>
      </c>
      <c r="C87" s="126" t="s">
        <v>179</v>
      </c>
      <c r="D87" s="108">
        <v>5.03</v>
      </c>
      <c r="E87" s="108"/>
      <c r="F87" s="127"/>
      <c r="G87" s="128"/>
      <c r="H87" s="584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6" si="37">IF(ISERROR(I87-K87),"",I87-K87)</f>
        <v>0</v>
      </c>
      <c r="N87" s="130">
        <f t="shared" ref="N87:N93" si="38">SUM(O87:U87)</f>
        <v>0</v>
      </c>
      <c r="O87" s="592"/>
      <c r="P87" s="592"/>
      <c r="Q87" s="592"/>
      <c r="R87" s="592"/>
      <c r="S87" s="592"/>
      <c r="T87" s="592"/>
      <c r="U87" s="592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583" t="s">
        <v>217</v>
      </c>
      <c r="C88" s="126" t="s">
        <v>186</v>
      </c>
      <c r="D88" s="108">
        <v>5.03</v>
      </c>
      <c r="E88" s="108"/>
      <c r="F88" s="127"/>
      <c r="G88" s="128"/>
      <c r="H88" s="584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592"/>
      <c r="P88" s="592"/>
      <c r="Q88" s="592"/>
      <c r="R88" s="592"/>
      <c r="S88" s="592"/>
      <c r="T88" s="592"/>
      <c r="U88" s="592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583" t="s">
        <v>217</v>
      </c>
      <c r="C89" s="126" t="s">
        <v>204</v>
      </c>
      <c r="D89" s="108">
        <v>5.03</v>
      </c>
      <c r="E89" s="108"/>
      <c r="F89" s="127"/>
      <c r="G89" s="128"/>
      <c r="H89" s="584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592"/>
      <c r="P89" s="592"/>
      <c r="Q89" s="592"/>
      <c r="R89" s="592"/>
      <c r="S89" s="592"/>
      <c r="T89" s="592"/>
      <c r="U89" s="592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584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592"/>
      <c r="P90" s="592"/>
      <c r="Q90" s="592"/>
      <c r="R90" s="592"/>
      <c r="S90" s="592"/>
      <c r="T90" s="592"/>
      <c r="U90" s="592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584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592"/>
      <c r="P91" s="592"/>
      <c r="Q91" s="592"/>
      <c r="R91" s="592"/>
      <c r="S91" s="592"/>
      <c r="T91" s="592"/>
      <c r="U91" s="592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584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592"/>
      <c r="P92" s="592"/>
      <c r="Q92" s="592"/>
      <c r="R92" s="592"/>
      <c r="S92" s="592"/>
      <c r="T92" s="592"/>
      <c r="U92" s="592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584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592"/>
      <c r="P93" s="592"/>
      <c r="Q93" s="592"/>
      <c r="R93" s="592"/>
      <c r="S93" s="592"/>
      <c r="T93" s="592"/>
      <c r="U93" s="592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>
        <v>42726</v>
      </c>
      <c r="G94" s="128">
        <f>108*4+67</f>
        <v>499</v>
      </c>
      <c r="H94" s="584">
        <f t="shared" si="36"/>
        <v>2509.9700000000003</v>
      </c>
      <c r="I94" s="129">
        <f>3*4+11.5*3</f>
        <v>46.5</v>
      </c>
      <c r="J94" s="130">
        <f t="array" ref="J94">IF(ISERROR(G94/I94),"",G94/I94)</f>
        <v>10.731182795698924</v>
      </c>
      <c r="K94" s="131">
        <f t="array" ref="K94">IF(ISERROR(G94/L94),"",G94/L94)</f>
        <v>53.655913978494617</v>
      </c>
      <c r="L94" s="129">
        <v>9.3000000000000007</v>
      </c>
      <c r="M94" s="109">
        <f t="shared" si="37"/>
        <v>-7.1559139784946169</v>
      </c>
      <c r="N94" s="130"/>
      <c r="O94" s="592"/>
      <c r="P94" s="592"/>
      <c r="Q94" s="592"/>
      <c r="R94" s="592"/>
      <c r="S94" s="592"/>
      <c r="T94" s="592"/>
      <c r="U94" s="592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584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592"/>
      <c r="P95" s="592"/>
      <c r="Q95" s="592"/>
      <c r="R95" s="592"/>
      <c r="S95" s="592"/>
      <c r="T95" s="592"/>
      <c r="U95" s="592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584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592"/>
      <c r="P96" s="592"/>
      <c r="Q96" s="592"/>
      <c r="R96" s="592"/>
      <c r="S96" s="592"/>
      <c r="T96" s="592"/>
      <c r="U96" s="592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584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592"/>
      <c r="P97" s="592"/>
      <c r="Q97" s="592"/>
      <c r="R97" s="592"/>
      <c r="S97" s="592"/>
      <c r="T97" s="592"/>
      <c r="U97" s="592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584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592"/>
      <c r="P98" s="592"/>
      <c r="Q98" s="592"/>
      <c r="R98" s="592"/>
      <c r="S98" s="592"/>
      <c r="T98" s="592"/>
      <c r="U98" s="592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584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592"/>
      <c r="P99" s="592"/>
      <c r="Q99" s="592"/>
      <c r="R99" s="592"/>
      <c r="S99" s="592"/>
      <c r="T99" s="592"/>
      <c r="U99" s="592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584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592"/>
      <c r="P100" s="592"/>
      <c r="Q100" s="592"/>
      <c r="R100" s="592"/>
      <c r="S100" s="592"/>
      <c r="T100" s="592"/>
      <c r="U100" s="592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584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592"/>
      <c r="P101" s="592"/>
      <c r="Q101" s="592"/>
      <c r="R101" s="592"/>
      <c r="S101" s="592"/>
      <c r="T101" s="592"/>
      <c r="U101" s="592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584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592"/>
      <c r="P102" s="592"/>
      <c r="Q102" s="592"/>
      <c r="R102" s="592"/>
      <c r="S102" s="592"/>
      <c r="T102" s="592"/>
      <c r="U102" s="592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583" t="s">
        <v>222</v>
      </c>
      <c r="C103" s="126" t="s">
        <v>181</v>
      </c>
      <c r="D103" s="108">
        <v>10.199999999999999</v>
      </c>
      <c r="E103" s="108"/>
      <c r="F103" s="127"/>
      <c r="G103" s="128"/>
      <c r="H103" s="584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592"/>
      <c r="P103" s="592"/>
      <c r="Q103" s="592"/>
      <c r="R103" s="592"/>
      <c r="S103" s="592"/>
      <c r="T103" s="592"/>
      <c r="U103" s="592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583" t="s">
        <v>222</v>
      </c>
      <c r="C104" s="126" t="s">
        <v>179</v>
      </c>
      <c r="D104" s="108">
        <v>10.199999999999999</v>
      </c>
      <c r="E104" s="108"/>
      <c r="F104" s="127"/>
      <c r="G104" s="128"/>
      <c r="H104" s="584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592"/>
      <c r="P104" s="592"/>
      <c r="Q104" s="592"/>
      <c r="R104" s="592"/>
      <c r="S104" s="592"/>
      <c r="T104" s="592"/>
      <c r="U104" s="592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583" t="s">
        <v>222</v>
      </c>
      <c r="C105" s="126" t="s">
        <v>221</v>
      </c>
      <c r="D105" s="108">
        <v>10.199999999999999</v>
      </c>
      <c r="E105" s="108"/>
      <c r="F105" s="127"/>
      <c r="G105" s="128"/>
      <c r="H105" s="584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592"/>
      <c r="P105" s="592"/>
      <c r="Q105" s="592"/>
      <c r="R105" s="592"/>
      <c r="S105" s="592"/>
      <c r="T105" s="592"/>
      <c r="U105" s="592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583" t="s">
        <v>222</v>
      </c>
      <c r="C106" s="126" t="s">
        <v>186</v>
      </c>
      <c r="D106" s="108">
        <v>10.199999999999999</v>
      </c>
      <c r="E106" s="108"/>
      <c r="F106" s="127"/>
      <c r="G106" s="128"/>
      <c r="H106" s="584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592"/>
      <c r="P106" s="592"/>
      <c r="Q106" s="592"/>
      <c r="R106" s="592"/>
      <c r="S106" s="592"/>
      <c r="T106" s="592"/>
      <c r="U106" s="592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583" t="s">
        <v>393</v>
      </c>
      <c r="C107" s="187" t="s">
        <v>395</v>
      </c>
      <c r="D107" s="108">
        <v>5</v>
      </c>
      <c r="E107" s="108"/>
      <c r="F107" s="127"/>
      <c r="G107" s="128"/>
      <c r="H107" s="584">
        <f t="shared" si="36"/>
        <v>0</v>
      </c>
      <c r="I107" s="129"/>
      <c r="J107" s="130" t="str">
        <f t="array" ref="J107">IF(ISERROR(G107/I107),"",G107/I107)</f>
        <v/>
      </c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592"/>
      <c r="P107" s="592"/>
      <c r="Q107" s="592"/>
      <c r="R107" s="592"/>
      <c r="S107" s="592"/>
      <c r="T107" s="592"/>
      <c r="U107" s="592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583" t="s">
        <v>393</v>
      </c>
      <c r="C108" s="187" t="s">
        <v>402</v>
      </c>
      <c r="D108" s="108">
        <v>5</v>
      </c>
      <c r="E108" s="108"/>
      <c r="F108" s="127"/>
      <c r="G108" s="128"/>
      <c r="H108" s="584">
        <f t="shared" si="36"/>
        <v>0</v>
      </c>
      <c r="I108" s="129"/>
      <c r="J108" s="130" t="str">
        <f t="array" ref="J108">IF(ISERROR(G108/I108),"",G108/I108)</f>
        <v/>
      </c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592"/>
      <c r="P108" s="592"/>
      <c r="Q108" s="592"/>
      <c r="R108" s="592"/>
      <c r="S108" s="592"/>
      <c r="T108" s="592"/>
      <c r="U108" s="592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583" t="s">
        <v>404</v>
      </c>
      <c r="C109" s="187" t="s">
        <v>405</v>
      </c>
      <c r="D109" s="108">
        <v>5</v>
      </c>
      <c r="E109" s="108"/>
      <c r="F109" s="127"/>
      <c r="G109" s="128"/>
      <c r="H109" s="584">
        <f t="shared" si="36"/>
        <v>0</v>
      </c>
      <c r="I109" s="129"/>
      <c r="J109" s="130" t="str">
        <f t="array" ref="J109">IF(ISERROR(G109/I109),"",G109/I109)</f>
        <v/>
      </c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592"/>
      <c r="P109" s="592"/>
      <c r="Q109" s="592"/>
      <c r="R109" s="592"/>
      <c r="S109" s="592"/>
      <c r="T109" s="592"/>
      <c r="U109" s="592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583" t="s">
        <v>492</v>
      </c>
      <c r="C110" s="187" t="s">
        <v>372</v>
      </c>
      <c r="D110" s="108">
        <v>5</v>
      </c>
      <c r="E110" s="108"/>
      <c r="F110" s="127"/>
      <c r="G110" s="128"/>
      <c r="H110" s="584">
        <f t="shared" si="36"/>
        <v>0</v>
      </c>
      <c r="I110" s="129"/>
      <c r="J110" s="130" t="str">
        <f t="array" ref="J110">IF(ISERROR(G110/I110),"",G110/I110)</f>
        <v/>
      </c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592"/>
      <c r="P110" s="592"/>
      <c r="Q110" s="592"/>
      <c r="R110" s="592"/>
      <c r="S110" s="592"/>
      <c r="T110" s="592"/>
      <c r="U110" s="592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583" t="s">
        <v>343</v>
      </c>
      <c r="C111" s="126" t="s">
        <v>345</v>
      </c>
      <c r="D111" s="108">
        <v>5</v>
      </c>
      <c r="E111" s="108"/>
      <c r="F111" s="127"/>
      <c r="G111" s="128"/>
      <c r="H111" s="584">
        <f t="shared" si="36"/>
        <v>0</v>
      </c>
      <c r="I111" s="129"/>
      <c r="J111" s="130" t="str">
        <f t="array" ref="J111">IF(ISERROR(G111/I111),"",G111/I111)</f>
        <v/>
      </c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592"/>
      <c r="P111" s="592"/>
      <c r="Q111" s="592"/>
      <c r="R111" s="592"/>
      <c r="S111" s="592"/>
      <c r="T111" s="592"/>
      <c r="U111" s="592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583" t="s">
        <v>343</v>
      </c>
      <c r="C112" s="126" t="s">
        <v>347</v>
      </c>
      <c r="D112" s="108">
        <v>5</v>
      </c>
      <c r="E112" s="108"/>
      <c r="F112" s="127"/>
      <c r="G112" s="128"/>
      <c r="H112" s="584">
        <f t="shared" si="36"/>
        <v>0</v>
      </c>
      <c r="I112" s="129"/>
      <c r="J112" s="130" t="str">
        <f t="array" ref="J112">IF(ISERROR(G112/I112),"",G112/I112)</f>
        <v/>
      </c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592"/>
      <c r="P112" s="592"/>
      <c r="Q112" s="592"/>
      <c r="R112" s="592"/>
      <c r="S112" s="592"/>
      <c r="T112" s="592"/>
      <c r="U112" s="592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584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592"/>
      <c r="P113" s="592"/>
      <c r="Q113" s="592"/>
      <c r="R113" s="592"/>
      <c r="S113" s="592"/>
      <c r="T113" s="592"/>
      <c r="U113" s="592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584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592"/>
      <c r="P114" s="592"/>
      <c r="Q114" s="592"/>
      <c r="R114" s="592"/>
      <c r="S114" s="592"/>
      <c r="T114" s="592"/>
      <c r="U114" s="592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>
        <v>42724</v>
      </c>
      <c r="G115" s="128">
        <v>96</v>
      </c>
      <c r="H115" s="584">
        <f t="shared" si="36"/>
        <v>480</v>
      </c>
      <c r="I115" s="129">
        <f>2.5*2</f>
        <v>5</v>
      </c>
      <c r="J115" s="130">
        <f t="array" ref="J115">IF(ISERROR(G115/I115),"",G115/I115)</f>
        <v>19.2</v>
      </c>
      <c r="K115" s="131">
        <f t="array" ref="K115">IF(ISERROR(G115/L115),"",G115/L115)</f>
        <v>4</v>
      </c>
      <c r="L115" s="129">
        <v>24</v>
      </c>
      <c r="M115" s="109">
        <f t="shared" si="37"/>
        <v>1</v>
      </c>
      <c r="N115" s="130"/>
      <c r="O115" s="592"/>
      <c r="P115" s="592"/>
      <c r="Q115" s="592"/>
      <c r="R115" s="592"/>
      <c r="S115" s="592"/>
      <c r="T115" s="592"/>
      <c r="U115" s="592"/>
      <c r="V115" s="132"/>
      <c r="W115" s="133"/>
      <c r="X115" s="132"/>
      <c r="Y115" s="132"/>
      <c r="Z115" s="132"/>
      <c r="AA115" s="132"/>
    </row>
    <row r="116" spans="1:27" ht="20.10000000000000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>
        <v>42724</v>
      </c>
      <c r="G116" s="128">
        <f>90*2+84</f>
        <v>264</v>
      </c>
      <c r="H116" s="584">
        <f t="shared" si="36"/>
        <v>1320</v>
      </c>
      <c r="I116" s="129">
        <f>5*2+2</f>
        <v>12</v>
      </c>
      <c r="J116" s="130">
        <f t="array" ref="J116">IF(ISERROR(G116/I116),"",G116/I116)</f>
        <v>22</v>
      </c>
      <c r="K116" s="131">
        <f t="array" ref="K116">IF(ISERROR(G116/L116),"",G116/L116)</f>
        <v>11</v>
      </c>
      <c r="L116" s="129">
        <v>24</v>
      </c>
      <c r="M116" s="109">
        <f t="shared" si="37"/>
        <v>1</v>
      </c>
      <c r="N116" s="130"/>
      <c r="O116" s="592"/>
      <c r="P116" s="592"/>
      <c r="Q116" s="592"/>
      <c r="R116" s="592"/>
      <c r="S116" s="592"/>
      <c r="T116" s="592"/>
      <c r="U116" s="592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584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592"/>
      <c r="P117" s="592"/>
      <c r="Q117" s="592"/>
      <c r="R117" s="592"/>
      <c r="S117" s="592"/>
      <c r="T117" s="592"/>
      <c r="U117" s="592"/>
      <c r="V117" s="132"/>
      <c r="W117" s="133"/>
      <c r="X117" s="132"/>
      <c r="Y117" s="132"/>
      <c r="Z117" s="132"/>
      <c r="AA117" s="132"/>
    </row>
    <row r="118" spans="1:27" ht="20.10000000000000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>
        <v>42723</v>
      </c>
      <c r="G118" s="128">
        <f>83+78+56</f>
        <v>217</v>
      </c>
      <c r="H118" s="584">
        <f t="shared" si="36"/>
        <v>1100.19</v>
      </c>
      <c r="I118" s="129">
        <f>3.5*4+3*2</f>
        <v>20</v>
      </c>
      <c r="J118" s="130">
        <f t="array" ref="J118">IF(ISERROR(G118/I118),"",G118/I118)</f>
        <v>10.85</v>
      </c>
      <c r="K118" s="131">
        <f t="array" ref="K118">IF(ISERROR(G118/L118),"",G118/L118)</f>
        <v>24.111111111111111</v>
      </c>
      <c r="L118" s="129">
        <v>9</v>
      </c>
      <c r="M118" s="109">
        <f t="shared" ref="M118:M120" si="46">IF(ISERROR(I118-K118),"",I118-K118)</f>
        <v>-4.1111111111111107</v>
      </c>
      <c r="N118" s="130">
        <f t="shared" ref="N118:N120" si="47">SUM(O118:U118)</f>
        <v>0</v>
      </c>
      <c r="O118" s="592"/>
      <c r="P118" s="592"/>
      <c r="Q118" s="592"/>
      <c r="R118" s="592"/>
      <c r="S118" s="592"/>
      <c r="T118" s="592"/>
      <c r="U118" s="592"/>
      <c r="V118" s="132">
        <f t="shared" ref="V118:V120" si="48">SUM(X118:AA118)</f>
        <v>0</v>
      </c>
      <c r="W118" s="133">
        <f t="shared" ref="W118:W142" si="49">IF(ISERROR(V118/G118),"",V118/G118)</f>
        <v>0</v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584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592"/>
      <c r="P119" s="592"/>
      <c r="Q119" s="592"/>
      <c r="R119" s="592"/>
      <c r="S119" s="592"/>
      <c r="T119" s="592"/>
      <c r="U119" s="592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>
        <v>42723</v>
      </c>
      <c r="G120" s="128">
        <f>100*3+33+56</f>
        <v>389</v>
      </c>
      <c r="H120" s="584">
        <f t="shared" si="36"/>
        <v>1968.34</v>
      </c>
      <c r="I120" s="129">
        <f>3*4+8*4+2.5</f>
        <v>46.5</v>
      </c>
      <c r="J120" s="130">
        <f t="array" ref="J120">IF(ISERROR(G120/I120),"",G120/I120)</f>
        <v>8.365591397849462</v>
      </c>
      <c r="K120" s="584">
        <f t="array" ref="K120">IF(ISERROR(G120/L120),"",G120/L120)</f>
        <v>43.222222222222221</v>
      </c>
      <c r="L120" s="129">
        <v>9</v>
      </c>
      <c r="M120" s="109">
        <f t="shared" si="46"/>
        <v>3.2777777777777786</v>
      </c>
      <c r="N120" s="130">
        <f t="shared" si="47"/>
        <v>0</v>
      </c>
      <c r="O120" s="592"/>
      <c r="P120" s="592"/>
      <c r="Q120" s="592"/>
      <c r="R120" s="592"/>
      <c r="S120" s="592"/>
      <c r="T120" s="592"/>
      <c r="U120" s="592"/>
      <c r="V120" s="132">
        <f t="shared" si="48"/>
        <v>0</v>
      </c>
      <c r="W120" s="133">
        <f t="shared" si="49"/>
        <v>0</v>
      </c>
      <c r="X120" s="132"/>
      <c r="Y120" s="132"/>
      <c r="Z120" s="132"/>
      <c r="AA120" s="132"/>
    </row>
    <row r="121" spans="1:27" ht="20.100000000000001" customHeight="1">
      <c r="A121" s="630" t="s">
        <v>224</v>
      </c>
      <c r="B121" s="631"/>
      <c r="C121" s="593" t="s">
        <v>202</v>
      </c>
      <c r="D121" s="143"/>
      <c r="E121" s="143"/>
      <c r="F121" s="144"/>
      <c r="G121" s="145">
        <f>SUM(G87:G120)</f>
        <v>1465</v>
      </c>
      <c r="H121" s="146">
        <f>SUM(H87:H120)</f>
        <v>7378.5</v>
      </c>
      <c r="I121" s="146">
        <f>SUM(I87:I120)</f>
        <v>130</v>
      </c>
      <c r="J121" s="130">
        <f t="array" ref="J121">IF(ISERROR(G121/I121),"",G121/I121)</f>
        <v>11.26923076923077</v>
      </c>
      <c r="K121" s="146">
        <f>SUM(K87:K120)</f>
        <v>135.98924731182797</v>
      </c>
      <c r="L121" s="147"/>
      <c r="M121" s="150">
        <f t="shared" ref="M121:V121" si="50">SUM(M87:M120)</f>
        <v>-5.989247311827949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584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592"/>
      <c r="P122" s="592"/>
      <c r="Q122" s="592"/>
      <c r="R122" s="592"/>
      <c r="S122" s="592"/>
      <c r="T122" s="592"/>
      <c r="U122" s="592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584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592"/>
      <c r="P123" s="592"/>
      <c r="Q123" s="592"/>
      <c r="R123" s="592"/>
      <c r="S123" s="592"/>
      <c r="T123" s="592"/>
      <c r="U123" s="592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584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592"/>
      <c r="P124" s="592"/>
      <c r="Q124" s="592"/>
      <c r="R124" s="592"/>
      <c r="S124" s="592"/>
      <c r="T124" s="592"/>
      <c r="U124" s="592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584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592"/>
      <c r="P125" s="592"/>
      <c r="Q125" s="592"/>
      <c r="R125" s="592"/>
      <c r="S125" s="592"/>
      <c r="T125" s="592"/>
      <c r="U125" s="592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589" t="s">
        <v>203</v>
      </c>
      <c r="D126" s="108">
        <v>5.03</v>
      </c>
      <c r="E126" s="108"/>
      <c r="F126" s="127"/>
      <c r="G126" s="128"/>
      <c r="H126" s="584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592"/>
      <c r="P126" s="592"/>
      <c r="Q126" s="592"/>
      <c r="R126" s="592"/>
      <c r="S126" s="592"/>
      <c r="T126" s="592"/>
      <c r="U126" s="592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584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592"/>
      <c r="P127" s="592"/>
      <c r="Q127" s="592"/>
      <c r="R127" s="592"/>
      <c r="S127" s="592"/>
      <c r="T127" s="592"/>
      <c r="U127" s="592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584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592"/>
      <c r="P128" s="592"/>
      <c r="Q128" s="592"/>
      <c r="R128" s="592"/>
      <c r="S128" s="592"/>
      <c r="T128" s="592"/>
      <c r="U128" s="592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589" t="s">
        <v>228</v>
      </c>
      <c r="D129" s="108">
        <v>5.03</v>
      </c>
      <c r="E129" s="108"/>
      <c r="F129" s="127"/>
      <c r="G129" s="128"/>
      <c r="H129" s="584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592"/>
      <c r="P129" s="592"/>
      <c r="Q129" s="592"/>
      <c r="R129" s="592"/>
      <c r="S129" s="592"/>
      <c r="T129" s="592"/>
      <c r="U129" s="592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589" t="s">
        <v>212</v>
      </c>
      <c r="D130" s="108">
        <v>5.03</v>
      </c>
      <c r="E130" s="108"/>
      <c r="F130" s="127"/>
      <c r="G130" s="128"/>
      <c r="H130" s="584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592"/>
      <c r="P130" s="592"/>
      <c r="Q130" s="592"/>
      <c r="R130" s="592"/>
      <c r="S130" s="592"/>
      <c r="T130" s="592"/>
      <c r="U130" s="592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589" t="s">
        <v>203</v>
      </c>
      <c r="D131" s="108">
        <v>5.03</v>
      </c>
      <c r="E131" s="108"/>
      <c r="F131" s="127"/>
      <c r="G131" s="128"/>
      <c r="H131" s="584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592"/>
      <c r="P131" s="592"/>
      <c r="Q131" s="592"/>
      <c r="R131" s="592"/>
      <c r="S131" s="592"/>
      <c r="T131" s="592"/>
      <c r="U131" s="592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589" t="s">
        <v>186</v>
      </c>
      <c r="D132" s="108">
        <v>5.03</v>
      </c>
      <c r="E132" s="108"/>
      <c r="F132" s="127"/>
      <c r="G132" s="128"/>
      <c r="H132" s="584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592"/>
      <c r="P132" s="592"/>
      <c r="Q132" s="592"/>
      <c r="R132" s="592"/>
      <c r="S132" s="592"/>
      <c r="T132" s="592"/>
      <c r="U132" s="592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589" t="s">
        <v>228</v>
      </c>
      <c r="D133" s="108">
        <v>5.03</v>
      </c>
      <c r="E133" s="108"/>
      <c r="F133" s="127"/>
      <c r="G133" s="128"/>
      <c r="H133" s="584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592"/>
      <c r="P133" s="592"/>
      <c r="Q133" s="592"/>
      <c r="R133" s="592"/>
      <c r="S133" s="592"/>
      <c r="T133" s="592"/>
      <c r="U133" s="592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589" t="s">
        <v>199</v>
      </c>
      <c r="D134" s="108">
        <v>5.03</v>
      </c>
      <c r="E134" s="108"/>
      <c r="F134" s="127"/>
      <c r="G134" s="128"/>
      <c r="H134" s="584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592"/>
      <c r="P134" s="592"/>
      <c r="Q134" s="592"/>
      <c r="R134" s="592"/>
      <c r="S134" s="592"/>
      <c r="T134" s="592"/>
      <c r="U134" s="592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584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592"/>
      <c r="P135" s="592"/>
      <c r="Q135" s="592"/>
      <c r="R135" s="592"/>
      <c r="S135" s="592"/>
      <c r="T135" s="592"/>
      <c r="U135" s="592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584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592"/>
      <c r="P136" s="592"/>
      <c r="Q136" s="592"/>
      <c r="R136" s="592"/>
      <c r="S136" s="592"/>
      <c r="T136" s="592"/>
      <c r="U136" s="592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630" t="s">
        <v>231</v>
      </c>
      <c r="B137" s="631"/>
      <c r="C137" s="593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584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592"/>
      <c r="P138" s="592"/>
      <c r="Q138" s="592"/>
      <c r="R138" s="592"/>
      <c r="S138" s="592"/>
      <c r="T138" s="592"/>
      <c r="U138" s="592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584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592"/>
      <c r="P139" s="592"/>
      <c r="Q139" s="592"/>
      <c r="R139" s="592"/>
      <c r="S139" s="592"/>
      <c r="T139" s="592"/>
      <c r="U139" s="592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584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592"/>
      <c r="P140" s="592"/>
      <c r="Q140" s="592"/>
      <c r="R140" s="592"/>
      <c r="S140" s="592"/>
      <c r="T140" s="592"/>
      <c r="U140" s="592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584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592"/>
      <c r="P141" s="592"/>
      <c r="Q141" s="592"/>
      <c r="R141" s="592"/>
      <c r="S141" s="592"/>
      <c r="T141" s="592"/>
      <c r="U141" s="592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584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592"/>
      <c r="P142" s="592"/>
      <c r="Q142" s="592"/>
      <c r="R142" s="592"/>
      <c r="S142" s="592"/>
      <c r="T142" s="592"/>
      <c r="U142" s="592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584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592"/>
      <c r="P143" s="592"/>
      <c r="Q143" s="592"/>
      <c r="R143" s="592"/>
      <c r="S143" s="592"/>
      <c r="T143" s="592"/>
      <c r="U143" s="592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584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592"/>
      <c r="P144" s="592"/>
      <c r="Q144" s="592"/>
      <c r="R144" s="592"/>
      <c r="S144" s="592"/>
      <c r="T144" s="592"/>
      <c r="U144" s="592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30040021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584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592"/>
      <c r="P145" s="592"/>
      <c r="Q145" s="592"/>
      <c r="R145" s="592"/>
      <c r="S145" s="592"/>
      <c r="T145" s="592"/>
      <c r="U145" s="592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584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592"/>
      <c r="P146" s="592"/>
      <c r="Q146" s="592"/>
      <c r="R146" s="592"/>
      <c r="S146" s="592"/>
      <c r="T146" s="592"/>
      <c r="U146" s="592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hidden="1" customHeight="1">
      <c r="A147" s="630" t="s">
        <v>234</v>
      </c>
      <c r="B147" s="631"/>
      <c r="C147" s="593" t="s">
        <v>202</v>
      </c>
      <c r="D147" s="143"/>
      <c r="E147" s="143"/>
      <c r="F147" s="144"/>
      <c r="G147" s="145">
        <f>SUM(G138:G146)</f>
        <v>0</v>
      </c>
      <c r="H147" s="146">
        <f>SUM(H138:H146)</f>
        <v>0</v>
      </c>
      <c r="I147" s="146">
        <f>SUM(I138:I146)</f>
        <v>0</v>
      </c>
      <c r="J147" s="130" t="str">
        <f t="array" ref="J147">IF(ISERROR(G147/I147),"",G147/I147)</f>
        <v/>
      </c>
      <c r="K147" s="146">
        <f>SUM(K138:K146)</f>
        <v>0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 t="str">
        <f t="shared" si="62"/>
        <v/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590"/>
      <c r="D148" s="108">
        <v>3.65</v>
      </c>
      <c r="E148" s="108"/>
      <c r="F148" s="153"/>
      <c r="G148" s="128"/>
      <c r="H148" s="584">
        <f t="shared" ref="H148:H161" si="63">D148*G148</f>
        <v>0</v>
      </c>
      <c r="I148" s="129"/>
      <c r="J148" s="130" t="str">
        <f t="array" ref="J148">IF(ISERROR(G148/I148),"",G148/I148)</f>
        <v/>
      </c>
      <c r="K148" s="584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592"/>
      <c r="P148" s="592"/>
      <c r="Q148" s="592"/>
      <c r="R148" s="592"/>
      <c r="S148" s="592"/>
      <c r="T148" s="592"/>
      <c r="U148" s="592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590"/>
      <c r="D149" s="108">
        <v>6.58</v>
      </c>
      <c r="E149" s="108"/>
      <c r="F149" s="127"/>
      <c r="G149" s="128"/>
      <c r="H149" s="584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592"/>
      <c r="P149" s="592"/>
      <c r="Q149" s="592"/>
      <c r="R149" s="592"/>
      <c r="S149" s="592"/>
      <c r="T149" s="592"/>
      <c r="U149" s="592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590"/>
      <c r="D150" s="108">
        <v>7.8</v>
      </c>
      <c r="E150" s="108"/>
      <c r="F150" s="127"/>
      <c r="G150" s="128"/>
      <c r="H150" s="584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592"/>
      <c r="P150" s="592"/>
      <c r="Q150" s="592"/>
      <c r="R150" s="592"/>
      <c r="S150" s="592"/>
      <c r="T150" s="592"/>
      <c r="U150" s="592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590"/>
      <c r="D151" s="108">
        <v>4.4000000000000004</v>
      </c>
      <c r="E151" s="108"/>
      <c r="F151" s="127"/>
      <c r="G151" s="128"/>
      <c r="H151" s="584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592"/>
      <c r="P151" s="592"/>
      <c r="Q151" s="592"/>
      <c r="R151" s="592"/>
      <c r="S151" s="592"/>
      <c r="T151" s="592"/>
      <c r="U151" s="592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584">
        <f t="shared" si="63"/>
        <v>0</v>
      </c>
      <c r="I152" s="129"/>
      <c r="J152" s="130"/>
      <c r="K152" s="131"/>
      <c r="L152" s="129">
        <v>6</v>
      </c>
      <c r="M152" s="109"/>
      <c r="N152" s="130"/>
      <c r="O152" s="592"/>
      <c r="P152" s="592"/>
      <c r="Q152" s="592"/>
      <c r="R152" s="592"/>
      <c r="S152" s="592"/>
      <c r="T152" s="592"/>
      <c r="U152" s="592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590" t="s">
        <v>239</v>
      </c>
      <c r="C153" s="590" t="s">
        <v>179</v>
      </c>
      <c r="D153" s="108">
        <v>6.04</v>
      </c>
      <c r="E153" s="108"/>
      <c r="F153" s="127"/>
      <c r="G153" s="128"/>
      <c r="H153" s="584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592"/>
      <c r="P153" s="592"/>
      <c r="Q153" s="592"/>
      <c r="R153" s="592"/>
      <c r="S153" s="592"/>
      <c r="T153" s="592"/>
      <c r="U153" s="592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590" t="s">
        <v>239</v>
      </c>
      <c r="C154" s="590" t="s">
        <v>186</v>
      </c>
      <c r="D154" s="108">
        <v>6.04</v>
      </c>
      <c r="E154" s="108"/>
      <c r="F154" s="127"/>
      <c r="G154" s="128"/>
      <c r="H154" s="584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592"/>
      <c r="P154" s="592"/>
      <c r="Q154" s="592"/>
      <c r="R154" s="592"/>
      <c r="S154" s="592"/>
      <c r="T154" s="592"/>
      <c r="U154" s="592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590" t="s">
        <v>443</v>
      </c>
      <c r="C155" s="590" t="s">
        <v>179</v>
      </c>
      <c r="D155" s="108">
        <v>6</v>
      </c>
      <c r="E155" s="108"/>
      <c r="F155" s="127"/>
      <c r="G155" s="128"/>
      <c r="H155" s="584">
        <f t="shared" si="63"/>
        <v>0</v>
      </c>
      <c r="I155" s="129"/>
      <c r="J155" s="130"/>
      <c r="K155" s="131"/>
      <c r="L155" s="129"/>
      <c r="M155" s="109"/>
      <c r="N155" s="130"/>
      <c r="O155" s="592"/>
      <c r="P155" s="592"/>
      <c r="Q155" s="592"/>
      <c r="R155" s="592"/>
      <c r="S155" s="592"/>
      <c r="T155" s="592"/>
      <c r="U155" s="592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590" t="s">
        <v>443</v>
      </c>
      <c r="C156" s="590" t="s">
        <v>60</v>
      </c>
      <c r="D156" s="108">
        <v>6</v>
      </c>
      <c r="E156" s="108"/>
      <c r="F156" s="127"/>
      <c r="G156" s="128"/>
      <c r="H156" s="584">
        <f t="shared" si="63"/>
        <v>0</v>
      </c>
      <c r="I156" s="129"/>
      <c r="J156" s="130"/>
      <c r="K156" s="131"/>
      <c r="L156" s="129">
        <v>6</v>
      </c>
      <c r="M156" s="109"/>
      <c r="N156" s="130"/>
      <c r="O156" s="592"/>
      <c r="P156" s="592"/>
      <c r="Q156" s="592"/>
      <c r="R156" s="592"/>
      <c r="S156" s="592"/>
      <c r="T156" s="592"/>
      <c r="U156" s="592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583" t="s">
        <v>240</v>
      </c>
      <c r="C157" s="126"/>
      <c r="D157" s="108">
        <v>7.3</v>
      </c>
      <c r="E157" s="108"/>
      <c r="F157" s="127"/>
      <c r="G157" s="128"/>
      <c r="H157" s="584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592"/>
      <c r="P157" s="592"/>
      <c r="Q157" s="592"/>
      <c r="R157" s="592"/>
      <c r="S157" s="592"/>
      <c r="T157" s="592"/>
      <c r="U157" s="592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583" t="s">
        <v>241</v>
      </c>
      <c r="C158" s="126"/>
      <c r="D158" s="108">
        <f>78*120/1000</f>
        <v>9.36</v>
      </c>
      <c r="E158" s="108"/>
      <c r="F158" s="127"/>
      <c r="G158" s="128"/>
      <c r="H158" s="584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592"/>
      <c r="P158" s="592"/>
      <c r="Q158" s="592"/>
      <c r="R158" s="592"/>
      <c r="S158" s="592"/>
      <c r="T158" s="592"/>
      <c r="U158" s="592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583" t="s">
        <v>242</v>
      </c>
      <c r="C159" s="126"/>
      <c r="D159" s="108">
        <v>4.5</v>
      </c>
      <c r="E159" s="108"/>
      <c r="F159" s="127"/>
      <c r="G159" s="128"/>
      <c r="H159" s="584">
        <f t="shared" si="63"/>
        <v>0</v>
      </c>
      <c r="I159" s="129"/>
      <c r="J159" s="130"/>
      <c r="K159" s="131"/>
      <c r="L159" s="129"/>
      <c r="M159" s="109"/>
      <c r="N159" s="130"/>
      <c r="O159" s="592"/>
      <c r="P159" s="592"/>
      <c r="Q159" s="592"/>
      <c r="R159" s="592"/>
      <c r="S159" s="592"/>
      <c r="T159" s="592"/>
      <c r="U159" s="592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583" t="s">
        <v>243</v>
      </c>
      <c r="C160" s="126"/>
      <c r="D160" s="108">
        <v>4.5</v>
      </c>
      <c r="E160" s="108"/>
      <c r="F160" s="127"/>
      <c r="G160" s="128"/>
      <c r="H160" s="584">
        <f t="shared" si="63"/>
        <v>0</v>
      </c>
      <c r="I160" s="129"/>
      <c r="J160" s="130"/>
      <c r="K160" s="131"/>
      <c r="L160" s="129"/>
      <c r="M160" s="109"/>
      <c r="N160" s="130"/>
      <c r="O160" s="592"/>
      <c r="P160" s="592"/>
      <c r="Q160" s="592"/>
      <c r="R160" s="592"/>
      <c r="S160" s="592"/>
      <c r="T160" s="592"/>
      <c r="U160" s="592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584">
        <f t="shared" si="63"/>
        <v>0</v>
      </c>
      <c r="I161" s="129"/>
      <c r="J161" s="130"/>
      <c r="K161" s="131"/>
      <c r="L161" s="129"/>
      <c r="M161" s="109"/>
      <c r="N161" s="130"/>
      <c r="O161" s="592"/>
      <c r="P161" s="592"/>
      <c r="Q161" s="592"/>
      <c r="R161" s="592"/>
      <c r="S161" s="592"/>
      <c r="T161" s="592"/>
      <c r="U161" s="592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630" t="s">
        <v>244</v>
      </c>
      <c r="B162" s="631"/>
      <c r="C162" s="593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32" t="s">
        <v>246</v>
      </c>
      <c r="B163" s="633"/>
      <c r="C163" s="633"/>
      <c r="D163" s="633"/>
      <c r="E163" s="633"/>
      <c r="F163" s="634"/>
      <c r="G163" s="154">
        <f>SUM(G28,G86,G121,G137,G147,G162)</f>
        <v>4484</v>
      </c>
      <c r="H163" s="154">
        <f>SUM(H28,H86,H121,H137,H147,H162)</f>
        <v>22605.050000000003</v>
      </c>
      <c r="I163" s="154">
        <f>SUM(I28,I86,I121,I137,I147,I162)</f>
        <v>221</v>
      </c>
      <c r="J163" s="155">
        <f t="array" ref="J163">IF(ISERROR(G163/I163),"",G163/I163)</f>
        <v>20.289592760180994</v>
      </c>
      <c r="K163" s="154">
        <f>SUM(K28,K86,K121,K137,K147,K162)</f>
        <v>236.38686276826695</v>
      </c>
      <c r="L163" s="155">
        <f>IF(ISERROR(G163/K163),"",G163/K163)</f>
        <v>18.968905240710107</v>
      </c>
      <c r="M163" s="154">
        <f t="shared" ref="M163:AA163" si="76">SUM(M28,M86,M121,M137,M147,M162)</f>
        <v>-15.386862768266933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635" t="s">
        <v>476</v>
      </c>
      <c r="B164" s="586" t="s">
        <v>247</v>
      </c>
      <c r="C164" s="638" t="s">
        <v>248</v>
      </c>
      <c r="D164" s="639"/>
      <c r="E164" s="640" t="s">
        <v>249</v>
      </c>
      <c r="F164" s="640"/>
      <c r="G164" s="643" t="s">
        <v>250</v>
      </c>
      <c r="H164" s="643"/>
      <c r="I164" s="640" t="s">
        <v>251</v>
      </c>
      <c r="J164" s="640"/>
      <c r="K164" s="640" t="s">
        <v>252</v>
      </c>
      <c r="L164" s="640"/>
      <c r="M164" s="640" t="s">
        <v>253</v>
      </c>
      <c r="N164" s="640"/>
      <c r="O164" s="640" t="s">
        <v>254</v>
      </c>
      <c r="P164" s="643" t="s">
        <v>255</v>
      </c>
      <c r="Q164" s="643"/>
      <c r="R164" s="643" t="s">
        <v>252</v>
      </c>
      <c r="S164" s="643"/>
      <c r="T164" s="643" t="s">
        <v>256</v>
      </c>
      <c r="U164" s="643"/>
      <c r="V164" s="643" t="s">
        <v>257</v>
      </c>
      <c r="W164" s="643"/>
      <c r="X164" s="643" t="s">
        <v>252</v>
      </c>
      <c r="Y164" s="643"/>
      <c r="Z164" s="643" t="s">
        <v>256</v>
      </c>
      <c r="AA164" s="643"/>
    </row>
    <row r="165" spans="1:27" ht="20.100000000000001" customHeight="1">
      <c r="A165" s="636"/>
      <c r="B165" s="586" t="s">
        <v>258</v>
      </c>
      <c r="C165" s="638">
        <v>1</v>
      </c>
      <c r="D165" s="639"/>
      <c r="E165" s="642">
        <f>C165*11</f>
        <v>11</v>
      </c>
      <c r="F165" s="642"/>
      <c r="G165" s="643">
        <v>1</v>
      </c>
      <c r="H165" s="643"/>
      <c r="I165" s="642">
        <f>G165*11</f>
        <v>11</v>
      </c>
      <c r="J165" s="642"/>
      <c r="K165" s="642">
        <f>E165-I165</f>
        <v>0</v>
      </c>
      <c r="L165" s="642"/>
      <c r="M165" s="644">
        <f>IF(ISERROR(K165/E165),"",K165/E165)</f>
        <v>0</v>
      </c>
      <c r="N165" s="644"/>
      <c r="O165" s="640"/>
      <c r="P165" s="643" t="s">
        <v>201</v>
      </c>
      <c r="Q165" s="643"/>
      <c r="R165" s="645">
        <f>SUM(O28:U28)</f>
        <v>0</v>
      </c>
      <c r="S165" s="645"/>
      <c r="T165" s="646" t="str">
        <f t="array" ref="T165">IF(ISERROR(R165/R172),"",R165/R172)</f>
        <v/>
      </c>
      <c r="U165" s="646"/>
      <c r="V165" s="643" t="s">
        <v>259</v>
      </c>
      <c r="W165" s="643"/>
      <c r="X165" s="647">
        <f>SUM(P27,P85,P120,P136,P146,P160)</f>
        <v>0</v>
      </c>
      <c r="Y165" s="647"/>
      <c r="Z165" s="646" t="str">
        <f t="array" ref="Z165">IF(ISERROR(X165/X172),"",X165/X172)</f>
        <v/>
      </c>
      <c r="AA165" s="646"/>
    </row>
    <row r="166" spans="1:27" ht="20.100000000000001" customHeight="1">
      <c r="A166" s="636"/>
      <c r="B166" s="586" t="s">
        <v>260</v>
      </c>
      <c r="C166" s="638">
        <v>1</v>
      </c>
      <c r="D166" s="639"/>
      <c r="E166" s="642">
        <f>C166*11</f>
        <v>11</v>
      </c>
      <c r="F166" s="642"/>
      <c r="G166" s="643">
        <v>1</v>
      </c>
      <c r="H166" s="643"/>
      <c r="I166" s="642">
        <f>G166*11</f>
        <v>11</v>
      </c>
      <c r="J166" s="642"/>
      <c r="K166" s="642">
        <f>E166-I166</f>
        <v>0</v>
      </c>
      <c r="L166" s="642"/>
      <c r="M166" s="644">
        <f>IF(ISERROR(K166/E166),"",K166/E166)</f>
        <v>0</v>
      </c>
      <c r="N166" s="644"/>
      <c r="O166" s="640"/>
      <c r="P166" s="643" t="s">
        <v>216</v>
      </c>
      <c r="Q166" s="643"/>
      <c r="R166" s="645">
        <f>SUM(O86:U86)</f>
        <v>0</v>
      </c>
      <c r="S166" s="645"/>
      <c r="T166" s="646" t="str">
        <f>IF(ISERROR(R166/R172),"",R166/R172)</f>
        <v/>
      </c>
      <c r="U166" s="646"/>
      <c r="V166" s="643" t="s">
        <v>261</v>
      </c>
      <c r="W166" s="643"/>
      <c r="X166" s="647">
        <f>SUM(P28,P86,P121,P137,P147,P162)</f>
        <v>0</v>
      </c>
      <c r="Y166" s="647"/>
      <c r="Z166" s="646" t="str">
        <f>IF(ISERROR(X166/X172),"",X166/X172)</f>
        <v/>
      </c>
      <c r="AA166" s="646"/>
    </row>
    <row r="167" spans="1:27" ht="20.100000000000001" customHeight="1">
      <c r="A167" s="636"/>
      <c r="B167" s="586" t="s">
        <v>262</v>
      </c>
      <c r="C167" s="638">
        <v>1</v>
      </c>
      <c r="D167" s="639"/>
      <c r="E167" s="642">
        <f>C167*8</f>
        <v>8</v>
      </c>
      <c r="F167" s="642"/>
      <c r="G167" s="643">
        <v>1</v>
      </c>
      <c r="H167" s="643"/>
      <c r="I167" s="642">
        <f>G167*8</f>
        <v>8</v>
      </c>
      <c r="J167" s="642"/>
      <c r="K167" s="642">
        <f>E167-I167</f>
        <v>0</v>
      </c>
      <c r="L167" s="642"/>
      <c r="M167" s="644">
        <f>IF(ISERROR(K167/E167),"",K167/E167)</f>
        <v>0</v>
      </c>
      <c r="N167" s="644"/>
      <c r="O167" s="640"/>
      <c r="P167" s="643" t="s">
        <v>224</v>
      </c>
      <c r="Q167" s="643"/>
      <c r="R167" s="645">
        <f>SUM(O121:U121)</f>
        <v>0</v>
      </c>
      <c r="S167" s="645"/>
      <c r="T167" s="646" t="str">
        <f>IF(ISERROR(R167/R172),"",R167/R172)</f>
        <v/>
      </c>
      <c r="U167" s="646"/>
      <c r="V167" s="643" t="s">
        <v>263</v>
      </c>
      <c r="W167" s="643"/>
      <c r="X167" s="647">
        <f>SUM(P29,P87,P122,P138,P148,P163)</f>
        <v>0</v>
      </c>
      <c r="Y167" s="647"/>
      <c r="Z167" s="646" t="str">
        <f>IF(ISERROR(X167/X172),"",X167/X172)</f>
        <v/>
      </c>
      <c r="AA167" s="646"/>
    </row>
    <row r="168" spans="1:27" ht="20.100000000000001" customHeight="1">
      <c r="A168" s="636"/>
      <c r="B168" s="586" t="s">
        <v>264</v>
      </c>
      <c r="C168" s="638">
        <v>1</v>
      </c>
      <c r="D168" s="639"/>
      <c r="E168" s="642">
        <f>C168*11</f>
        <v>11</v>
      </c>
      <c r="F168" s="642"/>
      <c r="G168" s="643">
        <v>1</v>
      </c>
      <c r="H168" s="643"/>
      <c r="I168" s="642">
        <f>G168*11</f>
        <v>11</v>
      </c>
      <c r="J168" s="642"/>
      <c r="K168" s="642">
        <f>E168-I168</f>
        <v>0</v>
      </c>
      <c r="L168" s="642"/>
      <c r="M168" s="644">
        <f>IF(ISERROR(K168/E168),"",K168/E168)</f>
        <v>0</v>
      </c>
      <c r="N168" s="644"/>
      <c r="O168" s="640"/>
      <c r="P168" s="643" t="s">
        <v>231</v>
      </c>
      <c r="Q168" s="643"/>
      <c r="R168" s="645">
        <f>SUM(O137:U137)</f>
        <v>0</v>
      </c>
      <c r="S168" s="645"/>
      <c r="T168" s="646" t="str">
        <f>IF(ISERROR(R168/R172),"",R168/R172)</f>
        <v/>
      </c>
      <c r="U168" s="646"/>
      <c r="V168" s="643" t="s">
        <v>265</v>
      </c>
      <c r="W168" s="643"/>
      <c r="X168" s="647">
        <f>SUM(P31,P88,P123,P139,P149,P164)</f>
        <v>0</v>
      </c>
      <c r="Y168" s="647"/>
      <c r="Z168" s="646" t="str">
        <f>IF(ISERROR(X168/X172),"",X168/X172)</f>
        <v/>
      </c>
      <c r="AA168" s="646"/>
    </row>
    <row r="169" spans="1:27" ht="20.100000000000001" customHeight="1">
      <c r="A169" s="637"/>
      <c r="B169" s="586" t="s">
        <v>266</v>
      </c>
      <c r="C169" s="648">
        <f>SUM(C165:D168)</f>
        <v>4</v>
      </c>
      <c r="D169" s="649"/>
      <c r="E169" s="642">
        <f>SUM(E165:F168)</f>
        <v>41</v>
      </c>
      <c r="F169" s="642"/>
      <c r="G169" s="643">
        <f>SUM(G165:H168)</f>
        <v>4</v>
      </c>
      <c r="H169" s="643"/>
      <c r="I169" s="642">
        <f>SUM(I165:J168)</f>
        <v>41</v>
      </c>
      <c r="J169" s="642"/>
      <c r="K169" s="642">
        <f>SUM(K165:L168)</f>
        <v>0</v>
      </c>
      <c r="L169" s="642"/>
      <c r="M169" s="644">
        <f>IF(ISERROR(K169/E169),"",K169/E169)</f>
        <v>0</v>
      </c>
      <c r="N169" s="644"/>
      <c r="O169" s="640"/>
      <c r="P169" s="643" t="s">
        <v>234</v>
      </c>
      <c r="Q169" s="643"/>
      <c r="R169" s="645">
        <f>SUM(O147:U147)</f>
        <v>0</v>
      </c>
      <c r="S169" s="645"/>
      <c r="T169" s="646" t="str">
        <f>IF(ISERROR(R169/R172),"",R169/R172)</f>
        <v/>
      </c>
      <c r="U169" s="646"/>
      <c r="V169" s="643" t="s">
        <v>267</v>
      </c>
      <c r="W169" s="643"/>
      <c r="X169" s="647">
        <f>SUM(P32,P89,P124,P140,P150,P165)</f>
        <v>0</v>
      </c>
      <c r="Y169" s="647"/>
      <c r="Z169" s="646" t="str">
        <f>IF(ISERROR(X169/X172),"",X169/X172)</f>
        <v/>
      </c>
      <c r="AA169" s="646"/>
    </row>
    <row r="170" spans="1:27" ht="20.100000000000001" customHeight="1">
      <c r="A170" s="307" t="s">
        <v>477</v>
      </c>
      <c r="B170" s="586">
        <f>G163</f>
        <v>4484</v>
      </c>
      <c r="C170" s="650" t="s">
        <v>269</v>
      </c>
      <c r="D170" s="651"/>
      <c r="E170" s="643">
        <f>H163</f>
        <v>22605.050000000003</v>
      </c>
      <c r="F170" s="643"/>
      <c r="G170" s="643" t="s">
        <v>270</v>
      </c>
      <c r="H170" s="643"/>
      <c r="I170" s="652">
        <f>L163</f>
        <v>18.968905240710107</v>
      </c>
      <c r="J170" s="652"/>
      <c r="K170" s="640" t="s">
        <v>271</v>
      </c>
      <c r="L170" s="640"/>
      <c r="M170" s="652">
        <f>J163</f>
        <v>20.289592760180994</v>
      </c>
      <c r="N170" s="652"/>
      <c r="O170" s="640"/>
      <c r="P170" s="643" t="s">
        <v>244</v>
      </c>
      <c r="Q170" s="643"/>
      <c r="R170" s="645">
        <f>SUM(O162:U162)</f>
        <v>0</v>
      </c>
      <c r="S170" s="645"/>
      <c r="T170" s="646" t="str">
        <f>IF(ISERROR(R170/R172),"",R170/R172)</f>
        <v/>
      </c>
      <c r="U170" s="646"/>
      <c r="V170" s="643" t="s">
        <v>272</v>
      </c>
      <c r="W170" s="643"/>
      <c r="X170" s="647">
        <f>SUM(P33,P90,P125,P141,P151,P166)</f>
        <v>0</v>
      </c>
      <c r="Y170" s="647"/>
      <c r="Z170" s="646" t="str">
        <f>IF(ISERROR(X170/X172),"",X170/X172)</f>
        <v/>
      </c>
      <c r="AA170" s="646"/>
    </row>
    <row r="171" spans="1:27" ht="20.100000000000001" customHeight="1">
      <c r="A171" s="308" t="s">
        <v>478</v>
      </c>
      <c r="B171" s="586">
        <f>I163+C169</f>
        <v>225</v>
      </c>
      <c r="C171" s="653" t="s">
        <v>251</v>
      </c>
      <c r="D171" s="654"/>
      <c r="E171" s="655">
        <f>K163+I169</f>
        <v>277.38686276826695</v>
      </c>
      <c r="F171" s="655"/>
      <c r="G171" s="643" t="s">
        <v>274</v>
      </c>
      <c r="H171" s="643"/>
      <c r="I171" s="652">
        <f>B171-E171</f>
        <v>-52.386862768266951</v>
      </c>
      <c r="J171" s="652"/>
      <c r="K171" s="640" t="s">
        <v>275</v>
      </c>
      <c r="L171" s="640"/>
      <c r="M171" s="644">
        <f>IF(ISERROR(I171/E171),"",I171/E171)</f>
        <v>-0.18885848538555952</v>
      </c>
      <c r="N171" s="644"/>
      <c r="O171" s="640"/>
      <c r="P171" s="643" t="s">
        <v>245</v>
      </c>
      <c r="Q171" s="643"/>
      <c r="R171" s="645"/>
      <c r="S171" s="645"/>
      <c r="T171" s="646" t="str">
        <f>IF(ISERROR(R171/R172),"",R171/R172)</f>
        <v/>
      </c>
      <c r="U171" s="646"/>
      <c r="V171" s="643" t="s">
        <v>264</v>
      </c>
      <c r="W171" s="643"/>
      <c r="X171" s="647"/>
      <c r="Y171" s="647"/>
      <c r="Z171" s="646" t="str">
        <f>IF(ISERROR(X171/X172),"",X171/X172)</f>
        <v/>
      </c>
      <c r="AA171" s="646"/>
    </row>
    <row r="172" spans="1:27" ht="20.100000000000001" customHeight="1">
      <c r="A172" s="308" t="s">
        <v>479</v>
      </c>
      <c r="B172" s="586">
        <f>N163</f>
        <v>0</v>
      </c>
      <c r="C172" s="653" t="s">
        <v>277</v>
      </c>
      <c r="D172" s="654"/>
      <c r="E172" s="646">
        <f>IF(ISERROR(B172/B171),"",B172/B171)</f>
        <v>0</v>
      </c>
      <c r="F172" s="646"/>
      <c r="G172" s="643" t="s">
        <v>278</v>
      </c>
      <c r="H172" s="643"/>
      <c r="I172" s="640">
        <f>V163</f>
        <v>0</v>
      </c>
      <c r="J172" s="640"/>
      <c r="K172" s="640" t="s">
        <v>279</v>
      </c>
      <c r="L172" s="640"/>
      <c r="M172" s="644">
        <f t="array" ref="M172">IF(ISERROR(I172/B170),"",I172/B170)</f>
        <v>0</v>
      </c>
      <c r="N172" s="644"/>
      <c r="O172" s="640"/>
      <c r="P172" s="643" t="s">
        <v>266</v>
      </c>
      <c r="Q172" s="643"/>
      <c r="R172" s="645">
        <f>SUM(R165:S171)</f>
        <v>0</v>
      </c>
      <c r="S172" s="645"/>
      <c r="T172" s="646"/>
      <c r="U172" s="646"/>
      <c r="V172" s="643" t="s">
        <v>266</v>
      </c>
      <c r="W172" s="643"/>
      <c r="X172" s="647">
        <f>SUM(X165:Y171)</f>
        <v>0</v>
      </c>
      <c r="Y172" s="647"/>
      <c r="Z172" s="646"/>
      <c r="AA172" s="646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56" t="s">
        <v>480</v>
      </c>
      <c r="B174" s="659" t="s">
        <v>280</v>
      </c>
      <c r="C174" s="659" t="s">
        <v>281</v>
      </c>
      <c r="D174" s="659" t="s">
        <v>282</v>
      </c>
      <c r="E174" s="662" t="s">
        <v>283</v>
      </c>
      <c r="F174" s="675" t="s">
        <v>284</v>
      </c>
      <c r="G174" s="640" t="s">
        <v>285</v>
      </c>
      <c r="H174" s="640"/>
      <c r="I174" s="659" t="s">
        <v>286</v>
      </c>
      <c r="J174" s="665" t="s">
        <v>271</v>
      </c>
      <c r="K174" s="668" t="s">
        <v>287</v>
      </c>
      <c r="L174" s="659" t="s">
        <v>270</v>
      </c>
      <c r="M174" s="671" t="s">
        <v>288</v>
      </c>
      <c r="N174" s="673" t="s">
        <v>252</v>
      </c>
      <c r="O174" s="640" t="s">
        <v>289</v>
      </c>
      <c r="P174" s="640"/>
      <c r="Q174" s="640"/>
      <c r="R174" s="640"/>
      <c r="S174" s="640"/>
      <c r="T174" s="640"/>
      <c r="U174" s="640"/>
      <c r="V174" s="640" t="s">
        <v>290</v>
      </c>
      <c r="W174" s="673" t="s">
        <v>291</v>
      </c>
      <c r="X174" s="640" t="s">
        <v>292</v>
      </c>
      <c r="Y174" s="640"/>
      <c r="Z174" s="640"/>
      <c r="AA174" s="640"/>
    </row>
    <row r="175" spans="1:27" ht="21.95" customHeight="1">
      <c r="A175" s="657"/>
      <c r="B175" s="660"/>
      <c r="C175" s="660"/>
      <c r="D175" s="660"/>
      <c r="E175" s="663"/>
      <c r="F175" s="676"/>
      <c r="G175" s="640"/>
      <c r="H175" s="640"/>
      <c r="I175" s="660"/>
      <c r="J175" s="666"/>
      <c r="K175" s="669"/>
      <c r="L175" s="660"/>
      <c r="M175" s="672"/>
      <c r="N175" s="673"/>
      <c r="O175" s="640" t="s">
        <v>259</v>
      </c>
      <c r="P175" s="640" t="s">
        <v>261</v>
      </c>
      <c r="Q175" s="640" t="s">
        <v>263</v>
      </c>
      <c r="R175" s="674" t="s">
        <v>265</v>
      </c>
      <c r="S175" s="643" t="s">
        <v>267</v>
      </c>
      <c r="T175" s="640" t="s">
        <v>272</v>
      </c>
      <c r="U175" s="640" t="s">
        <v>264</v>
      </c>
      <c r="V175" s="640"/>
      <c r="W175" s="673"/>
      <c r="X175" s="640" t="s">
        <v>293</v>
      </c>
      <c r="Y175" s="640" t="s">
        <v>294</v>
      </c>
      <c r="Z175" s="640" t="s">
        <v>295</v>
      </c>
      <c r="AA175" s="640" t="s">
        <v>264</v>
      </c>
    </row>
    <row r="176" spans="1:27" ht="21.95" customHeight="1">
      <c r="A176" s="658"/>
      <c r="B176" s="661"/>
      <c r="C176" s="661"/>
      <c r="D176" s="661"/>
      <c r="E176" s="664"/>
      <c r="F176" s="677"/>
      <c r="G176" s="348" t="s">
        <v>554</v>
      </c>
      <c r="H176" s="590" t="s">
        <v>297</v>
      </c>
      <c r="I176" s="661"/>
      <c r="J176" s="667"/>
      <c r="K176" s="670"/>
      <c r="L176" s="661"/>
      <c r="M176" s="672"/>
      <c r="N176" s="673"/>
      <c r="O176" s="640"/>
      <c r="P176" s="640"/>
      <c r="Q176" s="640"/>
      <c r="R176" s="674"/>
      <c r="S176" s="643"/>
      <c r="T176" s="640"/>
      <c r="U176" s="640"/>
      <c r="V176" s="640"/>
      <c r="W176" s="673"/>
      <c r="X176" s="640"/>
      <c r="Y176" s="640"/>
      <c r="Z176" s="640"/>
      <c r="AA176" s="640"/>
    </row>
    <row r="177" spans="1:27" ht="20.100000000000001" hidden="1" customHeight="1">
      <c r="A177" s="299">
        <v>30100030</v>
      </c>
      <c r="B177" s="583" t="s">
        <v>178</v>
      </c>
      <c r="C177" s="126" t="s">
        <v>179</v>
      </c>
      <c r="D177" s="108">
        <v>5.03</v>
      </c>
      <c r="E177" s="108"/>
      <c r="F177" s="127"/>
      <c r="G177" s="128"/>
      <c r="H177" s="584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592"/>
      <c r="P177" s="592"/>
      <c r="Q177" s="592"/>
      <c r="R177" s="592"/>
      <c r="S177" s="592"/>
      <c r="T177" s="592"/>
      <c r="U177" s="592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584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592"/>
      <c r="P178" s="592"/>
      <c r="Q178" s="592"/>
      <c r="R178" s="592"/>
      <c r="S178" s="592"/>
      <c r="T178" s="592"/>
      <c r="U178" s="592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584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592"/>
      <c r="P179" s="592"/>
      <c r="Q179" s="592"/>
      <c r="R179" s="592"/>
      <c r="S179" s="592"/>
      <c r="T179" s="592"/>
      <c r="U179" s="592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584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592"/>
      <c r="P180" s="592"/>
      <c r="Q180" s="592"/>
      <c r="R180" s="592"/>
      <c r="S180" s="592"/>
      <c r="T180" s="592"/>
      <c r="U180" s="592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584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592"/>
      <c r="P181" s="592"/>
      <c r="Q181" s="592"/>
      <c r="R181" s="592"/>
      <c r="S181" s="592"/>
      <c r="T181" s="592"/>
      <c r="U181" s="592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584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592"/>
      <c r="P182" s="592"/>
      <c r="Q182" s="592"/>
      <c r="R182" s="592"/>
      <c r="S182" s="592"/>
      <c r="T182" s="592"/>
      <c r="U182" s="592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584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592"/>
      <c r="P183" s="592"/>
      <c r="Q183" s="592"/>
      <c r="R183" s="592"/>
      <c r="S183" s="592"/>
      <c r="T183" s="592"/>
      <c r="U183" s="592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584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592"/>
      <c r="P184" s="592"/>
      <c r="Q184" s="592"/>
      <c r="R184" s="592"/>
      <c r="S184" s="592"/>
      <c r="T184" s="592"/>
      <c r="U184" s="592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584">
        <f t="shared" si="77"/>
        <v>0</v>
      </c>
      <c r="I185" s="584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592"/>
      <c r="P185" s="592"/>
      <c r="Q185" s="592"/>
      <c r="R185" s="592"/>
      <c r="S185" s="592"/>
      <c r="T185" s="592"/>
      <c r="U185" s="592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>
        <v>42725</v>
      </c>
      <c r="G186" s="128">
        <f>100*6+52</f>
        <v>652</v>
      </c>
      <c r="H186" s="584">
        <f t="shared" si="77"/>
        <v>3286.08</v>
      </c>
      <c r="I186" s="584">
        <f>9*5</f>
        <v>45</v>
      </c>
      <c r="J186" s="130">
        <f t="array" ref="J186">IF(ISERROR(G186/I186),"",G186/I186)</f>
        <v>14.488888888888889</v>
      </c>
      <c r="K186" s="131">
        <f t="array" ref="K186">IF(ISERROR(G186/L186),"",G186/L186)</f>
        <v>38.352941176470587</v>
      </c>
      <c r="L186" s="129">
        <v>17</v>
      </c>
      <c r="M186" s="109">
        <f t="shared" si="78"/>
        <v>6.647058823529413</v>
      </c>
      <c r="N186" s="130">
        <f t="shared" si="81"/>
        <v>0</v>
      </c>
      <c r="O186" s="592"/>
      <c r="P186" s="592"/>
      <c r="Q186" s="592"/>
      <c r="R186" s="592"/>
      <c r="S186" s="592"/>
      <c r="T186" s="592"/>
      <c r="U186" s="592"/>
      <c r="V186" s="132">
        <f>SUM(X186:AA186)</f>
        <v>0</v>
      </c>
      <c r="W186" s="133">
        <f>IF(ISERROR(V186/G186),"",V186/G186)</f>
        <v>0</v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584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592"/>
      <c r="P187" s="592"/>
      <c r="Q187" s="592"/>
      <c r="R187" s="592"/>
      <c r="S187" s="592"/>
      <c r="T187" s="592"/>
      <c r="U187" s="592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584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592"/>
      <c r="P188" s="592"/>
      <c r="Q188" s="592"/>
      <c r="R188" s="592"/>
      <c r="S188" s="592"/>
      <c r="T188" s="592"/>
      <c r="U188" s="592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584">
        <f t="shared" ref="H189:H197" si="82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3">IF(ISERROR(I189-K189),"",I189-K189)</f>
        <v>0</v>
      </c>
      <c r="N189" s="130">
        <f t="shared" ref="N189:N191" si="84">SUM(O189:U189)</f>
        <v>0</v>
      </c>
      <c r="O189" s="592"/>
      <c r="P189" s="592"/>
      <c r="Q189" s="592"/>
      <c r="R189" s="592"/>
      <c r="S189" s="592"/>
      <c r="T189" s="592"/>
      <c r="U189" s="592"/>
      <c r="V189" s="132">
        <f t="shared" ref="V189:V191" si="85">SUM(X189:AA189)</f>
        <v>0</v>
      </c>
      <c r="W189" s="133" t="str">
        <f t="shared" ref="W189:W191" si="86">IF(ISERROR(V189/G189),"",V189/G189)</f>
        <v/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584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592"/>
      <c r="P190" s="592"/>
      <c r="Q190" s="592"/>
      <c r="R190" s="592"/>
      <c r="S190" s="592"/>
      <c r="T190" s="592"/>
      <c r="U190" s="592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584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592"/>
      <c r="P191" s="592"/>
      <c r="Q191" s="592"/>
      <c r="R191" s="592"/>
      <c r="S191" s="592"/>
      <c r="T191" s="592"/>
      <c r="U191" s="592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590" t="s">
        <v>190</v>
      </c>
      <c r="D192" s="108">
        <v>4.8</v>
      </c>
      <c r="E192" s="108"/>
      <c r="F192" s="127"/>
      <c r="G192" s="128"/>
      <c r="H192" s="584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592"/>
      <c r="P192" s="592"/>
      <c r="Q192" s="592"/>
      <c r="R192" s="592"/>
      <c r="S192" s="592"/>
      <c r="T192" s="592"/>
      <c r="U192" s="592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590" t="s">
        <v>187</v>
      </c>
      <c r="D193" s="108">
        <v>4.8</v>
      </c>
      <c r="E193" s="108"/>
      <c r="F193" s="127"/>
      <c r="G193" s="128"/>
      <c r="H193" s="584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592"/>
      <c r="P193" s="592"/>
      <c r="Q193" s="592"/>
      <c r="R193" s="592"/>
      <c r="S193" s="592"/>
      <c r="T193" s="592"/>
      <c r="U193" s="592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590" t="s">
        <v>179</v>
      </c>
      <c r="D194" s="108">
        <v>4.8</v>
      </c>
      <c r="E194" s="108"/>
      <c r="F194" s="127"/>
      <c r="G194" s="128"/>
      <c r="H194" s="584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592"/>
      <c r="P194" s="592"/>
      <c r="Q194" s="592"/>
      <c r="R194" s="592"/>
      <c r="S194" s="592"/>
      <c r="T194" s="592"/>
      <c r="U194" s="592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590" t="s">
        <v>199</v>
      </c>
      <c r="D195" s="108">
        <v>4.8</v>
      </c>
      <c r="E195" s="108"/>
      <c r="F195" s="127"/>
      <c r="G195" s="128"/>
      <c r="H195" s="584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592"/>
      <c r="P195" s="592"/>
      <c r="Q195" s="592"/>
      <c r="R195" s="592"/>
      <c r="S195" s="592"/>
      <c r="T195" s="592"/>
      <c r="U195" s="592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584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592"/>
      <c r="P196" s="592"/>
      <c r="Q196" s="592"/>
      <c r="R196" s="592"/>
      <c r="S196" s="592"/>
      <c r="T196" s="592"/>
      <c r="U196" s="592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584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592"/>
      <c r="P197" s="592"/>
      <c r="Q197" s="592"/>
      <c r="R197" s="592"/>
      <c r="S197" s="592"/>
      <c r="T197" s="592"/>
      <c r="U197" s="592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customHeight="1">
      <c r="A198" s="630" t="s">
        <v>201</v>
      </c>
      <c r="B198" s="631"/>
      <c r="C198" s="593" t="s">
        <v>202</v>
      </c>
      <c r="D198" s="143"/>
      <c r="E198" s="143"/>
      <c r="F198" s="144"/>
      <c r="G198" s="145">
        <f>SUM(G177:G197)</f>
        <v>652</v>
      </c>
      <c r="H198" s="146">
        <f>SUM(H177:H197)</f>
        <v>3286.08</v>
      </c>
      <c r="I198" s="146">
        <f>SUM(I177:I197)</f>
        <v>45</v>
      </c>
      <c r="J198" s="130">
        <f t="array" ref="J198">IF(ISERROR(G198/I198),"",G198/I198)</f>
        <v>14.488888888888889</v>
      </c>
      <c r="K198" s="146">
        <f>SUM(K177:K197)</f>
        <v>38.352941176470587</v>
      </c>
      <c r="L198" s="147"/>
      <c r="M198" s="150">
        <f t="shared" ref="M198:AA198" si="90">SUM(M177:M197)</f>
        <v>6.647058823529413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583" t="s">
        <v>206</v>
      </c>
      <c r="C199" s="126" t="s">
        <v>199</v>
      </c>
      <c r="D199" s="108">
        <v>5.03</v>
      </c>
      <c r="E199" s="108"/>
      <c r="F199" s="127"/>
      <c r="G199" s="128"/>
      <c r="H199" s="584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588"/>
      <c r="P199" s="588"/>
      <c r="Q199" s="588"/>
      <c r="R199" s="588"/>
      <c r="S199" s="588"/>
      <c r="T199" s="588"/>
      <c r="U199" s="588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583" t="s">
        <v>425</v>
      </c>
      <c r="C200" s="187" t="s">
        <v>427</v>
      </c>
      <c r="D200" s="108">
        <v>5.03</v>
      </c>
      <c r="E200" s="108"/>
      <c r="F200" s="127"/>
      <c r="G200" s="128"/>
      <c r="H200" s="584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588"/>
      <c r="P200" s="588"/>
      <c r="Q200" s="588"/>
      <c r="R200" s="588"/>
      <c r="S200" s="588"/>
      <c r="T200" s="588"/>
      <c r="U200" s="588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583" t="s">
        <v>206</v>
      </c>
      <c r="C201" s="126" t="s">
        <v>186</v>
      </c>
      <c r="D201" s="108">
        <v>5.03</v>
      </c>
      <c r="E201" s="108"/>
      <c r="F201" s="127"/>
      <c r="G201" s="128"/>
      <c r="H201" s="584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588"/>
      <c r="P201" s="588"/>
      <c r="Q201" s="588"/>
      <c r="R201" s="588"/>
      <c r="S201" s="588"/>
      <c r="T201" s="588"/>
      <c r="U201" s="588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customHeight="1">
      <c r="A202" s="300">
        <v>30100014</v>
      </c>
      <c r="B202" s="583" t="s">
        <v>206</v>
      </c>
      <c r="C202" s="126" t="s">
        <v>203</v>
      </c>
      <c r="D202" s="108">
        <v>5.03</v>
      </c>
      <c r="E202" s="108"/>
      <c r="F202" s="127">
        <v>42724</v>
      </c>
      <c r="G202" s="128">
        <f>108*6+58</f>
        <v>706</v>
      </c>
      <c r="H202" s="584">
        <f t="shared" si="91"/>
        <v>3551.1800000000003</v>
      </c>
      <c r="I202" s="129">
        <v>7.5</v>
      </c>
      <c r="J202" s="130">
        <f t="array" ref="J202">IF(ISERROR(G202/I202),"",G202/I202)</f>
        <v>94.13333333333334</v>
      </c>
      <c r="K202" s="131">
        <f t="array" ref="K202">IF(ISERROR(G202/L202),"",G202/L202)</f>
        <v>13.576923076923077</v>
      </c>
      <c r="L202" s="129">
        <v>52</v>
      </c>
      <c r="M202" s="109">
        <f>IF(ISERROR(I202-K202),"",I202-K202)</f>
        <v>-6.0769230769230766</v>
      </c>
      <c r="N202" s="130">
        <f t="shared" si="97"/>
        <v>0</v>
      </c>
      <c r="O202" s="588"/>
      <c r="P202" s="588"/>
      <c r="Q202" s="588"/>
      <c r="R202" s="588"/>
      <c r="S202" s="588"/>
      <c r="T202" s="588"/>
      <c r="U202" s="588"/>
      <c r="V202" s="132">
        <f t="shared" si="98"/>
        <v>0</v>
      </c>
      <c r="W202" s="133">
        <f t="shared" si="99"/>
        <v>0</v>
      </c>
      <c r="X202" s="132"/>
      <c r="Y202" s="132"/>
      <c r="Z202" s="132"/>
      <c r="AA202" s="132"/>
    </row>
    <row r="203" spans="1:27" ht="20.100000000000001" customHeight="1">
      <c r="A203" s="300">
        <v>30100013</v>
      </c>
      <c r="B203" s="583" t="s">
        <v>206</v>
      </c>
      <c r="C203" s="126" t="s">
        <v>207</v>
      </c>
      <c r="D203" s="108">
        <v>5.03</v>
      </c>
      <c r="E203" s="108"/>
      <c r="F203" s="127">
        <v>42724</v>
      </c>
      <c r="G203" s="128">
        <f>16+108*3</f>
        <v>340</v>
      </c>
      <c r="H203" s="584">
        <f t="shared" si="91"/>
        <v>1710.2</v>
      </c>
      <c r="I203" s="129">
        <v>3.5</v>
      </c>
      <c r="J203" s="130">
        <f t="array" ref="J203">IF(ISERROR(G203/I203),"",G203/I203)</f>
        <v>97.142857142857139</v>
      </c>
      <c r="K203" s="131">
        <f t="array" ref="K203">IF(ISERROR(G203/L203),"",G203/L203)</f>
        <v>6.5384615384615383</v>
      </c>
      <c r="L203" s="129">
        <v>52</v>
      </c>
      <c r="M203" s="109">
        <f t="shared" ref="M203" si="100">IF(ISERROR(I203-K203),"",I203-K203)</f>
        <v>-3.0384615384615383</v>
      </c>
      <c r="N203" s="130">
        <f t="shared" si="97"/>
        <v>0</v>
      </c>
      <c r="O203" s="588"/>
      <c r="P203" s="588"/>
      <c r="Q203" s="588"/>
      <c r="R203" s="588"/>
      <c r="S203" s="588"/>
      <c r="T203" s="588"/>
      <c r="U203" s="588"/>
      <c r="V203" s="132">
        <f t="shared" si="98"/>
        <v>0</v>
      </c>
      <c r="W203" s="133">
        <f t="shared" si="99"/>
        <v>0</v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583" t="s">
        <v>414</v>
      </c>
      <c r="C204" s="187" t="s">
        <v>415</v>
      </c>
      <c r="D204" s="108">
        <v>5.03</v>
      </c>
      <c r="E204" s="108"/>
      <c r="F204" s="127"/>
      <c r="G204" s="128"/>
      <c r="H204" s="584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588"/>
      <c r="P204" s="588"/>
      <c r="Q204" s="588"/>
      <c r="R204" s="588"/>
      <c r="S204" s="588"/>
      <c r="T204" s="588"/>
      <c r="U204" s="588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583" t="s">
        <v>414</v>
      </c>
      <c r="C205" s="187" t="s">
        <v>416</v>
      </c>
      <c r="D205" s="108">
        <v>5.03</v>
      </c>
      <c r="E205" s="108"/>
      <c r="F205" s="127"/>
      <c r="G205" s="128"/>
      <c r="H205" s="584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588"/>
      <c r="P205" s="588"/>
      <c r="Q205" s="588"/>
      <c r="R205" s="588"/>
      <c r="S205" s="588"/>
      <c r="T205" s="588"/>
      <c r="U205" s="588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583" t="s">
        <v>414</v>
      </c>
      <c r="C206" s="187" t="s">
        <v>61</v>
      </c>
      <c r="D206" s="108">
        <v>5.03</v>
      </c>
      <c r="E206" s="108"/>
      <c r="F206" s="127"/>
      <c r="G206" s="128"/>
      <c r="H206" s="584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588"/>
      <c r="P206" s="588"/>
      <c r="Q206" s="588"/>
      <c r="R206" s="588"/>
      <c r="S206" s="588"/>
      <c r="T206" s="588"/>
      <c r="U206" s="588"/>
      <c r="V206" s="132"/>
      <c r="W206" s="133"/>
      <c r="X206" s="132"/>
      <c r="Y206" s="132"/>
      <c r="Z206" s="132"/>
      <c r="AA206" s="132"/>
    </row>
    <row r="207" spans="1:27" ht="20.100000000000001" customHeight="1">
      <c r="A207" s="300">
        <v>30100027</v>
      </c>
      <c r="B207" s="583" t="s">
        <v>208</v>
      </c>
      <c r="C207" s="126" t="s">
        <v>179</v>
      </c>
      <c r="D207" s="108">
        <v>5.08</v>
      </c>
      <c r="E207" s="108"/>
      <c r="F207" s="127">
        <v>42724</v>
      </c>
      <c r="G207" s="128">
        <v>107</v>
      </c>
      <c r="H207" s="584">
        <f>D207*G207</f>
        <v>543.56000000000006</v>
      </c>
      <c r="I207" s="129">
        <f>1*4</f>
        <v>4</v>
      </c>
      <c r="J207" s="130">
        <f t="array" ref="J207">IF(ISERROR(G207/I207),"",G207/I207)</f>
        <v>26.75</v>
      </c>
      <c r="K207" s="131">
        <f t="array" ref="K207">IF(ISERROR(G207/L207),"",G207/L207)</f>
        <v>5.0952380952380949</v>
      </c>
      <c r="L207" s="129">
        <v>21</v>
      </c>
      <c r="M207" s="109">
        <f t="shared" ref="M207:M236" si="101">IF(ISERROR(I207-K207),"",I207-K207)</f>
        <v>-1.0952380952380949</v>
      </c>
      <c r="N207" s="130">
        <f t="shared" ref="N207:N236" si="102">SUM(O207:U207)</f>
        <v>0</v>
      </c>
      <c r="O207" s="588"/>
      <c r="P207" s="588"/>
      <c r="Q207" s="588"/>
      <c r="R207" s="588"/>
      <c r="S207" s="588"/>
      <c r="T207" s="588"/>
      <c r="U207" s="588"/>
      <c r="V207" s="132">
        <f t="shared" ref="V207:V218" si="103">SUM(X207:AA207)</f>
        <v>0</v>
      </c>
      <c r="W207" s="133">
        <f t="shared" ref="W207:W218" si="104">IF(ISERROR(V207/G207),"",V207/G207)</f>
        <v>0</v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583" t="s">
        <v>208</v>
      </c>
      <c r="C208" s="126" t="s">
        <v>204</v>
      </c>
      <c r="D208" s="108">
        <v>5.08</v>
      </c>
      <c r="E208" s="108"/>
      <c r="F208" s="127"/>
      <c r="G208" s="128"/>
      <c r="H208" s="584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588"/>
      <c r="P208" s="588"/>
      <c r="Q208" s="588"/>
      <c r="R208" s="588"/>
      <c r="S208" s="588"/>
      <c r="T208" s="588"/>
      <c r="U208" s="588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583" t="s">
        <v>208</v>
      </c>
      <c r="C209" s="126" t="s">
        <v>205</v>
      </c>
      <c r="D209" s="108">
        <v>5.08</v>
      </c>
      <c r="E209" s="108"/>
      <c r="F209" s="127"/>
      <c r="G209" s="128"/>
      <c r="H209" s="584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588"/>
      <c r="P209" s="588"/>
      <c r="Q209" s="588"/>
      <c r="R209" s="588"/>
      <c r="S209" s="588"/>
      <c r="T209" s="588"/>
      <c r="U209" s="588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583" t="s">
        <v>208</v>
      </c>
      <c r="C210" s="126" t="s">
        <v>186</v>
      </c>
      <c r="D210" s="108">
        <v>5.08</v>
      </c>
      <c r="E210" s="108"/>
      <c r="F210" s="127"/>
      <c r="G210" s="128"/>
      <c r="H210" s="584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588"/>
      <c r="P210" s="588"/>
      <c r="Q210" s="588"/>
      <c r="R210" s="588"/>
      <c r="S210" s="588"/>
      <c r="T210" s="588"/>
      <c r="U210" s="588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customHeight="1">
      <c r="A211" s="300">
        <v>30100029</v>
      </c>
      <c r="B211" s="583" t="s">
        <v>208</v>
      </c>
      <c r="C211" s="126" t="s">
        <v>203</v>
      </c>
      <c r="D211" s="108">
        <v>5.08</v>
      </c>
      <c r="E211" s="108"/>
      <c r="F211" s="127">
        <v>42725</v>
      </c>
      <c r="G211" s="128">
        <f>13+95+108+108+108*5</f>
        <v>864</v>
      </c>
      <c r="H211" s="584">
        <f t="shared" si="91"/>
        <v>4389.12</v>
      </c>
      <c r="I211" s="129">
        <f>9.5*4</f>
        <v>38</v>
      </c>
      <c r="J211" s="130">
        <f t="array" ref="J211">IF(ISERROR(G211/I211),"",G211/I211)</f>
        <v>22.736842105263158</v>
      </c>
      <c r="K211" s="131">
        <f t="array" ref="K211">IF(ISERROR(G211/L211),"",G211/L211)</f>
        <v>41.142857142857146</v>
      </c>
      <c r="L211" s="129">
        <v>21</v>
      </c>
      <c r="M211" s="109">
        <f t="shared" si="101"/>
        <v>-3.1428571428571459</v>
      </c>
      <c r="N211" s="130">
        <f t="shared" si="102"/>
        <v>0</v>
      </c>
      <c r="O211" s="588"/>
      <c r="P211" s="588"/>
      <c r="Q211" s="588"/>
      <c r="R211" s="588"/>
      <c r="S211" s="588"/>
      <c r="T211" s="588"/>
      <c r="U211" s="588"/>
      <c r="V211" s="132">
        <f t="shared" si="103"/>
        <v>0</v>
      </c>
      <c r="W211" s="133">
        <f t="shared" si="104"/>
        <v>0</v>
      </c>
      <c r="X211" s="132"/>
      <c r="Y211" s="132"/>
      <c r="Z211" s="132"/>
      <c r="AA211" s="132"/>
    </row>
    <row r="212" spans="1:27" ht="20.100000000000001" customHeight="1">
      <c r="A212" s="300">
        <v>30100026</v>
      </c>
      <c r="B212" s="583" t="s">
        <v>208</v>
      </c>
      <c r="C212" s="126" t="s">
        <v>199</v>
      </c>
      <c r="D212" s="108">
        <v>5.08</v>
      </c>
      <c r="E212" s="108"/>
      <c r="F212" s="127">
        <v>42725</v>
      </c>
      <c r="G212" s="128">
        <v>1</v>
      </c>
      <c r="H212" s="584">
        <f t="shared" si="91"/>
        <v>5.08</v>
      </c>
      <c r="I212" s="129">
        <f>0.5*4</f>
        <v>2</v>
      </c>
      <c r="J212" s="130">
        <f t="array" ref="J212">IF(ISERROR(G212/I212),"",G212/I212)</f>
        <v>0.5</v>
      </c>
      <c r="K212" s="131">
        <f t="array" ref="K212">IF(ISERROR(G212/L212),"",G212/L212)</f>
        <v>4.7619047619047616E-2</v>
      </c>
      <c r="L212" s="129">
        <v>21</v>
      </c>
      <c r="M212" s="109">
        <f t="shared" si="101"/>
        <v>1.9523809523809523</v>
      </c>
      <c r="N212" s="130">
        <f t="shared" si="102"/>
        <v>0</v>
      </c>
      <c r="O212" s="592"/>
      <c r="P212" s="592"/>
      <c r="Q212" s="592"/>
      <c r="R212" s="592"/>
      <c r="S212" s="592"/>
      <c r="T212" s="592"/>
      <c r="U212" s="592"/>
      <c r="V212" s="132">
        <f t="shared" si="103"/>
        <v>0</v>
      </c>
      <c r="W212" s="133">
        <f t="shared" si="104"/>
        <v>0</v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583" t="s">
        <v>208</v>
      </c>
      <c r="C213" s="126" t="s">
        <v>187</v>
      </c>
      <c r="D213" s="108">
        <v>5.08</v>
      </c>
      <c r="E213" s="108"/>
      <c r="F213" s="127"/>
      <c r="G213" s="128"/>
      <c r="H213" s="584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588"/>
      <c r="P213" s="588"/>
      <c r="Q213" s="588"/>
      <c r="R213" s="588"/>
      <c r="S213" s="588"/>
      <c r="T213" s="588"/>
      <c r="U213" s="588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583" t="s">
        <v>208</v>
      </c>
      <c r="C214" s="126" t="s">
        <v>207</v>
      </c>
      <c r="D214" s="108">
        <v>5.08</v>
      </c>
      <c r="E214" s="108"/>
      <c r="F214" s="127"/>
      <c r="G214" s="128"/>
      <c r="H214" s="584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592"/>
      <c r="P214" s="592"/>
      <c r="Q214" s="592"/>
      <c r="R214" s="592"/>
      <c r="S214" s="592"/>
      <c r="T214" s="592"/>
      <c r="U214" s="592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583" t="s">
        <v>209</v>
      </c>
      <c r="C215" s="126" t="s">
        <v>194</v>
      </c>
      <c r="D215" s="108">
        <v>5.03</v>
      </c>
      <c r="E215" s="108"/>
      <c r="F215" s="127"/>
      <c r="G215" s="128"/>
      <c r="H215" s="584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588"/>
      <c r="P215" s="588"/>
      <c r="Q215" s="588"/>
      <c r="R215" s="588"/>
      <c r="S215" s="588"/>
      <c r="T215" s="588"/>
      <c r="U215" s="588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583" t="s">
        <v>209</v>
      </c>
      <c r="C216" s="126" t="s">
        <v>179</v>
      </c>
      <c r="D216" s="108">
        <v>5.03</v>
      </c>
      <c r="E216" s="108"/>
      <c r="F216" s="127"/>
      <c r="G216" s="128"/>
      <c r="H216" s="584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588"/>
      <c r="P216" s="588"/>
      <c r="Q216" s="588"/>
      <c r="R216" s="588"/>
      <c r="S216" s="588"/>
      <c r="T216" s="588"/>
      <c r="U216" s="588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583" t="s">
        <v>209</v>
      </c>
      <c r="C217" s="126" t="s">
        <v>195</v>
      </c>
      <c r="D217" s="108">
        <v>5.03</v>
      </c>
      <c r="E217" s="108"/>
      <c r="F217" s="127"/>
      <c r="G217" s="128"/>
      <c r="H217" s="584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588"/>
      <c r="P217" s="588"/>
      <c r="Q217" s="588"/>
      <c r="R217" s="588"/>
      <c r="S217" s="588"/>
      <c r="T217" s="588"/>
      <c r="U217" s="588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583" t="s">
        <v>209</v>
      </c>
      <c r="C218" s="126" t="s">
        <v>204</v>
      </c>
      <c r="D218" s="108">
        <v>5.03</v>
      </c>
      <c r="E218" s="108"/>
      <c r="F218" s="127"/>
      <c r="G218" s="128"/>
      <c r="H218" s="584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588"/>
      <c r="P218" s="588"/>
      <c r="Q218" s="588"/>
      <c r="R218" s="588"/>
      <c r="S218" s="588"/>
      <c r="T218" s="588"/>
      <c r="U218" s="588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customHeight="1">
      <c r="A219" s="300">
        <v>30100019</v>
      </c>
      <c r="B219" s="583" t="s">
        <v>382</v>
      </c>
      <c r="C219" s="187" t="s">
        <v>383</v>
      </c>
      <c r="D219" s="108">
        <v>5.03</v>
      </c>
      <c r="E219" s="108"/>
      <c r="F219" s="127">
        <v>42725</v>
      </c>
      <c r="G219" s="128">
        <f>90*5+63</f>
        <v>513</v>
      </c>
      <c r="H219" s="584">
        <f t="shared" si="91"/>
        <v>2580.3900000000003</v>
      </c>
      <c r="I219" s="129">
        <v>8</v>
      </c>
      <c r="J219" s="130">
        <f t="array" ref="J219">IF(ISERROR(G219/I219),"",G219/I219)</f>
        <v>64.125</v>
      </c>
      <c r="K219" s="131">
        <f t="array" ref="K219">IF(ISERROR(G219/L219),"",G219/L219)</f>
        <v>9.5</v>
      </c>
      <c r="L219" s="129">
        <v>54</v>
      </c>
      <c r="M219" s="109">
        <f t="shared" si="101"/>
        <v>-1.5</v>
      </c>
      <c r="N219" s="130">
        <f t="shared" si="102"/>
        <v>0</v>
      </c>
      <c r="O219" s="588"/>
      <c r="P219" s="588"/>
      <c r="Q219" s="588"/>
      <c r="R219" s="588"/>
      <c r="S219" s="588"/>
      <c r="T219" s="588"/>
      <c r="U219" s="588"/>
      <c r="V219" s="132"/>
      <c r="W219" s="133"/>
      <c r="X219" s="132"/>
      <c r="Y219" s="132"/>
      <c r="Z219" s="132"/>
      <c r="AA219" s="132"/>
    </row>
    <row r="220" spans="1:27" ht="20.100000000000001" customHeight="1">
      <c r="A220" s="300">
        <v>30100020</v>
      </c>
      <c r="B220" s="583" t="s">
        <v>382</v>
      </c>
      <c r="C220" s="187" t="s">
        <v>384</v>
      </c>
      <c r="D220" s="108">
        <v>5.03</v>
      </c>
      <c r="E220" s="108"/>
      <c r="F220" s="127">
        <v>42725</v>
      </c>
      <c r="G220" s="128">
        <f>90+33</f>
        <v>123</v>
      </c>
      <c r="H220" s="584">
        <f t="shared" si="91"/>
        <v>618.69000000000005</v>
      </c>
      <c r="I220" s="129">
        <v>3</v>
      </c>
      <c r="J220" s="130">
        <f t="array" ref="J220">IF(ISERROR(G220/I220),"",G220/I220)</f>
        <v>41</v>
      </c>
      <c r="K220" s="131">
        <f t="array" ref="K220">IF(ISERROR(G220/L220),"",G220/L220)</f>
        <v>2.2777777777777777</v>
      </c>
      <c r="L220" s="129">
        <v>54</v>
      </c>
      <c r="M220" s="109">
        <f t="shared" si="101"/>
        <v>0.72222222222222232</v>
      </c>
      <c r="N220" s="130">
        <f t="shared" si="102"/>
        <v>0</v>
      </c>
      <c r="O220" s="588"/>
      <c r="P220" s="588"/>
      <c r="Q220" s="588"/>
      <c r="R220" s="588"/>
      <c r="S220" s="588"/>
      <c r="T220" s="588"/>
      <c r="U220" s="588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583" t="s">
        <v>382</v>
      </c>
      <c r="C221" s="187" t="s">
        <v>389</v>
      </c>
      <c r="D221" s="108">
        <v>5.03</v>
      </c>
      <c r="E221" s="108"/>
      <c r="F221" s="127"/>
      <c r="G221" s="128"/>
      <c r="H221" s="584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588"/>
      <c r="P221" s="588"/>
      <c r="Q221" s="588"/>
      <c r="R221" s="588"/>
      <c r="S221" s="588"/>
      <c r="T221" s="588"/>
      <c r="U221" s="588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583" t="s">
        <v>382</v>
      </c>
      <c r="C222" s="187" t="s">
        <v>391</v>
      </c>
      <c r="D222" s="108">
        <v>5.03</v>
      </c>
      <c r="E222" s="108"/>
      <c r="F222" s="127"/>
      <c r="G222" s="128"/>
      <c r="H222" s="584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588"/>
      <c r="P222" s="588"/>
      <c r="Q222" s="588"/>
      <c r="R222" s="588"/>
      <c r="S222" s="588"/>
      <c r="T222" s="588"/>
      <c r="U222" s="588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583" t="s">
        <v>418</v>
      </c>
      <c r="C223" s="187" t="s">
        <v>364</v>
      </c>
      <c r="D223" s="108">
        <v>5.03</v>
      </c>
      <c r="E223" s="108"/>
      <c r="F223" s="127"/>
      <c r="G223" s="128"/>
      <c r="H223" s="584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588"/>
      <c r="P223" s="588"/>
      <c r="Q223" s="588"/>
      <c r="R223" s="588"/>
      <c r="S223" s="588"/>
      <c r="T223" s="588"/>
      <c r="U223" s="588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583" t="s">
        <v>418</v>
      </c>
      <c r="C224" s="187" t="s">
        <v>365</v>
      </c>
      <c r="D224" s="108">
        <v>5.03</v>
      </c>
      <c r="E224" s="108"/>
      <c r="F224" s="127"/>
      <c r="G224" s="128"/>
      <c r="H224" s="584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588"/>
      <c r="P224" s="588"/>
      <c r="Q224" s="588"/>
      <c r="R224" s="588"/>
      <c r="S224" s="588"/>
      <c r="T224" s="588"/>
      <c r="U224" s="588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583" t="s">
        <v>418</v>
      </c>
      <c r="C225" s="187" t="s">
        <v>366</v>
      </c>
      <c r="D225" s="108">
        <v>5.03</v>
      </c>
      <c r="E225" s="108"/>
      <c r="F225" s="127"/>
      <c r="G225" s="128"/>
      <c r="H225" s="584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588"/>
      <c r="P225" s="588"/>
      <c r="Q225" s="588"/>
      <c r="R225" s="588"/>
      <c r="S225" s="588"/>
      <c r="T225" s="588"/>
      <c r="U225" s="588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583" t="s">
        <v>418</v>
      </c>
      <c r="C226" s="187" t="s">
        <v>367</v>
      </c>
      <c r="D226" s="108">
        <v>5.03</v>
      </c>
      <c r="E226" s="108"/>
      <c r="F226" s="127"/>
      <c r="G226" s="128"/>
      <c r="H226" s="584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588"/>
      <c r="P226" s="588"/>
      <c r="Q226" s="588"/>
      <c r="R226" s="588"/>
      <c r="S226" s="588"/>
      <c r="T226" s="588"/>
      <c r="U226" s="588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584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592"/>
      <c r="P227" s="592"/>
      <c r="Q227" s="592"/>
      <c r="R227" s="592"/>
      <c r="S227" s="592"/>
      <c r="T227" s="592"/>
      <c r="U227" s="592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584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592"/>
      <c r="P228" s="592"/>
      <c r="Q228" s="592"/>
      <c r="R228" s="592"/>
      <c r="S228" s="592"/>
      <c r="T228" s="592"/>
      <c r="U228" s="592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584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592"/>
      <c r="P229" s="592"/>
      <c r="Q229" s="592"/>
      <c r="R229" s="592"/>
      <c r="S229" s="592"/>
      <c r="T229" s="592"/>
      <c r="U229" s="592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584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592"/>
      <c r="P230" s="592"/>
      <c r="Q230" s="592"/>
      <c r="R230" s="592"/>
      <c r="S230" s="592"/>
      <c r="T230" s="592"/>
      <c r="U230" s="592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584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592"/>
      <c r="P231" s="592"/>
      <c r="Q231" s="592"/>
      <c r="R231" s="592"/>
      <c r="S231" s="592"/>
      <c r="T231" s="592"/>
      <c r="U231" s="592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584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592"/>
      <c r="P232" s="592"/>
      <c r="Q232" s="592"/>
      <c r="R232" s="592"/>
      <c r="S232" s="592"/>
      <c r="T232" s="592"/>
      <c r="U232" s="592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584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592"/>
      <c r="P233" s="592"/>
      <c r="Q233" s="592"/>
      <c r="R233" s="592"/>
      <c r="S233" s="592"/>
      <c r="T233" s="592"/>
      <c r="U233" s="592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584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592"/>
      <c r="P234" s="592"/>
      <c r="Q234" s="592"/>
      <c r="R234" s="592"/>
      <c r="S234" s="592"/>
      <c r="T234" s="592"/>
      <c r="U234" s="592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584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592"/>
      <c r="P235" s="592"/>
      <c r="Q235" s="592"/>
      <c r="R235" s="592"/>
      <c r="S235" s="592"/>
      <c r="T235" s="592"/>
      <c r="U235" s="592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584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592"/>
      <c r="P236" s="592"/>
      <c r="Q236" s="592"/>
      <c r="R236" s="592"/>
      <c r="S236" s="592"/>
      <c r="T236" s="592"/>
      <c r="U236" s="592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584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592"/>
      <c r="P237" s="592"/>
      <c r="Q237" s="592"/>
      <c r="R237" s="592"/>
      <c r="S237" s="592"/>
      <c r="T237" s="592"/>
      <c r="U237" s="592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584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7">IF(ISERROR(I238-K238),"",I238-K238)</f>
        <v>0</v>
      </c>
      <c r="N238" s="130"/>
      <c r="O238" s="592"/>
      <c r="P238" s="592"/>
      <c r="Q238" s="592"/>
      <c r="R238" s="592"/>
      <c r="S238" s="592"/>
      <c r="T238" s="592"/>
      <c r="U238" s="592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584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7"/>
        <v>0</v>
      </c>
      <c r="N239" s="130">
        <f t="shared" ref="N239:N240" si="108">SUM(O239:U239)</f>
        <v>0</v>
      </c>
      <c r="O239" s="592"/>
      <c r="P239" s="592"/>
      <c r="Q239" s="592"/>
      <c r="R239" s="592"/>
      <c r="S239" s="592"/>
      <c r="T239" s="592"/>
      <c r="U239" s="592"/>
      <c r="V239" s="132">
        <f t="shared" ref="V239:V240" si="109">SUM(X239:AA239)</f>
        <v>0</v>
      </c>
      <c r="W239" s="133" t="str">
        <f t="shared" ref="W239:W240" si="110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584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592"/>
      <c r="P240" s="592"/>
      <c r="Q240" s="592"/>
      <c r="R240" s="592"/>
      <c r="S240" s="592"/>
      <c r="T240" s="592"/>
      <c r="U240" s="592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584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592"/>
      <c r="P241" s="592"/>
      <c r="Q241" s="592"/>
      <c r="R241" s="592"/>
      <c r="S241" s="592"/>
      <c r="T241" s="592"/>
      <c r="U241" s="592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584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592"/>
      <c r="P242" s="592"/>
      <c r="Q242" s="592"/>
      <c r="R242" s="592"/>
      <c r="S242" s="592"/>
      <c r="T242" s="592"/>
      <c r="U242" s="592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584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592"/>
      <c r="P243" s="592"/>
      <c r="Q243" s="592"/>
      <c r="R243" s="592"/>
      <c r="S243" s="592"/>
      <c r="T243" s="592"/>
      <c r="U243" s="592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584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592"/>
      <c r="P244" s="592"/>
      <c r="Q244" s="592"/>
      <c r="R244" s="592"/>
      <c r="S244" s="592"/>
      <c r="T244" s="592"/>
      <c r="U244" s="592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584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592"/>
      <c r="P245" s="592"/>
      <c r="Q245" s="592"/>
      <c r="R245" s="592"/>
      <c r="S245" s="592"/>
      <c r="T245" s="592"/>
      <c r="U245" s="592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584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592"/>
      <c r="P246" s="592"/>
      <c r="Q246" s="592"/>
      <c r="R246" s="592"/>
      <c r="S246" s="592"/>
      <c r="T246" s="592"/>
      <c r="U246" s="592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584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592"/>
      <c r="P247" s="592"/>
      <c r="Q247" s="592"/>
      <c r="R247" s="592"/>
      <c r="S247" s="592"/>
      <c r="T247" s="592"/>
      <c r="U247" s="592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584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592"/>
      <c r="P248" s="592"/>
      <c r="Q248" s="592"/>
      <c r="R248" s="592"/>
      <c r="S248" s="592"/>
      <c r="T248" s="592"/>
      <c r="U248" s="592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584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592"/>
      <c r="P249" s="592"/>
      <c r="Q249" s="592"/>
      <c r="R249" s="592"/>
      <c r="S249" s="592"/>
      <c r="T249" s="592"/>
      <c r="U249" s="592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584">
        <f t="shared" si="91"/>
        <v>0</v>
      </c>
      <c r="I250" s="129"/>
      <c r="J250" s="130"/>
      <c r="K250" s="131"/>
      <c r="L250" s="129">
        <v>4</v>
      </c>
      <c r="M250" s="109"/>
      <c r="N250" s="130"/>
      <c r="O250" s="592"/>
      <c r="P250" s="592"/>
      <c r="Q250" s="592"/>
      <c r="R250" s="592"/>
      <c r="S250" s="592"/>
      <c r="T250" s="592"/>
      <c r="U250" s="592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584">
        <f t="shared" si="91"/>
        <v>0</v>
      </c>
      <c r="I251" s="129"/>
      <c r="J251" s="130"/>
      <c r="K251" s="131"/>
      <c r="L251" s="129">
        <v>4</v>
      </c>
      <c r="M251" s="109"/>
      <c r="N251" s="130"/>
      <c r="O251" s="592"/>
      <c r="P251" s="592"/>
      <c r="Q251" s="592"/>
      <c r="R251" s="592"/>
      <c r="S251" s="592"/>
      <c r="T251" s="592"/>
      <c r="U251" s="592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584">
        <f t="shared" si="91"/>
        <v>0</v>
      </c>
      <c r="I252" s="129"/>
      <c r="J252" s="130"/>
      <c r="K252" s="131"/>
      <c r="L252" s="129">
        <v>4</v>
      </c>
      <c r="M252" s="109"/>
      <c r="N252" s="130"/>
      <c r="O252" s="592"/>
      <c r="P252" s="592"/>
      <c r="Q252" s="592"/>
      <c r="R252" s="592"/>
      <c r="S252" s="592"/>
      <c r="T252" s="592"/>
      <c r="U252" s="592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584">
        <f t="shared" si="91"/>
        <v>0</v>
      </c>
      <c r="I253" s="129"/>
      <c r="J253" s="130"/>
      <c r="K253" s="131"/>
      <c r="L253" s="129">
        <v>4</v>
      </c>
      <c r="M253" s="109"/>
      <c r="N253" s="130"/>
      <c r="O253" s="592"/>
      <c r="P253" s="592"/>
      <c r="Q253" s="592"/>
      <c r="R253" s="592"/>
      <c r="S253" s="592"/>
      <c r="T253" s="592"/>
      <c r="U253" s="592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584">
        <f t="shared" si="91"/>
        <v>0</v>
      </c>
      <c r="I254" s="129"/>
      <c r="J254" s="130"/>
      <c r="K254" s="131"/>
      <c r="L254" s="129">
        <v>4</v>
      </c>
      <c r="M254" s="109"/>
      <c r="N254" s="130"/>
      <c r="O254" s="592"/>
      <c r="P254" s="592"/>
      <c r="Q254" s="592"/>
      <c r="R254" s="592"/>
      <c r="S254" s="592"/>
      <c r="T254" s="592"/>
      <c r="U254" s="592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584">
        <f t="shared" si="91"/>
        <v>0</v>
      </c>
      <c r="I255" s="129"/>
      <c r="J255" s="130"/>
      <c r="K255" s="131"/>
      <c r="L255" s="129">
        <v>4</v>
      </c>
      <c r="M255" s="109"/>
      <c r="N255" s="130"/>
      <c r="O255" s="592"/>
      <c r="P255" s="592"/>
      <c r="Q255" s="592"/>
      <c r="R255" s="592"/>
      <c r="S255" s="592"/>
      <c r="T255" s="592"/>
      <c r="U255" s="592"/>
      <c r="V255" s="132"/>
      <c r="W255" s="133"/>
      <c r="X255" s="132"/>
      <c r="Y255" s="132"/>
      <c r="Z255" s="132"/>
      <c r="AA255" s="132"/>
    </row>
    <row r="256" spans="1:27" ht="20.100000000000001" customHeight="1">
      <c r="A256" s="641" t="s">
        <v>216</v>
      </c>
      <c r="B256" s="641"/>
      <c r="C256" s="593" t="s">
        <v>202</v>
      </c>
      <c r="D256" s="143"/>
      <c r="E256" s="143"/>
      <c r="F256" s="144"/>
      <c r="G256" s="145">
        <f>SUM(G199:G255)</f>
        <v>2654</v>
      </c>
      <c r="H256" s="146">
        <f>SUM(H199:H255)</f>
        <v>13398.220000000003</v>
      </c>
      <c r="I256" s="146">
        <f>SUM(I199:I255)</f>
        <v>66</v>
      </c>
      <c r="J256" s="130">
        <f t="array" ref="J256">IF(ISERROR(G256/I256),"",G256/I256)</f>
        <v>40.212121212121211</v>
      </c>
      <c r="K256" s="146">
        <f>SUM(K199:K255)</f>
        <v>78.178876678876676</v>
      </c>
      <c r="L256" s="147"/>
      <c r="M256" s="150">
        <f t="shared" ref="M256:V256" si="114">SUM(M199:M255)</f>
        <v>-12.17887667887668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>
        <f t="shared" ref="W256:W263" si="115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583" t="s">
        <v>217</v>
      </c>
      <c r="C257" s="126" t="s">
        <v>179</v>
      </c>
      <c r="D257" s="108">
        <v>5.03</v>
      </c>
      <c r="E257" s="108"/>
      <c r="F257" s="127"/>
      <c r="G257" s="128"/>
      <c r="H257" s="584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592"/>
      <c r="P257" s="592"/>
      <c r="Q257" s="592"/>
      <c r="R257" s="592"/>
      <c r="S257" s="592"/>
      <c r="T257" s="592"/>
      <c r="U257" s="592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583" t="s">
        <v>217</v>
      </c>
      <c r="C258" s="126" t="s">
        <v>186</v>
      </c>
      <c r="D258" s="108">
        <v>5.03</v>
      </c>
      <c r="E258" s="108"/>
      <c r="F258" s="127"/>
      <c r="G258" s="128"/>
      <c r="H258" s="584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592"/>
      <c r="P258" s="592"/>
      <c r="Q258" s="592"/>
      <c r="R258" s="592"/>
      <c r="S258" s="592"/>
      <c r="T258" s="592"/>
      <c r="U258" s="592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583" t="s">
        <v>217</v>
      </c>
      <c r="C259" s="126" t="s">
        <v>204</v>
      </c>
      <c r="D259" s="108">
        <v>5.03</v>
      </c>
      <c r="E259" s="108"/>
      <c r="F259" s="127"/>
      <c r="G259" s="128"/>
      <c r="H259" s="584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592"/>
      <c r="P259" s="592"/>
      <c r="Q259" s="592"/>
      <c r="R259" s="592"/>
      <c r="S259" s="592"/>
      <c r="T259" s="592"/>
      <c r="U259" s="592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584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592"/>
      <c r="P260" s="592"/>
      <c r="Q260" s="592"/>
      <c r="R260" s="592"/>
      <c r="S260" s="592"/>
      <c r="T260" s="592"/>
      <c r="U260" s="592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584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592"/>
      <c r="P261" s="592"/>
      <c r="Q261" s="592"/>
      <c r="R261" s="592"/>
      <c r="S261" s="592"/>
      <c r="T261" s="592"/>
      <c r="U261" s="592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584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592"/>
      <c r="P262" s="592"/>
      <c r="Q262" s="592"/>
      <c r="R262" s="592"/>
      <c r="S262" s="592"/>
      <c r="T262" s="592"/>
      <c r="U262" s="592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584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592"/>
      <c r="P263" s="592"/>
      <c r="Q263" s="592"/>
      <c r="R263" s="592"/>
      <c r="S263" s="592"/>
      <c r="T263" s="592"/>
      <c r="U263" s="592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584">
        <f t="shared" si="116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592"/>
      <c r="P264" s="592"/>
      <c r="Q264" s="592"/>
      <c r="R264" s="592"/>
      <c r="S264" s="592"/>
      <c r="T264" s="592"/>
      <c r="U264" s="592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584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592"/>
      <c r="P265" s="592"/>
      <c r="Q265" s="592"/>
      <c r="R265" s="592"/>
      <c r="S265" s="592"/>
      <c r="T265" s="592"/>
      <c r="U265" s="592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584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592"/>
      <c r="P266" s="592"/>
      <c r="Q266" s="592"/>
      <c r="R266" s="592"/>
      <c r="S266" s="592"/>
      <c r="T266" s="592"/>
      <c r="U266" s="592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584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592"/>
      <c r="P267" s="592"/>
      <c r="Q267" s="592"/>
      <c r="R267" s="592"/>
      <c r="S267" s="592"/>
      <c r="T267" s="592"/>
      <c r="U267" s="592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584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592"/>
      <c r="P268" s="592"/>
      <c r="Q268" s="592"/>
      <c r="R268" s="592"/>
      <c r="S268" s="592"/>
      <c r="T268" s="592"/>
      <c r="U268" s="592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584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0">IF(ISERROR(I269-K269),"",I269-K269)</f>
        <v>0</v>
      </c>
      <c r="N269" s="130">
        <f t="shared" ref="N269:N284" si="121">SUM(O269:U269)</f>
        <v>0</v>
      </c>
      <c r="O269" s="592"/>
      <c r="P269" s="592"/>
      <c r="Q269" s="592"/>
      <c r="R269" s="592"/>
      <c r="S269" s="592"/>
      <c r="T269" s="592"/>
      <c r="U269" s="592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584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592"/>
      <c r="P270" s="592"/>
      <c r="Q270" s="592"/>
      <c r="R270" s="592"/>
      <c r="S270" s="592"/>
      <c r="T270" s="592"/>
      <c r="U270" s="592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584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592"/>
      <c r="P271" s="592"/>
      <c r="Q271" s="592"/>
      <c r="R271" s="592"/>
      <c r="S271" s="592"/>
      <c r="T271" s="592"/>
      <c r="U271" s="592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584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592"/>
      <c r="P272" s="592"/>
      <c r="Q272" s="592"/>
      <c r="R272" s="592"/>
      <c r="S272" s="592"/>
      <c r="T272" s="592"/>
      <c r="U272" s="592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583" t="s">
        <v>222</v>
      </c>
      <c r="C273" s="126" t="s">
        <v>181</v>
      </c>
      <c r="D273" s="108">
        <v>9.36</v>
      </c>
      <c r="E273" s="108"/>
      <c r="F273" s="127"/>
      <c r="G273" s="128"/>
      <c r="H273" s="584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592"/>
      <c r="P273" s="592"/>
      <c r="Q273" s="592"/>
      <c r="R273" s="592"/>
      <c r="S273" s="592"/>
      <c r="T273" s="592"/>
      <c r="U273" s="592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583" t="s">
        <v>222</v>
      </c>
      <c r="C274" s="126" t="s">
        <v>179</v>
      </c>
      <c r="D274" s="108">
        <v>9.36</v>
      </c>
      <c r="E274" s="108"/>
      <c r="F274" s="127"/>
      <c r="G274" s="128"/>
      <c r="H274" s="584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592"/>
      <c r="P274" s="592"/>
      <c r="Q274" s="592"/>
      <c r="R274" s="592"/>
      <c r="S274" s="592"/>
      <c r="T274" s="592"/>
      <c r="U274" s="592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583" t="s">
        <v>222</v>
      </c>
      <c r="C275" s="126" t="s">
        <v>221</v>
      </c>
      <c r="D275" s="108">
        <v>9.36</v>
      </c>
      <c r="E275" s="108"/>
      <c r="F275" s="127"/>
      <c r="G275" s="128"/>
      <c r="H275" s="584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592"/>
      <c r="P275" s="592"/>
      <c r="Q275" s="592"/>
      <c r="R275" s="592"/>
      <c r="S275" s="592"/>
      <c r="T275" s="592"/>
      <c r="U275" s="592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583" t="s">
        <v>222</v>
      </c>
      <c r="C276" s="126" t="s">
        <v>186</v>
      </c>
      <c r="D276" s="108">
        <v>9.36</v>
      </c>
      <c r="E276" s="108"/>
      <c r="F276" s="127"/>
      <c r="G276" s="128"/>
      <c r="H276" s="584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592"/>
      <c r="P276" s="592"/>
      <c r="Q276" s="592"/>
      <c r="R276" s="592"/>
      <c r="S276" s="592"/>
      <c r="T276" s="592"/>
      <c r="U276" s="592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583" t="s">
        <v>393</v>
      </c>
      <c r="C277" s="187" t="s">
        <v>395</v>
      </c>
      <c r="D277" s="108">
        <v>5</v>
      </c>
      <c r="E277" s="108"/>
      <c r="F277" s="127"/>
      <c r="G277" s="128"/>
      <c r="H277" s="584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592"/>
      <c r="P277" s="592"/>
      <c r="Q277" s="592"/>
      <c r="R277" s="592"/>
      <c r="S277" s="592"/>
      <c r="T277" s="592"/>
      <c r="U277" s="592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583" t="s">
        <v>393</v>
      </c>
      <c r="C278" s="187" t="s">
        <v>402</v>
      </c>
      <c r="D278" s="108">
        <v>5</v>
      </c>
      <c r="E278" s="108"/>
      <c r="F278" s="127"/>
      <c r="G278" s="128"/>
      <c r="H278" s="584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592"/>
      <c r="P278" s="592"/>
      <c r="Q278" s="592"/>
      <c r="R278" s="592"/>
      <c r="S278" s="592"/>
      <c r="T278" s="592"/>
      <c r="U278" s="592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583" t="s">
        <v>404</v>
      </c>
      <c r="C279" s="187" t="s">
        <v>405</v>
      </c>
      <c r="D279" s="108">
        <v>5</v>
      </c>
      <c r="E279" s="108"/>
      <c r="F279" s="127"/>
      <c r="G279" s="128"/>
      <c r="H279" s="584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592"/>
      <c r="P279" s="592"/>
      <c r="Q279" s="592"/>
      <c r="R279" s="592"/>
      <c r="S279" s="592"/>
      <c r="T279" s="592"/>
      <c r="U279" s="592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583" t="s">
        <v>342</v>
      </c>
      <c r="C280" s="187" t="s">
        <v>372</v>
      </c>
      <c r="D280" s="108">
        <v>5</v>
      </c>
      <c r="E280" s="108"/>
      <c r="F280" s="127"/>
      <c r="G280" s="128"/>
      <c r="H280" s="584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592"/>
      <c r="P280" s="592"/>
      <c r="Q280" s="592"/>
      <c r="R280" s="592"/>
      <c r="S280" s="592"/>
      <c r="T280" s="592"/>
      <c r="U280" s="592"/>
      <c r="V280" s="132"/>
      <c r="W280" s="133"/>
      <c r="X280" s="132"/>
      <c r="Y280" s="132"/>
      <c r="Z280" s="132"/>
      <c r="AA280" s="132"/>
    </row>
    <row r="281" spans="1:27" ht="20.100000000000001" customHeight="1">
      <c r="A281" s="299">
        <v>30600009</v>
      </c>
      <c r="B281" s="583" t="s">
        <v>343</v>
      </c>
      <c r="C281" s="126" t="s">
        <v>345</v>
      </c>
      <c r="D281" s="108">
        <v>5</v>
      </c>
      <c r="E281" s="108"/>
      <c r="F281" s="127">
        <v>42717</v>
      </c>
      <c r="G281" s="128">
        <v>10</v>
      </c>
      <c r="H281" s="584">
        <f t="shared" si="116"/>
        <v>50</v>
      </c>
      <c r="I281" s="129">
        <f>1*3</f>
        <v>3</v>
      </c>
      <c r="J281" s="130">
        <f t="array" ref="J281">IF(ISERROR(G281/I281),"",G281/I281)</f>
        <v>3.3333333333333335</v>
      </c>
      <c r="K281" s="131">
        <f t="array" ref="K281">IF(ISERROR(G281/L281),"",G281/L281)</f>
        <v>2</v>
      </c>
      <c r="L281" s="129">
        <v>5</v>
      </c>
      <c r="M281" s="109">
        <f t="shared" si="120"/>
        <v>1</v>
      </c>
      <c r="N281" s="130">
        <f t="shared" si="121"/>
        <v>0</v>
      </c>
      <c r="O281" s="592"/>
      <c r="P281" s="592"/>
      <c r="Q281" s="592"/>
      <c r="R281" s="592"/>
      <c r="S281" s="592"/>
      <c r="T281" s="592"/>
      <c r="U281" s="592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583" t="s">
        <v>343</v>
      </c>
      <c r="C282" s="126" t="s">
        <v>347</v>
      </c>
      <c r="D282" s="108">
        <v>5</v>
      </c>
      <c r="E282" s="108"/>
      <c r="F282" s="127"/>
      <c r="G282" s="128"/>
      <c r="H282" s="584">
        <f t="shared" si="116"/>
        <v>0</v>
      </c>
      <c r="I282" s="129"/>
      <c r="J282" s="130" t="str">
        <f t="array" ref="J282">IF(ISERROR(G282/I282),"",G282/I282)</f>
        <v/>
      </c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592"/>
      <c r="P282" s="592"/>
      <c r="Q282" s="592"/>
      <c r="R282" s="592"/>
      <c r="S282" s="592"/>
      <c r="T282" s="592"/>
      <c r="U282" s="592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584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592"/>
      <c r="P283" s="592"/>
      <c r="Q283" s="592"/>
      <c r="R283" s="592"/>
      <c r="S283" s="592"/>
      <c r="T283" s="592"/>
      <c r="U283" s="592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584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592"/>
      <c r="P284" s="592"/>
      <c r="Q284" s="592"/>
      <c r="R284" s="592"/>
      <c r="S284" s="592"/>
      <c r="T284" s="592"/>
      <c r="U284" s="592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/>
      <c r="G285" s="128"/>
      <c r="H285" s="584">
        <f t="shared" si="116"/>
        <v>0</v>
      </c>
      <c r="I285" s="129"/>
      <c r="J285" s="130" t="str">
        <f t="array" ref="J285">IF(ISERROR(G285/I285),"",G285/I285)</f>
        <v/>
      </c>
      <c r="K285" s="131"/>
      <c r="L285" s="129">
        <v>24</v>
      </c>
      <c r="M285" s="109"/>
      <c r="N285" s="130"/>
      <c r="O285" s="592"/>
      <c r="P285" s="592"/>
      <c r="Q285" s="592"/>
      <c r="R285" s="592"/>
      <c r="S285" s="592"/>
      <c r="T285" s="592"/>
      <c r="U285" s="592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584">
        <f t="shared" si="116"/>
        <v>0</v>
      </c>
      <c r="I286" s="129"/>
      <c r="J286" s="130" t="str">
        <f t="array" ref="J286">IF(ISERROR(G286/I286),"",G286/I286)</f>
        <v/>
      </c>
      <c r="K286" s="131"/>
      <c r="L286" s="129">
        <v>24</v>
      </c>
      <c r="M286" s="109"/>
      <c r="N286" s="130"/>
      <c r="O286" s="592"/>
      <c r="P286" s="592"/>
      <c r="Q286" s="592"/>
      <c r="R286" s="592"/>
      <c r="S286" s="592"/>
      <c r="T286" s="592"/>
      <c r="U286" s="592"/>
      <c r="V286" s="132"/>
      <c r="W286" s="133"/>
      <c r="X286" s="132"/>
      <c r="Y286" s="132"/>
      <c r="Z286" s="132"/>
      <c r="AA286" s="132"/>
    </row>
    <row r="287" spans="1:27" ht="20.10000000000000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>
        <v>42724</v>
      </c>
      <c r="G287" s="128">
        <f>77+90+90+48</f>
        <v>305</v>
      </c>
      <c r="H287" s="584">
        <f t="shared" si="116"/>
        <v>1534.15</v>
      </c>
      <c r="I287" s="129">
        <f>2*5+11*3</f>
        <v>43</v>
      </c>
      <c r="J287" s="130">
        <f t="array" ref="J287">IF(ISERROR(G287/I287),"",G287/I287)</f>
        <v>7.0930232558139537</v>
      </c>
      <c r="K287" s="131">
        <f t="array" ref="K287">IF(ISERROR(G287/L287),"",G287/L287)</f>
        <v>12.708333333333334</v>
      </c>
      <c r="L287" s="129">
        <v>24</v>
      </c>
      <c r="M287" s="109">
        <f t="shared" ref="M287" si="127">IF(ISERROR(I287-K287),"",I287-K287)</f>
        <v>30.291666666666664</v>
      </c>
      <c r="N287" s="130"/>
      <c r="O287" s="592"/>
      <c r="P287" s="592"/>
      <c r="Q287" s="592"/>
      <c r="R287" s="592"/>
      <c r="S287" s="592"/>
      <c r="T287" s="592"/>
      <c r="U287" s="592"/>
      <c r="V287" s="132"/>
      <c r="W287" s="133"/>
      <c r="X287" s="132"/>
      <c r="Y287" s="132"/>
      <c r="Z287" s="132"/>
      <c r="AA287" s="132"/>
    </row>
    <row r="288" spans="1:27" ht="20.10000000000000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>
        <v>42723</v>
      </c>
      <c r="G288" s="128">
        <f>17+100+32+100</f>
        <v>249</v>
      </c>
      <c r="H288" s="584">
        <f t="shared" si="116"/>
        <v>1262.43</v>
      </c>
      <c r="I288" s="129">
        <f>10*4+7*3</f>
        <v>61</v>
      </c>
      <c r="J288" s="130">
        <f t="array" ref="J288">IF(ISERROR(G288/I288),"",G288/I288)</f>
        <v>4.081967213114754</v>
      </c>
      <c r="K288" s="131">
        <f t="array" ref="K288">IF(ISERROR(G288/L288),"",G288/L288)</f>
        <v>27.666666666666668</v>
      </c>
      <c r="L288" s="129">
        <v>9</v>
      </c>
      <c r="M288" s="109">
        <f t="shared" ref="M288:M290" si="128">IF(ISERROR(I288-K288),"",I288-K288)</f>
        <v>33.333333333333329</v>
      </c>
      <c r="N288" s="130">
        <f t="shared" ref="N288:N290" si="129">SUM(O288:U288)</f>
        <v>0</v>
      </c>
      <c r="O288" s="592"/>
      <c r="P288" s="592"/>
      <c r="Q288" s="592"/>
      <c r="R288" s="592"/>
      <c r="S288" s="592"/>
      <c r="T288" s="592"/>
      <c r="U288" s="592"/>
      <c r="V288" s="132">
        <f t="shared" ref="V288:V290" si="130">SUM(X288:AA288)</f>
        <v>0</v>
      </c>
      <c r="W288" s="133">
        <f t="shared" ref="W288:W312" si="131">IF(ISERROR(V288/G288),"",V288/G288)</f>
        <v>0</v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584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8"/>
        <v>0</v>
      </c>
      <c r="N289" s="130">
        <f t="shared" si="129"/>
        <v>0</v>
      </c>
      <c r="O289" s="592"/>
      <c r="P289" s="592"/>
      <c r="Q289" s="592"/>
      <c r="R289" s="592"/>
      <c r="S289" s="592"/>
      <c r="T289" s="592"/>
      <c r="U289" s="592"/>
      <c r="V289" s="132">
        <f t="shared" si="130"/>
        <v>0</v>
      </c>
      <c r="W289" s="133" t="str">
        <f t="shared" si="131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584">
        <f t="shared" si="116"/>
        <v>0</v>
      </c>
      <c r="I290" s="129"/>
      <c r="J290" s="130" t="str">
        <f t="array" ref="J290">IF(ISERROR(G290/I290),"",G290/I290)</f>
        <v/>
      </c>
      <c r="K290" s="584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592"/>
      <c r="P290" s="592"/>
      <c r="Q290" s="592"/>
      <c r="R290" s="592"/>
      <c r="S290" s="592"/>
      <c r="T290" s="592"/>
      <c r="U290" s="592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customHeight="1">
      <c r="A291" s="630" t="s">
        <v>224</v>
      </c>
      <c r="B291" s="631"/>
      <c r="C291" s="593" t="s">
        <v>202</v>
      </c>
      <c r="D291" s="143"/>
      <c r="E291" s="143"/>
      <c r="F291" s="144"/>
      <c r="G291" s="145">
        <f>SUM(G257:G290)</f>
        <v>564</v>
      </c>
      <c r="H291" s="146">
        <f>SUM(H257:H290)</f>
        <v>2846.58</v>
      </c>
      <c r="I291" s="146">
        <f>SUM(I257:I290)</f>
        <v>107</v>
      </c>
      <c r="J291" s="130">
        <f t="array" ref="J291">IF(ISERROR(G291/I291),"",G291/I291)</f>
        <v>5.2710280373831777</v>
      </c>
      <c r="K291" s="146">
        <f>SUM(K257:K290)</f>
        <v>42.375</v>
      </c>
      <c r="L291" s="147"/>
      <c r="M291" s="150">
        <f t="shared" ref="M291:V291" si="132">SUM(M257:M290)</f>
        <v>64.625</v>
      </c>
      <c r="N291" s="146">
        <f t="shared" si="132"/>
        <v>0</v>
      </c>
      <c r="O291" s="148">
        <f t="shared" si="132"/>
        <v>0</v>
      </c>
      <c r="P291" s="148">
        <f t="shared" si="132"/>
        <v>0</v>
      </c>
      <c r="Q291" s="148">
        <f t="shared" si="132"/>
        <v>0</v>
      </c>
      <c r="R291" s="148">
        <f t="shared" si="132"/>
        <v>0</v>
      </c>
      <c r="S291" s="148">
        <f t="shared" si="132"/>
        <v>0</v>
      </c>
      <c r="T291" s="148">
        <f t="shared" si="132"/>
        <v>0</v>
      </c>
      <c r="U291" s="148">
        <f t="shared" si="132"/>
        <v>0</v>
      </c>
      <c r="V291" s="149">
        <f t="shared" si="132"/>
        <v>0</v>
      </c>
      <c r="W291" s="133">
        <f t="shared" si="131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584">
        <f t="shared" ref="H292:H306" si="133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4">IF(ISERROR(I292-K292),"",I292-K292)</f>
        <v>0</v>
      </c>
      <c r="N292" s="130">
        <f t="shared" ref="N292:N306" si="135">SUM(O292:U292)</f>
        <v>0</v>
      </c>
      <c r="O292" s="592"/>
      <c r="P292" s="592"/>
      <c r="Q292" s="592"/>
      <c r="R292" s="592"/>
      <c r="S292" s="592"/>
      <c r="T292" s="592"/>
      <c r="U292" s="592"/>
      <c r="V292" s="132">
        <f t="shared" ref="V292:V306" si="136">SUM(X292:AA292)</f>
        <v>0</v>
      </c>
      <c r="W292" s="133" t="str">
        <f t="shared" si="131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584">
        <f t="shared" si="133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4"/>
        <v>0</v>
      </c>
      <c r="N293" s="130">
        <f t="shared" si="135"/>
        <v>0</v>
      </c>
      <c r="O293" s="592"/>
      <c r="P293" s="592"/>
      <c r="Q293" s="592"/>
      <c r="R293" s="592"/>
      <c r="S293" s="592"/>
      <c r="T293" s="592"/>
      <c r="U293" s="592"/>
      <c r="V293" s="132">
        <f t="shared" si="136"/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584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4"/>
        <v>0</v>
      </c>
      <c r="N294" s="130">
        <f t="shared" si="135"/>
        <v>0</v>
      </c>
      <c r="O294" s="592"/>
      <c r="P294" s="592"/>
      <c r="Q294" s="592"/>
      <c r="R294" s="592"/>
      <c r="S294" s="592"/>
      <c r="T294" s="592"/>
      <c r="U294" s="592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584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4"/>
        <v>0</v>
      </c>
      <c r="N295" s="130">
        <f t="shared" si="135"/>
        <v>0</v>
      </c>
      <c r="O295" s="592"/>
      <c r="P295" s="592"/>
      <c r="Q295" s="592"/>
      <c r="R295" s="592"/>
      <c r="S295" s="592"/>
      <c r="T295" s="592"/>
      <c r="U295" s="592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589" t="s">
        <v>203</v>
      </c>
      <c r="D296" s="108">
        <v>5.03</v>
      </c>
      <c r="E296" s="108"/>
      <c r="F296" s="127"/>
      <c r="G296" s="128"/>
      <c r="H296" s="584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592"/>
      <c r="P296" s="592"/>
      <c r="Q296" s="592"/>
      <c r="R296" s="592"/>
      <c r="S296" s="592"/>
      <c r="T296" s="592"/>
      <c r="U296" s="592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584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592"/>
      <c r="P297" s="592"/>
      <c r="Q297" s="592"/>
      <c r="R297" s="592"/>
      <c r="S297" s="592"/>
      <c r="T297" s="592"/>
      <c r="U297" s="592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584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592"/>
      <c r="P298" s="592"/>
      <c r="Q298" s="592"/>
      <c r="R298" s="592"/>
      <c r="S298" s="592"/>
      <c r="T298" s="592"/>
      <c r="U298" s="592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589" t="s">
        <v>228</v>
      </c>
      <c r="D299" s="108">
        <v>5.03</v>
      </c>
      <c r="E299" s="108"/>
      <c r="F299" s="127"/>
      <c r="G299" s="128"/>
      <c r="H299" s="584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592"/>
      <c r="P299" s="592"/>
      <c r="Q299" s="592"/>
      <c r="R299" s="592"/>
      <c r="S299" s="592"/>
      <c r="T299" s="592"/>
      <c r="U299" s="592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589" t="s">
        <v>212</v>
      </c>
      <c r="D300" s="108">
        <v>5.03</v>
      </c>
      <c r="E300" s="108"/>
      <c r="F300" s="127"/>
      <c r="G300" s="128"/>
      <c r="H300" s="584">
        <f t="shared" si="133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4"/>
        <v/>
      </c>
      <c r="N300" s="130">
        <f t="shared" si="135"/>
        <v>0</v>
      </c>
      <c r="O300" s="592"/>
      <c r="P300" s="592"/>
      <c r="Q300" s="592"/>
      <c r="R300" s="592"/>
      <c r="S300" s="592"/>
      <c r="T300" s="592"/>
      <c r="U300" s="592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589" t="s">
        <v>203</v>
      </c>
      <c r="D301" s="108">
        <v>5.03</v>
      </c>
      <c r="E301" s="108"/>
      <c r="F301" s="127"/>
      <c r="G301" s="128"/>
      <c r="H301" s="584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592"/>
      <c r="P301" s="592"/>
      <c r="Q301" s="592"/>
      <c r="R301" s="592"/>
      <c r="S301" s="592"/>
      <c r="T301" s="592"/>
      <c r="U301" s="592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589" t="s">
        <v>186</v>
      </c>
      <c r="D302" s="108">
        <v>5.03</v>
      </c>
      <c r="E302" s="108"/>
      <c r="F302" s="127"/>
      <c r="G302" s="128"/>
      <c r="H302" s="584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592"/>
      <c r="P302" s="592"/>
      <c r="Q302" s="592"/>
      <c r="R302" s="592"/>
      <c r="S302" s="592"/>
      <c r="T302" s="592"/>
      <c r="U302" s="592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589" t="s">
        <v>228</v>
      </c>
      <c r="D303" s="108">
        <v>5.03</v>
      </c>
      <c r="E303" s="108"/>
      <c r="F303" s="127"/>
      <c r="G303" s="128"/>
      <c r="H303" s="584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592"/>
      <c r="P303" s="592"/>
      <c r="Q303" s="592"/>
      <c r="R303" s="592"/>
      <c r="S303" s="592"/>
      <c r="T303" s="592"/>
      <c r="U303" s="592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589" t="s">
        <v>199</v>
      </c>
      <c r="D304" s="108">
        <v>5.03</v>
      </c>
      <c r="E304" s="108"/>
      <c r="F304" s="127"/>
      <c r="G304" s="128"/>
      <c r="H304" s="584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592"/>
      <c r="P304" s="592"/>
      <c r="Q304" s="592"/>
      <c r="R304" s="592"/>
      <c r="S304" s="592"/>
      <c r="T304" s="592"/>
      <c r="U304" s="592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584">
        <f t="shared" si="133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4"/>
        <v>0</v>
      </c>
      <c r="N305" s="130">
        <f t="shared" si="135"/>
        <v>0</v>
      </c>
      <c r="O305" s="592"/>
      <c r="P305" s="592"/>
      <c r="Q305" s="592"/>
      <c r="R305" s="592"/>
      <c r="S305" s="592"/>
      <c r="T305" s="592"/>
      <c r="U305" s="592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584">
        <f t="shared" si="133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4"/>
        <v>0</v>
      </c>
      <c r="N306" s="130">
        <f t="shared" si="135"/>
        <v>0</v>
      </c>
      <c r="O306" s="592"/>
      <c r="P306" s="592"/>
      <c r="Q306" s="592"/>
      <c r="R306" s="592"/>
      <c r="S306" s="592"/>
      <c r="T306" s="592"/>
      <c r="U306" s="592"/>
      <c r="V306" s="132">
        <f t="shared" si="136"/>
        <v>0</v>
      </c>
      <c r="W306" s="133" t="str">
        <f t="shared" si="131"/>
        <v/>
      </c>
      <c r="X306" s="132"/>
      <c r="Y306" s="132"/>
      <c r="Z306" s="132"/>
      <c r="AA306" s="132"/>
    </row>
    <row r="307" spans="1:27" ht="20.100000000000001" hidden="1" customHeight="1">
      <c r="A307" s="630" t="s">
        <v>231</v>
      </c>
      <c r="B307" s="631"/>
      <c r="C307" s="593" t="s">
        <v>202</v>
      </c>
      <c r="D307" s="143"/>
      <c r="E307" s="143"/>
      <c r="F307" s="144"/>
      <c r="G307" s="145">
        <f>SUM(G292:G306)</f>
        <v>0</v>
      </c>
      <c r="H307" s="146">
        <f>SUM(H292:H306)</f>
        <v>0</v>
      </c>
      <c r="I307" s="146">
        <f>SUM(I292:I306)</f>
        <v>0</v>
      </c>
      <c r="J307" s="130" t="str">
        <f t="array" ref="J307">IF(ISERROR(G307/I307),"",G307/I307)</f>
        <v/>
      </c>
      <c r="K307" s="146">
        <f>SUM(K292:K306)</f>
        <v>0</v>
      </c>
      <c r="L307" s="146"/>
      <c r="M307" s="150">
        <f>SUM(M292:M306)</f>
        <v>0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 t="str">
        <f t="shared" si="131"/>
        <v/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584">
        <f t="shared" ref="H308:H316" si="137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8">IF(ISERROR(I308-K308),"",I308-K308)</f>
        <v>0</v>
      </c>
      <c r="N308" s="130">
        <f t="shared" ref="N308:N312" si="139">SUM(O308:U308)</f>
        <v>0</v>
      </c>
      <c r="O308" s="592"/>
      <c r="P308" s="592"/>
      <c r="Q308" s="592"/>
      <c r="R308" s="592"/>
      <c r="S308" s="592"/>
      <c r="T308" s="592"/>
      <c r="U308" s="592"/>
      <c r="V308" s="132">
        <f t="shared" ref="V308:V312" si="140">SUM(X308:AA308)</f>
        <v>0</v>
      </c>
      <c r="W308" s="133" t="str">
        <f t="shared" si="131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584">
        <f t="shared" si="137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8"/>
        <v>0</v>
      </c>
      <c r="N309" s="130">
        <f t="shared" si="139"/>
        <v>0</v>
      </c>
      <c r="O309" s="592"/>
      <c r="P309" s="592"/>
      <c r="Q309" s="592"/>
      <c r="R309" s="592"/>
      <c r="S309" s="592"/>
      <c r="T309" s="592"/>
      <c r="U309" s="592"/>
      <c r="V309" s="132">
        <f t="shared" si="140"/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584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592"/>
      <c r="P310" s="592"/>
      <c r="Q310" s="592"/>
      <c r="R310" s="592"/>
      <c r="S310" s="592"/>
      <c r="T310" s="592"/>
      <c r="U310" s="592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584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592"/>
      <c r="P311" s="592"/>
      <c r="Q311" s="592"/>
      <c r="R311" s="592"/>
      <c r="S311" s="592"/>
      <c r="T311" s="592"/>
      <c r="U311" s="592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584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592"/>
      <c r="P312" s="592"/>
      <c r="Q312" s="592"/>
      <c r="R312" s="592"/>
      <c r="S312" s="592"/>
      <c r="T312" s="592"/>
      <c r="U312" s="592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584">
        <f t="shared" si="137"/>
        <v>0</v>
      </c>
      <c r="I313" s="129"/>
      <c r="J313" s="130"/>
      <c r="K313" s="131"/>
      <c r="L313" s="129">
        <v>13.5</v>
      </c>
      <c r="M313" s="109"/>
      <c r="N313" s="130"/>
      <c r="O313" s="592"/>
      <c r="P313" s="592"/>
      <c r="Q313" s="592"/>
      <c r="R313" s="592"/>
      <c r="S313" s="592"/>
      <c r="T313" s="592"/>
      <c r="U313" s="592"/>
      <c r="V313" s="132"/>
      <c r="W313" s="133"/>
      <c r="X313" s="132"/>
      <c r="Y313" s="132"/>
      <c r="Z313" s="132"/>
      <c r="AA313" s="132"/>
    </row>
    <row r="314" spans="1:27" ht="20.100000000000001" hidden="1" customHeight="1">
      <c r="A314" s="300">
        <v>30400020</v>
      </c>
      <c r="B314" s="134" t="s">
        <v>439</v>
      </c>
      <c r="C314" s="187" t="s">
        <v>74</v>
      </c>
      <c r="D314" s="108">
        <v>5.03</v>
      </c>
      <c r="E314" s="108"/>
      <c r="F314" s="127"/>
      <c r="G314" s="128"/>
      <c r="H314" s="584">
        <f t="shared" si="137"/>
        <v>0</v>
      </c>
      <c r="I314" s="129"/>
      <c r="J314" s="130"/>
      <c r="K314" s="131"/>
      <c r="L314" s="129">
        <v>13.5</v>
      </c>
      <c r="M314" s="109"/>
      <c r="N314" s="130"/>
      <c r="O314" s="592"/>
      <c r="P314" s="592"/>
      <c r="Q314" s="592"/>
      <c r="R314" s="592"/>
      <c r="S314" s="592"/>
      <c r="T314" s="592"/>
      <c r="U314" s="592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30400021</v>
      </c>
      <c r="B315" s="134" t="s">
        <v>439</v>
      </c>
      <c r="C315" s="187" t="s">
        <v>53</v>
      </c>
      <c r="D315" s="108">
        <v>5.03</v>
      </c>
      <c r="E315" s="108"/>
      <c r="F315" s="127"/>
      <c r="G315" s="128"/>
      <c r="H315" s="584">
        <f t="shared" si="137"/>
        <v>0</v>
      </c>
      <c r="I315" s="129"/>
      <c r="J315" s="130"/>
      <c r="K315" s="131"/>
      <c r="L315" s="129">
        <v>13.5</v>
      </c>
      <c r="M315" s="109"/>
      <c r="N315" s="130"/>
      <c r="O315" s="592"/>
      <c r="P315" s="592"/>
      <c r="Q315" s="592"/>
      <c r="R315" s="592"/>
      <c r="S315" s="592"/>
      <c r="T315" s="592"/>
      <c r="U315" s="592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584">
        <f t="shared" si="137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1">IF(ISERROR(I316-K316),"",I316-K316)</f>
        <v>0</v>
      </c>
      <c r="N316" s="130">
        <f t="shared" ref="N316" si="142">SUM(O316:U316)</f>
        <v>0</v>
      </c>
      <c r="O316" s="592"/>
      <c r="P316" s="592"/>
      <c r="Q316" s="592"/>
      <c r="R316" s="592"/>
      <c r="S316" s="592"/>
      <c r="T316" s="592"/>
      <c r="U316" s="592"/>
      <c r="V316" s="132">
        <f t="shared" ref="V316" si="143">SUM(X316:AA316)</f>
        <v>0</v>
      </c>
      <c r="W316" s="133" t="str">
        <f t="shared" ref="W316:W321" si="144">IF(ISERROR(V316/G316),"",V316/G316)</f>
        <v/>
      </c>
      <c r="X316" s="132"/>
      <c r="Y316" s="132"/>
      <c r="Z316" s="132"/>
      <c r="AA316" s="132"/>
    </row>
    <row r="317" spans="1:27" ht="20.100000000000001" hidden="1" customHeight="1">
      <c r="A317" s="630" t="s">
        <v>234</v>
      </c>
      <c r="B317" s="631"/>
      <c r="C317" s="593" t="s">
        <v>202</v>
      </c>
      <c r="D317" s="143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4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590"/>
      <c r="D318" s="108">
        <v>3.65</v>
      </c>
      <c r="E318" s="108"/>
      <c r="F318" s="153"/>
      <c r="G318" s="128"/>
      <c r="H318" s="584">
        <f t="shared" ref="H318:H331" si="145">D318*G318</f>
        <v>0</v>
      </c>
      <c r="I318" s="129"/>
      <c r="J318" s="130" t="str">
        <f t="array" ref="J318">IF(ISERROR(G318/I318),"",G318/I318)</f>
        <v/>
      </c>
      <c r="K318" s="584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592"/>
      <c r="P318" s="592"/>
      <c r="Q318" s="592"/>
      <c r="R318" s="592"/>
      <c r="S318" s="592"/>
      <c r="T318" s="592"/>
      <c r="U318" s="592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590"/>
      <c r="D319" s="108">
        <v>6.58</v>
      </c>
      <c r="E319" s="108"/>
      <c r="F319" s="127"/>
      <c r="G319" s="128"/>
      <c r="H319" s="584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592"/>
      <c r="P319" s="592"/>
      <c r="Q319" s="592"/>
      <c r="R319" s="592"/>
      <c r="S319" s="592"/>
      <c r="T319" s="592"/>
      <c r="U319" s="592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590"/>
      <c r="D320" s="108">
        <v>7.8</v>
      </c>
      <c r="E320" s="108"/>
      <c r="F320" s="127"/>
      <c r="G320" s="128"/>
      <c r="H320" s="584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592"/>
      <c r="P320" s="592"/>
      <c r="Q320" s="592"/>
      <c r="R320" s="592"/>
      <c r="S320" s="592"/>
      <c r="T320" s="592"/>
      <c r="U320" s="592"/>
      <c r="V320" s="132">
        <f t="shared" si="148"/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590"/>
      <c r="D321" s="108">
        <v>4.4000000000000004</v>
      </c>
      <c r="E321" s="108"/>
      <c r="F321" s="127"/>
      <c r="G321" s="128"/>
      <c r="H321" s="584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592"/>
      <c r="P321" s="592"/>
      <c r="Q321" s="592"/>
      <c r="R321" s="592"/>
      <c r="S321" s="592"/>
      <c r="T321" s="592"/>
      <c r="U321" s="592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590"/>
      <c r="D322" s="108"/>
      <c r="E322" s="108"/>
      <c r="F322" s="127"/>
      <c r="G322" s="128"/>
      <c r="H322" s="584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592"/>
      <c r="P322" s="592"/>
      <c r="Q322" s="592"/>
      <c r="R322" s="592"/>
      <c r="S322" s="592"/>
      <c r="T322" s="592"/>
      <c r="U322" s="592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590" t="s">
        <v>239</v>
      </c>
      <c r="C323" s="590" t="s">
        <v>179</v>
      </c>
      <c r="D323" s="108">
        <v>6.04</v>
      </c>
      <c r="E323" s="108"/>
      <c r="F323" s="127"/>
      <c r="G323" s="128"/>
      <c r="H323" s="584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592"/>
      <c r="P323" s="592"/>
      <c r="Q323" s="592"/>
      <c r="R323" s="592"/>
      <c r="S323" s="592"/>
      <c r="T323" s="592"/>
      <c r="U323" s="592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590" t="s">
        <v>239</v>
      </c>
      <c r="C324" s="590" t="s">
        <v>186</v>
      </c>
      <c r="D324" s="108">
        <v>6.04</v>
      </c>
      <c r="E324" s="108"/>
      <c r="F324" s="127"/>
      <c r="G324" s="128"/>
      <c r="H324" s="584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592"/>
      <c r="P324" s="592"/>
      <c r="Q324" s="592"/>
      <c r="R324" s="592"/>
      <c r="S324" s="592"/>
      <c r="T324" s="592"/>
      <c r="U324" s="592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590" t="s">
        <v>443</v>
      </c>
      <c r="C325" s="590" t="s">
        <v>179</v>
      </c>
      <c r="D325" s="108">
        <v>6</v>
      </c>
      <c r="E325" s="108"/>
      <c r="F325" s="127"/>
      <c r="G325" s="128"/>
      <c r="H325" s="584">
        <f t="shared" si="145"/>
        <v>0</v>
      </c>
      <c r="I325" s="129"/>
      <c r="J325" s="130"/>
      <c r="K325" s="131"/>
      <c r="L325" s="129"/>
      <c r="M325" s="109"/>
      <c r="N325" s="130"/>
      <c r="O325" s="592"/>
      <c r="P325" s="592"/>
      <c r="Q325" s="592"/>
      <c r="R325" s="592"/>
      <c r="S325" s="592"/>
      <c r="T325" s="592"/>
      <c r="U325" s="592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590" t="s">
        <v>443</v>
      </c>
      <c r="C326" s="590" t="s">
        <v>60</v>
      </c>
      <c r="D326" s="108">
        <v>6</v>
      </c>
      <c r="E326" s="108"/>
      <c r="F326" s="127"/>
      <c r="G326" s="128"/>
      <c r="H326" s="584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592"/>
      <c r="P326" s="592"/>
      <c r="Q326" s="592"/>
      <c r="R326" s="592"/>
      <c r="S326" s="592"/>
      <c r="T326" s="592"/>
      <c r="U326" s="592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583" t="s">
        <v>240</v>
      </c>
      <c r="C327" s="126"/>
      <c r="D327" s="108">
        <v>7.3</v>
      </c>
      <c r="E327" s="108"/>
      <c r="F327" s="127"/>
      <c r="G327" s="128"/>
      <c r="H327" s="584">
        <f t="shared" si="145"/>
        <v>0</v>
      </c>
      <c r="I327" s="129"/>
      <c r="J327" s="130"/>
      <c r="K327" s="131"/>
      <c r="L327" s="129"/>
      <c r="M327" s="109"/>
      <c r="N327" s="130"/>
      <c r="O327" s="592"/>
      <c r="P327" s="592"/>
      <c r="Q327" s="592"/>
      <c r="R327" s="592"/>
      <c r="S327" s="592"/>
      <c r="T327" s="592"/>
      <c r="U327" s="592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583" t="s">
        <v>241</v>
      </c>
      <c r="C328" s="126"/>
      <c r="D328" s="108">
        <f>78*120/1000</f>
        <v>9.36</v>
      </c>
      <c r="E328" s="108"/>
      <c r="F328" s="127"/>
      <c r="G328" s="128"/>
      <c r="H328" s="584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592"/>
      <c r="P328" s="592"/>
      <c r="Q328" s="592"/>
      <c r="R328" s="592"/>
      <c r="S328" s="592"/>
      <c r="T328" s="592"/>
      <c r="U328" s="592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583" t="s">
        <v>242</v>
      </c>
      <c r="C329" s="126"/>
      <c r="D329" s="108">
        <v>4.5</v>
      </c>
      <c r="E329" s="108"/>
      <c r="F329" s="127"/>
      <c r="G329" s="128"/>
      <c r="H329" s="584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592"/>
      <c r="P329" s="592"/>
      <c r="Q329" s="592"/>
      <c r="R329" s="592"/>
      <c r="S329" s="592"/>
      <c r="T329" s="592"/>
      <c r="U329" s="592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583" t="s">
        <v>243</v>
      </c>
      <c r="C330" s="126"/>
      <c r="D330" s="108">
        <v>4.5</v>
      </c>
      <c r="E330" s="108"/>
      <c r="F330" s="127"/>
      <c r="G330" s="128"/>
      <c r="H330" s="584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592"/>
      <c r="P330" s="592"/>
      <c r="Q330" s="592"/>
      <c r="R330" s="592"/>
      <c r="S330" s="592"/>
      <c r="T330" s="592"/>
      <c r="U330" s="592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584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592"/>
      <c r="P331" s="592"/>
      <c r="Q331" s="592"/>
      <c r="R331" s="592"/>
      <c r="S331" s="592"/>
      <c r="T331" s="592"/>
      <c r="U331" s="592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630" t="s">
        <v>244</v>
      </c>
      <c r="B332" s="631"/>
      <c r="C332" s="593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6">SUM(M318:M328)</f>
        <v>0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632" t="s">
        <v>246</v>
      </c>
      <c r="B333" s="633"/>
      <c r="C333" s="633"/>
      <c r="D333" s="633"/>
      <c r="E333" s="633"/>
      <c r="F333" s="634"/>
      <c r="G333" s="154">
        <f>SUM(G198,G256,G291,G307,G317,G332)</f>
        <v>3870</v>
      </c>
      <c r="H333" s="154">
        <f>SUM(H198,H256,H291,H307,H317,H332)</f>
        <v>19530.880000000005</v>
      </c>
      <c r="I333" s="154">
        <f>SUM(I198,I256,I291,I307,I317,I332)</f>
        <v>218</v>
      </c>
      <c r="J333" s="155">
        <f t="array" ref="J333">IF(ISERROR(G333/I333),"",G333/I333)</f>
        <v>17.75229357798165</v>
      </c>
      <c r="K333" s="154">
        <f>SUM(K198,K256,K291,K307,K317,K332)</f>
        <v>158.90681785534727</v>
      </c>
      <c r="L333" s="155">
        <f>IF(ISERROR(G333/K333),"",G333/K333)</f>
        <v>24.353895271648177</v>
      </c>
      <c r="M333" s="154">
        <f t="shared" ref="M333:AA333" si="157">SUM(M198,M256,M291,M307,M317,M332)</f>
        <v>59.093182144652729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635" t="s">
        <v>476</v>
      </c>
      <c r="B334" s="586" t="s">
        <v>247</v>
      </c>
      <c r="C334" s="638" t="s">
        <v>248</v>
      </c>
      <c r="D334" s="639"/>
      <c r="E334" s="640" t="s">
        <v>249</v>
      </c>
      <c r="F334" s="640"/>
      <c r="G334" s="643" t="s">
        <v>250</v>
      </c>
      <c r="H334" s="643"/>
      <c r="I334" s="640" t="s">
        <v>251</v>
      </c>
      <c r="J334" s="640"/>
      <c r="K334" s="640" t="s">
        <v>252</v>
      </c>
      <c r="L334" s="640"/>
      <c r="M334" s="640" t="s">
        <v>253</v>
      </c>
      <c r="N334" s="640"/>
      <c r="O334" s="640" t="s">
        <v>254</v>
      </c>
      <c r="P334" s="643" t="s">
        <v>255</v>
      </c>
      <c r="Q334" s="643"/>
      <c r="R334" s="643" t="s">
        <v>252</v>
      </c>
      <c r="S334" s="643"/>
      <c r="T334" s="643" t="s">
        <v>256</v>
      </c>
      <c r="U334" s="643"/>
      <c r="V334" s="643" t="s">
        <v>257</v>
      </c>
      <c r="W334" s="643"/>
      <c r="X334" s="643" t="s">
        <v>252</v>
      </c>
      <c r="Y334" s="643"/>
      <c r="Z334" s="643" t="s">
        <v>256</v>
      </c>
      <c r="AA334" s="643"/>
    </row>
    <row r="335" spans="1:27" ht="20.100000000000001" customHeight="1">
      <c r="A335" s="636"/>
      <c r="B335" s="586" t="s">
        <v>258</v>
      </c>
      <c r="C335" s="678">
        <v>1</v>
      </c>
      <c r="D335" s="679"/>
      <c r="E335" s="642">
        <f>C335*11</f>
        <v>11</v>
      </c>
      <c r="F335" s="642"/>
      <c r="G335" s="643">
        <v>1</v>
      </c>
      <c r="H335" s="643"/>
      <c r="I335" s="642">
        <f>G335*11</f>
        <v>11</v>
      </c>
      <c r="J335" s="642"/>
      <c r="K335" s="642">
        <f>E335-I335</f>
        <v>0</v>
      </c>
      <c r="L335" s="642"/>
      <c r="M335" s="644">
        <f>IF(ISERROR(K335/E335),"",K335/E335)</f>
        <v>0</v>
      </c>
      <c r="N335" s="644"/>
      <c r="O335" s="640"/>
      <c r="P335" s="643" t="s">
        <v>201</v>
      </c>
      <c r="Q335" s="643"/>
      <c r="R335" s="645">
        <f>SUM(O198:U198)</f>
        <v>0</v>
      </c>
      <c r="S335" s="645"/>
      <c r="T335" s="646" t="str">
        <f t="array" ref="T335">IF(ISERROR(R335/R342),"",R335/R342)</f>
        <v/>
      </c>
      <c r="U335" s="646"/>
      <c r="V335" s="643" t="s">
        <v>259</v>
      </c>
      <c r="W335" s="643"/>
      <c r="X335" s="680">
        <f>SUM(P197,P255,P290,P306,P316,P331)</f>
        <v>0</v>
      </c>
      <c r="Y335" s="681"/>
      <c r="Z335" s="646" t="str">
        <f t="array" ref="Z335">IF(ISERROR(X335/X342),"",X335/X342)</f>
        <v/>
      </c>
      <c r="AA335" s="646"/>
    </row>
    <row r="336" spans="1:27" ht="20.100000000000001" customHeight="1">
      <c r="A336" s="636"/>
      <c r="B336" s="586" t="s">
        <v>260</v>
      </c>
      <c r="C336" s="638">
        <v>0</v>
      </c>
      <c r="D336" s="639"/>
      <c r="E336" s="642">
        <f>C336*11</f>
        <v>0</v>
      </c>
      <c r="F336" s="642"/>
      <c r="G336" s="643">
        <v>0</v>
      </c>
      <c r="H336" s="643"/>
      <c r="I336" s="642">
        <f>G336*11</f>
        <v>0</v>
      </c>
      <c r="J336" s="642"/>
      <c r="K336" s="642">
        <f>E336-I336</f>
        <v>0</v>
      </c>
      <c r="L336" s="642"/>
      <c r="M336" s="644" t="str">
        <f>IF(ISERROR(K336/E336),"",K336/E336)</f>
        <v/>
      </c>
      <c r="N336" s="644"/>
      <c r="O336" s="640"/>
      <c r="P336" s="643" t="s">
        <v>216</v>
      </c>
      <c r="Q336" s="643"/>
      <c r="R336" s="645">
        <f>SUM(O256:U256)</f>
        <v>0</v>
      </c>
      <c r="S336" s="645"/>
      <c r="T336" s="646" t="str">
        <f>IF(ISERROR(R336/R342),"",R336/R342)</f>
        <v/>
      </c>
      <c r="U336" s="646"/>
      <c r="V336" s="643" t="s">
        <v>261</v>
      </c>
      <c r="W336" s="643"/>
      <c r="X336" s="680">
        <f>SUM(P198,P256,P291,P307,P317,P332)</f>
        <v>0</v>
      </c>
      <c r="Y336" s="681"/>
      <c r="Z336" s="646" t="str">
        <f>IF(ISERROR(X336/X342),"",X336/X342)</f>
        <v/>
      </c>
      <c r="AA336" s="646"/>
    </row>
    <row r="337" spans="1:27" ht="20.100000000000001" customHeight="1">
      <c r="A337" s="636"/>
      <c r="B337" s="586" t="s">
        <v>262</v>
      </c>
      <c r="C337" s="638">
        <v>0</v>
      </c>
      <c r="D337" s="639"/>
      <c r="E337" s="642">
        <f>C337*8</f>
        <v>0</v>
      </c>
      <c r="F337" s="642"/>
      <c r="G337" s="643">
        <v>1</v>
      </c>
      <c r="H337" s="643"/>
      <c r="I337" s="642">
        <f>G337*8</f>
        <v>8</v>
      </c>
      <c r="J337" s="642"/>
      <c r="K337" s="642">
        <f>E337-I337</f>
        <v>-8</v>
      </c>
      <c r="L337" s="642"/>
      <c r="M337" s="644" t="str">
        <f>IF(ISERROR(K337/E337),"",K337/E337)</f>
        <v/>
      </c>
      <c r="N337" s="644"/>
      <c r="O337" s="640"/>
      <c r="P337" s="643" t="s">
        <v>224</v>
      </c>
      <c r="Q337" s="643"/>
      <c r="R337" s="645">
        <f>SUM(O291:U291)</f>
        <v>0</v>
      </c>
      <c r="S337" s="645"/>
      <c r="T337" s="646" t="str">
        <f>IF(ISERROR(R337/R342),"",R337/R342)</f>
        <v/>
      </c>
      <c r="U337" s="646"/>
      <c r="V337" s="643" t="s">
        <v>263</v>
      </c>
      <c r="W337" s="643"/>
      <c r="X337" s="680">
        <f>SUM(P199,P257,P292,P308,P318,P333)</f>
        <v>0</v>
      </c>
      <c r="Y337" s="681"/>
      <c r="Z337" s="646" t="str">
        <f>IF(ISERROR(X337/X342),"",X337/X342)</f>
        <v/>
      </c>
      <c r="AA337" s="646"/>
    </row>
    <row r="338" spans="1:27" ht="20.100000000000001" customHeight="1">
      <c r="A338" s="636"/>
      <c r="B338" s="586" t="s">
        <v>264</v>
      </c>
      <c r="C338" s="638">
        <v>1</v>
      </c>
      <c r="D338" s="639"/>
      <c r="E338" s="642">
        <f>C338*11</f>
        <v>11</v>
      </c>
      <c r="F338" s="642"/>
      <c r="G338" s="643">
        <v>1</v>
      </c>
      <c r="H338" s="643"/>
      <c r="I338" s="642">
        <f>G338*11</f>
        <v>11</v>
      </c>
      <c r="J338" s="642"/>
      <c r="K338" s="642">
        <f>E338-I338</f>
        <v>0</v>
      </c>
      <c r="L338" s="642"/>
      <c r="M338" s="644">
        <f>IF(ISERROR(K338/E338),"",K338/E338)</f>
        <v>0</v>
      </c>
      <c r="N338" s="644"/>
      <c r="O338" s="640"/>
      <c r="P338" s="643" t="s">
        <v>231</v>
      </c>
      <c r="Q338" s="643"/>
      <c r="R338" s="645">
        <f>SUM(O307:U307)</f>
        <v>0</v>
      </c>
      <c r="S338" s="645"/>
      <c r="T338" s="646" t="str">
        <f>IF(ISERROR(R338/R342),"",R338/R342)</f>
        <v/>
      </c>
      <c r="U338" s="646"/>
      <c r="V338" s="643" t="s">
        <v>265</v>
      </c>
      <c r="W338" s="643"/>
      <c r="X338" s="680">
        <f>SUM(P201,P258,P293,P309,P319,P334)</f>
        <v>0</v>
      </c>
      <c r="Y338" s="681"/>
      <c r="Z338" s="646" t="str">
        <f>IF(ISERROR(X338/X342),"",X338/X342)</f>
        <v/>
      </c>
      <c r="AA338" s="646"/>
    </row>
    <row r="339" spans="1:27" ht="20.100000000000001" customHeight="1">
      <c r="A339" s="637"/>
      <c r="B339" s="586" t="s">
        <v>266</v>
      </c>
      <c r="C339" s="648">
        <f>SUM(C335:D338)</f>
        <v>2</v>
      </c>
      <c r="D339" s="649"/>
      <c r="E339" s="642">
        <f>SUM(E335:F338)</f>
        <v>22</v>
      </c>
      <c r="F339" s="642"/>
      <c r="G339" s="643">
        <f>SUM(G335:H338)</f>
        <v>3</v>
      </c>
      <c r="H339" s="643"/>
      <c r="I339" s="642">
        <f>SUM(I335:J338)</f>
        <v>30</v>
      </c>
      <c r="J339" s="642"/>
      <c r="K339" s="642">
        <f>SUM(K335:L338)</f>
        <v>-8</v>
      </c>
      <c r="L339" s="642"/>
      <c r="M339" s="644">
        <f>IF(ISERROR(K339/E339),"",K339/E339)</f>
        <v>-0.36363636363636365</v>
      </c>
      <c r="N339" s="644"/>
      <c r="O339" s="640"/>
      <c r="P339" s="643" t="s">
        <v>234</v>
      </c>
      <c r="Q339" s="643"/>
      <c r="R339" s="645">
        <f>SUM(O317:U317)</f>
        <v>0</v>
      </c>
      <c r="S339" s="645"/>
      <c r="T339" s="646" t="str">
        <f>IF(ISERROR(R339/R342),"",R339/R342)</f>
        <v/>
      </c>
      <c r="U339" s="646"/>
      <c r="V339" s="643" t="s">
        <v>267</v>
      </c>
      <c r="W339" s="643"/>
      <c r="X339" s="680">
        <f>SUM(P202,P259,P294,P310,P320,P335)</f>
        <v>0</v>
      </c>
      <c r="Y339" s="681"/>
      <c r="Z339" s="646" t="str">
        <f>IF(ISERROR(X339/X342),"",X339/X342)</f>
        <v/>
      </c>
      <c r="AA339" s="646"/>
    </row>
    <row r="340" spans="1:27" ht="20.100000000000001" customHeight="1">
      <c r="A340" s="309" t="s">
        <v>477</v>
      </c>
      <c r="B340" s="586">
        <f>G333</f>
        <v>3870</v>
      </c>
      <c r="C340" s="650" t="s">
        <v>269</v>
      </c>
      <c r="D340" s="651"/>
      <c r="E340" s="643">
        <f>H333</f>
        <v>19530.880000000005</v>
      </c>
      <c r="F340" s="643"/>
      <c r="G340" s="643" t="s">
        <v>270</v>
      </c>
      <c r="H340" s="643"/>
      <c r="I340" s="652">
        <f>L333</f>
        <v>24.353895271648177</v>
      </c>
      <c r="J340" s="652"/>
      <c r="K340" s="640" t="s">
        <v>271</v>
      </c>
      <c r="L340" s="640"/>
      <c r="M340" s="652">
        <f>J333</f>
        <v>17.75229357798165</v>
      </c>
      <c r="N340" s="652"/>
      <c r="O340" s="640"/>
      <c r="P340" s="643" t="s">
        <v>244</v>
      </c>
      <c r="Q340" s="643"/>
      <c r="R340" s="645">
        <f>SUM(O332:U332)</f>
        <v>0</v>
      </c>
      <c r="S340" s="645"/>
      <c r="T340" s="646" t="str">
        <f>IF(ISERROR(R340/R342),"",R340/R342)</f>
        <v/>
      </c>
      <c r="U340" s="646"/>
      <c r="V340" s="643" t="s">
        <v>272</v>
      </c>
      <c r="W340" s="643"/>
      <c r="X340" s="680">
        <f>SUM(P203,P260,P295,P311,P321,P336)</f>
        <v>0</v>
      </c>
      <c r="Y340" s="681"/>
      <c r="Z340" s="646" t="str">
        <f>IF(ISERROR(X340/X342),"",X340/X342)</f>
        <v/>
      </c>
      <c r="AA340" s="646"/>
    </row>
    <row r="341" spans="1:27" ht="20.100000000000001" customHeight="1">
      <c r="A341" s="310" t="s">
        <v>478</v>
      </c>
      <c r="B341" s="586">
        <f>I333+C339</f>
        <v>220</v>
      </c>
      <c r="C341" s="653" t="s">
        <v>251</v>
      </c>
      <c r="D341" s="654"/>
      <c r="E341" s="655">
        <f>K333+I339</f>
        <v>188.90681785534727</v>
      </c>
      <c r="F341" s="655"/>
      <c r="G341" s="643" t="s">
        <v>274</v>
      </c>
      <c r="H341" s="643"/>
      <c r="I341" s="652">
        <f>B341-E341</f>
        <v>31.093182144652729</v>
      </c>
      <c r="J341" s="652"/>
      <c r="K341" s="640" t="s">
        <v>275</v>
      </c>
      <c r="L341" s="640"/>
      <c r="M341" s="644">
        <f>IF(ISERROR(I341/E341),"",I341/E341)</f>
        <v>0.16459534122512134</v>
      </c>
      <c r="N341" s="644"/>
      <c r="O341" s="640"/>
      <c r="P341" s="643" t="s">
        <v>245</v>
      </c>
      <c r="Q341" s="643"/>
      <c r="R341" s="645"/>
      <c r="S341" s="645"/>
      <c r="T341" s="646" t="str">
        <f>IF(ISERROR(R341/R342),"",R341/R342)</f>
        <v/>
      </c>
      <c r="U341" s="646"/>
      <c r="V341" s="643" t="s">
        <v>264</v>
      </c>
      <c r="W341" s="643"/>
      <c r="X341" s="680">
        <f>SUM(P204,P261,P296,P312,P322,P337)</f>
        <v>0</v>
      </c>
      <c r="Y341" s="681"/>
      <c r="Z341" s="646" t="str">
        <f>IF(ISERROR(X341/X342),"",X341/X342)</f>
        <v/>
      </c>
      <c r="AA341" s="646"/>
    </row>
    <row r="342" spans="1:27" ht="20.100000000000001" customHeight="1">
      <c r="A342" s="310" t="s">
        <v>479</v>
      </c>
      <c r="B342" s="586">
        <f>N333</f>
        <v>0</v>
      </c>
      <c r="C342" s="653" t="s">
        <v>277</v>
      </c>
      <c r="D342" s="654"/>
      <c r="E342" s="646">
        <f>IF(ISERROR(B342/B341),"",B342/B341)</f>
        <v>0</v>
      </c>
      <c r="F342" s="646"/>
      <c r="G342" s="643" t="s">
        <v>278</v>
      </c>
      <c r="H342" s="643"/>
      <c r="I342" s="640">
        <f>V333</f>
        <v>0</v>
      </c>
      <c r="J342" s="640"/>
      <c r="K342" s="640" t="s">
        <v>279</v>
      </c>
      <c r="L342" s="640"/>
      <c r="M342" s="644">
        <f t="array" ref="M342">IF(ISERROR(I342/B340),"",I342/B340)</f>
        <v>0</v>
      </c>
      <c r="N342" s="644"/>
      <c r="O342" s="640"/>
      <c r="P342" s="643" t="s">
        <v>266</v>
      </c>
      <c r="Q342" s="643"/>
      <c r="R342" s="645">
        <f>SUM(R335:S341)</f>
        <v>0</v>
      </c>
      <c r="S342" s="645"/>
      <c r="T342" s="646"/>
      <c r="U342" s="646"/>
      <c r="V342" s="643" t="s">
        <v>266</v>
      </c>
      <c r="W342" s="643"/>
      <c r="X342" s="647">
        <f>SUM(X335:Y341)</f>
        <v>0</v>
      </c>
      <c r="Y342" s="647"/>
      <c r="Z342" s="646"/>
      <c r="AA342" s="646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56" t="s">
        <v>480</v>
      </c>
      <c r="B344" s="659" t="s">
        <v>280</v>
      </c>
      <c r="C344" s="659" t="s">
        <v>281</v>
      </c>
      <c r="D344" s="659" t="s">
        <v>282</v>
      </c>
      <c r="E344" s="662" t="s">
        <v>283</v>
      </c>
      <c r="F344" s="675" t="s">
        <v>284</v>
      </c>
      <c r="G344" s="640" t="s">
        <v>285</v>
      </c>
      <c r="H344" s="640"/>
      <c r="I344" s="659" t="s">
        <v>286</v>
      </c>
      <c r="J344" s="665" t="s">
        <v>271</v>
      </c>
      <c r="K344" s="668" t="s">
        <v>287</v>
      </c>
      <c r="L344" s="659" t="s">
        <v>270</v>
      </c>
      <c r="M344" s="671" t="s">
        <v>288</v>
      </c>
      <c r="N344" s="673" t="s">
        <v>252</v>
      </c>
      <c r="O344" s="640" t="s">
        <v>289</v>
      </c>
      <c r="P344" s="640"/>
      <c r="Q344" s="640"/>
      <c r="R344" s="640"/>
      <c r="S344" s="640"/>
      <c r="T344" s="640"/>
      <c r="U344" s="640"/>
      <c r="V344" s="640" t="s">
        <v>290</v>
      </c>
      <c r="W344" s="673" t="s">
        <v>291</v>
      </c>
      <c r="X344" s="640" t="s">
        <v>292</v>
      </c>
      <c r="Y344" s="640"/>
      <c r="Z344" s="640"/>
      <c r="AA344" s="640"/>
    </row>
    <row r="345" spans="1:27" ht="21.95" customHeight="1">
      <c r="A345" s="657"/>
      <c r="B345" s="660"/>
      <c r="C345" s="660"/>
      <c r="D345" s="660"/>
      <c r="E345" s="663"/>
      <c r="F345" s="676"/>
      <c r="G345" s="640"/>
      <c r="H345" s="640"/>
      <c r="I345" s="660"/>
      <c r="J345" s="666"/>
      <c r="K345" s="669"/>
      <c r="L345" s="660"/>
      <c r="M345" s="672"/>
      <c r="N345" s="673"/>
      <c r="O345" s="640" t="s">
        <v>259</v>
      </c>
      <c r="P345" s="640" t="s">
        <v>261</v>
      </c>
      <c r="Q345" s="640" t="s">
        <v>263</v>
      </c>
      <c r="R345" s="674" t="s">
        <v>265</v>
      </c>
      <c r="S345" s="643" t="s">
        <v>267</v>
      </c>
      <c r="T345" s="640" t="s">
        <v>272</v>
      </c>
      <c r="U345" s="640" t="s">
        <v>264</v>
      </c>
      <c r="V345" s="640"/>
      <c r="W345" s="673"/>
      <c r="X345" s="640" t="s">
        <v>293</v>
      </c>
      <c r="Y345" s="640" t="s">
        <v>294</v>
      </c>
      <c r="Z345" s="640" t="s">
        <v>295</v>
      </c>
      <c r="AA345" s="640" t="s">
        <v>264</v>
      </c>
    </row>
    <row r="346" spans="1:27" ht="21.95" customHeight="1">
      <c r="A346" s="658"/>
      <c r="B346" s="661"/>
      <c r="C346" s="661"/>
      <c r="D346" s="661"/>
      <c r="E346" s="664"/>
      <c r="F346" s="677"/>
      <c r="G346" s="348" t="s">
        <v>296</v>
      </c>
      <c r="H346" s="590" t="s">
        <v>297</v>
      </c>
      <c r="I346" s="661"/>
      <c r="J346" s="667"/>
      <c r="K346" s="670"/>
      <c r="L346" s="661"/>
      <c r="M346" s="672"/>
      <c r="N346" s="673"/>
      <c r="O346" s="640"/>
      <c r="P346" s="640"/>
      <c r="Q346" s="640"/>
      <c r="R346" s="674"/>
      <c r="S346" s="643"/>
      <c r="T346" s="640"/>
      <c r="U346" s="640"/>
      <c r="V346" s="640"/>
      <c r="W346" s="673"/>
      <c r="X346" s="640"/>
      <c r="Y346" s="640"/>
      <c r="Z346" s="640"/>
      <c r="AA346" s="640"/>
    </row>
    <row r="347" spans="1:27" ht="20.100000000000001" hidden="1" customHeight="1">
      <c r="A347" s="299">
        <v>30100030</v>
      </c>
      <c r="B347" s="583" t="s">
        <v>178</v>
      </c>
      <c r="C347" s="126" t="s">
        <v>179</v>
      </c>
      <c r="D347" s="108">
        <v>5.03</v>
      </c>
      <c r="E347" s="108"/>
      <c r="F347" s="127"/>
      <c r="G347" s="128"/>
      <c r="H347" s="584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592"/>
      <c r="P347" s="592"/>
      <c r="Q347" s="592"/>
      <c r="R347" s="592"/>
      <c r="S347" s="592"/>
      <c r="T347" s="592"/>
      <c r="U347" s="592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584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592"/>
      <c r="P348" s="592"/>
      <c r="Q348" s="592"/>
      <c r="R348" s="592"/>
      <c r="S348" s="592"/>
      <c r="T348" s="592"/>
      <c r="U348" s="592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584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592"/>
      <c r="P349" s="592"/>
      <c r="Q349" s="592"/>
      <c r="R349" s="592"/>
      <c r="S349" s="592"/>
      <c r="T349" s="592"/>
      <c r="U349" s="592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584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592"/>
      <c r="P350" s="592"/>
      <c r="Q350" s="592"/>
      <c r="R350" s="592"/>
      <c r="S350" s="592"/>
      <c r="T350" s="592"/>
      <c r="U350" s="592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584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592"/>
      <c r="P351" s="592"/>
      <c r="Q351" s="592"/>
      <c r="R351" s="592"/>
      <c r="S351" s="592"/>
      <c r="T351" s="592"/>
      <c r="U351" s="592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584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592"/>
      <c r="P352" s="592"/>
      <c r="Q352" s="592"/>
      <c r="R352" s="592"/>
      <c r="S352" s="592"/>
      <c r="T352" s="592"/>
      <c r="U352" s="592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584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592"/>
      <c r="P353" s="592"/>
      <c r="Q353" s="592"/>
      <c r="R353" s="592"/>
      <c r="S353" s="592"/>
      <c r="T353" s="592"/>
      <c r="U353" s="592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584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592"/>
      <c r="P354" s="592"/>
      <c r="Q354" s="592"/>
      <c r="R354" s="592"/>
      <c r="S354" s="592"/>
      <c r="T354" s="592"/>
      <c r="U354" s="592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584">
        <f t="shared" si="158"/>
        <v>0</v>
      </c>
      <c r="I355" s="584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592"/>
      <c r="P355" s="592"/>
      <c r="Q355" s="592"/>
      <c r="R355" s="592"/>
      <c r="S355" s="592"/>
      <c r="T355" s="592"/>
      <c r="U355" s="592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584">
        <f t="shared" si="158"/>
        <v>0</v>
      </c>
      <c r="I356" s="584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592"/>
      <c r="P356" s="592"/>
      <c r="Q356" s="592"/>
      <c r="R356" s="592"/>
      <c r="S356" s="592"/>
      <c r="T356" s="592"/>
      <c r="U356" s="592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584">
        <f t="shared" si="158"/>
        <v>0</v>
      </c>
      <c r="I357" s="584"/>
      <c r="J357" s="130"/>
      <c r="K357" s="131"/>
      <c r="L357" s="129"/>
      <c r="M357" s="109"/>
      <c r="N357" s="130"/>
      <c r="O357" s="592"/>
      <c r="P357" s="592"/>
      <c r="Q357" s="592"/>
      <c r="R357" s="592"/>
      <c r="S357" s="592"/>
      <c r="T357" s="592"/>
      <c r="U357" s="592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584">
        <f t="shared" si="158"/>
        <v>0</v>
      </c>
      <c r="I358" s="584"/>
      <c r="J358" s="130"/>
      <c r="K358" s="131"/>
      <c r="L358" s="129"/>
      <c r="M358" s="109"/>
      <c r="N358" s="130"/>
      <c r="O358" s="592"/>
      <c r="P358" s="592"/>
      <c r="Q358" s="592"/>
      <c r="R358" s="592"/>
      <c r="S358" s="592"/>
      <c r="T358" s="592"/>
      <c r="U358" s="592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584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592"/>
      <c r="P359" s="592"/>
      <c r="Q359" s="592"/>
      <c r="R359" s="592"/>
      <c r="S359" s="592"/>
      <c r="T359" s="592"/>
      <c r="U359" s="592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584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592"/>
      <c r="P360" s="592"/>
      <c r="Q360" s="592"/>
      <c r="R360" s="592"/>
      <c r="S360" s="592"/>
      <c r="T360" s="592"/>
      <c r="U360" s="592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584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592"/>
      <c r="P361" s="592"/>
      <c r="Q361" s="592"/>
      <c r="R361" s="592"/>
      <c r="S361" s="592"/>
      <c r="T361" s="592"/>
      <c r="U361" s="592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590" t="s">
        <v>190</v>
      </c>
      <c r="D362" s="108">
        <v>4.8</v>
      </c>
      <c r="E362" s="108"/>
      <c r="F362" s="127"/>
      <c r="G362" s="128"/>
      <c r="H362" s="584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592"/>
      <c r="P362" s="592"/>
      <c r="Q362" s="592"/>
      <c r="R362" s="592"/>
      <c r="S362" s="592"/>
      <c r="T362" s="592"/>
      <c r="U362" s="592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590" t="s">
        <v>187</v>
      </c>
      <c r="D363" s="108">
        <v>4.8</v>
      </c>
      <c r="E363" s="108"/>
      <c r="F363" s="127"/>
      <c r="G363" s="128"/>
      <c r="H363" s="584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592"/>
      <c r="P363" s="592"/>
      <c r="Q363" s="592"/>
      <c r="R363" s="592"/>
      <c r="S363" s="592"/>
      <c r="T363" s="592"/>
      <c r="U363" s="592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590" t="s">
        <v>179</v>
      </c>
      <c r="D364" s="108">
        <v>4.8</v>
      </c>
      <c r="E364" s="108"/>
      <c r="F364" s="127"/>
      <c r="G364" s="128"/>
      <c r="H364" s="584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592"/>
      <c r="P364" s="592"/>
      <c r="Q364" s="592"/>
      <c r="R364" s="592"/>
      <c r="S364" s="592"/>
      <c r="T364" s="592"/>
      <c r="U364" s="592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590" t="s">
        <v>199</v>
      </c>
      <c r="D365" s="108">
        <v>4.8</v>
      </c>
      <c r="E365" s="108"/>
      <c r="F365" s="127"/>
      <c r="G365" s="128"/>
      <c r="H365" s="584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592"/>
      <c r="P365" s="592"/>
      <c r="Q365" s="592"/>
      <c r="R365" s="592"/>
      <c r="S365" s="592"/>
      <c r="T365" s="592"/>
      <c r="U365" s="592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584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592"/>
      <c r="P366" s="592"/>
      <c r="Q366" s="592"/>
      <c r="R366" s="592"/>
      <c r="S366" s="592"/>
      <c r="T366" s="592"/>
      <c r="U366" s="592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584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592"/>
      <c r="P367" s="592"/>
      <c r="Q367" s="592"/>
      <c r="R367" s="592"/>
      <c r="S367" s="592"/>
      <c r="T367" s="592"/>
      <c r="U367" s="592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630" t="s">
        <v>201</v>
      </c>
      <c r="B368" s="631"/>
      <c r="C368" s="593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583" t="s">
        <v>206</v>
      </c>
      <c r="C369" s="126" t="s">
        <v>199</v>
      </c>
      <c r="D369" s="108">
        <v>5.03</v>
      </c>
      <c r="E369" s="108"/>
      <c r="F369" s="127"/>
      <c r="G369" s="128"/>
      <c r="H369" s="584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588"/>
      <c r="P369" s="588"/>
      <c r="Q369" s="588"/>
      <c r="R369" s="588"/>
      <c r="S369" s="588"/>
      <c r="T369" s="588"/>
      <c r="U369" s="588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583" t="s">
        <v>425</v>
      </c>
      <c r="C370" s="187" t="s">
        <v>427</v>
      </c>
      <c r="D370" s="108">
        <v>5.03</v>
      </c>
      <c r="E370" s="108"/>
      <c r="F370" s="127"/>
      <c r="G370" s="128"/>
      <c r="H370" s="584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588"/>
      <c r="P370" s="588"/>
      <c r="Q370" s="588"/>
      <c r="R370" s="588"/>
      <c r="S370" s="588"/>
      <c r="T370" s="588"/>
      <c r="U370" s="588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583" t="s">
        <v>206</v>
      </c>
      <c r="C371" s="126" t="s">
        <v>186</v>
      </c>
      <c r="D371" s="108">
        <v>5.03</v>
      </c>
      <c r="E371" s="108"/>
      <c r="F371" s="127"/>
      <c r="G371" s="128"/>
      <c r="H371" s="584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588"/>
      <c r="P371" s="588"/>
      <c r="Q371" s="588"/>
      <c r="R371" s="588"/>
      <c r="S371" s="588"/>
      <c r="T371" s="588"/>
      <c r="U371" s="588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583" t="s">
        <v>206</v>
      </c>
      <c r="C372" s="126" t="s">
        <v>203</v>
      </c>
      <c r="D372" s="108">
        <v>5.03</v>
      </c>
      <c r="E372" s="108"/>
      <c r="F372" s="127"/>
      <c r="G372" s="128"/>
      <c r="H372" s="584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588"/>
      <c r="P372" s="588"/>
      <c r="Q372" s="588"/>
      <c r="R372" s="588"/>
      <c r="S372" s="588"/>
      <c r="T372" s="588"/>
      <c r="U372" s="588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583" t="s">
        <v>206</v>
      </c>
      <c r="C373" s="126" t="s">
        <v>207</v>
      </c>
      <c r="D373" s="108">
        <v>5.03</v>
      </c>
      <c r="E373" s="108"/>
      <c r="F373" s="127"/>
      <c r="G373" s="128"/>
      <c r="H373" s="584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588"/>
      <c r="P373" s="588"/>
      <c r="Q373" s="588"/>
      <c r="R373" s="588"/>
      <c r="S373" s="588"/>
      <c r="T373" s="588"/>
      <c r="U373" s="588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583" t="s">
        <v>414</v>
      </c>
      <c r="C374" s="187" t="s">
        <v>415</v>
      </c>
      <c r="D374" s="108"/>
      <c r="E374" s="108"/>
      <c r="F374" s="127"/>
      <c r="G374" s="128"/>
      <c r="H374" s="584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588"/>
      <c r="P374" s="588"/>
      <c r="Q374" s="588"/>
      <c r="R374" s="588"/>
      <c r="S374" s="588"/>
      <c r="T374" s="588"/>
      <c r="U374" s="588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583" t="s">
        <v>414</v>
      </c>
      <c r="C375" s="187" t="s">
        <v>416</v>
      </c>
      <c r="D375" s="108"/>
      <c r="E375" s="108"/>
      <c r="F375" s="127"/>
      <c r="G375" s="128"/>
      <c r="H375" s="584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588"/>
      <c r="P375" s="588"/>
      <c r="Q375" s="588"/>
      <c r="R375" s="588"/>
      <c r="S375" s="588"/>
      <c r="T375" s="588"/>
      <c r="U375" s="588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583" t="s">
        <v>414</v>
      </c>
      <c r="C376" s="187" t="s">
        <v>61</v>
      </c>
      <c r="D376" s="108"/>
      <c r="E376" s="108"/>
      <c r="F376" s="127"/>
      <c r="G376" s="128"/>
      <c r="H376" s="584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588"/>
      <c r="P376" s="588"/>
      <c r="Q376" s="588"/>
      <c r="R376" s="588"/>
      <c r="S376" s="588"/>
      <c r="T376" s="588"/>
      <c r="U376" s="588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583" t="s">
        <v>208</v>
      </c>
      <c r="C377" s="126" t="s">
        <v>179</v>
      </c>
      <c r="D377" s="108">
        <v>5.08</v>
      </c>
      <c r="E377" s="108"/>
      <c r="F377" s="127"/>
      <c r="G377" s="128"/>
      <c r="H377" s="584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588"/>
      <c r="P377" s="588"/>
      <c r="Q377" s="588"/>
      <c r="R377" s="588"/>
      <c r="S377" s="588"/>
      <c r="T377" s="588"/>
      <c r="U377" s="588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583" t="s">
        <v>208</v>
      </c>
      <c r="C378" s="126" t="s">
        <v>204</v>
      </c>
      <c r="D378" s="108">
        <v>5.08</v>
      </c>
      <c r="E378" s="108"/>
      <c r="F378" s="127"/>
      <c r="G378" s="128"/>
      <c r="H378" s="584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588"/>
      <c r="P378" s="588"/>
      <c r="Q378" s="588"/>
      <c r="R378" s="588"/>
      <c r="S378" s="588"/>
      <c r="T378" s="588"/>
      <c r="U378" s="588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583" t="s">
        <v>208</v>
      </c>
      <c r="C379" s="126" t="s">
        <v>205</v>
      </c>
      <c r="D379" s="108">
        <v>5.08</v>
      </c>
      <c r="E379" s="108"/>
      <c r="F379" s="127"/>
      <c r="G379" s="128"/>
      <c r="H379" s="584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588"/>
      <c r="P379" s="588"/>
      <c r="Q379" s="588"/>
      <c r="R379" s="588"/>
      <c r="S379" s="588"/>
      <c r="T379" s="588"/>
      <c r="U379" s="588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583" t="s">
        <v>208</v>
      </c>
      <c r="C380" s="126" t="s">
        <v>186</v>
      </c>
      <c r="D380" s="108">
        <v>5.08</v>
      </c>
      <c r="E380" s="108"/>
      <c r="F380" s="127"/>
      <c r="G380" s="128"/>
      <c r="H380" s="584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588"/>
      <c r="P380" s="588"/>
      <c r="Q380" s="588"/>
      <c r="R380" s="588"/>
      <c r="S380" s="588"/>
      <c r="T380" s="588"/>
      <c r="U380" s="588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583" t="s">
        <v>208</v>
      </c>
      <c r="C381" s="126" t="s">
        <v>203</v>
      </c>
      <c r="D381" s="108">
        <v>5.08</v>
      </c>
      <c r="E381" s="108"/>
      <c r="F381" s="127"/>
      <c r="G381" s="128"/>
      <c r="H381" s="584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588"/>
      <c r="P381" s="588"/>
      <c r="Q381" s="588"/>
      <c r="R381" s="588"/>
      <c r="S381" s="588"/>
      <c r="T381" s="588"/>
      <c r="U381" s="588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583" t="s">
        <v>208</v>
      </c>
      <c r="C382" s="126" t="s">
        <v>199</v>
      </c>
      <c r="D382" s="108">
        <v>5.08</v>
      </c>
      <c r="E382" s="108"/>
      <c r="F382" s="127"/>
      <c r="G382" s="128"/>
      <c r="H382" s="584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592"/>
      <c r="P382" s="592"/>
      <c r="Q382" s="592"/>
      <c r="R382" s="592"/>
      <c r="S382" s="592"/>
      <c r="T382" s="592"/>
      <c r="U382" s="592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583" t="s">
        <v>208</v>
      </c>
      <c r="C383" s="126" t="s">
        <v>187</v>
      </c>
      <c r="D383" s="108">
        <v>5.08</v>
      </c>
      <c r="E383" s="108"/>
      <c r="F383" s="127"/>
      <c r="G383" s="128"/>
      <c r="H383" s="584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588"/>
      <c r="P383" s="588"/>
      <c r="Q383" s="588"/>
      <c r="R383" s="588"/>
      <c r="S383" s="588"/>
      <c r="T383" s="588"/>
      <c r="U383" s="588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583" t="s">
        <v>208</v>
      </c>
      <c r="C384" s="126" t="s">
        <v>207</v>
      </c>
      <c r="D384" s="108">
        <v>5.08</v>
      </c>
      <c r="E384" s="108"/>
      <c r="F384" s="127"/>
      <c r="G384" s="128"/>
      <c r="H384" s="584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592"/>
      <c r="P384" s="592"/>
      <c r="Q384" s="592"/>
      <c r="R384" s="592"/>
      <c r="S384" s="592"/>
      <c r="T384" s="592"/>
      <c r="U384" s="592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583" t="s">
        <v>209</v>
      </c>
      <c r="C385" s="126" t="s">
        <v>194</v>
      </c>
      <c r="D385" s="108">
        <v>5.03</v>
      </c>
      <c r="E385" s="108"/>
      <c r="F385" s="127"/>
      <c r="G385" s="128"/>
      <c r="H385" s="584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588"/>
      <c r="P385" s="588"/>
      <c r="Q385" s="588"/>
      <c r="R385" s="588"/>
      <c r="S385" s="588"/>
      <c r="T385" s="588"/>
      <c r="U385" s="588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583" t="s">
        <v>209</v>
      </c>
      <c r="C386" s="126" t="s">
        <v>179</v>
      </c>
      <c r="D386" s="108">
        <v>5.03</v>
      </c>
      <c r="E386" s="108"/>
      <c r="F386" s="127"/>
      <c r="G386" s="128"/>
      <c r="H386" s="584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588"/>
      <c r="P386" s="588"/>
      <c r="Q386" s="588"/>
      <c r="R386" s="588"/>
      <c r="S386" s="588"/>
      <c r="T386" s="588"/>
      <c r="U386" s="588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583" t="s">
        <v>209</v>
      </c>
      <c r="C387" s="126" t="s">
        <v>195</v>
      </c>
      <c r="D387" s="108">
        <v>5.03</v>
      </c>
      <c r="E387" s="108"/>
      <c r="F387" s="127"/>
      <c r="G387" s="128"/>
      <c r="H387" s="584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588"/>
      <c r="P387" s="588"/>
      <c r="Q387" s="588"/>
      <c r="R387" s="588"/>
      <c r="S387" s="588"/>
      <c r="T387" s="588"/>
      <c r="U387" s="588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583" t="s">
        <v>209</v>
      </c>
      <c r="C388" s="126" t="s">
        <v>204</v>
      </c>
      <c r="D388" s="108">
        <v>5.03</v>
      </c>
      <c r="E388" s="108"/>
      <c r="F388" s="127"/>
      <c r="G388" s="128"/>
      <c r="H388" s="584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588"/>
      <c r="P388" s="588"/>
      <c r="Q388" s="588"/>
      <c r="R388" s="588"/>
      <c r="S388" s="588"/>
      <c r="T388" s="588"/>
      <c r="U388" s="588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583" t="s">
        <v>382</v>
      </c>
      <c r="C389" s="187" t="s">
        <v>383</v>
      </c>
      <c r="D389" s="108">
        <v>5.03</v>
      </c>
      <c r="E389" s="108"/>
      <c r="F389" s="127"/>
      <c r="G389" s="128"/>
      <c r="H389" s="584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588"/>
      <c r="P389" s="588"/>
      <c r="Q389" s="588"/>
      <c r="R389" s="588"/>
      <c r="S389" s="588"/>
      <c r="T389" s="588"/>
      <c r="U389" s="588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583" t="s">
        <v>382</v>
      </c>
      <c r="C390" s="187" t="s">
        <v>384</v>
      </c>
      <c r="D390" s="108">
        <v>5.03</v>
      </c>
      <c r="E390" s="108"/>
      <c r="F390" s="127"/>
      <c r="G390" s="128"/>
      <c r="H390" s="584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588"/>
      <c r="P390" s="588"/>
      <c r="Q390" s="588"/>
      <c r="R390" s="588"/>
      <c r="S390" s="588"/>
      <c r="T390" s="588"/>
      <c r="U390" s="588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583" t="s">
        <v>382</v>
      </c>
      <c r="C391" s="187" t="s">
        <v>389</v>
      </c>
      <c r="D391" s="108">
        <v>5.03</v>
      </c>
      <c r="E391" s="108"/>
      <c r="F391" s="127"/>
      <c r="G391" s="128"/>
      <c r="H391" s="584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588"/>
      <c r="P391" s="588"/>
      <c r="Q391" s="588"/>
      <c r="R391" s="588"/>
      <c r="S391" s="588"/>
      <c r="T391" s="588"/>
      <c r="U391" s="588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583" t="s">
        <v>382</v>
      </c>
      <c r="C392" s="187" t="s">
        <v>391</v>
      </c>
      <c r="D392" s="108">
        <v>5.03</v>
      </c>
      <c r="E392" s="108"/>
      <c r="F392" s="127"/>
      <c r="G392" s="128"/>
      <c r="H392" s="584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588"/>
      <c r="P392" s="588"/>
      <c r="Q392" s="588"/>
      <c r="R392" s="588"/>
      <c r="S392" s="588"/>
      <c r="T392" s="588"/>
      <c r="U392" s="588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583" t="s">
        <v>418</v>
      </c>
      <c r="C393" s="187" t="s">
        <v>364</v>
      </c>
      <c r="D393" s="108">
        <v>5.03</v>
      </c>
      <c r="E393" s="108"/>
      <c r="F393" s="127"/>
      <c r="G393" s="128"/>
      <c r="H393" s="584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588"/>
      <c r="P393" s="588"/>
      <c r="Q393" s="588"/>
      <c r="R393" s="588"/>
      <c r="S393" s="588"/>
      <c r="T393" s="588"/>
      <c r="U393" s="588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583" t="s">
        <v>418</v>
      </c>
      <c r="C394" s="187" t="s">
        <v>365</v>
      </c>
      <c r="D394" s="108">
        <v>5.03</v>
      </c>
      <c r="E394" s="108"/>
      <c r="F394" s="127"/>
      <c r="G394" s="128"/>
      <c r="H394" s="584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588"/>
      <c r="P394" s="588"/>
      <c r="Q394" s="588"/>
      <c r="R394" s="588"/>
      <c r="S394" s="588"/>
      <c r="T394" s="588"/>
      <c r="U394" s="588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583" t="s">
        <v>418</v>
      </c>
      <c r="C395" s="187" t="s">
        <v>366</v>
      </c>
      <c r="D395" s="108">
        <v>5.03</v>
      </c>
      <c r="E395" s="108"/>
      <c r="F395" s="127"/>
      <c r="G395" s="128"/>
      <c r="H395" s="584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588"/>
      <c r="P395" s="588"/>
      <c r="Q395" s="588"/>
      <c r="R395" s="588"/>
      <c r="S395" s="588"/>
      <c r="T395" s="588"/>
      <c r="U395" s="588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583" t="s">
        <v>418</v>
      </c>
      <c r="C396" s="187" t="s">
        <v>367</v>
      </c>
      <c r="D396" s="108">
        <v>5.03</v>
      </c>
      <c r="E396" s="108"/>
      <c r="F396" s="127"/>
      <c r="G396" s="128"/>
      <c r="H396" s="584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588"/>
      <c r="P396" s="588"/>
      <c r="Q396" s="588"/>
      <c r="R396" s="588"/>
      <c r="S396" s="588"/>
      <c r="T396" s="588"/>
      <c r="U396" s="588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584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592"/>
      <c r="P397" s="592"/>
      <c r="Q397" s="592"/>
      <c r="R397" s="592"/>
      <c r="S397" s="592"/>
      <c r="T397" s="592"/>
      <c r="U397" s="592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584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592"/>
      <c r="P398" s="592"/>
      <c r="Q398" s="592"/>
      <c r="R398" s="592"/>
      <c r="S398" s="592"/>
      <c r="T398" s="592"/>
      <c r="U398" s="592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584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592"/>
      <c r="P399" s="592"/>
      <c r="Q399" s="592"/>
      <c r="R399" s="592"/>
      <c r="S399" s="592"/>
      <c r="T399" s="592"/>
      <c r="U399" s="592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584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592"/>
      <c r="P400" s="592"/>
      <c r="Q400" s="592"/>
      <c r="R400" s="592"/>
      <c r="S400" s="592"/>
      <c r="T400" s="592"/>
      <c r="U400" s="592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584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592"/>
      <c r="P401" s="592"/>
      <c r="Q401" s="592"/>
      <c r="R401" s="592"/>
      <c r="S401" s="592"/>
      <c r="T401" s="592"/>
      <c r="U401" s="592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584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592"/>
      <c r="P402" s="592"/>
      <c r="Q402" s="592"/>
      <c r="R402" s="592"/>
      <c r="S402" s="592"/>
      <c r="T402" s="592"/>
      <c r="U402" s="592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584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592"/>
      <c r="P403" s="592"/>
      <c r="Q403" s="592"/>
      <c r="R403" s="592"/>
      <c r="S403" s="592"/>
      <c r="T403" s="592"/>
      <c r="U403" s="592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584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592"/>
      <c r="P404" s="592"/>
      <c r="Q404" s="592"/>
      <c r="R404" s="592"/>
      <c r="S404" s="592"/>
      <c r="T404" s="592"/>
      <c r="U404" s="592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584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592"/>
      <c r="P405" s="592"/>
      <c r="Q405" s="592"/>
      <c r="R405" s="592"/>
      <c r="S405" s="592"/>
      <c r="T405" s="592"/>
      <c r="U405" s="592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584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592"/>
      <c r="P406" s="592"/>
      <c r="Q406" s="592"/>
      <c r="R406" s="592"/>
      <c r="S406" s="592"/>
      <c r="T406" s="592"/>
      <c r="U406" s="592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584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592"/>
      <c r="P407" s="592"/>
      <c r="Q407" s="592"/>
      <c r="R407" s="592"/>
      <c r="S407" s="592"/>
      <c r="T407" s="592"/>
      <c r="U407" s="592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584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592"/>
      <c r="P408" s="592"/>
      <c r="Q408" s="592"/>
      <c r="R408" s="592"/>
      <c r="S408" s="592"/>
      <c r="T408" s="592"/>
      <c r="U408" s="592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584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592"/>
      <c r="P409" s="592"/>
      <c r="Q409" s="592"/>
      <c r="R409" s="592"/>
      <c r="S409" s="592"/>
      <c r="T409" s="592"/>
      <c r="U409" s="592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584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592"/>
      <c r="P410" s="592"/>
      <c r="Q410" s="592"/>
      <c r="R410" s="592"/>
      <c r="S410" s="592"/>
      <c r="T410" s="592"/>
      <c r="U410" s="592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584">
        <f t="shared" si="171"/>
        <v>0</v>
      </c>
      <c r="I411" s="129"/>
      <c r="J411" s="130"/>
      <c r="K411" s="131"/>
      <c r="L411" s="129"/>
      <c r="M411" s="109"/>
      <c r="N411" s="130"/>
      <c r="O411" s="592"/>
      <c r="P411" s="592"/>
      <c r="Q411" s="592"/>
      <c r="R411" s="592"/>
      <c r="S411" s="592"/>
      <c r="T411" s="592"/>
      <c r="U411" s="592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584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592"/>
      <c r="P412" s="592"/>
      <c r="Q412" s="592"/>
      <c r="R412" s="592"/>
      <c r="S412" s="592"/>
      <c r="T412" s="592"/>
      <c r="U412" s="592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584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592"/>
      <c r="P413" s="592"/>
      <c r="Q413" s="592"/>
      <c r="R413" s="592"/>
      <c r="S413" s="592"/>
      <c r="T413" s="592"/>
      <c r="U413" s="592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584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592"/>
      <c r="P414" s="592"/>
      <c r="Q414" s="592"/>
      <c r="R414" s="592"/>
      <c r="S414" s="592"/>
      <c r="T414" s="592"/>
      <c r="U414" s="592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584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592"/>
      <c r="P415" s="592"/>
      <c r="Q415" s="592"/>
      <c r="R415" s="592"/>
      <c r="S415" s="592"/>
      <c r="T415" s="592"/>
      <c r="U415" s="592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584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592"/>
      <c r="P416" s="592"/>
      <c r="Q416" s="592"/>
      <c r="R416" s="592"/>
      <c r="S416" s="592"/>
      <c r="T416" s="592"/>
      <c r="U416" s="592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584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592"/>
      <c r="P417" s="592"/>
      <c r="Q417" s="592"/>
      <c r="R417" s="592"/>
      <c r="S417" s="592"/>
      <c r="T417" s="592"/>
      <c r="U417" s="592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584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592"/>
      <c r="P418" s="592"/>
      <c r="Q418" s="592"/>
      <c r="R418" s="592"/>
      <c r="S418" s="592"/>
      <c r="T418" s="592"/>
      <c r="U418" s="592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584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592"/>
      <c r="P419" s="592"/>
      <c r="Q419" s="592"/>
      <c r="R419" s="592"/>
      <c r="S419" s="592"/>
      <c r="T419" s="592"/>
      <c r="U419" s="592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584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592"/>
      <c r="P420" s="592"/>
      <c r="Q420" s="592"/>
      <c r="R420" s="592"/>
      <c r="S420" s="592"/>
      <c r="T420" s="592"/>
      <c r="U420" s="592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584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592"/>
      <c r="P421" s="592"/>
      <c r="Q421" s="592"/>
      <c r="R421" s="592"/>
      <c r="S421" s="592"/>
      <c r="T421" s="592"/>
      <c r="U421" s="592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584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592"/>
      <c r="P422" s="592"/>
      <c r="Q422" s="592"/>
      <c r="R422" s="592"/>
      <c r="S422" s="592"/>
      <c r="T422" s="592"/>
      <c r="U422" s="592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584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592"/>
      <c r="P423" s="592"/>
      <c r="Q423" s="592"/>
      <c r="R423" s="592"/>
      <c r="S423" s="592"/>
      <c r="T423" s="592"/>
      <c r="U423" s="592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584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592"/>
      <c r="P424" s="592"/>
      <c r="Q424" s="592"/>
      <c r="R424" s="592"/>
      <c r="S424" s="592"/>
      <c r="T424" s="592"/>
      <c r="U424" s="592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584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592"/>
      <c r="P425" s="592"/>
      <c r="Q425" s="592"/>
      <c r="R425" s="592"/>
      <c r="S425" s="592"/>
      <c r="T425" s="592"/>
      <c r="U425" s="592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707" t="s">
        <v>553</v>
      </c>
      <c r="B426" s="641"/>
      <c r="C426" s="593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583" t="s">
        <v>217</v>
      </c>
      <c r="C427" s="126" t="s">
        <v>179</v>
      </c>
      <c r="D427" s="108">
        <v>5.03</v>
      </c>
      <c r="E427" s="108"/>
      <c r="F427" s="127"/>
      <c r="G427" s="128"/>
      <c r="H427" s="584">
        <f t="shared" ref="H427:H460" si="196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7">IF(ISERROR(I427-K427),"",I427-K427)</f>
        <v>0</v>
      </c>
      <c r="N427" s="130">
        <f t="shared" ref="N427:N434" si="198">SUM(O427:U427)</f>
        <v>0</v>
      </c>
      <c r="O427" s="592"/>
      <c r="P427" s="592"/>
      <c r="Q427" s="592"/>
      <c r="R427" s="592"/>
      <c r="S427" s="592"/>
      <c r="T427" s="592"/>
      <c r="U427" s="592"/>
      <c r="V427" s="132">
        <f t="shared" ref="V427:V433" si="199">SUM(X427:AA427)</f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customHeight="1">
      <c r="A428" s="299">
        <v>30400010</v>
      </c>
      <c r="B428" s="583" t="s">
        <v>217</v>
      </c>
      <c r="C428" s="126" t="s">
        <v>186</v>
      </c>
      <c r="D428" s="108">
        <v>5.03</v>
      </c>
      <c r="E428" s="108"/>
      <c r="F428" s="127">
        <v>42725</v>
      </c>
      <c r="G428" s="128">
        <f>72*4+44+28+78</f>
        <v>438</v>
      </c>
      <c r="H428" s="584">
        <f t="shared" si="196"/>
        <v>2203.1400000000003</v>
      </c>
      <c r="I428" s="129">
        <f>10+9.5+10.5+10.5</f>
        <v>40.5</v>
      </c>
      <c r="J428" s="130">
        <f t="array" ref="J428">IF(ISERROR(G428/I428),"",G428/I428)</f>
        <v>10.814814814814815</v>
      </c>
      <c r="K428" s="131">
        <f t="array" ref="K428">IF(ISERROR(G428/L428),"",G428/L428)</f>
        <v>49.772727272727266</v>
      </c>
      <c r="L428" s="129">
        <v>8.8000000000000007</v>
      </c>
      <c r="M428" s="109">
        <f t="shared" si="197"/>
        <v>-9.2727272727272663</v>
      </c>
      <c r="N428" s="130">
        <f t="shared" si="198"/>
        <v>0</v>
      </c>
      <c r="O428" s="592"/>
      <c r="P428" s="592"/>
      <c r="Q428" s="592"/>
      <c r="R428" s="592"/>
      <c r="S428" s="592"/>
      <c r="T428" s="592"/>
      <c r="U428" s="592"/>
      <c r="V428" s="132">
        <f t="shared" si="199"/>
        <v>0</v>
      </c>
      <c r="W428" s="133">
        <f t="shared" si="195"/>
        <v>0</v>
      </c>
      <c r="X428" s="132"/>
      <c r="Y428" s="132"/>
      <c r="Z428" s="132"/>
      <c r="AA428" s="132"/>
    </row>
    <row r="429" spans="1:27" ht="20.100000000000001" customHeight="1">
      <c r="A429" s="299">
        <v>30400011</v>
      </c>
      <c r="B429" s="583" t="s">
        <v>217</v>
      </c>
      <c r="C429" s="126" t="s">
        <v>204</v>
      </c>
      <c r="D429" s="108">
        <v>5.03</v>
      </c>
      <c r="E429" s="108"/>
      <c r="F429" s="127">
        <v>42725</v>
      </c>
      <c r="G429" s="128">
        <f>72*2+68+72+7+25</f>
        <v>316</v>
      </c>
      <c r="H429" s="584">
        <f t="shared" si="196"/>
        <v>1589.48</v>
      </c>
      <c r="I429" s="129">
        <f>8.5+9+8.5+9</f>
        <v>35</v>
      </c>
      <c r="J429" s="130">
        <f t="array" ref="J429">IF(ISERROR(G429/I429),"",G429/I429)</f>
        <v>9.0285714285714285</v>
      </c>
      <c r="K429" s="131">
        <f t="array" ref="K429">IF(ISERROR(G429/L429),"",G429/L429)</f>
        <v>35.909090909090907</v>
      </c>
      <c r="L429" s="129">
        <v>8.8000000000000007</v>
      </c>
      <c r="M429" s="109">
        <f t="shared" si="197"/>
        <v>-0.90909090909090651</v>
      </c>
      <c r="N429" s="130">
        <f t="shared" si="198"/>
        <v>0</v>
      </c>
      <c r="O429" s="592"/>
      <c r="P429" s="592"/>
      <c r="Q429" s="592"/>
      <c r="R429" s="592"/>
      <c r="S429" s="592"/>
      <c r="T429" s="592"/>
      <c r="U429" s="592"/>
      <c r="V429" s="132">
        <f t="shared" si="199"/>
        <v>0</v>
      </c>
      <c r="W429" s="133">
        <f t="shared" si="195"/>
        <v>0</v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584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592"/>
      <c r="P430" s="592"/>
      <c r="Q430" s="592"/>
      <c r="R430" s="592"/>
      <c r="S430" s="592"/>
      <c r="T430" s="592"/>
      <c r="U430" s="592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584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7"/>
        <v>0</v>
      </c>
      <c r="N431" s="130">
        <f t="shared" si="198"/>
        <v>0</v>
      </c>
      <c r="O431" s="592"/>
      <c r="P431" s="592"/>
      <c r="Q431" s="592"/>
      <c r="R431" s="592"/>
      <c r="S431" s="592"/>
      <c r="T431" s="592"/>
      <c r="U431" s="592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584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7"/>
        <v>0</v>
      </c>
      <c r="N432" s="130">
        <f t="shared" si="198"/>
        <v>0</v>
      </c>
      <c r="O432" s="592"/>
      <c r="P432" s="592"/>
      <c r="Q432" s="592"/>
      <c r="R432" s="592"/>
      <c r="S432" s="592"/>
      <c r="T432" s="592"/>
      <c r="U432" s="592"/>
      <c r="V432" s="132">
        <f t="shared" si="199"/>
        <v>0</v>
      </c>
      <c r="W432" s="133" t="str">
        <f t="shared" si="195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584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592"/>
      <c r="P433" s="592"/>
      <c r="Q433" s="592"/>
      <c r="R433" s="592"/>
      <c r="S433" s="592"/>
      <c r="T433" s="592"/>
      <c r="U433" s="592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584">
        <f t="shared" si="196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592"/>
      <c r="P434" s="592"/>
      <c r="Q434" s="592"/>
      <c r="R434" s="592"/>
      <c r="S434" s="592"/>
      <c r="T434" s="592"/>
      <c r="U434" s="592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584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592"/>
      <c r="P435" s="592"/>
      <c r="Q435" s="592"/>
      <c r="R435" s="592"/>
      <c r="S435" s="592"/>
      <c r="T435" s="592"/>
      <c r="U435" s="592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584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592"/>
      <c r="P436" s="592"/>
      <c r="Q436" s="592"/>
      <c r="R436" s="592"/>
      <c r="S436" s="592"/>
      <c r="T436" s="592"/>
      <c r="U436" s="592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584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592"/>
      <c r="P437" s="592"/>
      <c r="Q437" s="592"/>
      <c r="R437" s="592"/>
      <c r="S437" s="592"/>
      <c r="T437" s="592"/>
      <c r="U437" s="592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584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592"/>
      <c r="P438" s="592"/>
      <c r="Q438" s="592"/>
      <c r="R438" s="592"/>
      <c r="S438" s="592"/>
      <c r="T438" s="592"/>
      <c r="U438" s="592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584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592"/>
      <c r="P439" s="592"/>
      <c r="Q439" s="592"/>
      <c r="R439" s="592"/>
      <c r="S439" s="592"/>
      <c r="T439" s="592"/>
      <c r="U439" s="592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584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592"/>
      <c r="P440" s="592"/>
      <c r="Q440" s="592"/>
      <c r="R440" s="592"/>
      <c r="S440" s="592"/>
      <c r="T440" s="592"/>
      <c r="U440" s="592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584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592"/>
      <c r="P441" s="592"/>
      <c r="Q441" s="592"/>
      <c r="R441" s="592"/>
      <c r="S441" s="592"/>
      <c r="T441" s="592"/>
      <c r="U441" s="592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584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592"/>
      <c r="P442" s="592"/>
      <c r="Q442" s="592"/>
      <c r="R442" s="592"/>
      <c r="S442" s="592"/>
      <c r="T442" s="592"/>
      <c r="U442" s="592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583" t="s">
        <v>222</v>
      </c>
      <c r="C443" s="126" t="s">
        <v>181</v>
      </c>
      <c r="D443" s="108">
        <v>9.36</v>
      </c>
      <c r="E443" s="108"/>
      <c r="F443" s="127"/>
      <c r="G443" s="128"/>
      <c r="H443" s="584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592"/>
      <c r="P443" s="592"/>
      <c r="Q443" s="592"/>
      <c r="R443" s="592"/>
      <c r="S443" s="592"/>
      <c r="T443" s="592"/>
      <c r="U443" s="592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583" t="s">
        <v>222</v>
      </c>
      <c r="C444" s="126" t="s">
        <v>179</v>
      </c>
      <c r="D444" s="108">
        <v>9.36</v>
      </c>
      <c r="E444" s="108"/>
      <c r="F444" s="127"/>
      <c r="G444" s="128"/>
      <c r="H444" s="584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592"/>
      <c r="P444" s="592"/>
      <c r="Q444" s="592"/>
      <c r="R444" s="592"/>
      <c r="S444" s="592"/>
      <c r="T444" s="592"/>
      <c r="U444" s="592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583" t="s">
        <v>222</v>
      </c>
      <c r="C445" s="126" t="s">
        <v>221</v>
      </c>
      <c r="D445" s="108">
        <v>9.36</v>
      </c>
      <c r="E445" s="108"/>
      <c r="F445" s="127"/>
      <c r="G445" s="128"/>
      <c r="H445" s="584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592"/>
      <c r="P445" s="592"/>
      <c r="Q445" s="592"/>
      <c r="R445" s="592"/>
      <c r="S445" s="592"/>
      <c r="T445" s="592"/>
      <c r="U445" s="592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583" t="s">
        <v>222</v>
      </c>
      <c r="C446" s="126" t="s">
        <v>186</v>
      </c>
      <c r="D446" s="108">
        <v>9.36</v>
      </c>
      <c r="E446" s="108"/>
      <c r="F446" s="127"/>
      <c r="G446" s="128"/>
      <c r="H446" s="584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592"/>
      <c r="P446" s="592"/>
      <c r="Q446" s="592"/>
      <c r="R446" s="592"/>
      <c r="S446" s="592"/>
      <c r="T446" s="592"/>
      <c r="U446" s="592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583" t="s">
        <v>393</v>
      </c>
      <c r="C447" s="187" t="s">
        <v>395</v>
      </c>
      <c r="D447" s="108">
        <v>5</v>
      </c>
      <c r="E447" s="108"/>
      <c r="F447" s="127"/>
      <c r="G447" s="128"/>
      <c r="H447" s="584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592"/>
      <c r="P447" s="592"/>
      <c r="Q447" s="592"/>
      <c r="R447" s="592"/>
      <c r="S447" s="592"/>
      <c r="T447" s="592"/>
      <c r="U447" s="592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583" t="s">
        <v>393</v>
      </c>
      <c r="C448" s="187" t="s">
        <v>402</v>
      </c>
      <c r="D448" s="108">
        <v>5</v>
      </c>
      <c r="E448" s="108"/>
      <c r="F448" s="127"/>
      <c r="G448" s="128"/>
      <c r="H448" s="584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592"/>
      <c r="P448" s="592"/>
      <c r="Q448" s="592"/>
      <c r="R448" s="592"/>
      <c r="S448" s="592"/>
      <c r="T448" s="592"/>
      <c r="U448" s="592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583" t="s">
        <v>404</v>
      </c>
      <c r="C449" s="187" t="s">
        <v>405</v>
      </c>
      <c r="D449" s="108">
        <v>5</v>
      </c>
      <c r="E449" s="108"/>
      <c r="F449" s="127"/>
      <c r="G449" s="128"/>
      <c r="H449" s="584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592"/>
      <c r="P449" s="592"/>
      <c r="Q449" s="592"/>
      <c r="R449" s="592"/>
      <c r="S449" s="592"/>
      <c r="T449" s="592"/>
      <c r="U449" s="592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583" t="s">
        <v>342</v>
      </c>
      <c r="C450" s="187" t="s">
        <v>372</v>
      </c>
      <c r="D450" s="108">
        <v>5</v>
      </c>
      <c r="E450" s="108"/>
      <c r="F450" s="127"/>
      <c r="G450" s="128"/>
      <c r="H450" s="584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592"/>
      <c r="P450" s="592"/>
      <c r="Q450" s="592"/>
      <c r="R450" s="592"/>
      <c r="S450" s="592"/>
      <c r="T450" s="592"/>
      <c r="U450" s="592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583" t="s">
        <v>343</v>
      </c>
      <c r="C451" s="126" t="s">
        <v>345</v>
      </c>
      <c r="D451" s="108">
        <v>5</v>
      </c>
      <c r="E451" s="108"/>
      <c r="F451" s="127"/>
      <c r="G451" s="128"/>
      <c r="H451" s="584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592"/>
      <c r="P451" s="592"/>
      <c r="Q451" s="592"/>
      <c r="R451" s="592"/>
      <c r="S451" s="592"/>
      <c r="T451" s="592"/>
      <c r="U451" s="592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583" t="s">
        <v>343</v>
      </c>
      <c r="C452" s="126" t="s">
        <v>347</v>
      </c>
      <c r="D452" s="108">
        <v>5</v>
      </c>
      <c r="E452" s="108"/>
      <c r="F452" s="127"/>
      <c r="G452" s="128"/>
      <c r="H452" s="584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592"/>
      <c r="P452" s="592"/>
      <c r="Q452" s="592"/>
      <c r="R452" s="592"/>
      <c r="S452" s="592"/>
      <c r="T452" s="592"/>
      <c r="U452" s="592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584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592"/>
      <c r="P453" s="592"/>
      <c r="Q453" s="592"/>
      <c r="R453" s="592"/>
      <c r="S453" s="592"/>
      <c r="T453" s="592"/>
      <c r="U453" s="592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584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592"/>
      <c r="P454" s="592"/>
      <c r="Q454" s="592"/>
      <c r="R454" s="592"/>
      <c r="S454" s="592"/>
      <c r="T454" s="592"/>
      <c r="U454" s="592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584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592"/>
      <c r="P455" s="592"/>
      <c r="Q455" s="592"/>
      <c r="R455" s="592"/>
      <c r="S455" s="592"/>
      <c r="T455" s="592"/>
      <c r="U455" s="592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584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592"/>
      <c r="P456" s="592"/>
      <c r="Q456" s="592"/>
      <c r="R456" s="592"/>
      <c r="S456" s="592"/>
      <c r="T456" s="592"/>
      <c r="U456" s="592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584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592"/>
      <c r="P457" s="592"/>
      <c r="Q457" s="592"/>
      <c r="R457" s="592"/>
      <c r="S457" s="592"/>
      <c r="T457" s="592"/>
      <c r="U457" s="592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584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592"/>
      <c r="P458" s="592"/>
      <c r="Q458" s="592"/>
      <c r="R458" s="592"/>
      <c r="S458" s="592"/>
      <c r="T458" s="592"/>
      <c r="U458" s="592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584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592"/>
      <c r="P459" s="592"/>
      <c r="Q459" s="592"/>
      <c r="R459" s="592"/>
      <c r="S459" s="592"/>
      <c r="T459" s="592"/>
      <c r="U459" s="592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584">
        <f t="shared" si="196"/>
        <v>0</v>
      </c>
      <c r="I460" s="129"/>
      <c r="J460" s="130" t="str">
        <f t="array" ref="J460">IF(ISERROR(G460/I460),"",G460/I460)</f>
        <v/>
      </c>
      <c r="K460" s="584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592"/>
      <c r="P460" s="592"/>
      <c r="Q460" s="592"/>
      <c r="R460" s="592"/>
      <c r="S460" s="592"/>
      <c r="T460" s="592"/>
      <c r="U460" s="592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customHeight="1">
      <c r="A461" s="630" t="s">
        <v>224</v>
      </c>
      <c r="B461" s="631"/>
      <c r="C461" s="593" t="s">
        <v>202</v>
      </c>
      <c r="D461" s="143"/>
      <c r="E461" s="143"/>
      <c r="F461" s="144"/>
      <c r="G461" s="145">
        <f>SUM(G427:G460)</f>
        <v>754</v>
      </c>
      <c r="H461" s="146">
        <f>SUM(H427:H460)</f>
        <v>3792.6200000000003</v>
      </c>
      <c r="I461" s="146">
        <f>SUM(I427:I460)</f>
        <v>75.5</v>
      </c>
      <c r="J461" s="130">
        <f t="array" ref="J461">IF(ISERROR(G461/I461),"",G461/I461)</f>
        <v>9.9867549668874176</v>
      </c>
      <c r="K461" s="146">
        <f>SUM(K427:K460)</f>
        <v>85.681818181818173</v>
      </c>
      <c r="L461" s="147"/>
      <c r="M461" s="150">
        <f t="shared" ref="M461:V461" si="210">SUM(M427:M460)</f>
        <v>-10.181818181818173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>
        <f t="shared" si="209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584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592"/>
      <c r="P462" s="592"/>
      <c r="Q462" s="592"/>
      <c r="R462" s="592"/>
      <c r="S462" s="592"/>
      <c r="T462" s="592"/>
      <c r="U462" s="592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584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592"/>
      <c r="P463" s="592"/>
      <c r="Q463" s="592"/>
      <c r="R463" s="592"/>
      <c r="S463" s="592"/>
      <c r="T463" s="592"/>
      <c r="U463" s="592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584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592"/>
      <c r="P464" s="592"/>
      <c r="Q464" s="592"/>
      <c r="R464" s="592"/>
      <c r="S464" s="592"/>
      <c r="T464" s="592"/>
      <c r="U464" s="592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584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592"/>
      <c r="P465" s="592"/>
      <c r="Q465" s="592"/>
      <c r="R465" s="592"/>
      <c r="S465" s="592"/>
      <c r="T465" s="592"/>
      <c r="U465" s="592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589" t="s">
        <v>203</v>
      </c>
      <c r="D466" s="108">
        <v>5.03</v>
      </c>
      <c r="E466" s="108"/>
      <c r="F466" s="127"/>
      <c r="G466" s="128"/>
      <c r="H466" s="584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592"/>
      <c r="P466" s="592"/>
      <c r="Q466" s="592"/>
      <c r="R466" s="592"/>
      <c r="S466" s="592"/>
      <c r="T466" s="592"/>
      <c r="U466" s="592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584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592"/>
      <c r="P467" s="592"/>
      <c r="Q467" s="592"/>
      <c r="R467" s="592"/>
      <c r="S467" s="592"/>
      <c r="T467" s="592"/>
      <c r="U467" s="592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584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592"/>
      <c r="P468" s="592"/>
      <c r="Q468" s="592"/>
      <c r="R468" s="592"/>
      <c r="S468" s="592"/>
      <c r="T468" s="592"/>
      <c r="U468" s="592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589" t="s">
        <v>228</v>
      </c>
      <c r="D469" s="108">
        <v>5.03</v>
      </c>
      <c r="E469" s="108"/>
      <c r="F469" s="127"/>
      <c r="G469" s="128"/>
      <c r="H469" s="584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592"/>
      <c r="P469" s="592"/>
      <c r="Q469" s="592"/>
      <c r="R469" s="592"/>
      <c r="S469" s="592"/>
      <c r="T469" s="592"/>
      <c r="U469" s="592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589" t="s">
        <v>212</v>
      </c>
      <c r="D470" s="108">
        <v>5.03</v>
      </c>
      <c r="E470" s="108"/>
      <c r="F470" s="127"/>
      <c r="G470" s="128"/>
      <c r="H470" s="584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592"/>
      <c r="P470" s="592"/>
      <c r="Q470" s="592"/>
      <c r="R470" s="592"/>
      <c r="S470" s="592"/>
      <c r="T470" s="592"/>
      <c r="U470" s="592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589" t="s">
        <v>203</v>
      </c>
      <c r="D471" s="108">
        <v>5.03</v>
      </c>
      <c r="E471" s="108"/>
      <c r="F471" s="127"/>
      <c r="G471" s="128"/>
      <c r="H471" s="584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592"/>
      <c r="P471" s="592"/>
      <c r="Q471" s="592"/>
      <c r="R471" s="592"/>
      <c r="S471" s="592"/>
      <c r="T471" s="592"/>
      <c r="U471" s="592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589" t="s">
        <v>186</v>
      </c>
      <c r="D472" s="108">
        <v>5.03</v>
      </c>
      <c r="E472" s="108"/>
      <c r="F472" s="127"/>
      <c r="G472" s="128"/>
      <c r="H472" s="584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592"/>
      <c r="P472" s="592"/>
      <c r="Q472" s="592"/>
      <c r="R472" s="592"/>
      <c r="S472" s="592"/>
      <c r="T472" s="592"/>
      <c r="U472" s="592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589" t="s">
        <v>228</v>
      </c>
      <c r="D473" s="108">
        <v>5.03</v>
      </c>
      <c r="E473" s="108"/>
      <c r="F473" s="127"/>
      <c r="G473" s="128"/>
      <c r="H473" s="584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592"/>
      <c r="P473" s="592"/>
      <c r="Q473" s="592"/>
      <c r="R473" s="592"/>
      <c r="S473" s="592"/>
      <c r="T473" s="592"/>
      <c r="U473" s="592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589" t="s">
        <v>199</v>
      </c>
      <c r="D474" s="108">
        <v>5.03</v>
      </c>
      <c r="E474" s="108"/>
      <c r="F474" s="127"/>
      <c r="G474" s="128"/>
      <c r="H474" s="584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592"/>
      <c r="P474" s="592"/>
      <c r="Q474" s="592"/>
      <c r="R474" s="592"/>
      <c r="S474" s="592"/>
      <c r="T474" s="592"/>
      <c r="U474" s="592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584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592"/>
      <c r="P475" s="592"/>
      <c r="Q475" s="592"/>
      <c r="R475" s="592"/>
      <c r="S475" s="592"/>
      <c r="T475" s="592"/>
      <c r="U475" s="592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584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592"/>
      <c r="P476" s="592"/>
      <c r="Q476" s="592"/>
      <c r="R476" s="592"/>
      <c r="S476" s="592"/>
      <c r="T476" s="592"/>
      <c r="U476" s="592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630" t="s">
        <v>231</v>
      </c>
      <c r="B477" s="631"/>
      <c r="C477" s="593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584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592"/>
      <c r="P478" s="592"/>
      <c r="Q478" s="592"/>
      <c r="R478" s="592"/>
      <c r="S478" s="592"/>
      <c r="T478" s="592"/>
      <c r="U478" s="592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584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592"/>
      <c r="P479" s="592"/>
      <c r="Q479" s="592"/>
      <c r="R479" s="592"/>
      <c r="S479" s="592"/>
      <c r="T479" s="592"/>
      <c r="U479" s="592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584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592"/>
      <c r="P480" s="592"/>
      <c r="Q480" s="592"/>
      <c r="R480" s="592"/>
      <c r="S480" s="592"/>
      <c r="T480" s="592"/>
      <c r="U480" s="592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584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592"/>
      <c r="P481" s="592"/>
      <c r="Q481" s="592"/>
      <c r="R481" s="592"/>
      <c r="S481" s="592"/>
      <c r="T481" s="592"/>
      <c r="U481" s="592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584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592"/>
      <c r="P482" s="592"/>
      <c r="Q482" s="592"/>
      <c r="R482" s="592"/>
      <c r="S482" s="592"/>
      <c r="T482" s="592"/>
      <c r="U482" s="592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584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592"/>
      <c r="P483" s="592"/>
      <c r="Q483" s="592"/>
      <c r="R483" s="592"/>
      <c r="S483" s="592"/>
      <c r="T483" s="592"/>
      <c r="U483" s="592"/>
      <c r="V483" s="132"/>
      <c r="W483" s="133"/>
      <c r="X483" s="132"/>
      <c r="Y483" s="132"/>
      <c r="Z483" s="132"/>
      <c r="AA483" s="132"/>
    </row>
    <row r="484" spans="1:27" ht="20.100000000000001" hidden="1" customHeight="1">
      <c r="A484" s="300">
        <v>30400020</v>
      </c>
      <c r="B484" s="134" t="s">
        <v>439</v>
      </c>
      <c r="C484" s="187" t="s">
        <v>74</v>
      </c>
      <c r="D484" s="108">
        <v>5.04</v>
      </c>
      <c r="E484" s="108"/>
      <c r="F484" s="127"/>
      <c r="G484" s="128"/>
      <c r="H484" s="584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592"/>
      <c r="P484" s="592"/>
      <c r="Q484" s="592"/>
      <c r="R484" s="592"/>
      <c r="S484" s="592"/>
      <c r="T484" s="592"/>
      <c r="U484" s="592"/>
      <c r="V484" s="132"/>
      <c r="W484" s="133"/>
      <c r="X484" s="132"/>
      <c r="Y484" s="132"/>
      <c r="Z484" s="132"/>
      <c r="AA484" s="132"/>
    </row>
    <row r="485" spans="1:27" ht="20.100000000000001" hidden="1" customHeight="1">
      <c r="A485" s="300">
        <v>30400021</v>
      </c>
      <c r="B485" s="134" t="s">
        <v>439</v>
      </c>
      <c r="C485" s="187" t="s">
        <v>53</v>
      </c>
      <c r="D485" s="108">
        <v>5.04</v>
      </c>
      <c r="E485" s="108"/>
      <c r="F485" s="127"/>
      <c r="G485" s="128"/>
      <c r="H485" s="584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592"/>
      <c r="P485" s="592"/>
      <c r="Q485" s="592"/>
      <c r="R485" s="592"/>
      <c r="S485" s="592"/>
      <c r="T485" s="592"/>
      <c r="U485" s="592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584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592"/>
      <c r="P486" s="592"/>
      <c r="Q486" s="592"/>
      <c r="R486" s="592"/>
      <c r="S486" s="592"/>
      <c r="T486" s="592"/>
      <c r="U486" s="592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30" t="s">
        <v>234</v>
      </c>
      <c r="B487" s="631"/>
      <c r="C487" s="593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590"/>
      <c r="D488" s="108">
        <v>3.65</v>
      </c>
      <c r="E488" s="108"/>
      <c r="F488" s="153"/>
      <c r="G488" s="128"/>
      <c r="H488" s="584">
        <f t="shared" ref="H488:H502" si="223">D488*G488</f>
        <v>0</v>
      </c>
      <c r="I488" s="129"/>
      <c r="J488" s="130" t="str">
        <f t="array" ref="J488">IF(ISERROR(G488/I488),"",G488/I488)</f>
        <v/>
      </c>
      <c r="K488" s="584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592"/>
      <c r="P488" s="592"/>
      <c r="Q488" s="592"/>
      <c r="R488" s="592"/>
      <c r="S488" s="592"/>
      <c r="T488" s="592"/>
      <c r="U488" s="592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590"/>
      <c r="D489" s="108">
        <v>6.58</v>
      </c>
      <c r="E489" s="108"/>
      <c r="F489" s="127"/>
      <c r="G489" s="128"/>
      <c r="H489" s="584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592"/>
      <c r="P489" s="592"/>
      <c r="Q489" s="592"/>
      <c r="R489" s="592"/>
      <c r="S489" s="592"/>
      <c r="T489" s="592"/>
      <c r="U489" s="592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590"/>
      <c r="D490" s="108">
        <v>7.8</v>
      </c>
      <c r="E490" s="108"/>
      <c r="F490" s="127"/>
      <c r="G490" s="128"/>
      <c r="H490" s="584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592"/>
      <c r="P490" s="592"/>
      <c r="Q490" s="592"/>
      <c r="R490" s="592"/>
      <c r="S490" s="592"/>
      <c r="T490" s="592"/>
      <c r="U490" s="592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590"/>
      <c r="D491" s="108">
        <v>4.4000000000000004</v>
      </c>
      <c r="E491" s="108"/>
      <c r="F491" s="127"/>
      <c r="G491" s="128"/>
      <c r="H491" s="584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592"/>
      <c r="P491" s="592"/>
      <c r="Q491" s="592"/>
      <c r="R491" s="592"/>
      <c r="S491" s="592"/>
      <c r="T491" s="592"/>
      <c r="U491" s="592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584">
        <f t="shared" si="223"/>
        <v>0</v>
      </c>
      <c r="I492" s="129"/>
      <c r="J492" s="130"/>
      <c r="K492" s="131"/>
      <c r="L492" s="129"/>
      <c r="M492" s="109"/>
      <c r="N492" s="130"/>
      <c r="O492" s="592"/>
      <c r="P492" s="592"/>
      <c r="Q492" s="592"/>
      <c r="R492" s="592"/>
      <c r="S492" s="592"/>
      <c r="T492" s="592"/>
      <c r="U492" s="592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590"/>
      <c r="D493" s="108"/>
      <c r="E493" s="108"/>
      <c r="F493" s="127"/>
      <c r="G493" s="128"/>
      <c r="H493" s="584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592"/>
      <c r="P493" s="592"/>
      <c r="Q493" s="592"/>
      <c r="R493" s="592"/>
      <c r="S493" s="592"/>
      <c r="T493" s="592"/>
      <c r="U493" s="592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590" t="s">
        <v>239</v>
      </c>
      <c r="C494" s="590" t="s">
        <v>179</v>
      </c>
      <c r="D494" s="108">
        <v>6.04</v>
      </c>
      <c r="E494" s="108"/>
      <c r="F494" s="127"/>
      <c r="G494" s="128"/>
      <c r="H494" s="584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592"/>
      <c r="P494" s="592"/>
      <c r="Q494" s="592"/>
      <c r="R494" s="592"/>
      <c r="S494" s="592"/>
      <c r="T494" s="592"/>
      <c r="U494" s="592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590" t="s">
        <v>239</v>
      </c>
      <c r="C495" s="590" t="s">
        <v>186</v>
      </c>
      <c r="D495" s="108">
        <v>6.04</v>
      </c>
      <c r="E495" s="108"/>
      <c r="F495" s="127"/>
      <c r="G495" s="128"/>
      <c r="H495" s="584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592"/>
      <c r="P495" s="592"/>
      <c r="Q495" s="592"/>
      <c r="R495" s="592"/>
      <c r="S495" s="592"/>
      <c r="T495" s="592"/>
      <c r="U495" s="592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590" t="s">
        <v>443</v>
      </c>
      <c r="C496" s="590" t="s">
        <v>179</v>
      </c>
      <c r="D496" s="108"/>
      <c r="E496" s="108"/>
      <c r="F496" s="127"/>
      <c r="G496" s="128"/>
      <c r="H496" s="584">
        <f t="shared" si="223"/>
        <v>0</v>
      </c>
      <c r="I496" s="129"/>
      <c r="J496" s="130"/>
      <c r="K496" s="131"/>
      <c r="L496" s="129"/>
      <c r="M496" s="109"/>
      <c r="N496" s="130"/>
      <c r="O496" s="592"/>
      <c r="P496" s="592"/>
      <c r="Q496" s="592"/>
      <c r="R496" s="592"/>
      <c r="S496" s="592"/>
      <c r="T496" s="592"/>
      <c r="U496" s="592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590" t="s">
        <v>443</v>
      </c>
      <c r="C497" s="590" t="s">
        <v>186</v>
      </c>
      <c r="D497" s="108"/>
      <c r="E497" s="108"/>
      <c r="F497" s="127"/>
      <c r="G497" s="128"/>
      <c r="H497" s="584">
        <f t="shared" si="223"/>
        <v>0</v>
      </c>
      <c r="I497" s="129"/>
      <c r="J497" s="130"/>
      <c r="K497" s="131"/>
      <c r="L497" s="129"/>
      <c r="M497" s="109"/>
      <c r="N497" s="130"/>
      <c r="O497" s="592"/>
      <c r="P497" s="592"/>
      <c r="Q497" s="592"/>
      <c r="R497" s="592"/>
      <c r="S497" s="592"/>
      <c r="T497" s="592"/>
      <c r="U497" s="592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583" t="s">
        <v>240</v>
      </c>
      <c r="C498" s="126"/>
      <c r="D498" s="108">
        <v>7.3</v>
      </c>
      <c r="E498" s="108"/>
      <c r="F498" s="127"/>
      <c r="G498" s="128"/>
      <c r="H498" s="584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592"/>
      <c r="P498" s="592"/>
      <c r="Q498" s="592"/>
      <c r="R498" s="592"/>
      <c r="S498" s="592"/>
      <c r="T498" s="592"/>
      <c r="U498" s="592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583" t="s">
        <v>241</v>
      </c>
      <c r="C499" s="126"/>
      <c r="D499" s="108">
        <f>78*120/1000</f>
        <v>9.36</v>
      </c>
      <c r="E499" s="108"/>
      <c r="F499" s="127"/>
      <c r="G499" s="128"/>
      <c r="H499" s="584">
        <f t="shared" si="223"/>
        <v>0</v>
      </c>
      <c r="I499" s="129"/>
      <c r="J499" s="130"/>
      <c r="K499" s="131"/>
      <c r="L499" s="129"/>
      <c r="M499" s="109"/>
      <c r="N499" s="130"/>
      <c r="O499" s="592"/>
      <c r="P499" s="592"/>
      <c r="Q499" s="592"/>
      <c r="R499" s="592"/>
      <c r="S499" s="592"/>
      <c r="T499" s="592"/>
      <c r="U499" s="592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583" t="s">
        <v>242</v>
      </c>
      <c r="C500" s="126"/>
      <c r="D500" s="108">
        <v>4.5</v>
      </c>
      <c r="E500" s="108"/>
      <c r="F500" s="127"/>
      <c r="G500" s="128"/>
      <c r="H500" s="584">
        <f t="shared" si="223"/>
        <v>0</v>
      </c>
      <c r="I500" s="129"/>
      <c r="J500" s="130"/>
      <c r="K500" s="131"/>
      <c r="L500" s="129"/>
      <c r="M500" s="109"/>
      <c r="N500" s="130"/>
      <c r="O500" s="592"/>
      <c r="P500" s="592"/>
      <c r="Q500" s="592"/>
      <c r="R500" s="592"/>
      <c r="S500" s="592"/>
      <c r="T500" s="592"/>
      <c r="U500" s="592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583" t="s">
        <v>243</v>
      </c>
      <c r="C501" s="126"/>
      <c r="D501" s="108">
        <v>4.5</v>
      </c>
      <c r="E501" s="108"/>
      <c r="F501" s="127"/>
      <c r="G501" s="128"/>
      <c r="H501" s="584">
        <f t="shared" si="223"/>
        <v>0</v>
      </c>
      <c r="I501" s="129"/>
      <c r="J501" s="130"/>
      <c r="K501" s="131"/>
      <c r="L501" s="129"/>
      <c r="M501" s="109"/>
      <c r="N501" s="130"/>
      <c r="O501" s="592"/>
      <c r="P501" s="592"/>
      <c r="Q501" s="592"/>
      <c r="R501" s="592"/>
      <c r="S501" s="592"/>
      <c r="T501" s="592"/>
      <c r="U501" s="592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583"/>
      <c r="C502" s="126"/>
      <c r="D502" s="108"/>
      <c r="E502" s="108"/>
      <c r="F502" s="127"/>
      <c r="G502" s="128"/>
      <c r="H502" s="584">
        <f t="shared" si="223"/>
        <v>0</v>
      </c>
      <c r="I502" s="129"/>
      <c r="J502" s="130"/>
      <c r="K502" s="131"/>
      <c r="L502" s="129"/>
      <c r="M502" s="109"/>
      <c r="N502" s="130"/>
      <c r="O502" s="592"/>
      <c r="P502" s="592"/>
      <c r="Q502" s="592"/>
      <c r="R502" s="592"/>
      <c r="S502" s="592"/>
      <c r="T502" s="592"/>
      <c r="U502" s="592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30" t="s">
        <v>244</v>
      </c>
      <c r="B503" s="631"/>
      <c r="C503" s="593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632" t="s">
        <v>246</v>
      </c>
      <c r="B504" s="633"/>
      <c r="C504" s="633"/>
      <c r="D504" s="633"/>
      <c r="E504" s="633"/>
      <c r="F504" s="634"/>
      <c r="G504" s="154">
        <f>SUM(G368,G426,G461,G477,G487,G503)</f>
        <v>754</v>
      </c>
      <c r="H504" s="154">
        <f>SUM(H368,H426,H461,H477,H487,H503)</f>
        <v>3792.6200000000003</v>
      </c>
      <c r="I504" s="154">
        <f>SUM(I368,I426,I461,I477,I487,I503)</f>
        <v>75.5</v>
      </c>
      <c r="J504" s="155">
        <f t="array" ref="J504">IF(ISERROR(G504/I504),"",G504/I504)</f>
        <v>9.9867549668874176</v>
      </c>
      <c r="K504" s="154">
        <f>SUM(K368,K426,K461,K477,K487,K503)</f>
        <v>85.681818181818173</v>
      </c>
      <c r="L504" s="155">
        <f>IF(ISERROR(G504/K504),"",G504/K504)</f>
        <v>8.8000000000000007</v>
      </c>
      <c r="M504" s="154">
        <f t="shared" ref="M504:V504" si="236">SUM(M368,M426,M461,M477,M487,M503)</f>
        <v>-10.181818181818173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>
        <f t="shared" ref="W504" si="237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35" t="s">
        <v>476</v>
      </c>
      <c r="B505" s="586" t="s">
        <v>247</v>
      </c>
      <c r="C505" s="638" t="s">
        <v>248</v>
      </c>
      <c r="D505" s="639"/>
      <c r="E505" s="640" t="s">
        <v>249</v>
      </c>
      <c r="F505" s="640"/>
      <c r="G505" s="643" t="s">
        <v>250</v>
      </c>
      <c r="H505" s="643"/>
      <c r="I505" s="640" t="s">
        <v>251</v>
      </c>
      <c r="J505" s="640"/>
      <c r="K505" s="640" t="s">
        <v>252</v>
      </c>
      <c r="L505" s="640"/>
      <c r="M505" s="640" t="s">
        <v>253</v>
      </c>
      <c r="N505" s="640"/>
      <c r="O505" s="640" t="s">
        <v>254</v>
      </c>
      <c r="P505" s="643" t="s">
        <v>255</v>
      </c>
      <c r="Q505" s="643"/>
      <c r="R505" s="643" t="s">
        <v>252</v>
      </c>
      <c r="S505" s="643"/>
      <c r="T505" s="643" t="s">
        <v>256</v>
      </c>
      <c r="U505" s="643"/>
      <c r="V505" s="643" t="s">
        <v>257</v>
      </c>
      <c r="W505" s="643"/>
      <c r="X505" s="643" t="s">
        <v>252</v>
      </c>
      <c r="Y505" s="643"/>
      <c r="Z505" s="643" t="s">
        <v>256</v>
      </c>
      <c r="AA505" s="643"/>
    </row>
    <row r="506" spans="1:27" ht="20.100000000000001" customHeight="1">
      <c r="A506" s="636"/>
      <c r="B506" s="586" t="s">
        <v>258</v>
      </c>
      <c r="C506" s="638">
        <v>0</v>
      </c>
      <c r="D506" s="639"/>
      <c r="E506" s="642">
        <f>C506*11</f>
        <v>0</v>
      </c>
      <c r="F506" s="642"/>
      <c r="G506" s="643">
        <v>0</v>
      </c>
      <c r="H506" s="643"/>
      <c r="I506" s="642">
        <f>G506*11</f>
        <v>0</v>
      </c>
      <c r="J506" s="642"/>
      <c r="K506" s="642">
        <f>E506-I506</f>
        <v>0</v>
      </c>
      <c r="L506" s="642"/>
      <c r="M506" s="644" t="str">
        <f>IF(ISERROR(K506/E506),"",K506/E506)</f>
        <v/>
      </c>
      <c r="N506" s="644"/>
      <c r="O506" s="640"/>
      <c r="P506" s="643" t="s">
        <v>201</v>
      </c>
      <c r="Q506" s="643"/>
      <c r="R506" s="645">
        <f>SUM(O368:U368)</f>
        <v>0</v>
      </c>
      <c r="S506" s="645"/>
      <c r="T506" s="646" t="str">
        <f t="array" ref="T506">IF(ISERROR(R506/R513),"",R506/R513)</f>
        <v/>
      </c>
      <c r="U506" s="646"/>
      <c r="V506" s="643" t="s">
        <v>259</v>
      </c>
      <c r="W506" s="643"/>
      <c r="X506" s="647">
        <f>SUM(O368,O426,O461,O477,O487,O503)</f>
        <v>0</v>
      </c>
      <c r="Y506" s="647"/>
      <c r="Z506" s="646" t="str">
        <f t="array" ref="Z506">IF(ISERROR(X506/X513),"",X506/X513)</f>
        <v/>
      </c>
      <c r="AA506" s="646"/>
    </row>
    <row r="507" spans="1:27" ht="20.100000000000001" customHeight="1">
      <c r="A507" s="636"/>
      <c r="B507" s="586" t="s">
        <v>260</v>
      </c>
      <c r="C507" s="638">
        <v>0</v>
      </c>
      <c r="D507" s="639"/>
      <c r="E507" s="642">
        <f>C507*11</f>
        <v>0</v>
      </c>
      <c r="F507" s="642"/>
      <c r="G507" s="643">
        <v>0</v>
      </c>
      <c r="H507" s="643"/>
      <c r="I507" s="642">
        <f>G507*11</f>
        <v>0</v>
      </c>
      <c r="J507" s="642"/>
      <c r="K507" s="642">
        <f>E507-I507</f>
        <v>0</v>
      </c>
      <c r="L507" s="642"/>
      <c r="M507" s="644" t="str">
        <f>IF(ISERROR(K507/E507),"",K507/E507)</f>
        <v/>
      </c>
      <c r="N507" s="644"/>
      <c r="O507" s="640"/>
      <c r="P507" s="643" t="s">
        <v>216</v>
      </c>
      <c r="Q507" s="643"/>
      <c r="R507" s="645">
        <f>SUM(O426:U426)</f>
        <v>0</v>
      </c>
      <c r="S507" s="645"/>
      <c r="T507" s="646" t="str">
        <f>IF(ISERROR(R507/R513),"",R507/R513)</f>
        <v/>
      </c>
      <c r="U507" s="646"/>
      <c r="V507" s="643" t="s">
        <v>261</v>
      </c>
      <c r="W507" s="643"/>
      <c r="X507" s="647">
        <f>SUM(O369,O427,O462,O478,O488,O504)</f>
        <v>0</v>
      </c>
      <c r="Y507" s="647"/>
      <c r="Z507" s="646" t="str">
        <f>IF(ISERROR(X507/X513),"",X507/X513)</f>
        <v/>
      </c>
      <c r="AA507" s="646"/>
    </row>
    <row r="508" spans="1:27" ht="20.100000000000001" customHeight="1">
      <c r="A508" s="636"/>
      <c r="B508" s="586" t="s">
        <v>262</v>
      </c>
      <c r="C508" s="638">
        <v>0</v>
      </c>
      <c r="D508" s="639"/>
      <c r="E508" s="642">
        <f>C508*11</f>
        <v>0</v>
      </c>
      <c r="F508" s="642"/>
      <c r="G508" s="643">
        <v>0</v>
      </c>
      <c r="H508" s="643"/>
      <c r="I508" s="642">
        <f>G508*11</f>
        <v>0</v>
      </c>
      <c r="J508" s="642"/>
      <c r="K508" s="642">
        <f>E508-I508</f>
        <v>0</v>
      </c>
      <c r="L508" s="642"/>
      <c r="M508" s="644" t="str">
        <f>IF(ISERROR(K508/E508),"",K508/E508)</f>
        <v/>
      </c>
      <c r="N508" s="644"/>
      <c r="O508" s="640"/>
      <c r="P508" s="643" t="s">
        <v>224</v>
      </c>
      <c r="Q508" s="643"/>
      <c r="R508" s="645">
        <f>SUM(O461:U461)</f>
        <v>0</v>
      </c>
      <c r="S508" s="645"/>
      <c r="T508" s="646" t="str">
        <f>IF(ISERROR(R508/R513),"",R508/R513)</f>
        <v/>
      </c>
      <c r="U508" s="646"/>
      <c r="V508" s="643" t="s">
        <v>263</v>
      </c>
      <c r="W508" s="643"/>
      <c r="X508" s="647">
        <f>SUM(O371,O428,O463,O479,O489,O505)</f>
        <v>0</v>
      </c>
      <c r="Y508" s="647"/>
      <c r="Z508" s="646" t="str">
        <f>IF(ISERROR(X508/X513),"",X508/X513)</f>
        <v/>
      </c>
      <c r="AA508" s="646"/>
    </row>
    <row r="509" spans="1:27" ht="20.100000000000001" customHeight="1">
      <c r="A509" s="636"/>
      <c r="B509" s="586" t="s">
        <v>264</v>
      </c>
      <c r="C509" s="638">
        <v>1</v>
      </c>
      <c r="D509" s="639"/>
      <c r="E509" s="642">
        <f>C509*11</f>
        <v>11</v>
      </c>
      <c r="F509" s="642"/>
      <c r="G509" s="643">
        <v>1</v>
      </c>
      <c r="H509" s="643"/>
      <c r="I509" s="642">
        <f>G509*11</f>
        <v>11</v>
      </c>
      <c r="J509" s="642"/>
      <c r="K509" s="642">
        <f>E509-I509</f>
        <v>0</v>
      </c>
      <c r="L509" s="642"/>
      <c r="M509" s="644">
        <f>IF(ISERROR(K509/E509),"",K509/E509)</f>
        <v>0</v>
      </c>
      <c r="N509" s="644"/>
      <c r="O509" s="640"/>
      <c r="P509" s="643" t="s">
        <v>231</v>
      </c>
      <c r="Q509" s="643"/>
      <c r="R509" s="645">
        <f>SUM(O477:U477)</f>
        <v>0</v>
      </c>
      <c r="S509" s="645"/>
      <c r="T509" s="646" t="str">
        <f>IF(ISERROR(R509/R513),"",R509/R513)</f>
        <v/>
      </c>
      <c r="U509" s="646"/>
      <c r="V509" s="643" t="s">
        <v>265</v>
      </c>
      <c r="W509" s="643"/>
      <c r="X509" s="647">
        <f>SUM(O372,O429,O464,O480,O490,O506)</f>
        <v>0</v>
      </c>
      <c r="Y509" s="647"/>
      <c r="Z509" s="646" t="str">
        <f>IF(ISERROR(X509/X513),"",X509/X513)</f>
        <v/>
      </c>
      <c r="AA509" s="646"/>
    </row>
    <row r="510" spans="1:27" ht="20.100000000000001" customHeight="1">
      <c r="A510" s="637"/>
      <c r="B510" s="586" t="s">
        <v>266</v>
      </c>
      <c r="C510" s="648">
        <f>SUM(C506:D509)</f>
        <v>1</v>
      </c>
      <c r="D510" s="649"/>
      <c r="E510" s="642">
        <f>SUM(E506:F509)</f>
        <v>11</v>
      </c>
      <c r="F510" s="642"/>
      <c r="G510" s="643">
        <f>SUM(G506:H509)</f>
        <v>1</v>
      </c>
      <c r="H510" s="643"/>
      <c r="I510" s="642">
        <f>SUM(I506:J509)</f>
        <v>11</v>
      </c>
      <c r="J510" s="642"/>
      <c r="K510" s="642">
        <f>SUM(K506:L509)</f>
        <v>0</v>
      </c>
      <c r="L510" s="642"/>
      <c r="M510" s="644">
        <f>IF(ISERROR(K510/E510),"",K510/E510)</f>
        <v>0</v>
      </c>
      <c r="N510" s="644"/>
      <c r="O510" s="640"/>
      <c r="P510" s="643" t="s">
        <v>234</v>
      </c>
      <c r="Q510" s="643"/>
      <c r="R510" s="645">
        <f>SUM(O487:U487)</f>
        <v>0</v>
      </c>
      <c r="S510" s="645"/>
      <c r="T510" s="646" t="str">
        <f>IF(ISERROR(R510/R513),"",R510/R513)</f>
        <v/>
      </c>
      <c r="U510" s="646"/>
      <c r="V510" s="643" t="s">
        <v>267</v>
      </c>
      <c r="W510" s="643"/>
      <c r="X510" s="647">
        <f>SUM(O373,O430,O465,O481,O491,O507)</f>
        <v>0</v>
      </c>
      <c r="Y510" s="647"/>
      <c r="Z510" s="646" t="str">
        <f>IF(ISERROR(X510/X513),"",X510/X513)</f>
        <v/>
      </c>
      <c r="AA510" s="646"/>
    </row>
    <row r="511" spans="1:27" ht="20.100000000000001" customHeight="1">
      <c r="A511" s="307" t="s">
        <v>477</v>
      </c>
      <c r="B511" s="586">
        <f>G504</f>
        <v>754</v>
      </c>
      <c r="C511" s="650" t="s">
        <v>269</v>
      </c>
      <c r="D511" s="651"/>
      <c r="E511" s="643">
        <f>H504</f>
        <v>3792.6200000000003</v>
      </c>
      <c r="F511" s="643"/>
      <c r="G511" s="643" t="s">
        <v>270</v>
      </c>
      <c r="H511" s="643"/>
      <c r="I511" s="652">
        <f>L504</f>
        <v>8.8000000000000007</v>
      </c>
      <c r="J511" s="652"/>
      <c r="K511" s="640" t="s">
        <v>271</v>
      </c>
      <c r="L511" s="640"/>
      <c r="M511" s="652">
        <f>J504</f>
        <v>9.9867549668874176</v>
      </c>
      <c r="N511" s="652"/>
      <c r="O511" s="640"/>
      <c r="P511" s="643" t="s">
        <v>244</v>
      </c>
      <c r="Q511" s="643"/>
      <c r="R511" s="645">
        <f>SUM(O503:U503)</f>
        <v>0</v>
      </c>
      <c r="S511" s="645"/>
      <c r="T511" s="646" t="str">
        <f>IF(ISERROR(R511/R513),"",R511/R513)</f>
        <v/>
      </c>
      <c r="U511" s="646"/>
      <c r="V511" s="643" t="s">
        <v>272</v>
      </c>
      <c r="W511" s="643"/>
      <c r="X511" s="647">
        <f>SUM(O374,O431,O466,O482,O492,O508)</f>
        <v>0</v>
      </c>
      <c r="Y511" s="647"/>
      <c r="Z511" s="646" t="str">
        <f>IF(ISERROR(X511/X513),"",X511/X513)</f>
        <v/>
      </c>
      <c r="AA511" s="646"/>
    </row>
    <row r="512" spans="1:27" ht="20.100000000000001" customHeight="1">
      <c r="A512" s="308" t="s">
        <v>478</v>
      </c>
      <c r="B512" s="586">
        <f>I504+C510</f>
        <v>76.5</v>
      </c>
      <c r="C512" s="653" t="s">
        <v>251</v>
      </c>
      <c r="D512" s="654"/>
      <c r="E512" s="655">
        <f>K504+I510</f>
        <v>96.681818181818173</v>
      </c>
      <c r="F512" s="655"/>
      <c r="G512" s="643" t="s">
        <v>274</v>
      </c>
      <c r="H512" s="643"/>
      <c r="I512" s="652">
        <f>B512-E512</f>
        <v>-20.181818181818173</v>
      </c>
      <c r="J512" s="652"/>
      <c r="K512" s="640" t="s">
        <v>275</v>
      </c>
      <c r="L512" s="640"/>
      <c r="M512" s="644">
        <f>IF(ISERROR(I512/E512),"",I512/E512)</f>
        <v>-0.20874471086036664</v>
      </c>
      <c r="N512" s="644"/>
      <c r="O512" s="640"/>
      <c r="P512" s="643" t="s">
        <v>245</v>
      </c>
      <c r="Q512" s="643"/>
      <c r="R512" s="645"/>
      <c r="S512" s="645"/>
      <c r="T512" s="646" t="str">
        <f>IF(ISERROR(R512/R513),"",R512/R513)</f>
        <v/>
      </c>
      <c r="U512" s="646"/>
      <c r="V512" s="643" t="s">
        <v>264</v>
      </c>
      <c r="W512" s="643"/>
      <c r="X512" s="647">
        <f>SUM(O375,O432,O467,O486,O493,O509)</f>
        <v>0</v>
      </c>
      <c r="Y512" s="647"/>
      <c r="Z512" s="646" t="str">
        <f>IF(ISERROR(X512/X513),"",X512/X513)</f>
        <v/>
      </c>
      <c r="AA512" s="646"/>
    </row>
    <row r="513" spans="1:27" ht="20.100000000000001" customHeight="1">
      <c r="A513" s="308" t="s">
        <v>479</v>
      </c>
      <c r="B513" s="586">
        <f>N504</f>
        <v>0</v>
      </c>
      <c r="C513" s="653" t="s">
        <v>277</v>
      </c>
      <c r="D513" s="654"/>
      <c r="E513" s="646">
        <f>IF(ISERROR(B513/B512),"",B513/B512)</f>
        <v>0</v>
      </c>
      <c r="F513" s="646"/>
      <c r="G513" s="643" t="s">
        <v>278</v>
      </c>
      <c r="H513" s="643"/>
      <c r="I513" s="640">
        <f>V504</f>
        <v>0</v>
      </c>
      <c r="J513" s="640"/>
      <c r="K513" s="640" t="s">
        <v>279</v>
      </c>
      <c r="L513" s="640"/>
      <c r="M513" s="644">
        <f t="array" ref="M513">IF(ISERROR(I513/B511),"",I513/B511)</f>
        <v>0</v>
      </c>
      <c r="N513" s="644"/>
      <c r="O513" s="640"/>
      <c r="P513" s="643" t="s">
        <v>266</v>
      </c>
      <c r="Q513" s="643"/>
      <c r="R513" s="645">
        <f>SUM(R506:S512)</f>
        <v>0</v>
      </c>
      <c r="S513" s="645"/>
      <c r="T513" s="646"/>
      <c r="U513" s="646"/>
      <c r="V513" s="643" t="s">
        <v>266</v>
      </c>
      <c r="W513" s="643"/>
      <c r="X513" s="647">
        <f>SUM(X506:Y512)</f>
        <v>0</v>
      </c>
      <c r="Y513" s="647"/>
      <c r="Z513" s="646"/>
      <c r="AA513" s="646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682" t="str">
        <f>IF(ISERROR(#REF!/#REF!),"",#REF!/#REF!)</f>
        <v/>
      </c>
      <c r="H514" s="682"/>
      <c r="I514" s="682"/>
      <c r="J514" s="125"/>
      <c r="K514" s="160"/>
      <c r="L514" s="122"/>
      <c r="M514" s="122"/>
      <c r="N514" s="682" t="str">
        <f>IF(ISERROR(G514/#REF!),"",G514/#REF!)</f>
        <v/>
      </c>
      <c r="O514" s="682"/>
      <c r="P514" s="682"/>
      <c r="Q514" s="682"/>
      <c r="R514" s="682"/>
      <c r="S514" s="587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685" t="s">
        <v>268</v>
      </c>
      <c r="B516" s="685"/>
      <c r="C516" s="638">
        <f>SUM(B170,B340,B511)</f>
        <v>9108</v>
      </c>
      <c r="D516" s="639"/>
      <c r="E516" s="685" t="s">
        <v>269</v>
      </c>
      <c r="F516" s="685"/>
      <c r="G516" s="655">
        <f>SUM(E170,E340,E511)</f>
        <v>45928.55000000001</v>
      </c>
      <c r="H516" s="655"/>
      <c r="I516" s="643" t="s">
        <v>270</v>
      </c>
      <c r="J516" s="685"/>
      <c r="K516" s="638">
        <f>IF(ISERROR(C516/G517),"",C516/G517)</f>
        <v>16.17832395783849</v>
      </c>
      <c r="L516" s="639"/>
      <c r="M516" s="643" t="s">
        <v>271</v>
      </c>
      <c r="N516" s="643"/>
      <c r="O516" s="680">
        <f t="array" ref="O516">IF(ISERROR(C516/C517),"",C516/C517)</f>
        <v>17.465004793863855</v>
      </c>
      <c r="P516" s="681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643" t="s">
        <v>273</v>
      </c>
      <c r="B517" s="643"/>
      <c r="C517" s="638">
        <f>SUM(B171,B341,B512)</f>
        <v>521.5</v>
      </c>
      <c r="D517" s="639"/>
      <c r="E517" s="643" t="s">
        <v>251</v>
      </c>
      <c r="F517" s="643"/>
      <c r="G517" s="655">
        <f>SUM(E171,E341,E512)</f>
        <v>562.97549880543238</v>
      </c>
      <c r="H517" s="655"/>
      <c r="I517" s="653" t="s">
        <v>274</v>
      </c>
      <c r="J517" s="654"/>
      <c r="K517" s="650">
        <f>C517-G517</f>
        <v>-41.47549880543238</v>
      </c>
      <c r="L517" s="651"/>
      <c r="M517" s="650" t="s">
        <v>275</v>
      </c>
      <c r="N517" s="651"/>
      <c r="O517" s="683">
        <f>IF(ISERROR(K517/C517),"",K517/C517)</f>
        <v>-7.9531157824414916E-2</v>
      </c>
      <c r="P517" s="684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653" t="s">
        <v>276</v>
      </c>
      <c r="B518" s="654"/>
      <c r="C518" s="638">
        <f>SUM(B172,B342,B513)</f>
        <v>0</v>
      </c>
      <c r="D518" s="639"/>
      <c r="E518" s="653" t="s">
        <v>277</v>
      </c>
      <c r="F518" s="654"/>
      <c r="G518" s="646">
        <f>IF(ISERROR(C518/C517),"",C518/C517)</f>
        <v>0</v>
      </c>
      <c r="H518" s="646"/>
      <c r="I518" s="643" t="s">
        <v>278</v>
      </c>
      <c r="J518" s="685"/>
      <c r="K518" s="655">
        <f>SUM(I172,I342,I513)</f>
        <v>0</v>
      </c>
      <c r="L518" s="655"/>
      <c r="M518" s="685" t="s">
        <v>279</v>
      </c>
      <c r="N518" s="685"/>
      <c r="O518" s="683">
        <f t="array" ref="O518">IF(ISERROR(K518/C516),"",K518/C516)</f>
        <v>0</v>
      </c>
      <c r="P518" s="684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587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653" t="s">
        <v>298</v>
      </c>
      <c r="B520" s="654"/>
      <c r="C520" s="653" t="s">
        <v>299</v>
      </c>
      <c r="D520" s="654"/>
      <c r="E520" s="653" t="s">
        <v>256</v>
      </c>
      <c r="F520" s="654"/>
      <c r="G520" s="686" t="s">
        <v>254</v>
      </c>
      <c r="H520" s="687"/>
      <c r="I520" s="653" t="s">
        <v>255</v>
      </c>
      <c r="J520" s="651"/>
      <c r="K520" s="653" t="s">
        <v>300</v>
      </c>
      <c r="L520" s="654"/>
      <c r="M520" s="653" t="s">
        <v>256</v>
      </c>
      <c r="N520" s="654"/>
      <c r="O520" s="643" t="s">
        <v>257</v>
      </c>
      <c r="P520" s="643"/>
      <c r="Q520" s="653" t="s">
        <v>300</v>
      </c>
      <c r="R520" s="654"/>
      <c r="S520" s="653" t="s">
        <v>256</v>
      </c>
      <c r="T520" s="654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692" t="s">
        <v>201</v>
      </c>
      <c r="B521" s="654"/>
      <c r="C521" s="653">
        <f>SUM(G28,G198,G368)</f>
        <v>1245</v>
      </c>
      <c r="D521" s="654"/>
      <c r="E521" s="693">
        <f>IF(ISERROR(C521/C527),"",C521/C527)</f>
        <v>0.13669301712779974</v>
      </c>
      <c r="F521" s="694"/>
      <c r="G521" s="688"/>
      <c r="H521" s="689"/>
      <c r="I521" s="695" t="s">
        <v>301</v>
      </c>
      <c r="J521" s="696"/>
      <c r="K521" s="650">
        <f t="shared" ref="K521:K526" si="238">SUM(R165,U335,U506)</f>
        <v>0</v>
      </c>
      <c r="L521" s="651"/>
      <c r="M521" s="693" t="str">
        <f t="array" ref="M521">IF(ISERROR(K521/K527),"",K521/K527)</f>
        <v/>
      </c>
      <c r="N521" s="694"/>
      <c r="O521" s="643" t="s">
        <v>259</v>
      </c>
      <c r="P521" s="643"/>
      <c r="Q521" s="680">
        <f t="shared" ref="Q521:Q526" si="239">SUM(X165,AA335,AA506)</f>
        <v>0</v>
      </c>
      <c r="R521" s="681"/>
      <c r="S521" s="693" t="str">
        <f t="array" ref="S521">IF(ISERROR(Q521/Q527),"",Q521/Q527)</f>
        <v/>
      </c>
      <c r="T521" s="694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692" t="s">
        <v>216</v>
      </c>
      <c r="B522" s="654"/>
      <c r="C522" s="653">
        <f>SUM(G86,G256,G426)</f>
        <v>5080</v>
      </c>
      <c r="D522" s="654"/>
      <c r="E522" s="693">
        <f>IF(ISERROR(C522/C527),"",C522/C527)</f>
        <v>0.55775142731664473</v>
      </c>
      <c r="F522" s="694"/>
      <c r="G522" s="688"/>
      <c r="H522" s="689"/>
      <c r="I522" s="695" t="s">
        <v>302</v>
      </c>
      <c r="J522" s="696"/>
      <c r="K522" s="650">
        <f t="shared" si="238"/>
        <v>0</v>
      </c>
      <c r="L522" s="651"/>
      <c r="M522" s="693" t="str">
        <f>IF(ISERROR(K522/K527),"",K522/K527)</f>
        <v/>
      </c>
      <c r="N522" s="694"/>
      <c r="O522" s="643" t="s">
        <v>261</v>
      </c>
      <c r="P522" s="643"/>
      <c r="Q522" s="680">
        <f t="shared" si="239"/>
        <v>0</v>
      </c>
      <c r="R522" s="681"/>
      <c r="S522" s="693" t="str">
        <f>IF(ISERROR(Q522/Q527),"",Q522/Q527)</f>
        <v/>
      </c>
      <c r="T522" s="694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692" t="s">
        <v>224</v>
      </c>
      <c r="B523" s="654"/>
      <c r="C523" s="653">
        <f>SUM(G121,G291,G461)</f>
        <v>2783</v>
      </c>
      <c r="D523" s="654"/>
      <c r="E523" s="693">
        <f>IF(ISERROR(C523/C527),"",C523/C527)</f>
        <v>0.30555555555555558</v>
      </c>
      <c r="F523" s="694"/>
      <c r="G523" s="688"/>
      <c r="H523" s="689"/>
      <c r="I523" s="695" t="s">
        <v>303</v>
      </c>
      <c r="J523" s="696"/>
      <c r="K523" s="650">
        <f t="shared" si="238"/>
        <v>0</v>
      </c>
      <c r="L523" s="651"/>
      <c r="M523" s="693" t="str">
        <f>IF(ISERROR(K523/K527),"",K523/K527)</f>
        <v/>
      </c>
      <c r="N523" s="694"/>
      <c r="O523" s="643" t="s">
        <v>263</v>
      </c>
      <c r="P523" s="643"/>
      <c r="Q523" s="680">
        <f t="shared" si="239"/>
        <v>0</v>
      </c>
      <c r="R523" s="681"/>
      <c r="S523" s="693" t="str">
        <f>IF(ISERROR(Q523/Q527),"",Q523/Q527)</f>
        <v/>
      </c>
      <c r="T523" s="694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692" t="s">
        <v>231</v>
      </c>
      <c r="B524" s="654"/>
      <c r="C524" s="653">
        <f>SUM(G137,G307,G477)</f>
        <v>0</v>
      </c>
      <c r="D524" s="654"/>
      <c r="E524" s="693">
        <f>IF(ISERROR(C524/C527),"",C524/C527)</f>
        <v>0</v>
      </c>
      <c r="F524" s="694"/>
      <c r="G524" s="688"/>
      <c r="H524" s="689"/>
      <c r="I524" s="695" t="s">
        <v>304</v>
      </c>
      <c r="J524" s="696"/>
      <c r="K524" s="650">
        <f t="shared" si="238"/>
        <v>0</v>
      </c>
      <c r="L524" s="651"/>
      <c r="M524" s="693" t="str">
        <f>IF(ISERROR(K524/K527),"",K524/K527)</f>
        <v/>
      </c>
      <c r="N524" s="694"/>
      <c r="O524" s="643" t="s">
        <v>305</v>
      </c>
      <c r="P524" s="643"/>
      <c r="Q524" s="680">
        <f t="shared" si="239"/>
        <v>0</v>
      </c>
      <c r="R524" s="681"/>
      <c r="S524" s="693" t="str">
        <f>IF(ISERROR(Q524/Q527),"",Q524/Q527)</f>
        <v/>
      </c>
      <c r="T524" s="694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92" t="s">
        <v>234</v>
      </c>
      <c r="B525" s="654"/>
      <c r="C525" s="653">
        <f>SUM(G147,G317,G487)</f>
        <v>0</v>
      </c>
      <c r="D525" s="654"/>
      <c r="E525" s="693">
        <f>IF(ISERROR(C525/C527),"",C525/C527)</f>
        <v>0</v>
      </c>
      <c r="F525" s="694"/>
      <c r="G525" s="688"/>
      <c r="H525" s="689"/>
      <c r="I525" s="695" t="s">
        <v>306</v>
      </c>
      <c r="J525" s="696"/>
      <c r="K525" s="650">
        <f t="shared" si="238"/>
        <v>0</v>
      </c>
      <c r="L525" s="651"/>
      <c r="M525" s="693" t="str">
        <f>IF(ISERROR(K525/K527),"",K525/K527)</f>
        <v/>
      </c>
      <c r="N525" s="694"/>
      <c r="O525" s="643" t="s">
        <v>267</v>
      </c>
      <c r="P525" s="643"/>
      <c r="Q525" s="680">
        <f t="shared" si="239"/>
        <v>0</v>
      </c>
      <c r="R525" s="681"/>
      <c r="S525" s="693" t="str">
        <f>IF(ISERROR(Q525/Q527),"",Q525/Q527)</f>
        <v/>
      </c>
      <c r="T525" s="694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92" t="s">
        <v>244</v>
      </c>
      <c r="B526" s="654"/>
      <c r="C526" s="653">
        <f>SUM(G162,G332,G503)</f>
        <v>0</v>
      </c>
      <c r="D526" s="654"/>
      <c r="E526" s="693">
        <f>IF(ISERROR(C526/C527),"",C526/C527)</f>
        <v>0</v>
      </c>
      <c r="F526" s="694"/>
      <c r="G526" s="688"/>
      <c r="H526" s="689"/>
      <c r="I526" s="695" t="s">
        <v>307</v>
      </c>
      <c r="J526" s="696"/>
      <c r="K526" s="650">
        <f t="shared" si="238"/>
        <v>0</v>
      </c>
      <c r="L526" s="651"/>
      <c r="M526" s="693" t="str">
        <f>IF(ISERROR(K526/K527),"",K526/K527)</f>
        <v/>
      </c>
      <c r="N526" s="694"/>
      <c r="O526" s="643" t="s">
        <v>272</v>
      </c>
      <c r="P526" s="643"/>
      <c r="Q526" s="680">
        <f t="shared" si="239"/>
        <v>0</v>
      </c>
      <c r="R526" s="681"/>
      <c r="S526" s="693" t="str">
        <f>IF(ISERROR(Q526/Q527),"",Q526/Q527)</f>
        <v/>
      </c>
      <c r="T526" s="694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53" t="s">
        <v>266</v>
      </c>
      <c r="B527" s="654"/>
      <c r="C527" s="653">
        <f>SUM(C521:C526)</f>
        <v>9108</v>
      </c>
      <c r="D527" s="654"/>
      <c r="E527" s="693">
        <f>SUM(E521:F526)</f>
        <v>1</v>
      </c>
      <c r="F527" s="694"/>
      <c r="G527" s="690"/>
      <c r="H527" s="691"/>
      <c r="I527" s="653" t="s">
        <v>266</v>
      </c>
      <c r="J527" s="651"/>
      <c r="K527" s="650">
        <f>SUM(R172,U342,U513)</f>
        <v>0</v>
      </c>
      <c r="L527" s="651"/>
      <c r="M527" s="693"/>
      <c r="N527" s="694"/>
      <c r="O527" s="643" t="s">
        <v>266</v>
      </c>
      <c r="P527" s="643"/>
      <c r="Q527" s="680">
        <f>SUM(Q521:R526)</f>
        <v>0</v>
      </c>
      <c r="R527" s="681"/>
      <c r="S527" s="693">
        <f>SUM(S521:T526)</f>
        <v>0</v>
      </c>
      <c r="T527" s="694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695" t="s">
        <v>308</v>
      </c>
      <c r="B529" s="649"/>
      <c r="C529" s="590" t="s">
        <v>309</v>
      </c>
      <c r="D529" s="590" t="s">
        <v>310</v>
      </c>
      <c r="E529" s="590" t="s">
        <v>311</v>
      </c>
      <c r="F529" s="590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592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584" t="s">
        <v>322</v>
      </c>
      <c r="Q529" s="129" t="s">
        <v>323</v>
      </c>
      <c r="R529" s="109" t="s">
        <v>324</v>
      </c>
      <c r="S529" s="590" t="s">
        <v>325</v>
      </c>
      <c r="T529" s="590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697" t="s">
        <v>327</v>
      </c>
      <c r="B530" s="698"/>
      <c r="C530" s="106">
        <f>D530+E530+F530-G530-O530-P530</f>
        <v>38</v>
      </c>
      <c r="D530" s="106">
        <f>+'21'!C530</f>
        <v>38</v>
      </c>
      <c r="E530" s="106"/>
      <c r="F530" s="106"/>
      <c r="G530" s="107"/>
      <c r="H530" s="106"/>
      <c r="I530" s="106"/>
      <c r="J530" s="106">
        <f>C530-H530-I530</f>
        <v>38</v>
      </c>
      <c r="K530" s="106"/>
      <c r="L530" s="106"/>
      <c r="M530" s="106"/>
      <c r="N530" s="106"/>
      <c r="O530" s="106"/>
      <c r="P530" s="108"/>
      <c r="Q530" s="106">
        <f>J530-K530-L530</f>
        <v>38</v>
      </c>
      <c r="R530" s="109">
        <f>Q530*11-M530-N530</f>
        <v>418</v>
      </c>
      <c r="S530" s="591">
        <f t="array" ref="S530">IF(ISERROR(Q530/J530),"",Q530/J530)</f>
        <v>1</v>
      </c>
      <c r="T530" s="591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697" t="s">
        <v>328</v>
      </c>
      <c r="B531" s="698"/>
      <c r="C531" s="106">
        <f>D531+E531+F531-G531-O531-P531</f>
        <v>31</v>
      </c>
      <c r="D531" s="106">
        <f>+'21'!C531</f>
        <v>31</v>
      </c>
      <c r="E531" s="110"/>
      <c r="F531" s="110"/>
      <c r="G531" s="107"/>
      <c r="H531" s="106"/>
      <c r="I531" s="106"/>
      <c r="J531" s="106">
        <f>C531-H531-I531</f>
        <v>31</v>
      </c>
      <c r="K531" s="106">
        <v>1</v>
      </c>
      <c r="L531" s="106"/>
      <c r="M531" s="106"/>
      <c r="N531" s="106"/>
      <c r="O531" s="110"/>
      <c r="P531" s="111"/>
      <c r="Q531" s="106">
        <f>J531-K531-L531</f>
        <v>30</v>
      </c>
      <c r="R531" s="109">
        <f>Q531*11-M531-N531</f>
        <v>330</v>
      </c>
      <c r="S531" s="591">
        <f t="array" ref="S531">IF(ISERROR(Q531/J531),"",Q531/J531)</f>
        <v>0.967741935483871</v>
      </c>
      <c r="T531" s="591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697" t="s">
        <v>329</v>
      </c>
      <c r="B532" s="698"/>
      <c r="C532" s="106">
        <f>D532+E532+F532-G532-O532-P532</f>
        <v>10</v>
      </c>
      <c r="D532" s="106">
        <f>+'21'!C532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591">
        <f t="array" ref="S532">IF(ISERROR(Q532/J532),"",Q532/J532)</f>
        <v>1</v>
      </c>
      <c r="T532" s="591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699" t="s">
        <v>330</v>
      </c>
      <c r="B533" s="700"/>
      <c r="C533" s="112">
        <f>SUM(C530:C532)</f>
        <v>79</v>
      </c>
      <c r="D533" s="112">
        <f t="shared" ref="D533:N533" si="240">SUM(D530:D532)</f>
        <v>79</v>
      </c>
      <c r="E533" s="112">
        <f t="shared" si="240"/>
        <v>0</v>
      </c>
      <c r="F533" s="112">
        <f t="shared" si="240"/>
        <v>0</v>
      </c>
      <c r="G533" s="113">
        <f t="shared" si="240"/>
        <v>0</v>
      </c>
      <c r="H533" s="112">
        <f t="shared" si="240"/>
        <v>0</v>
      </c>
      <c r="I533" s="112">
        <f t="shared" si="240"/>
        <v>0</v>
      </c>
      <c r="J533" s="112">
        <f t="shared" si="240"/>
        <v>79</v>
      </c>
      <c r="K533" s="112">
        <f t="shared" si="240"/>
        <v>1</v>
      </c>
      <c r="L533" s="112">
        <f t="shared" si="240"/>
        <v>0</v>
      </c>
      <c r="M533" s="112">
        <f t="shared" si="240"/>
        <v>0</v>
      </c>
      <c r="N533" s="112">
        <f t="shared" si="240"/>
        <v>0</v>
      </c>
      <c r="O533" s="112">
        <f>SUM(O530:O532)</f>
        <v>0</v>
      </c>
      <c r="P533" s="112">
        <f>SUM(P530:P532)</f>
        <v>0</v>
      </c>
      <c r="Q533" s="112">
        <f>SUM(Q530:Q532)</f>
        <v>78</v>
      </c>
      <c r="R533" s="114">
        <f>SUM(R530:R532)</f>
        <v>858</v>
      </c>
      <c r="S533" s="115">
        <f t="array" ref="S533">IF(ISERROR(Q533/J533),"",Q533/J533)</f>
        <v>0.98734177215189878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tabSelected="1" zoomScaleNormal="100" workbookViewId="0">
      <pane xSplit="4" ySplit="6" topLeftCell="E525" activePane="bottomRight" state="frozen"/>
      <selection activeCell="F484" sqref="F484"/>
      <selection pane="topRight" activeCell="F484" sqref="F484"/>
      <selection pane="bottomLeft" activeCell="F484" sqref="F484"/>
      <selection pane="bottomRight" activeCell="I531" sqref="I531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07" t="s">
        <v>413</v>
      </c>
      <c r="B1" s="607"/>
      <c r="C1" s="607"/>
      <c r="D1" s="607"/>
      <c r="E1" s="607"/>
      <c r="F1" s="607"/>
      <c r="G1" s="607"/>
      <c r="H1" s="607"/>
      <c r="I1" s="607"/>
      <c r="J1" s="607"/>
      <c r="K1" s="607"/>
      <c r="L1" s="607"/>
      <c r="M1" s="607"/>
      <c r="N1" s="607"/>
      <c r="O1" s="607"/>
      <c r="P1" s="607"/>
      <c r="Q1" s="607"/>
      <c r="R1" s="607"/>
      <c r="S1" s="607"/>
      <c r="T1" s="607"/>
      <c r="U1" s="607"/>
      <c r="V1" s="607"/>
      <c r="W1" s="607"/>
      <c r="X1" s="607"/>
      <c r="Y1" s="607"/>
      <c r="Z1" s="607"/>
      <c r="AA1" s="607"/>
    </row>
    <row r="2" spans="1:27" ht="18.75">
      <c r="A2" s="608"/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09" t="s">
        <v>12</v>
      </c>
      <c r="B4" s="609" t="s">
        <v>25</v>
      </c>
      <c r="C4" s="609" t="s">
        <v>26</v>
      </c>
      <c r="D4" s="609" t="s">
        <v>27</v>
      </c>
      <c r="E4" s="612" t="s">
        <v>28</v>
      </c>
      <c r="F4" s="615" t="s">
        <v>29</v>
      </c>
      <c r="G4" s="618" t="s">
        <v>30</v>
      </c>
      <c r="H4" s="618"/>
      <c r="I4" s="609" t="s">
        <v>31</v>
      </c>
      <c r="J4" s="621" t="s">
        <v>32</v>
      </c>
      <c r="K4" s="624" t="s">
        <v>33</v>
      </c>
      <c r="L4" s="609" t="s">
        <v>34</v>
      </c>
      <c r="M4" s="627" t="s">
        <v>35</v>
      </c>
      <c r="N4" s="629" t="s">
        <v>36</v>
      </c>
      <c r="O4" s="618" t="s">
        <v>37</v>
      </c>
      <c r="P4" s="618"/>
      <c r="Q4" s="618"/>
      <c r="R4" s="618"/>
      <c r="S4" s="618"/>
      <c r="T4" s="618"/>
      <c r="U4" s="618"/>
      <c r="V4" s="618" t="s">
        <v>38</v>
      </c>
      <c r="W4" s="629" t="s">
        <v>39</v>
      </c>
      <c r="X4" s="618" t="s">
        <v>40</v>
      </c>
      <c r="Y4" s="618"/>
      <c r="Z4" s="618"/>
      <c r="AA4" s="618"/>
    </row>
    <row r="5" spans="1:27" s="104" customFormat="1" ht="15" customHeight="1">
      <c r="A5" s="610"/>
      <c r="B5" s="610"/>
      <c r="C5" s="610"/>
      <c r="D5" s="610"/>
      <c r="E5" s="613"/>
      <c r="F5" s="616"/>
      <c r="G5" s="618"/>
      <c r="H5" s="618"/>
      <c r="I5" s="610"/>
      <c r="J5" s="622"/>
      <c r="K5" s="625"/>
      <c r="L5" s="610"/>
      <c r="M5" s="628"/>
      <c r="N5" s="629"/>
      <c r="O5" s="618" t="s">
        <v>41</v>
      </c>
      <c r="P5" s="618" t="s">
        <v>42</v>
      </c>
      <c r="Q5" s="618" t="s">
        <v>43</v>
      </c>
      <c r="R5" s="619" t="s">
        <v>44</v>
      </c>
      <c r="S5" s="620" t="s">
        <v>45</v>
      </c>
      <c r="T5" s="618" t="s">
        <v>46</v>
      </c>
      <c r="U5" s="618" t="s">
        <v>47</v>
      </c>
      <c r="V5" s="618"/>
      <c r="W5" s="629"/>
      <c r="X5" s="618" t="s">
        <v>13</v>
      </c>
      <c r="Y5" s="618" t="s">
        <v>48</v>
      </c>
      <c r="Z5" s="618" t="s">
        <v>49</v>
      </c>
      <c r="AA5" s="618" t="s">
        <v>47</v>
      </c>
    </row>
    <row r="6" spans="1:27" s="104" customFormat="1" ht="27.75" customHeight="1">
      <c r="A6" s="611"/>
      <c r="B6" s="611"/>
      <c r="C6" s="611"/>
      <c r="D6" s="611"/>
      <c r="E6" s="614"/>
      <c r="F6" s="617"/>
      <c r="G6" s="350" t="s">
        <v>50</v>
      </c>
      <c r="H6" s="595" t="s">
        <v>51</v>
      </c>
      <c r="I6" s="611"/>
      <c r="J6" s="623"/>
      <c r="K6" s="626"/>
      <c r="L6" s="611"/>
      <c r="M6" s="628"/>
      <c r="N6" s="629"/>
      <c r="O6" s="618"/>
      <c r="P6" s="618"/>
      <c r="Q6" s="618"/>
      <c r="R6" s="619"/>
      <c r="S6" s="620"/>
      <c r="T6" s="618"/>
      <c r="U6" s="618"/>
      <c r="V6" s="618"/>
      <c r="W6" s="629"/>
      <c r="X6" s="618"/>
      <c r="Y6" s="618"/>
      <c r="Z6" s="618"/>
      <c r="AA6" s="618"/>
    </row>
    <row r="7" spans="1:27" ht="20.100000000000001" hidden="1" customHeight="1">
      <c r="A7" s="299">
        <v>30100030</v>
      </c>
      <c r="B7" s="598" t="s">
        <v>178</v>
      </c>
      <c r="C7" s="126" t="s">
        <v>179</v>
      </c>
      <c r="D7" s="108">
        <v>5.03</v>
      </c>
      <c r="E7" s="108"/>
      <c r="F7" s="127"/>
      <c r="G7" s="128"/>
      <c r="H7" s="606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597"/>
      <c r="P7" s="597"/>
      <c r="Q7" s="597"/>
      <c r="R7" s="597"/>
      <c r="S7" s="597"/>
      <c r="T7" s="597"/>
      <c r="U7" s="597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606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597"/>
      <c r="Q8" s="597"/>
      <c r="R8" s="597"/>
      <c r="S8" s="597"/>
      <c r="T8" s="597"/>
      <c r="U8" s="597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606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597"/>
      <c r="P9" s="597"/>
      <c r="Q9" s="597"/>
      <c r="R9" s="597"/>
      <c r="S9" s="597"/>
      <c r="T9" s="597"/>
      <c r="U9" s="597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606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597"/>
      <c r="P10" s="597"/>
      <c r="Q10" s="597"/>
      <c r="R10" s="597"/>
      <c r="S10" s="597"/>
      <c r="T10" s="597"/>
      <c r="U10" s="597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606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597"/>
      <c r="P11" s="597"/>
      <c r="Q11" s="597"/>
      <c r="R11" s="597"/>
      <c r="S11" s="597"/>
      <c r="T11" s="597"/>
      <c r="U11" s="597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606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597"/>
      <c r="P12" s="597"/>
      <c r="Q12" s="597"/>
      <c r="R12" s="597"/>
      <c r="S12" s="597"/>
      <c r="T12" s="597"/>
      <c r="U12" s="597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606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597"/>
      <c r="P13" s="597"/>
      <c r="Q13" s="597"/>
      <c r="R13" s="597"/>
      <c r="S13" s="597"/>
      <c r="T13" s="597"/>
      <c r="U13" s="597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606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597"/>
      <c r="P14" s="597"/>
      <c r="Q14" s="597"/>
      <c r="R14" s="597"/>
      <c r="S14" s="597"/>
      <c r="T14" s="597"/>
      <c r="U14" s="597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606">
        <f t="shared" si="0"/>
        <v>0</v>
      </c>
      <c r="I15" s="606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597"/>
      <c r="P15" s="597"/>
      <c r="Q15" s="597"/>
      <c r="R15" s="597"/>
      <c r="S15" s="597"/>
      <c r="T15" s="597"/>
      <c r="U15" s="597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606">
        <f t="shared" si="0"/>
        <v>0</v>
      </c>
      <c r="I16" s="606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597"/>
      <c r="P16" s="597"/>
      <c r="Q16" s="597"/>
      <c r="R16" s="597"/>
      <c r="S16" s="597"/>
      <c r="T16" s="597"/>
      <c r="U16" s="597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606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597"/>
      <c r="P17" s="597"/>
      <c r="Q17" s="597"/>
      <c r="R17" s="597"/>
      <c r="S17" s="597"/>
      <c r="T17" s="597"/>
      <c r="U17" s="597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606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597"/>
      <c r="P18" s="597"/>
      <c r="Q18" s="597"/>
      <c r="R18" s="597"/>
      <c r="S18" s="597"/>
      <c r="T18" s="597"/>
      <c r="U18" s="597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606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597"/>
      <c r="P19" s="597"/>
      <c r="Q19" s="597"/>
      <c r="R19" s="597"/>
      <c r="S19" s="597"/>
      <c r="T19" s="597"/>
      <c r="U19" s="597"/>
      <c r="V19" s="132">
        <f t="shared" ref="V19:V21" si="5">SUM(X19:AA19)</f>
        <v>0</v>
      </c>
      <c r="W19" s="600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606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597"/>
      <c r="P20" s="597"/>
      <c r="Q20" s="597"/>
      <c r="R20" s="597"/>
      <c r="S20" s="597"/>
      <c r="T20" s="597"/>
      <c r="U20" s="597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>
        <v>42727</v>
      </c>
      <c r="G21" s="128">
        <v>49</v>
      </c>
      <c r="H21" s="606">
        <f t="shared" si="0"/>
        <v>249.41</v>
      </c>
      <c r="I21" s="129">
        <f>1*5</f>
        <v>5</v>
      </c>
      <c r="J21" s="130">
        <f t="array" ref="J21">IF(ISERROR(G21/I21),"",G21/I21)</f>
        <v>9.8000000000000007</v>
      </c>
      <c r="K21" s="131">
        <f t="array" ref="K21">IF(ISERROR(G21/L21),"",G21/L21)</f>
        <v>2.1304347826086958</v>
      </c>
      <c r="L21" s="129">
        <v>23</v>
      </c>
      <c r="M21" s="109">
        <f t="shared" si="1"/>
        <v>2.8695652173913042</v>
      </c>
      <c r="N21" s="130">
        <f t="shared" si="4"/>
        <v>0</v>
      </c>
      <c r="O21" s="597"/>
      <c r="P21" s="597"/>
      <c r="Q21" s="597"/>
      <c r="R21" s="597"/>
      <c r="S21" s="597"/>
      <c r="T21" s="597"/>
      <c r="U21" s="597"/>
      <c r="V21" s="132">
        <f t="shared" si="5"/>
        <v>0</v>
      </c>
      <c r="W21" s="133">
        <f t="shared" si="6"/>
        <v>0</v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596" t="s">
        <v>190</v>
      </c>
      <c r="D22" s="108">
        <v>4.8</v>
      </c>
      <c r="E22" s="108"/>
      <c r="F22" s="127"/>
      <c r="G22" s="128"/>
      <c r="H22" s="606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597"/>
      <c r="P22" s="597"/>
      <c r="Q22" s="597"/>
      <c r="R22" s="597"/>
      <c r="S22" s="597"/>
      <c r="T22" s="597"/>
      <c r="U22" s="597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596" t="s">
        <v>187</v>
      </c>
      <c r="D23" s="108">
        <v>4.8</v>
      </c>
      <c r="E23" s="108"/>
      <c r="F23" s="127"/>
      <c r="G23" s="128"/>
      <c r="H23" s="606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597"/>
      <c r="P23" s="597"/>
      <c r="Q23" s="597"/>
      <c r="R23" s="597"/>
      <c r="S23" s="597"/>
      <c r="T23" s="597"/>
      <c r="U23" s="597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596" t="s">
        <v>179</v>
      </c>
      <c r="D24" s="108">
        <v>4.8</v>
      </c>
      <c r="E24" s="108"/>
      <c r="F24" s="127"/>
      <c r="G24" s="128"/>
      <c r="H24" s="606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597"/>
      <c r="P24" s="597"/>
      <c r="Q24" s="597"/>
      <c r="R24" s="597"/>
      <c r="S24" s="597"/>
      <c r="T24" s="597"/>
      <c r="U24" s="597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596" t="s">
        <v>199</v>
      </c>
      <c r="D25" s="108">
        <v>4.8</v>
      </c>
      <c r="E25" s="108"/>
      <c r="F25" s="127"/>
      <c r="G25" s="128"/>
      <c r="H25" s="606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597"/>
      <c r="P25" s="597"/>
      <c r="Q25" s="597"/>
      <c r="R25" s="597"/>
      <c r="S25" s="597"/>
      <c r="T25" s="597"/>
      <c r="U25" s="597"/>
      <c r="V25" s="132"/>
      <c r="W25" s="133"/>
      <c r="X25" s="132"/>
      <c r="Y25" s="132"/>
      <c r="Z25" s="132"/>
      <c r="AA25" s="132"/>
    </row>
    <row r="26" spans="1:27" ht="20.10000000000000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>
        <v>42727</v>
      </c>
      <c r="G26" s="128">
        <f>100*2+60+26+100</f>
        <v>386</v>
      </c>
      <c r="H26" s="606">
        <f t="shared" si="0"/>
        <v>1926.14</v>
      </c>
      <c r="I26" s="129">
        <f>2*6+2.5*5</f>
        <v>24.5</v>
      </c>
      <c r="J26" s="130">
        <f t="array" ref="J26">IF(ISERROR(G26/I26),"",G26/I26)</f>
        <v>15.755102040816327</v>
      </c>
      <c r="K26" s="131">
        <f t="array" ref="K26">IF(ISERROR(G26/L26),"",G26/L26)</f>
        <v>16.425531914893618</v>
      </c>
      <c r="L26" s="129">
        <v>23.5</v>
      </c>
      <c r="M26" s="109">
        <f t="shared" si="1"/>
        <v>8.0744680851063819</v>
      </c>
      <c r="N26" s="130">
        <f t="shared" ref="N26:N27" si="7">SUM(O26:U26)</f>
        <v>0</v>
      </c>
      <c r="O26" s="597"/>
      <c r="P26" s="597"/>
      <c r="Q26" s="597"/>
      <c r="R26" s="597"/>
      <c r="S26" s="597"/>
      <c r="T26" s="597"/>
      <c r="U26" s="597"/>
      <c r="V26" s="132">
        <f t="shared" ref="V26:V27" si="8">SUM(X26:AA26)</f>
        <v>0</v>
      </c>
      <c r="W26" s="133">
        <f t="shared" ref="W26:W29" si="9">IF(ISERROR(V26/G26),"",V26/G26)</f>
        <v>0</v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606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597"/>
      <c r="P27" s="597"/>
      <c r="Q27" s="597"/>
      <c r="R27" s="597"/>
      <c r="S27" s="597"/>
      <c r="T27" s="597"/>
      <c r="U27" s="597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30" t="s">
        <v>201</v>
      </c>
      <c r="B28" s="631"/>
      <c r="C28" s="604" t="s">
        <v>202</v>
      </c>
      <c r="D28" s="143"/>
      <c r="E28" s="143"/>
      <c r="F28" s="144"/>
      <c r="G28" s="145">
        <f>SUM(G7:G27)</f>
        <v>435</v>
      </c>
      <c r="H28" s="146">
        <f>SUM(H7:H27)</f>
        <v>2175.5500000000002</v>
      </c>
      <c r="I28" s="146">
        <f>SUM(I7:I27)</f>
        <v>29.5</v>
      </c>
      <c r="J28" s="130">
        <f t="array" ref="J28">IF(ISERROR(G28/I28),"",G28/I28)</f>
        <v>14.745762711864407</v>
      </c>
      <c r="K28" s="146">
        <f>SUM(K7:K27)</f>
        <v>18.555966697502313</v>
      </c>
      <c r="L28" s="147"/>
      <c r="M28" s="146">
        <f t="shared" ref="M28:V28" si="10">SUM(M7:M27)</f>
        <v>10.944033302497687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598" t="s">
        <v>206</v>
      </c>
      <c r="C29" s="126" t="s">
        <v>199</v>
      </c>
      <c r="D29" s="108">
        <v>5.03</v>
      </c>
      <c r="E29" s="108"/>
      <c r="F29" s="127"/>
      <c r="G29" s="128"/>
      <c r="H29" s="606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601"/>
      <c r="P29" s="601"/>
      <c r="Q29" s="601"/>
      <c r="R29" s="601"/>
      <c r="S29" s="601"/>
      <c r="T29" s="601"/>
      <c r="U29" s="601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598" t="s">
        <v>425</v>
      </c>
      <c r="C30" s="187" t="s">
        <v>427</v>
      </c>
      <c r="D30" s="108">
        <v>5.03</v>
      </c>
      <c r="E30" s="108"/>
      <c r="F30" s="127"/>
      <c r="G30" s="128"/>
      <c r="H30" s="606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601"/>
      <c r="P30" s="601"/>
      <c r="Q30" s="601"/>
      <c r="R30" s="601"/>
      <c r="S30" s="601"/>
      <c r="T30" s="601"/>
      <c r="U30" s="601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598" t="s">
        <v>206</v>
      </c>
      <c r="C31" s="126" t="s">
        <v>186</v>
      </c>
      <c r="D31" s="108">
        <v>5.03</v>
      </c>
      <c r="E31" s="108"/>
      <c r="F31" s="127"/>
      <c r="G31" s="128"/>
      <c r="H31" s="606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601"/>
      <c r="P31" s="601"/>
      <c r="Q31" s="601"/>
      <c r="R31" s="601"/>
      <c r="S31" s="601"/>
      <c r="T31" s="601"/>
      <c r="U31" s="601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598" t="s">
        <v>206</v>
      </c>
      <c r="C32" s="126" t="s">
        <v>203</v>
      </c>
      <c r="D32" s="108">
        <v>5.03</v>
      </c>
      <c r="E32" s="108"/>
      <c r="F32" s="127"/>
      <c r="G32" s="128"/>
      <c r="H32" s="606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601"/>
      <c r="P32" s="601"/>
      <c r="Q32" s="601"/>
      <c r="R32" s="601"/>
      <c r="S32" s="601"/>
      <c r="T32" s="601"/>
      <c r="U32" s="601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598" t="s">
        <v>206</v>
      </c>
      <c r="C33" s="126" t="s">
        <v>207</v>
      </c>
      <c r="D33" s="108">
        <v>5.03</v>
      </c>
      <c r="E33" s="108"/>
      <c r="F33" s="127"/>
      <c r="G33" s="128"/>
      <c r="H33" s="606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601"/>
      <c r="P33" s="601"/>
      <c r="Q33" s="601"/>
      <c r="R33" s="601"/>
      <c r="S33" s="601"/>
      <c r="T33" s="601"/>
      <c r="U33" s="601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598" t="s">
        <v>414</v>
      </c>
      <c r="C34" s="187" t="s">
        <v>415</v>
      </c>
      <c r="D34" s="108">
        <v>5.03</v>
      </c>
      <c r="E34" s="108"/>
      <c r="F34" s="127"/>
      <c r="G34" s="128"/>
      <c r="H34" s="606">
        <f t="shared" si="11"/>
        <v>0</v>
      </c>
      <c r="I34" s="129"/>
      <c r="J34" s="130"/>
      <c r="K34" s="131"/>
      <c r="L34" s="129">
        <v>52</v>
      </c>
      <c r="M34" s="109"/>
      <c r="N34" s="130"/>
      <c r="O34" s="601"/>
      <c r="P34" s="601"/>
      <c r="Q34" s="601"/>
      <c r="R34" s="601"/>
      <c r="S34" s="601"/>
      <c r="T34" s="601"/>
      <c r="U34" s="601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598" t="s">
        <v>414</v>
      </c>
      <c r="C35" s="187" t="s">
        <v>416</v>
      </c>
      <c r="D35" s="108">
        <v>5.03</v>
      </c>
      <c r="E35" s="108"/>
      <c r="F35" s="127"/>
      <c r="G35" s="128"/>
      <c r="H35" s="606">
        <f t="shared" si="11"/>
        <v>0</v>
      </c>
      <c r="I35" s="129"/>
      <c r="J35" s="130"/>
      <c r="K35" s="131"/>
      <c r="L35" s="129">
        <v>52</v>
      </c>
      <c r="M35" s="109"/>
      <c r="N35" s="130"/>
      <c r="O35" s="601"/>
      <c r="P35" s="601"/>
      <c r="Q35" s="601"/>
      <c r="R35" s="601"/>
      <c r="S35" s="601"/>
      <c r="T35" s="601"/>
      <c r="U35" s="601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598" t="s">
        <v>414</v>
      </c>
      <c r="C36" s="187" t="s">
        <v>61</v>
      </c>
      <c r="D36" s="108">
        <v>5.03</v>
      </c>
      <c r="E36" s="108"/>
      <c r="F36" s="127"/>
      <c r="G36" s="128"/>
      <c r="H36" s="606">
        <f t="shared" si="11"/>
        <v>0</v>
      </c>
      <c r="I36" s="129"/>
      <c r="J36" s="130"/>
      <c r="K36" s="131"/>
      <c r="L36" s="129">
        <v>52</v>
      </c>
      <c r="M36" s="109"/>
      <c r="N36" s="130"/>
      <c r="O36" s="601"/>
      <c r="P36" s="601"/>
      <c r="Q36" s="601"/>
      <c r="R36" s="601"/>
      <c r="S36" s="601"/>
      <c r="T36" s="601"/>
      <c r="U36" s="601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598" t="s">
        <v>208</v>
      </c>
      <c r="C37" s="126" t="s">
        <v>179</v>
      </c>
      <c r="D37" s="108">
        <v>5.08</v>
      </c>
      <c r="E37" s="108"/>
      <c r="F37" s="127"/>
      <c r="G37" s="128"/>
      <c r="H37" s="606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601"/>
      <c r="P37" s="601"/>
      <c r="Q37" s="601"/>
      <c r="R37" s="601"/>
      <c r="S37" s="601"/>
      <c r="T37" s="601"/>
      <c r="U37" s="601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598" t="s">
        <v>208</v>
      </c>
      <c r="C38" s="126" t="s">
        <v>204</v>
      </c>
      <c r="D38" s="108">
        <v>5.08</v>
      </c>
      <c r="E38" s="108"/>
      <c r="F38" s="127"/>
      <c r="G38" s="128"/>
      <c r="H38" s="606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601"/>
      <c r="P38" s="601"/>
      <c r="Q38" s="601"/>
      <c r="R38" s="601"/>
      <c r="S38" s="601"/>
      <c r="T38" s="601"/>
      <c r="U38" s="601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598" t="s">
        <v>208</v>
      </c>
      <c r="C39" s="126" t="s">
        <v>205</v>
      </c>
      <c r="D39" s="108">
        <v>5.08</v>
      </c>
      <c r="E39" s="108"/>
      <c r="F39" s="127"/>
      <c r="G39" s="128"/>
      <c r="H39" s="606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601"/>
      <c r="P39" s="601"/>
      <c r="Q39" s="601"/>
      <c r="R39" s="601"/>
      <c r="S39" s="601"/>
      <c r="T39" s="601"/>
      <c r="U39" s="601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598" t="s">
        <v>208</v>
      </c>
      <c r="C40" s="126" t="s">
        <v>186</v>
      </c>
      <c r="D40" s="108">
        <v>5.08</v>
      </c>
      <c r="E40" s="108"/>
      <c r="F40" s="127"/>
      <c r="G40" s="128"/>
      <c r="H40" s="606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601"/>
      <c r="P40" s="601"/>
      <c r="Q40" s="601"/>
      <c r="R40" s="601"/>
      <c r="S40" s="601"/>
      <c r="T40" s="601"/>
      <c r="U40" s="601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598" t="s">
        <v>208</v>
      </c>
      <c r="C41" s="126" t="s">
        <v>203</v>
      </c>
      <c r="D41" s="108">
        <v>5.08</v>
      </c>
      <c r="E41" s="108"/>
      <c r="F41" s="127"/>
      <c r="G41" s="128"/>
      <c r="H41" s="606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601"/>
      <c r="P41" s="601"/>
      <c r="Q41" s="601"/>
      <c r="R41" s="601"/>
      <c r="S41" s="601"/>
      <c r="T41" s="601"/>
      <c r="U41" s="601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598" t="s">
        <v>208</v>
      </c>
      <c r="C42" s="126" t="s">
        <v>199</v>
      </c>
      <c r="D42" s="108">
        <v>5.08</v>
      </c>
      <c r="E42" s="108"/>
      <c r="F42" s="127"/>
      <c r="G42" s="128"/>
      <c r="H42" s="606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597"/>
      <c r="P42" s="597"/>
      <c r="Q42" s="597"/>
      <c r="R42" s="597"/>
      <c r="S42" s="597"/>
      <c r="T42" s="597"/>
      <c r="U42" s="597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598" t="s">
        <v>208</v>
      </c>
      <c r="C43" s="126" t="s">
        <v>187</v>
      </c>
      <c r="D43" s="108">
        <v>5.08</v>
      </c>
      <c r="E43" s="108"/>
      <c r="F43" s="127"/>
      <c r="G43" s="128"/>
      <c r="H43" s="606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601"/>
      <c r="P43" s="601"/>
      <c r="Q43" s="601"/>
      <c r="R43" s="601"/>
      <c r="S43" s="601"/>
      <c r="T43" s="601"/>
      <c r="U43" s="601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598" t="s">
        <v>208</v>
      </c>
      <c r="C44" s="126" t="s">
        <v>207</v>
      </c>
      <c r="D44" s="108">
        <v>5.08</v>
      </c>
      <c r="E44" s="108"/>
      <c r="F44" s="127"/>
      <c r="G44" s="128"/>
      <c r="H44" s="606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597"/>
      <c r="P44" s="597"/>
      <c r="Q44" s="597"/>
      <c r="R44" s="597"/>
      <c r="S44" s="597"/>
      <c r="T44" s="597"/>
      <c r="U44" s="597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598" t="s">
        <v>209</v>
      </c>
      <c r="C45" s="126" t="s">
        <v>194</v>
      </c>
      <c r="D45" s="108">
        <v>5.03</v>
      </c>
      <c r="E45" s="108"/>
      <c r="F45" s="127"/>
      <c r="G45" s="128"/>
      <c r="H45" s="606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601"/>
      <c r="P45" s="601"/>
      <c r="Q45" s="601"/>
      <c r="R45" s="601"/>
      <c r="S45" s="601"/>
      <c r="T45" s="601"/>
      <c r="U45" s="601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customHeight="1">
      <c r="A46" s="300">
        <v>30100033</v>
      </c>
      <c r="B46" s="598" t="s">
        <v>209</v>
      </c>
      <c r="C46" s="126" t="s">
        <v>179</v>
      </c>
      <c r="D46" s="108">
        <v>5.03</v>
      </c>
      <c r="E46" s="108"/>
      <c r="F46" s="127">
        <v>42727</v>
      </c>
      <c r="G46" s="128">
        <f>108*9+114</f>
        <v>1086</v>
      </c>
      <c r="H46" s="606">
        <f t="shared" si="11"/>
        <v>5462.58</v>
      </c>
      <c r="I46" s="129">
        <v>11.5</v>
      </c>
      <c r="J46" s="130">
        <f t="array" ref="J46">IF(ISERROR(G46/I46),"",G46/I46)</f>
        <v>94.434782608695656</v>
      </c>
      <c r="K46" s="131">
        <f t="array" ref="K46">IF(ISERROR(G46/L46),"",G46/L46)</f>
        <v>19.392857142857142</v>
      </c>
      <c r="L46" s="129">
        <v>56</v>
      </c>
      <c r="M46" s="109">
        <f t="shared" si="19"/>
        <v>-7.8928571428571423</v>
      </c>
      <c r="N46" s="130">
        <f t="shared" si="20"/>
        <v>0</v>
      </c>
      <c r="O46" s="601"/>
      <c r="P46" s="601"/>
      <c r="Q46" s="601"/>
      <c r="R46" s="601"/>
      <c r="S46" s="601"/>
      <c r="T46" s="601"/>
      <c r="U46" s="601"/>
      <c r="V46" s="132">
        <f t="shared" si="21"/>
        <v>0</v>
      </c>
      <c r="W46" s="133">
        <f t="shared" si="22"/>
        <v>0</v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598" t="s">
        <v>209</v>
      </c>
      <c r="C47" s="126" t="s">
        <v>195</v>
      </c>
      <c r="D47" s="108">
        <v>5.03</v>
      </c>
      <c r="E47" s="108"/>
      <c r="F47" s="127"/>
      <c r="G47" s="128"/>
      <c r="H47" s="606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601"/>
      <c r="P47" s="601"/>
      <c r="Q47" s="601"/>
      <c r="R47" s="601"/>
      <c r="S47" s="601"/>
      <c r="T47" s="601"/>
      <c r="U47" s="601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598" t="s">
        <v>209</v>
      </c>
      <c r="C48" s="126" t="s">
        <v>204</v>
      </c>
      <c r="D48" s="108">
        <v>5.03</v>
      </c>
      <c r="E48" s="108"/>
      <c r="F48" s="127"/>
      <c r="G48" s="128"/>
      <c r="H48" s="606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601"/>
      <c r="P48" s="601"/>
      <c r="Q48" s="601"/>
      <c r="R48" s="601"/>
      <c r="S48" s="601"/>
      <c r="T48" s="601"/>
      <c r="U48" s="601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598" t="s">
        <v>382</v>
      </c>
      <c r="C49" s="187" t="s">
        <v>383</v>
      </c>
      <c r="D49" s="108">
        <v>5.03</v>
      </c>
      <c r="E49" s="108"/>
      <c r="F49" s="127"/>
      <c r="G49" s="128"/>
      <c r="H49" s="606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601"/>
      <c r="P49" s="601"/>
      <c r="Q49" s="601"/>
      <c r="R49" s="601"/>
      <c r="S49" s="601"/>
      <c r="T49" s="601"/>
      <c r="U49" s="601"/>
      <c r="V49" s="132"/>
      <c r="W49" s="133"/>
      <c r="X49" s="132"/>
      <c r="Y49" s="132"/>
      <c r="Z49" s="132"/>
      <c r="AA49" s="132"/>
    </row>
    <row r="50" spans="1:27" ht="20.100000000000001" customHeight="1">
      <c r="A50" s="300">
        <v>30100020</v>
      </c>
      <c r="B50" s="598" t="s">
        <v>382</v>
      </c>
      <c r="C50" s="187" t="s">
        <v>384</v>
      </c>
      <c r="D50" s="108">
        <v>5.03</v>
      </c>
      <c r="E50" s="108"/>
      <c r="F50" s="127">
        <v>42725</v>
      </c>
      <c r="G50" s="128">
        <v>90</v>
      </c>
      <c r="H50" s="606">
        <f t="shared" si="11"/>
        <v>452.70000000000005</v>
      </c>
      <c r="I50" s="129">
        <v>2</v>
      </c>
      <c r="J50" s="130">
        <f t="array" ref="J50">IF(ISERROR(G50/I50),"",G50/I50)</f>
        <v>45</v>
      </c>
      <c r="K50" s="131">
        <f t="array" ref="K50">IF(ISERROR(G50/L50),"",G50/L50)</f>
        <v>1.6666666666666667</v>
      </c>
      <c r="L50" s="129">
        <v>54</v>
      </c>
      <c r="M50" s="109">
        <f t="shared" si="19"/>
        <v>0.33333333333333326</v>
      </c>
      <c r="N50" s="130">
        <f t="shared" si="20"/>
        <v>0</v>
      </c>
      <c r="O50" s="601"/>
      <c r="P50" s="601"/>
      <c r="Q50" s="601"/>
      <c r="R50" s="601"/>
      <c r="S50" s="601"/>
      <c r="T50" s="601"/>
      <c r="U50" s="601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598" t="s">
        <v>382</v>
      </c>
      <c r="C51" s="187" t="s">
        <v>389</v>
      </c>
      <c r="D51" s="108">
        <v>5.03</v>
      </c>
      <c r="E51" s="108"/>
      <c r="F51" s="127"/>
      <c r="G51" s="128"/>
      <c r="H51" s="606">
        <f t="shared" si="11"/>
        <v>0</v>
      </c>
      <c r="I51" s="129"/>
      <c r="J51" s="130" t="str">
        <f t="array" ref="J51">IF(ISERROR(G51/I51),"",G51/I51)</f>
        <v/>
      </c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601"/>
      <c r="P51" s="601"/>
      <c r="Q51" s="601"/>
      <c r="R51" s="601"/>
      <c r="S51" s="601"/>
      <c r="T51" s="601"/>
      <c r="U51" s="601"/>
      <c r="V51" s="132"/>
      <c r="W51" s="133"/>
      <c r="X51" s="132"/>
      <c r="Y51" s="132"/>
      <c r="Z51" s="132"/>
      <c r="AA51" s="132"/>
    </row>
    <row r="52" spans="1:27" ht="20.100000000000001" customHeight="1">
      <c r="A52" s="300">
        <v>30100018</v>
      </c>
      <c r="B52" s="598" t="s">
        <v>382</v>
      </c>
      <c r="C52" s="187" t="s">
        <v>391</v>
      </c>
      <c r="D52" s="108">
        <v>5.03</v>
      </c>
      <c r="E52" s="108"/>
      <c r="F52" s="127">
        <v>42725</v>
      </c>
      <c r="G52" s="128">
        <f>90*12+73</f>
        <v>1153</v>
      </c>
      <c r="H52" s="606">
        <f t="shared" si="11"/>
        <v>5799.59</v>
      </c>
      <c r="I52" s="129">
        <v>11.5</v>
      </c>
      <c r="J52" s="130">
        <f t="array" ref="J52">IF(ISERROR(G52/I52),"",G52/I52)</f>
        <v>100.26086956521739</v>
      </c>
      <c r="K52" s="131">
        <f t="array" ref="K52">IF(ISERROR(G52/L52),"",G52/L52)</f>
        <v>21.351851851851851</v>
      </c>
      <c r="L52" s="129">
        <v>54</v>
      </c>
      <c r="M52" s="109">
        <f t="shared" si="19"/>
        <v>-9.8518518518518512</v>
      </c>
      <c r="N52" s="130">
        <f t="shared" si="20"/>
        <v>0</v>
      </c>
      <c r="O52" s="601"/>
      <c r="P52" s="601"/>
      <c r="Q52" s="601"/>
      <c r="R52" s="601"/>
      <c r="S52" s="601"/>
      <c r="T52" s="601"/>
      <c r="U52" s="601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598" t="s">
        <v>418</v>
      </c>
      <c r="C53" s="187" t="s">
        <v>364</v>
      </c>
      <c r="D53" s="108">
        <v>5.03</v>
      </c>
      <c r="E53" s="108"/>
      <c r="F53" s="127"/>
      <c r="G53" s="128"/>
      <c r="H53" s="606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601"/>
      <c r="P53" s="601"/>
      <c r="Q53" s="601"/>
      <c r="R53" s="601"/>
      <c r="S53" s="601"/>
      <c r="T53" s="601"/>
      <c r="U53" s="601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598" t="s">
        <v>418</v>
      </c>
      <c r="C54" s="187" t="s">
        <v>365</v>
      </c>
      <c r="D54" s="108">
        <v>5.03</v>
      </c>
      <c r="E54" s="108"/>
      <c r="F54" s="127"/>
      <c r="G54" s="128"/>
      <c r="H54" s="606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601"/>
      <c r="P54" s="601"/>
      <c r="Q54" s="601"/>
      <c r="R54" s="601"/>
      <c r="S54" s="601"/>
      <c r="T54" s="601"/>
      <c r="U54" s="601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598" t="s">
        <v>418</v>
      </c>
      <c r="C55" s="187" t="s">
        <v>366</v>
      </c>
      <c r="D55" s="108">
        <v>5.03</v>
      </c>
      <c r="E55" s="108"/>
      <c r="F55" s="127"/>
      <c r="G55" s="128"/>
      <c r="H55" s="606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601"/>
      <c r="P55" s="601"/>
      <c r="Q55" s="601"/>
      <c r="R55" s="601"/>
      <c r="S55" s="601"/>
      <c r="T55" s="601"/>
      <c r="U55" s="601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598" t="s">
        <v>418</v>
      </c>
      <c r="C56" s="187" t="s">
        <v>367</v>
      </c>
      <c r="D56" s="108">
        <v>5.03</v>
      </c>
      <c r="E56" s="108"/>
      <c r="F56" s="127"/>
      <c r="G56" s="128"/>
      <c r="H56" s="606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601"/>
      <c r="P56" s="601"/>
      <c r="Q56" s="601"/>
      <c r="R56" s="601"/>
      <c r="S56" s="601"/>
      <c r="T56" s="601"/>
      <c r="U56" s="601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606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597"/>
      <c r="P57" s="597"/>
      <c r="Q57" s="597"/>
      <c r="R57" s="597"/>
      <c r="S57" s="597"/>
      <c r="T57" s="597"/>
      <c r="U57" s="597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606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597"/>
      <c r="P58" s="597"/>
      <c r="Q58" s="597"/>
      <c r="R58" s="597"/>
      <c r="S58" s="597"/>
      <c r="T58" s="597"/>
      <c r="U58" s="597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606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597"/>
      <c r="P59" s="597"/>
      <c r="Q59" s="597"/>
      <c r="R59" s="597"/>
      <c r="S59" s="597"/>
      <c r="T59" s="597"/>
      <c r="U59" s="597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606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597"/>
      <c r="P60" s="597"/>
      <c r="Q60" s="597"/>
      <c r="R60" s="597"/>
      <c r="S60" s="597"/>
      <c r="T60" s="597"/>
      <c r="U60" s="597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606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597"/>
      <c r="P61" s="597"/>
      <c r="Q61" s="597"/>
      <c r="R61" s="597"/>
      <c r="S61" s="597"/>
      <c r="T61" s="597"/>
      <c r="U61" s="597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606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597"/>
      <c r="P62" s="597"/>
      <c r="Q62" s="597"/>
      <c r="R62" s="597"/>
      <c r="S62" s="597"/>
      <c r="T62" s="597"/>
      <c r="U62" s="597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606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597"/>
      <c r="P63" s="597"/>
      <c r="Q63" s="597"/>
      <c r="R63" s="597"/>
      <c r="S63" s="597"/>
      <c r="T63" s="597"/>
      <c r="U63" s="597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606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597"/>
      <c r="P64" s="597"/>
      <c r="Q64" s="597"/>
      <c r="R64" s="597"/>
      <c r="S64" s="597"/>
      <c r="T64" s="597"/>
      <c r="U64" s="597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606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597"/>
      <c r="P65" s="597"/>
      <c r="Q65" s="597"/>
      <c r="R65" s="597"/>
      <c r="S65" s="597"/>
      <c r="T65" s="597"/>
      <c r="U65" s="597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606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597"/>
      <c r="P66" s="597"/>
      <c r="Q66" s="597"/>
      <c r="R66" s="597"/>
      <c r="S66" s="597"/>
      <c r="T66" s="597"/>
      <c r="U66" s="597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606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597"/>
      <c r="P67" s="597"/>
      <c r="Q67" s="597"/>
      <c r="R67" s="597"/>
      <c r="S67" s="597"/>
      <c r="T67" s="597"/>
      <c r="U67" s="597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606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597"/>
      <c r="P68" s="597"/>
      <c r="Q68" s="597"/>
      <c r="R68" s="597"/>
      <c r="S68" s="597"/>
      <c r="T68" s="597"/>
      <c r="U68" s="597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606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597"/>
      <c r="P69" s="597"/>
      <c r="Q69" s="597"/>
      <c r="R69" s="597"/>
      <c r="S69" s="597"/>
      <c r="T69" s="597"/>
      <c r="U69" s="597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606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597"/>
      <c r="P70" s="597"/>
      <c r="Q70" s="597"/>
      <c r="R70" s="597"/>
      <c r="S70" s="597"/>
      <c r="T70" s="597"/>
      <c r="U70" s="597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606">
        <f t="shared" si="11"/>
        <v>0</v>
      </c>
      <c r="I71" s="129"/>
      <c r="J71" s="130"/>
      <c r="K71" s="131"/>
      <c r="L71" s="129"/>
      <c r="M71" s="109"/>
      <c r="N71" s="130"/>
      <c r="O71" s="597"/>
      <c r="P71" s="597"/>
      <c r="Q71" s="597"/>
      <c r="R71" s="597"/>
      <c r="S71" s="597"/>
      <c r="T71" s="597"/>
      <c r="U71" s="597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606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597"/>
      <c r="P72" s="597"/>
      <c r="Q72" s="597"/>
      <c r="R72" s="597"/>
      <c r="S72" s="597"/>
      <c r="T72" s="597"/>
      <c r="U72" s="597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606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597"/>
      <c r="P73" s="597"/>
      <c r="Q73" s="597"/>
      <c r="R73" s="597"/>
      <c r="S73" s="597"/>
      <c r="T73" s="597"/>
      <c r="U73" s="597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606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597"/>
      <c r="P74" s="597"/>
      <c r="Q74" s="597"/>
      <c r="R74" s="597"/>
      <c r="S74" s="597"/>
      <c r="T74" s="597"/>
      <c r="U74" s="597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606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597"/>
      <c r="P75" s="597"/>
      <c r="Q75" s="597"/>
      <c r="R75" s="597"/>
      <c r="S75" s="597"/>
      <c r="T75" s="597"/>
      <c r="U75" s="597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606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597"/>
      <c r="P76" s="597"/>
      <c r="Q76" s="597"/>
      <c r="R76" s="597"/>
      <c r="S76" s="597"/>
      <c r="T76" s="597"/>
      <c r="U76" s="597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606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597"/>
      <c r="P77" s="597"/>
      <c r="Q77" s="597"/>
      <c r="R77" s="597"/>
      <c r="S77" s="597"/>
      <c r="T77" s="597"/>
      <c r="U77" s="597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606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597"/>
      <c r="P78" s="597"/>
      <c r="Q78" s="597"/>
      <c r="R78" s="597"/>
      <c r="S78" s="597"/>
      <c r="T78" s="597"/>
      <c r="U78" s="597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606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597"/>
      <c r="P79" s="597"/>
      <c r="Q79" s="597"/>
      <c r="R79" s="597"/>
      <c r="S79" s="597"/>
      <c r="T79" s="597"/>
      <c r="U79" s="597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606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597"/>
      <c r="P80" s="597"/>
      <c r="Q80" s="597"/>
      <c r="R80" s="597"/>
      <c r="S80" s="597"/>
      <c r="T80" s="597"/>
      <c r="U80" s="597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606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597"/>
      <c r="P81" s="597"/>
      <c r="Q81" s="597"/>
      <c r="R81" s="597"/>
      <c r="S81" s="597"/>
      <c r="T81" s="597"/>
      <c r="U81" s="597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606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597"/>
      <c r="P82" s="597"/>
      <c r="Q82" s="597"/>
      <c r="R82" s="597"/>
      <c r="S82" s="597"/>
      <c r="T82" s="597"/>
      <c r="U82" s="597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606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597"/>
      <c r="P83" s="597"/>
      <c r="Q83" s="597"/>
      <c r="R83" s="597"/>
      <c r="S83" s="597"/>
      <c r="T83" s="597"/>
      <c r="U83" s="597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606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597"/>
      <c r="P84" s="597"/>
      <c r="Q84" s="597"/>
      <c r="R84" s="597"/>
      <c r="S84" s="597"/>
      <c r="T84" s="597"/>
      <c r="U84" s="597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606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597"/>
      <c r="P85" s="597"/>
      <c r="Q85" s="597"/>
      <c r="R85" s="597"/>
      <c r="S85" s="597"/>
      <c r="T85" s="597"/>
      <c r="U85" s="597"/>
      <c r="V85" s="132"/>
      <c r="W85" s="133"/>
      <c r="X85" s="132"/>
      <c r="Y85" s="132"/>
      <c r="Z85" s="132"/>
      <c r="AA85" s="132"/>
    </row>
    <row r="86" spans="1:27" ht="20.100000000000001" customHeight="1">
      <c r="A86" s="641" t="s">
        <v>216</v>
      </c>
      <c r="B86" s="641"/>
      <c r="C86" s="604" t="s">
        <v>202</v>
      </c>
      <c r="D86" s="143"/>
      <c r="E86" s="143"/>
      <c r="F86" s="144"/>
      <c r="G86" s="145">
        <f>SUM(G29:G85)</f>
        <v>2329</v>
      </c>
      <c r="H86" s="146">
        <f>SUM(H29:H85)</f>
        <v>11714.869999999999</v>
      </c>
      <c r="I86" s="146">
        <f>SUM(I29:I85)</f>
        <v>25</v>
      </c>
      <c r="J86" s="130">
        <f t="array" ref="J86">IF(ISERROR(G86/I86),"",G86/I86)</f>
        <v>93.16</v>
      </c>
      <c r="K86" s="146">
        <f>SUM(K29:K85)</f>
        <v>42.411375661375658</v>
      </c>
      <c r="L86" s="147"/>
      <c r="M86" s="150">
        <f t="shared" ref="M86:V86" si="34">SUM(M29:M85)</f>
        <v>-17.411375661375661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598" t="s">
        <v>217</v>
      </c>
      <c r="C87" s="126" t="s">
        <v>179</v>
      </c>
      <c r="D87" s="108">
        <v>5.03</v>
      </c>
      <c r="E87" s="108"/>
      <c r="F87" s="127"/>
      <c r="G87" s="128"/>
      <c r="H87" s="606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597"/>
      <c r="P87" s="597"/>
      <c r="Q87" s="597"/>
      <c r="R87" s="597"/>
      <c r="S87" s="597"/>
      <c r="T87" s="597"/>
      <c r="U87" s="597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598" t="s">
        <v>217</v>
      </c>
      <c r="C88" s="126" t="s">
        <v>186</v>
      </c>
      <c r="D88" s="108">
        <v>5.03</v>
      </c>
      <c r="E88" s="108"/>
      <c r="F88" s="127"/>
      <c r="G88" s="128"/>
      <c r="H88" s="606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597"/>
      <c r="P88" s="597"/>
      <c r="Q88" s="597"/>
      <c r="R88" s="597"/>
      <c r="S88" s="597"/>
      <c r="T88" s="597"/>
      <c r="U88" s="597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598" t="s">
        <v>217</v>
      </c>
      <c r="C89" s="126" t="s">
        <v>204</v>
      </c>
      <c r="D89" s="108">
        <v>5.03</v>
      </c>
      <c r="E89" s="108"/>
      <c r="F89" s="127"/>
      <c r="G89" s="128"/>
      <c r="H89" s="606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597"/>
      <c r="P89" s="597"/>
      <c r="Q89" s="597"/>
      <c r="R89" s="597"/>
      <c r="S89" s="597"/>
      <c r="T89" s="597"/>
      <c r="U89" s="597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606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597"/>
      <c r="P90" s="597"/>
      <c r="Q90" s="597"/>
      <c r="R90" s="597"/>
      <c r="S90" s="597"/>
      <c r="T90" s="597"/>
      <c r="U90" s="597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606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597"/>
      <c r="P91" s="597"/>
      <c r="Q91" s="597"/>
      <c r="R91" s="597"/>
      <c r="S91" s="597"/>
      <c r="T91" s="597"/>
      <c r="U91" s="597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606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597"/>
      <c r="P92" s="597"/>
      <c r="Q92" s="597"/>
      <c r="R92" s="597"/>
      <c r="S92" s="597"/>
      <c r="T92" s="597"/>
      <c r="U92" s="597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>
        <v>42726</v>
      </c>
      <c r="G93" s="128">
        <f>108+70+84+55+91</f>
        <v>408</v>
      </c>
      <c r="H93" s="606">
        <f t="shared" si="36"/>
        <v>2052.2400000000002</v>
      </c>
      <c r="I93" s="129">
        <f>11*4</f>
        <v>44</v>
      </c>
      <c r="J93" s="130">
        <f t="array" ref="J93">IF(ISERROR(G93/I93),"",G93/I93)</f>
        <v>9.2727272727272734</v>
      </c>
      <c r="K93" s="131">
        <f t="array" ref="K93">IF(ISERROR(G93/L93),"",G93/L93)</f>
        <v>43.87096774193548</v>
      </c>
      <c r="L93" s="129">
        <v>9.3000000000000007</v>
      </c>
      <c r="M93" s="109">
        <f t="shared" si="37"/>
        <v>0.12903225806451957</v>
      </c>
      <c r="N93" s="130">
        <f t="shared" si="38"/>
        <v>0</v>
      </c>
      <c r="O93" s="597"/>
      <c r="P93" s="597"/>
      <c r="Q93" s="597"/>
      <c r="R93" s="597"/>
      <c r="S93" s="597"/>
      <c r="T93" s="597"/>
      <c r="U93" s="597"/>
      <c r="V93" s="132">
        <f t="shared" si="39"/>
        <v>0</v>
      </c>
      <c r="W93" s="133">
        <f t="shared" si="35"/>
        <v>0</v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606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597"/>
      <c r="P94" s="597"/>
      <c r="Q94" s="597"/>
      <c r="R94" s="597"/>
      <c r="S94" s="597"/>
      <c r="T94" s="597"/>
      <c r="U94" s="597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606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597"/>
      <c r="P95" s="597"/>
      <c r="Q95" s="597"/>
      <c r="R95" s="597"/>
      <c r="S95" s="597"/>
      <c r="T95" s="597"/>
      <c r="U95" s="597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606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597"/>
      <c r="P96" s="597"/>
      <c r="Q96" s="597"/>
      <c r="R96" s="597"/>
      <c r="S96" s="597"/>
      <c r="T96" s="597"/>
      <c r="U96" s="597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606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597"/>
      <c r="P97" s="597"/>
      <c r="Q97" s="597"/>
      <c r="R97" s="597"/>
      <c r="S97" s="597"/>
      <c r="T97" s="597"/>
      <c r="U97" s="597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606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597"/>
      <c r="P98" s="597"/>
      <c r="Q98" s="597"/>
      <c r="R98" s="597"/>
      <c r="S98" s="597"/>
      <c r="T98" s="597"/>
      <c r="U98" s="597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606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597"/>
      <c r="P99" s="597"/>
      <c r="Q99" s="597"/>
      <c r="R99" s="597"/>
      <c r="S99" s="597"/>
      <c r="T99" s="597"/>
      <c r="U99" s="597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606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597"/>
      <c r="P100" s="597"/>
      <c r="Q100" s="597"/>
      <c r="R100" s="597"/>
      <c r="S100" s="597"/>
      <c r="T100" s="597"/>
      <c r="U100" s="597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606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597"/>
      <c r="P101" s="597"/>
      <c r="Q101" s="597"/>
      <c r="R101" s="597"/>
      <c r="S101" s="597"/>
      <c r="T101" s="597"/>
      <c r="U101" s="597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606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597"/>
      <c r="P102" s="597"/>
      <c r="Q102" s="597"/>
      <c r="R102" s="597"/>
      <c r="S102" s="597"/>
      <c r="T102" s="597"/>
      <c r="U102" s="597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598" t="s">
        <v>222</v>
      </c>
      <c r="C103" s="126" t="s">
        <v>181</v>
      </c>
      <c r="D103" s="108">
        <v>10.199999999999999</v>
      </c>
      <c r="E103" s="108"/>
      <c r="F103" s="127"/>
      <c r="G103" s="128"/>
      <c r="H103" s="606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597"/>
      <c r="P103" s="597"/>
      <c r="Q103" s="597"/>
      <c r="R103" s="597"/>
      <c r="S103" s="597"/>
      <c r="T103" s="597"/>
      <c r="U103" s="597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598" t="s">
        <v>222</v>
      </c>
      <c r="C104" s="126" t="s">
        <v>179</v>
      </c>
      <c r="D104" s="108">
        <v>10.199999999999999</v>
      </c>
      <c r="E104" s="108"/>
      <c r="F104" s="127"/>
      <c r="G104" s="128"/>
      <c r="H104" s="606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597"/>
      <c r="P104" s="597"/>
      <c r="Q104" s="597"/>
      <c r="R104" s="597"/>
      <c r="S104" s="597"/>
      <c r="T104" s="597"/>
      <c r="U104" s="597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598" t="s">
        <v>222</v>
      </c>
      <c r="C105" s="126" t="s">
        <v>221</v>
      </c>
      <c r="D105" s="108">
        <v>10.199999999999999</v>
      </c>
      <c r="E105" s="108"/>
      <c r="F105" s="127"/>
      <c r="G105" s="128"/>
      <c r="H105" s="606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597"/>
      <c r="P105" s="597"/>
      <c r="Q105" s="597"/>
      <c r="R105" s="597"/>
      <c r="S105" s="597"/>
      <c r="T105" s="597"/>
      <c r="U105" s="597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598" t="s">
        <v>222</v>
      </c>
      <c r="C106" s="126" t="s">
        <v>186</v>
      </c>
      <c r="D106" s="108">
        <v>10.199999999999999</v>
      </c>
      <c r="E106" s="108"/>
      <c r="F106" s="127"/>
      <c r="G106" s="128"/>
      <c r="H106" s="606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597"/>
      <c r="P106" s="597"/>
      <c r="Q106" s="597"/>
      <c r="R106" s="597"/>
      <c r="S106" s="597"/>
      <c r="T106" s="597"/>
      <c r="U106" s="597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customHeight="1">
      <c r="A107" s="299">
        <v>30400026</v>
      </c>
      <c r="B107" s="598" t="s">
        <v>393</v>
      </c>
      <c r="C107" s="187" t="s">
        <v>395</v>
      </c>
      <c r="D107" s="108">
        <v>5</v>
      </c>
      <c r="E107" s="108"/>
      <c r="F107" s="127">
        <v>42725</v>
      </c>
      <c r="G107" s="128">
        <f>90+45+90</f>
        <v>225</v>
      </c>
      <c r="H107" s="606">
        <f t="shared" si="36"/>
        <v>1125</v>
      </c>
      <c r="I107" s="129">
        <f>6*6+3</f>
        <v>39</v>
      </c>
      <c r="J107" s="130">
        <f t="array" ref="J107">IF(ISERROR(G107/I107),"",G107/I107)</f>
        <v>5.7692307692307692</v>
      </c>
      <c r="K107" s="131">
        <f t="array" ref="K107">IF(ISERROR(G107/L107),"",G107/L107)</f>
        <v>45</v>
      </c>
      <c r="L107" s="129">
        <v>5</v>
      </c>
      <c r="M107" s="109">
        <f t="shared" si="37"/>
        <v>-6</v>
      </c>
      <c r="N107" s="130">
        <f t="shared" si="40"/>
        <v>0</v>
      </c>
      <c r="O107" s="597"/>
      <c r="P107" s="597"/>
      <c r="Q107" s="597"/>
      <c r="R107" s="597"/>
      <c r="S107" s="597"/>
      <c r="T107" s="597"/>
      <c r="U107" s="597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598" t="s">
        <v>393</v>
      </c>
      <c r="C108" s="187" t="s">
        <v>402</v>
      </c>
      <c r="D108" s="108">
        <v>5</v>
      </c>
      <c r="E108" s="108"/>
      <c r="F108" s="127">
        <v>42725</v>
      </c>
      <c r="G108" s="128">
        <v>18</v>
      </c>
      <c r="H108" s="606">
        <f t="shared" si="36"/>
        <v>90</v>
      </c>
      <c r="I108" s="129">
        <v>0.5</v>
      </c>
      <c r="J108" s="130">
        <f t="array" ref="J108">IF(ISERROR(G108/I108),"",G108/I108)</f>
        <v>36</v>
      </c>
      <c r="K108" s="131">
        <f t="array" ref="K108">IF(ISERROR(G108/L108),"",G108/L108)</f>
        <v>3.6</v>
      </c>
      <c r="L108" s="129">
        <v>5</v>
      </c>
      <c r="M108" s="109">
        <f t="shared" si="37"/>
        <v>-3.1</v>
      </c>
      <c r="N108" s="130">
        <f t="shared" si="40"/>
        <v>0</v>
      </c>
      <c r="O108" s="597"/>
      <c r="P108" s="597"/>
      <c r="Q108" s="597"/>
      <c r="R108" s="597"/>
      <c r="S108" s="597"/>
      <c r="T108" s="597"/>
      <c r="U108" s="597"/>
      <c r="V108" s="132"/>
      <c r="W108" s="133"/>
      <c r="X108" s="132"/>
      <c r="Y108" s="132"/>
      <c r="Z108" s="132"/>
      <c r="AA108" s="132"/>
    </row>
    <row r="109" spans="1:27" ht="20.100000000000001" customHeight="1">
      <c r="A109" s="299">
        <v>30400027</v>
      </c>
      <c r="B109" s="598" t="s">
        <v>404</v>
      </c>
      <c r="C109" s="187" t="s">
        <v>405</v>
      </c>
      <c r="D109" s="108">
        <v>5</v>
      </c>
      <c r="E109" s="108"/>
      <c r="F109" s="127">
        <v>42725</v>
      </c>
      <c r="G109" s="128">
        <f>90+37</f>
        <v>127</v>
      </c>
      <c r="H109" s="606">
        <f t="shared" si="36"/>
        <v>635</v>
      </c>
      <c r="I109" s="129">
        <v>4.5</v>
      </c>
      <c r="J109" s="130">
        <f t="array" ref="J109">IF(ISERROR(G109/I109),"",G109/I109)</f>
        <v>28.222222222222221</v>
      </c>
      <c r="K109" s="131">
        <f t="array" ref="K109">IF(ISERROR(G109/L109),"",G109/L109)</f>
        <v>25.4</v>
      </c>
      <c r="L109" s="129">
        <v>5</v>
      </c>
      <c r="M109" s="109">
        <f t="shared" si="37"/>
        <v>-20.9</v>
      </c>
      <c r="N109" s="130">
        <f t="shared" si="40"/>
        <v>0</v>
      </c>
      <c r="O109" s="597"/>
      <c r="P109" s="597"/>
      <c r="Q109" s="597"/>
      <c r="R109" s="597"/>
      <c r="S109" s="597"/>
      <c r="T109" s="597"/>
      <c r="U109" s="597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598" t="s">
        <v>492</v>
      </c>
      <c r="C110" s="187" t="s">
        <v>372</v>
      </c>
      <c r="D110" s="108">
        <v>5</v>
      </c>
      <c r="E110" s="108"/>
      <c r="F110" s="127"/>
      <c r="G110" s="128"/>
      <c r="H110" s="606">
        <f t="shared" si="36"/>
        <v>0</v>
      </c>
      <c r="I110" s="129"/>
      <c r="J110" s="130" t="str">
        <f t="array" ref="J110">IF(ISERROR(G110/I110),"",G110/I110)</f>
        <v/>
      </c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597"/>
      <c r="P110" s="597"/>
      <c r="Q110" s="597"/>
      <c r="R110" s="597"/>
      <c r="S110" s="597"/>
      <c r="T110" s="597"/>
      <c r="U110" s="597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598" t="s">
        <v>343</v>
      </c>
      <c r="C111" s="126" t="s">
        <v>345</v>
      </c>
      <c r="D111" s="108">
        <v>5</v>
      </c>
      <c r="E111" s="108"/>
      <c r="F111" s="127"/>
      <c r="G111" s="128"/>
      <c r="H111" s="606">
        <f t="shared" si="36"/>
        <v>0</v>
      </c>
      <c r="I111" s="129"/>
      <c r="J111" s="130" t="str">
        <f t="array" ref="J111">IF(ISERROR(G111/I111),"",G111/I111)</f>
        <v/>
      </c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597"/>
      <c r="P111" s="597"/>
      <c r="Q111" s="597"/>
      <c r="R111" s="597"/>
      <c r="S111" s="597"/>
      <c r="T111" s="597"/>
      <c r="U111" s="597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598" t="s">
        <v>343</v>
      </c>
      <c r="C112" s="126" t="s">
        <v>347</v>
      </c>
      <c r="D112" s="108">
        <v>5</v>
      </c>
      <c r="E112" s="108"/>
      <c r="F112" s="127"/>
      <c r="G112" s="128"/>
      <c r="H112" s="606">
        <f t="shared" si="36"/>
        <v>0</v>
      </c>
      <c r="I112" s="129"/>
      <c r="J112" s="130" t="str">
        <f t="array" ref="J112">IF(ISERROR(G112/I112),"",G112/I112)</f>
        <v/>
      </c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597"/>
      <c r="P112" s="597"/>
      <c r="Q112" s="597"/>
      <c r="R112" s="597"/>
      <c r="S112" s="597"/>
      <c r="T112" s="597"/>
      <c r="U112" s="597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606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597"/>
      <c r="P113" s="597"/>
      <c r="Q113" s="597"/>
      <c r="R113" s="597"/>
      <c r="S113" s="597"/>
      <c r="T113" s="597"/>
      <c r="U113" s="597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606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597"/>
      <c r="P114" s="597"/>
      <c r="Q114" s="597"/>
      <c r="R114" s="597"/>
      <c r="S114" s="597"/>
      <c r="T114" s="597"/>
      <c r="U114" s="597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606">
        <f t="shared" si="36"/>
        <v>0</v>
      </c>
      <c r="I115" s="129"/>
      <c r="J115" s="130" t="str">
        <f t="array" ref="J115">IF(ISERROR(G115/I115),"",G115/I115)</f>
        <v/>
      </c>
      <c r="K115" s="131">
        <f t="array" ref="K115">IF(ISERROR(G115/L115),"",G115/L115)</f>
        <v>0</v>
      </c>
      <c r="L115" s="129">
        <v>24</v>
      </c>
      <c r="M115" s="109"/>
      <c r="N115" s="130"/>
      <c r="O115" s="597"/>
      <c r="P115" s="597"/>
      <c r="Q115" s="597"/>
      <c r="R115" s="597"/>
      <c r="S115" s="597"/>
      <c r="T115" s="597"/>
      <c r="U115" s="597"/>
      <c r="V115" s="132"/>
      <c r="W115" s="133"/>
      <c r="X115" s="132"/>
      <c r="Y115" s="132"/>
      <c r="Z115" s="132"/>
      <c r="AA115" s="132"/>
    </row>
    <row r="116" spans="1:27" ht="20.10000000000000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>
        <v>42724</v>
      </c>
      <c r="G116" s="128">
        <v>90</v>
      </c>
      <c r="H116" s="606">
        <f t="shared" si="36"/>
        <v>450</v>
      </c>
      <c r="I116" s="129">
        <f>6*5.5+6*4</f>
        <v>57</v>
      </c>
      <c r="J116" s="130">
        <f t="array" ref="J116">IF(ISERROR(G116/I116),"",G116/I116)</f>
        <v>1.5789473684210527</v>
      </c>
      <c r="K116" s="131">
        <f t="array" ref="K116">IF(ISERROR(G116/L116),"",G116/L116)</f>
        <v>3.75</v>
      </c>
      <c r="L116" s="129">
        <v>24</v>
      </c>
      <c r="M116" s="109"/>
      <c r="N116" s="130"/>
      <c r="O116" s="597"/>
      <c r="P116" s="597"/>
      <c r="Q116" s="597"/>
      <c r="R116" s="597"/>
      <c r="S116" s="597"/>
      <c r="T116" s="597"/>
      <c r="U116" s="597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606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597"/>
      <c r="P117" s="597"/>
      <c r="Q117" s="597"/>
      <c r="R117" s="597"/>
      <c r="S117" s="597"/>
      <c r="T117" s="597"/>
      <c r="U117" s="597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606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597"/>
      <c r="P118" s="597"/>
      <c r="Q118" s="597"/>
      <c r="R118" s="597"/>
      <c r="S118" s="597"/>
      <c r="T118" s="597"/>
      <c r="U118" s="597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606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597"/>
      <c r="P119" s="597"/>
      <c r="Q119" s="597"/>
      <c r="R119" s="597"/>
      <c r="S119" s="597"/>
      <c r="T119" s="597"/>
      <c r="U119" s="597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606">
        <f t="shared" si="36"/>
        <v>0</v>
      </c>
      <c r="I120" s="129"/>
      <c r="J120" s="130" t="str">
        <f t="array" ref="J120">IF(ISERROR(G120/I120),"",G120/I120)</f>
        <v/>
      </c>
      <c r="K120" s="606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597"/>
      <c r="P120" s="597"/>
      <c r="Q120" s="597"/>
      <c r="R120" s="597"/>
      <c r="S120" s="597"/>
      <c r="T120" s="597"/>
      <c r="U120" s="597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30" t="s">
        <v>224</v>
      </c>
      <c r="B121" s="631"/>
      <c r="C121" s="604" t="s">
        <v>202</v>
      </c>
      <c r="D121" s="143"/>
      <c r="E121" s="143"/>
      <c r="F121" s="144"/>
      <c r="G121" s="145">
        <f>SUM(G87:G120)</f>
        <v>868</v>
      </c>
      <c r="H121" s="146">
        <f>SUM(H87:H120)</f>
        <v>4352.24</v>
      </c>
      <c r="I121" s="146">
        <f>SUM(I87:I120)</f>
        <v>145</v>
      </c>
      <c r="J121" s="130">
        <f t="array" ref="J121">IF(ISERROR(G121/I121),"",G121/I121)</f>
        <v>5.9862068965517246</v>
      </c>
      <c r="K121" s="146">
        <f>SUM(K87:K120)</f>
        <v>121.62096774193549</v>
      </c>
      <c r="L121" s="147"/>
      <c r="M121" s="150">
        <f t="shared" ref="M121:V121" si="50">SUM(M87:M120)</f>
        <v>-29.87096774193548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18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606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597"/>
      <c r="P122" s="597"/>
      <c r="Q122" s="597"/>
      <c r="R122" s="597"/>
      <c r="S122" s="597"/>
      <c r="T122" s="597"/>
      <c r="U122" s="597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606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597"/>
      <c r="P123" s="597"/>
      <c r="Q123" s="597"/>
      <c r="R123" s="597"/>
      <c r="S123" s="597"/>
      <c r="T123" s="597"/>
      <c r="U123" s="597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606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597"/>
      <c r="P124" s="597"/>
      <c r="Q124" s="597"/>
      <c r="R124" s="597"/>
      <c r="S124" s="597"/>
      <c r="T124" s="597"/>
      <c r="U124" s="597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606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597"/>
      <c r="P125" s="597"/>
      <c r="Q125" s="597"/>
      <c r="R125" s="597"/>
      <c r="S125" s="597"/>
      <c r="T125" s="597"/>
      <c r="U125" s="597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602" t="s">
        <v>203</v>
      </c>
      <c r="D126" s="108">
        <v>5.03</v>
      </c>
      <c r="E126" s="108"/>
      <c r="F126" s="127"/>
      <c r="G126" s="128"/>
      <c r="H126" s="606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597"/>
      <c r="P126" s="597"/>
      <c r="Q126" s="597"/>
      <c r="R126" s="597"/>
      <c r="S126" s="597"/>
      <c r="T126" s="597"/>
      <c r="U126" s="597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606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597"/>
      <c r="P127" s="597"/>
      <c r="Q127" s="597"/>
      <c r="R127" s="597"/>
      <c r="S127" s="597"/>
      <c r="T127" s="597"/>
      <c r="U127" s="597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606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597"/>
      <c r="P128" s="597"/>
      <c r="Q128" s="597"/>
      <c r="R128" s="597"/>
      <c r="S128" s="597"/>
      <c r="T128" s="597"/>
      <c r="U128" s="597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602" t="s">
        <v>228</v>
      </c>
      <c r="D129" s="108">
        <v>5.03</v>
      </c>
      <c r="E129" s="108"/>
      <c r="F129" s="127"/>
      <c r="G129" s="128"/>
      <c r="H129" s="606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597"/>
      <c r="P129" s="597"/>
      <c r="Q129" s="597"/>
      <c r="R129" s="597"/>
      <c r="S129" s="597"/>
      <c r="T129" s="597"/>
      <c r="U129" s="597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602" t="s">
        <v>212</v>
      </c>
      <c r="D130" s="108">
        <v>5.03</v>
      </c>
      <c r="E130" s="108"/>
      <c r="F130" s="127"/>
      <c r="G130" s="128"/>
      <c r="H130" s="606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597"/>
      <c r="P130" s="597"/>
      <c r="Q130" s="597"/>
      <c r="R130" s="597"/>
      <c r="S130" s="597"/>
      <c r="T130" s="597"/>
      <c r="U130" s="597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602" t="s">
        <v>203</v>
      </c>
      <c r="D131" s="108">
        <v>5.03</v>
      </c>
      <c r="E131" s="108"/>
      <c r="F131" s="127"/>
      <c r="G131" s="128"/>
      <c r="H131" s="606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597"/>
      <c r="P131" s="597"/>
      <c r="Q131" s="597"/>
      <c r="R131" s="597"/>
      <c r="S131" s="597"/>
      <c r="T131" s="597"/>
      <c r="U131" s="597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602" t="s">
        <v>186</v>
      </c>
      <c r="D132" s="108">
        <v>5.03</v>
      </c>
      <c r="E132" s="108"/>
      <c r="F132" s="127"/>
      <c r="G132" s="128"/>
      <c r="H132" s="606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597"/>
      <c r="P132" s="597"/>
      <c r="Q132" s="597"/>
      <c r="R132" s="597"/>
      <c r="S132" s="597"/>
      <c r="T132" s="597"/>
      <c r="U132" s="597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602" t="s">
        <v>228</v>
      </c>
      <c r="D133" s="108">
        <v>5.03</v>
      </c>
      <c r="E133" s="108"/>
      <c r="F133" s="127"/>
      <c r="G133" s="128"/>
      <c r="H133" s="606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597"/>
      <c r="P133" s="597"/>
      <c r="Q133" s="597"/>
      <c r="R133" s="597"/>
      <c r="S133" s="597"/>
      <c r="T133" s="597"/>
      <c r="U133" s="597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602" t="s">
        <v>199</v>
      </c>
      <c r="D134" s="108">
        <v>5.03</v>
      </c>
      <c r="E134" s="108"/>
      <c r="F134" s="127"/>
      <c r="G134" s="128"/>
      <c r="H134" s="606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597"/>
      <c r="P134" s="597"/>
      <c r="Q134" s="597"/>
      <c r="R134" s="597"/>
      <c r="S134" s="597"/>
      <c r="T134" s="597"/>
      <c r="U134" s="597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606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597"/>
      <c r="P135" s="597"/>
      <c r="Q135" s="597"/>
      <c r="R135" s="597"/>
      <c r="S135" s="597"/>
      <c r="T135" s="597"/>
      <c r="U135" s="597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606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597"/>
      <c r="P136" s="597"/>
      <c r="Q136" s="597"/>
      <c r="R136" s="597"/>
      <c r="S136" s="597"/>
      <c r="T136" s="597"/>
      <c r="U136" s="597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630" t="s">
        <v>231</v>
      </c>
      <c r="B137" s="631"/>
      <c r="C137" s="604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606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597"/>
      <c r="P138" s="597"/>
      <c r="Q138" s="597"/>
      <c r="R138" s="597"/>
      <c r="S138" s="597"/>
      <c r="T138" s="597"/>
      <c r="U138" s="597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606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597"/>
      <c r="P139" s="597"/>
      <c r="Q139" s="597"/>
      <c r="R139" s="597"/>
      <c r="S139" s="597"/>
      <c r="T139" s="597"/>
      <c r="U139" s="597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606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597"/>
      <c r="P140" s="597"/>
      <c r="Q140" s="597"/>
      <c r="R140" s="597"/>
      <c r="S140" s="597"/>
      <c r="T140" s="597"/>
      <c r="U140" s="597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606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597"/>
      <c r="P141" s="597"/>
      <c r="Q141" s="597"/>
      <c r="R141" s="597"/>
      <c r="S141" s="597"/>
      <c r="T141" s="597"/>
      <c r="U141" s="597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606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597"/>
      <c r="P142" s="597"/>
      <c r="Q142" s="597"/>
      <c r="R142" s="597"/>
      <c r="S142" s="597"/>
      <c r="T142" s="597"/>
      <c r="U142" s="597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606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597"/>
      <c r="P143" s="597"/>
      <c r="Q143" s="597"/>
      <c r="R143" s="597"/>
      <c r="S143" s="597"/>
      <c r="T143" s="597"/>
      <c r="U143" s="597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606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597"/>
      <c r="P144" s="597"/>
      <c r="Q144" s="597"/>
      <c r="R144" s="597"/>
      <c r="S144" s="597"/>
      <c r="T144" s="597"/>
      <c r="U144" s="597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30040021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60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597"/>
      <c r="P145" s="597"/>
      <c r="Q145" s="597"/>
      <c r="R145" s="597"/>
      <c r="S145" s="597"/>
      <c r="T145" s="597"/>
      <c r="U145" s="597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606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597"/>
      <c r="P146" s="597"/>
      <c r="Q146" s="597"/>
      <c r="R146" s="597"/>
      <c r="S146" s="597"/>
      <c r="T146" s="597"/>
      <c r="U146" s="597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hidden="1" customHeight="1">
      <c r="A147" s="630" t="s">
        <v>234</v>
      </c>
      <c r="B147" s="631"/>
      <c r="C147" s="604" t="s">
        <v>202</v>
      </c>
      <c r="D147" s="143"/>
      <c r="E147" s="143"/>
      <c r="F147" s="144"/>
      <c r="G147" s="145">
        <f>SUM(G138:G146)</f>
        <v>0</v>
      </c>
      <c r="H147" s="146">
        <f>SUM(H138:H146)</f>
        <v>0</v>
      </c>
      <c r="I147" s="146">
        <f>SUM(I138:I146)</f>
        <v>0</v>
      </c>
      <c r="J147" s="130" t="str">
        <f t="array" ref="J147">IF(ISERROR(G147/I147),"",G147/I147)</f>
        <v/>
      </c>
      <c r="K147" s="146">
        <f>SUM(K138:K146)</f>
        <v>0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 t="str">
        <f t="shared" si="62"/>
        <v/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596"/>
      <c r="D148" s="108">
        <v>3.65</v>
      </c>
      <c r="E148" s="108"/>
      <c r="F148" s="153"/>
      <c r="G148" s="128"/>
      <c r="H148" s="606">
        <f t="shared" ref="H148:H161" si="63">D148*G148</f>
        <v>0</v>
      </c>
      <c r="I148" s="129"/>
      <c r="J148" s="130" t="str">
        <f t="array" ref="J148">IF(ISERROR(G148/I148),"",G148/I148)</f>
        <v/>
      </c>
      <c r="K148" s="606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597"/>
      <c r="P148" s="597"/>
      <c r="Q148" s="597"/>
      <c r="R148" s="597"/>
      <c r="S148" s="597"/>
      <c r="T148" s="597"/>
      <c r="U148" s="597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596"/>
      <c r="D149" s="108">
        <v>6.58</v>
      </c>
      <c r="E149" s="108"/>
      <c r="F149" s="127"/>
      <c r="G149" s="128"/>
      <c r="H149" s="606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597"/>
      <c r="P149" s="597"/>
      <c r="Q149" s="597"/>
      <c r="R149" s="597"/>
      <c r="S149" s="597"/>
      <c r="T149" s="597"/>
      <c r="U149" s="597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596"/>
      <c r="D150" s="108">
        <v>7.8</v>
      </c>
      <c r="E150" s="108"/>
      <c r="F150" s="127"/>
      <c r="G150" s="128"/>
      <c r="H150" s="606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597"/>
      <c r="P150" s="597"/>
      <c r="Q150" s="597"/>
      <c r="R150" s="597"/>
      <c r="S150" s="597"/>
      <c r="T150" s="597"/>
      <c r="U150" s="597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596"/>
      <c r="D151" s="108">
        <v>4.4000000000000004</v>
      </c>
      <c r="E151" s="108"/>
      <c r="F151" s="127"/>
      <c r="G151" s="128"/>
      <c r="H151" s="606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597"/>
      <c r="P151" s="597"/>
      <c r="Q151" s="597"/>
      <c r="R151" s="597"/>
      <c r="S151" s="597"/>
      <c r="T151" s="597"/>
      <c r="U151" s="597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606">
        <f t="shared" si="63"/>
        <v>0</v>
      </c>
      <c r="I152" s="129"/>
      <c r="J152" s="130"/>
      <c r="K152" s="131"/>
      <c r="L152" s="129">
        <v>6</v>
      </c>
      <c r="M152" s="109"/>
      <c r="N152" s="130"/>
      <c r="O152" s="597"/>
      <c r="P152" s="597"/>
      <c r="Q152" s="597"/>
      <c r="R152" s="597"/>
      <c r="S152" s="597"/>
      <c r="T152" s="597"/>
      <c r="U152" s="597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596" t="s">
        <v>239</v>
      </c>
      <c r="C153" s="596" t="s">
        <v>179</v>
      </c>
      <c r="D153" s="108">
        <v>6.04</v>
      </c>
      <c r="E153" s="108"/>
      <c r="F153" s="127"/>
      <c r="G153" s="128"/>
      <c r="H153" s="606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597"/>
      <c r="P153" s="597"/>
      <c r="Q153" s="597"/>
      <c r="R153" s="597"/>
      <c r="S153" s="597"/>
      <c r="T153" s="597"/>
      <c r="U153" s="597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596" t="s">
        <v>239</v>
      </c>
      <c r="C154" s="596" t="s">
        <v>186</v>
      </c>
      <c r="D154" s="108">
        <v>6.04</v>
      </c>
      <c r="E154" s="108"/>
      <c r="F154" s="127"/>
      <c r="G154" s="128"/>
      <c r="H154" s="606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597"/>
      <c r="P154" s="597"/>
      <c r="Q154" s="597"/>
      <c r="R154" s="597"/>
      <c r="S154" s="597"/>
      <c r="T154" s="597"/>
      <c r="U154" s="597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596" t="s">
        <v>443</v>
      </c>
      <c r="C155" s="596" t="s">
        <v>179</v>
      </c>
      <c r="D155" s="108">
        <v>6</v>
      </c>
      <c r="E155" s="108"/>
      <c r="F155" s="127"/>
      <c r="G155" s="128"/>
      <c r="H155" s="606">
        <f t="shared" si="63"/>
        <v>0</v>
      </c>
      <c r="I155" s="129"/>
      <c r="J155" s="130"/>
      <c r="K155" s="131"/>
      <c r="L155" s="129"/>
      <c r="M155" s="109"/>
      <c r="N155" s="130"/>
      <c r="O155" s="597"/>
      <c r="P155" s="597"/>
      <c r="Q155" s="597"/>
      <c r="R155" s="597"/>
      <c r="S155" s="597"/>
      <c r="T155" s="597"/>
      <c r="U155" s="597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596" t="s">
        <v>443</v>
      </c>
      <c r="C156" s="596" t="s">
        <v>60</v>
      </c>
      <c r="D156" s="108">
        <v>6</v>
      </c>
      <c r="E156" s="108"/>
      <c r="F156" s="127"/>
      <c r="G156" s="128"/>
      <c r="H156" s="606">
        <f t="shared" si="63"/>
        <v>0</v>
      </c>
      <c r="I156" s="129"/>
      <c r="J156" s="130"/>
      <c r="K156" s="131"/>
      <c r="L156" s="129">
        <v>6</v>
      </c>
      <c r="M156" s="109"/>
      <c r="N156" s="130"/>
      <c r="O156" s="597"/>
      <c r="P156" s="597"/>
      <c r="Q156" s="597"/>
      <c r="R156" s="597"/>
      <c r="S156" s="597"/>
      <c r="T156" s="597"/>
      <c r="U156" s="597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598" t="s">
        <v>240</v>
      </c>
      <c r="C157" s="126"/>
      <c r="D157" s="108">
        <v>7.3</v>
      </c>
      <c r="E157" s="108"/>
      <c r="F157" s="127"/>
      <c r="G157" s="128"/>
      <c r="H157" s="606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597"/>
      <c r="P157" s="597"/>
      <c r="Q157" s="597"/>
      <c r="R157" s="597"/>
      <c r="S157" s="597"/>
      <c r="T157" s="597"/>
      <c r="U157" s="597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598" t="s">
        <v>241</v>
      </c>
      <c r="C158" s="126"/>
      <c r="D158" s="108">
        <f>78*120/1000</f>
        <v>9.36</v>
      </c>
      <c r="E158" s="108"/>
      <c r="F158" s="127"/>
      <c r="G158" s="128"/>
      <c r="H158" s="606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597"/>
      <c r="P158" s="597"/>
      <c r="Q158" s="597"/>
      <c r="R158" s="597"/>
      <c r="S158" s="597"/>
      <c r="T158" s="597"/>
      <c r="U158" s="597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598" t="s">
        <v>242</v>
      </c>
      <c r="C159" s="126"/>
      <c r="D159" s="108">
        <v>4.5</v>
      </c>
      <c r="E159" s="108"/>
      <c r="F159" s="127"/>
      <c r="G159" s="128"/>
      <c r="H159" s="606">
        <f t="shared" si="63"/>
        <v>0</v>
      </c>
      <c r="I159" s="129"/>
      <c r="J159" s="130"/>
      <c r="K159" s="131"/>
      <c r="L159" s="129"/>
      <c r="M159" s="109"/>
      <c r="N159" s="130"/>
      <c r="O159" s="597"/>
      <c r="P159" s="597"/>
      <c r="Q159" s="597"/>
      <c r="R159" s="597"/>
      <c r="S159" s="597"/>
      <c r="T159" s="597"/>
      <c r="U159" s="597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598" t="s">
        <v>243</v>
      </c>
      <c r="C160" s="126"/>
      <c r="D160" s="108">
        <v>4.5</v>
      </c>
      <c r="E160" s="108"/>
      <c r="F160" s="127"/>
      <c r="G160" s="128"/>
      <c r="H160" s="606">
        <f t="shared" si="63"/>
        <v>0</v>
      </c>
      <c r="I160" s="129"/>
      <c r="J160" s="130"/>
      <c r="K160" s="131"/>
      <c r="L160" s="129"/>
      <c r="M160" s="109"/>
      <c r="N160" s="130"/>
      <c r="O160" s="597"/>
      <c r="P160" s="597"/>
      <c r="Q160" s="597"/>
      <c r="R160" s="597"/>
      <c r="S160" s="597"/>
      <c r="T160" s="597"/>
      <c r="U160" s="597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606">
        <f t="shared" si="63"/>
        <v>0</v>
      </c>
      <c r="I161" s="129"/>
      <c r="J161" s="130"/>
      <c r="K161" s="131"/>
      <c r="L161" s="129"/>
      <c r="M161" s="109"/>
      <c r="N161" s="130"/>
      <c r="O161" s="597"/>
      <c r="P161" s="597"/>
      <c r="Q161" s="597"/>
      <c r="R161" s="597"/>
      <c r="S161" s="597"/>
      <c r="T161" s="597"/>
      <c r="U161" s="597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630" t="s">
        <v>244</v>
      </c>
      <c r="B162" s="631"/>
      <c r="C162" s="604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32" t="s">
        <v>246</v>
      </c>
      <c r="B163" s="633"/>
      <c r="C163" s="633"/>
      <c r="D163" s="633"/>
      <c r="E163" s="633"/>
      <c r="F163" s="634"/>
      <c r="G163" s="154">
        <f>SUM(G28,G86,G121,G137,G147,G162)</f>
        <v>3632</v>
      </c>
      <c r="H163" s="154">
        <f>SUM(H28,H86,H121,H137,H147,H162)</f>
        <v>18242.659999999996</v>
      </c>
      <c r="I163" s="154">
        <f>SUM(I28,I86,I121,I137,I147,I162)</f>
        <v>199.5</v>
      </c>
      <c r="J163" s="155">
        <f t="array" ref="J163">IF(ISERROR(G163/I163),"",G163/I163)</f>
        <v>18.205513784461154</v>
      </c>
      <c r="K163" s="154">
        <f>SUM(K28,K86,K121,K137,K147,K162)</f>
        <v>182.58831010081346</v>
      </c>
      <c r="L163" s="155">
        <f>IF(ISERROR(G163/K163),"",G163/K163)</f>
        <v>19.891744427639669</v>
      </c>
      <c r="M163" s="154">
        <f t="shared" ref="M163:AA163" si="76">SUM(M28,M86,M121,M137,M147,M162)</f>
        <v>-36.338310100813459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635" t="s">
        <v>476</v>
      </c>
      <c r="B164" s="603" t="s">
        <v>247</v>
      </c>
      <c r="C164" s="638" t="s">
        <v>248</v>
      </c>
      <c r="D164" s="639"/>
      <c r="E164" s="640" t="s">
        <v>249</v>
      </c>
      <c r="F164" s="640"/>
      <c r="G164" s="643" t="s">
        <v>250</v>
      </c>
      <c r="H164" s="643"/>
      <c r="I164" s="640" t="s">
        <v>251</v>
      </c>
      <c r="J164" s="640"/>
      <c r="K164" s="640" t="s">
        <v>252</v>
      </c>
      <c r="L164" s="640"/>
      <c r="M164" s="640" t="s">
        <v>253</v>
      </c>
      <c r="N164" s="640"/>
      <c r="O164" s="640" t="s">
        <v>254</v>
      </c>
      <c r="P164" s="643" t="s">
        <v>255</v>
      </c>
      <c r="Q164" s="643"/>
      <c r="R164" s="643" t="s">
        <v>252</v>
      </c>
      <c r="S164" s="643"/>
      <c r="T164" s="643" t="s">
        <v>256</v>
      </c>
      <c r="U164" s="643"/>
      <c r="V164" s="643" t="s">
        <v>257</v>
      </c>
      <c r="W164" s="643"/>
      <c r="X164" s="643" t="s">
        <v>252</v>
      </c>
      <c r="Y164" s="643"/>
      <c r="Z164" s="643" t="s">
        <v>256</v>
      </c>
      <c r="AA164" s="643"/>
    </row>
    <row r="165" spans="1:27" ht="20.100000000000001" customHeight="1">
      <c r="A165" s="636"/>
      <c r="B165" s="603" t="s">
        <v>258</v>
      </c>
      <c r="C165" s="638">
        <v>1</v>
      </c>
      <c r="D165" s="639"/>
      <c r="E165" s="642">
        <f>C165*11</f>
        <v>11</v>
      </c>
      <c r="F165" s="642"/>
      <c r="G165" s="643">
        <v>1</v>
      </c>
      <c r="H165" s="643"/>
      <c r="I165" s="642">
        <f>G165*11</f>
        <v>11</v>
      </c>
      <c r="J165" s="642"/>
      <c r="K165" s="642">
        <f>E165-I165</f>
        <v>0</v>
      </c>
      <c r="L165" s="642"/>
      <c r="M165" s="644">
        <f>IF(ISERROR(K165/E165),"",K165/E165)</f>
        <v>0</v>
      </c>
      <c r="N165" s="644"/>
      <c r="O165" s="640"/>
      <c r="P165" s="643" t="s">
        <v>201</v>
      </c>
      <c r="Q165" s="643"/>
      <c r="R165" s="645">
        <f>SUM(O28:U28)</f>
        <v>0</v>
      </c>
      <c r="S165" s="645"/>
      <c r="T165" s="646" t="str">
        <f t="array" ref="T165">IF(ISERROR(R165/R172),"",R165/R172)</f>
        <v/>
      </c>
      <c r="U165" s="646"/>
      <c r="V165" s="643" t="s">
        <v>259</v>
      </c>
      <c r="W165" s="643"/>
      <c r="X165" s="647">
        <f>SUM(P27,P85,P120,P136,P146,P160)</f>
        <v>0</v>
      </c>
      <c r="Y165" s="647"/>
      <c r="Z165" s="646" t="str">
        <f t="array" ref="Z165">IF(ISERROR(X165/X172),"",X165/X172)</f>
        <v/>
      </c>
      <c r="AA165" s="646"/>
    </row>
    <row r="166" spans="1:27" ht="20.100000000000001" customHeight="1">
      <c r="A166" s="636"/>
      <c r="B166" s="603" t="s">
        <v>260</v>
      </c>
      <c r="C166" s="638">
        <v>1</v>
      </c>
      <c r="D166" s="639"/>
      <c r="E166" s="642">
        <f>C166*11</f>
        <v>11</v>
      </c>
      <c r="F166" s="642"/>
      <c r="G166" s="643">
        <v>1</v>
      </c>
      <c r="H166" s="643"/>
      <c r="I166" s="642">
        <f>G166*11</f>
        <v>11</v>
      </c>
      <c r="J166" s="642"/>
      <c r="K166" s="642">
        <f>E166-I166</f>
        <v>0</v>
      </c>
      <c r="L166" s="642"/>
      <c r="M166" s="644">
        <f>IF(ISERROR(K166/E166),"",K166/E166)</f>
        <v>0</v>
      </c>
      <c r="N166" s="644"/>
      <c r="O166" s="640"/>
      <c r="P166" s="643" t="s">
        <v>216</v>
      </c>
      <c r="Q166" s="643"/>
      <c r="R166" s="645">
        <f>SUM(O86:U86)</f>
        <v>0</v>
      </c>
      <c r="S166" s="645"/>
      <c r="T166" s="646" t="str">
        <f>IF(ISERROR(R166/R172),"",R166/R172)</f>
        <v/>
      </c>
      <c r="U166" s="646"/>
      <c r="V166" s="643" t="s">
        <v>261</v>
      </c>
      <c r="W166" s="643"/>
      <c r="X166" s="647">
        <f>SUM(P28,P86,P121,P137,P147,P162)</f>
        <v>0</v>
      </c>
      <c r="Y166" s="647"/>
      <c r="Z166" s="646" t="str">
        <f>IF(ISERROR(X166/X172),"",X166/X172)</f>
        <v/>
      </c>
      <c r="AA166" s="646"/>
    </row>
    <row r="167" spans="1:27" ht="20.100000000000001" customHeight="1">
      <c r="A167" s="636"/>
      <c r="B167" s="603" t="s">
        <v>262</v>
      </c>
      <c r="C167" s="638">
        <v>1</v>
      </c>
      <c r="D167" s="639"/>
      <c r="E167" s="642">
        <f>C167*8</f>
        <v>8</v>
      </c>
      <c r="F167" s="642"/>
      <c r="G167" s="643">
        <v>1</v>
      </c>
      <c r="H167" s="643"/>
      <c r="I167" s="642">
        <f>G167*8</f>
        <v>8</v>
      </c>
      <c r="J167" s="642"/>
      <c r="K167" s="642">
        <f>E167-I167</f>
        <v>0</v>
      </c>
      <c r="L167" s="642"/>
      <c r="M167" s="644">
        <f>IF(ISERROR(K167/E167),"",K167/E167)</f>
        <v>0</v>
      </c>
      <c r="N167" s="644"/>
      <c r="O167" s="640"/>
      <c r="P167" s="643" t="s">
        <v>224</v>
      </c>
      <c r="Q167" s="643"/>
      <c r="R167" s="645">
        <f>SUM(O121:U121)</f>
        <v>0</v>
      </c>
      <c r="S167" s="645"/>
      <c r="T167" s="646" t="str">
        <f>IF(ISERROR(R167/R172),"",R167/R172)</f>
        <v/>
      </c>
      <c r="U167" s="646"/>
      <c r="V167" s="643" t="s">
        <v>263</v>
      </c>
      <c r="W167" s="643"/>
      <c r="X167" s="647">
        <f>SUM(P29,P87,P122,P138,P148,P163)</f>
        <v>0</v>
      </c>
      <c r="Y167" s="647"/>
      <c r="Z167" s="646" t="str">
        <f>IF(ISERROR(X167/X172),"",X167/X172)</f>
        <v/>
      </c>
      <c r="AA167" s="646"/>
    </row>
    <row r="168" spans="1:27" ht="20.100000000000001" customHeight="1">
      <c r="A168" s="636"/>
      <c r="B168" s="603" t="s">
        <v>264</v>
      </c>
      <c r="C168" s="638">
        <v>1</v>
      </c>
      <c r="D168" s="639"/>
      <c r="E168" s="642">
        <f>C168*11</f>
        <v>11</v>
      </c>
      <c r="F168" s="642"/>
      <c r="G168" s="643">
        <v>1</v>
      </c>
      <c r="H168" s="643"/>
      <c r="I168" s="642">
        <f>G168*11</f>
        <v>11</v>
      </c>
      <c r="J168" s="642"/>
      <c r="K168" s="642">
        <f>E168-I168</f>
        <v>0</v>
      </c>
      <c r="L168" s="642"/>
      <c r="M168" s="644">
        <f>IF(ISERROR(K168/E168),"",K168/E168)</f>
        <v>0</v>
      </c>
      <c r="N168" s="644"/>
      <c r="O168" s="640"/>
      <c r="P168" s="643" t="s">
        <v>231</v>
      </c>
      <c r="Q168" s="643"/>
      <c r="R168" s="645">
        <f>SUM(O137:U137)</f>
        <v>0</v>
      </c>
      <c r="S168" s="645"/>
      <c r="T168" s="646" t="str">
        <f>IF(ISERROR(R168/R172),"",R168/R172)</f>
        <v/>
      </c>
      <c r="U168" s="646"/>
      <c r="V168" s="643" t="s">
        <v>265</v>
      </c>
      <c r="W168" s="643"/>
      <c r="X168" s="647">
        <f>SUM(P31,P88,P123,P139,P149,P164)</f>
        <v>0</v>
      </c>
      <c r="Y168" s="647"/>
      <c r="Z168" s="646" t="str">
        <f>IF(ISERROR(X168/X172),"",X168/X172)</f>
        <v/>
      </c>
      <c r="AA168" s="646"/>
    </row>
    <row r="169" spans="1:27" ht="20.100000000000001" customHeight="1">
      <c r="A169" s="637"/>
      <c r="B169" s="603" t="s">
        <v>266</v>
      </c>
      <c r="C169" s="648">
        <f>SUM(C165:D168)</f>
        <v>4</v>
      </c>
      <c r="D169" s="649"/>
      <c r="E169" s="642">
        <f>SUM(E165:F168)</f>
        <v>41</v>
      </c>
      <c r="F169" s="642"/>
      <c r="G169" s="643">
        <f>SUM(G165:H168)</f>
        <v>4</v>
      </c>
      <c r="H169" s="643"/>
      <c r="I169" s="642">
        <f>SUM(I165:J168)</f>
        <v>41</v>
      </c>
      <c r="J169" s="642"/>
      <c r="K169" s="642">
        <f>SUM(K165:L168)</f>
        <v>0</v>
      </c>
      <c r="L169" s="642"/>
      <c r="M169" s="644">
        <f>IF(ISERROR(K169/E169),"",K169/E169)</f>
        <v>0</v>
      </c>
      <c r="N169" s="644"/>
      <c r="O169" s="640"/>
      <c r="P169" s="643" t="s">
        <v>234</v>
      </c>
      <c r="Q169" s="643"/>
      <c r="R169" s="645">
        <f>SUM(O147:U147)</f>
        <v>0</v>
      </c>
      <c r="S169" s="645"/>
      <c r="T169" s="646" t="str">
        <f>IF(ISERROR(R169/R172),"",R169/R172)</f>
        <v/>
      </c>
      <c r="U169" s="646"/>
      <c r="V169" s="643" t="s">
        <v>267</v>
      </c>
      <c r="W169" s="643"/>
      <c r="X169" s="647">
        <f>SUM(P32,P89,P124,P140,P150,P165)</f>
        <v>0</v>
      </c>
      <c r="Y169" s="647"/>
      <c r="Z169" s="646" t="str">
        <f>IF(ISERROR(X169/X172),"",X169/X172)</f>
        <v/>
      </c>
      <c r="AA169" s="646"/>
    </row>
    <row r="170" spans="1:27" ht="20.100000000000001" customHeight="1">
      <c r="A170" s="307" t="s">
        <v>477</v>
      </c>
      <c r="B170" s="603">
        <f>G163</f>
        <v>3632</v>
      </c>
      <c r="C170" s="650" t="s">
        <v>269</v>
      </c>
      <c r="D170" s="651"/>
      <c r="E170" s="643">
        <f>H163</f>
        <v>18242.659999999996</v>
      </c>
      <c r="F170" s="643"/>
      <c r="G170" s="643" t="s">
        <v>270</v>
      </c>
      <c r="H170" s="643"/>
      <c r="I170" s="652">
        <f>L163</f>
        <v>19.891744427639669</v>
      </c>
      <c r="J170" s="652"/>
      <c r="K170" s="640" t="s">
        <v>271</v>
      </c>
      <c r="L170" s="640"/>
      <c r="M170" s="652">
        <f>J163</f>
        <v>18.205513784461154</v>
      </c>
      <c r="N170" s="652"/>
      <c r="O170" s="640"/>
      <c r="P170" s="643" t="s">
        <v>244</v>
      </c>
      <c r="Q170" s="643"/>
      <c r="R170" s="645">
        <f>SUM(O162:U162)</f>
        <v>0</v>
      </c>
      <c r="S170" s="645"/>
      <c r="T170" s="646" t="str">
        <f>IF(ISERROR(R170/R172),"",R170/R172)</f>
        <v/>
      </c>
      <c r="U170" s="646"/>
      <c r="V170" s="643" t="s">
        <v>272</v>
      </c>
      <c r="W170" s="643"/>
      <c r="X170" s="647">
        <f>SUM(P33,P90,P125,P141,P151,P166)</f>
        <v>0</v>
      </c>
      <c r="Y170" s="647"/>
      <c r="Z170" s="646" t="str">
        <f>IF(ISERROR(X170/X172),"",X170/X172)</f>
        <v/>
      </c>
      <c r="AA170" s="646"/>
    </row>
    <row r="171" spans="1:27" ht="20.100000000000001" customHeight="1">
      <c r="A171" s="308" t="s">
        <v>478</v>
      </c>
      <c r="B171" s="603">
        <f>I163+C169</f>
        <v>203.5</v>
      </c>
      <c r="C171" s="653" t="s">
        <v>251</v>
      </c>
      <c r="D171" s="654"/>
      <c r="E171" s="655">
        <f>K163+I169</f>
        <v>223.58831010081346</v>
      </c>
      <c r="F171" s="655"/>
      <c r="G171" s="643" t="s">
        <v>274</v>
      </c>
      <c r="H171" s="643"/>
      <c r="I171" s="652">
        <f>B171-E171</f>
        <v>-20.088310100813459</v>
      </c>
      <c r="J171" s="652"/>
      <c r="K171" s="640" t="s">
        <v>275</v>
      </c>
      <c r="L171" s="640"/>
      <c r="M171" s="644">
        <f>IF(ISERROR(I171/E171),"",I171/E171)</f>
        <v>-8.9845082203787244E-2</v>
      </c>
      <c r="N171" s="644"/>
      <c r="O171" s="640"/>
      <c r="P171" s="643" t="s">
        <v>245</v>
      </c>
      <c r="Q171" s="643"/>
      <c r="R171" s="645"/>
      <c r="S171" s="645"/>
      <c r="T171" s="646" t="str">
        <f>IF(ISERROR(R171/R172),"",R171/R172)</f>
        <v/>
      </c>
      <c r="U171" s="646"/>
      <c r="V171" s="643" t="s">
        <v>264</v>
      </c>
      <c r="W171" s="643"/>
      <c r="X171" s="647"/>
      <c r="Y171" s="647"/>
      <c r="Z171" s="646" t="str">
        <f>IF(ISERROR(X171/X172),"",X171/X172)</f>
        <v/>
      </c>
      <c r="AA171" s="646"/>
    </row>
    <row r="172" spans="1:27" ht="20.100000000000001" customHeight="1">
      <c r="A172" s="308" t="s">
        <v>479</v>
      </c>
      <c r="B172" s="603">
        <f>N163</f>
        <v>0</v>
      </c>
      <c r="C172" s="653" t="s">
        <v>277</v>
      </c>
      <c r="D172" s="654"/>
      <c r="E172" s="646">
        <f>IF(ISERROR(B172/B171),"",B172/B171)</f>
        <v>0</v>
      </c>
      <c r="F172" s="646"/>
      <c r="G172" s="643" t="s">
        <v>278</v>
      </c>
      <c r="H172" s="643"/>
      <c r="I172" s="640">
        <f>V163</f>
        <v>0</v>
      </c>
      <c r="J172" s="640"/>
      <c r="K172" s="640" t="s">
        <v>279</v>
      </c>
      <c r="L172" s="640"/>
      <c r="M172" s="644">
        <f t="array" ref="M172">IF(ISERROR(I172/B170),"",I172/B170)</f>
        <v>0</v>
      </c>
      <c r="N172" s="644"/>
      <c r="O172" s="640"/>
      <c r="P172" s="643" t="s">
        <v>266</v>
      </c>
      <c r="Q172" s="643"/>
      <c r="R172" s="645">
        <f>SUM(R165:S171)</f>
        <v>0</v>
      </c>
      <c r="S172" s="645"/>
      <c r="T172" s="646"/>
      <c r="U172" s="646"/>
      <c r="V172" s="643" t="s">
        <v>266</v>
      </c>
      <c r="W172" s="643"/>
      <c r="X172" s="647">
        <f>SUM(X165:Y171)</f>
        <v>0</v>
      </c>
      <c r="Y172" s="647"/>
      <c r="Z172" s="646"/>
      <c r="AA172" s="646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56" t="s">
        <v>480</v>
      </c>
      <c r="B174" s="659" t="s">
        <v>280</v>
      </c>
      <c r="C174" s="659" t="s">
        <v>281</v>
      </c>
      <c r="D174" s="659" t="s">
        <v>282</v>
      </c>
      <c r="E174" s="662" t="s">
        <v>283</v>
      </c>
      <c r="F174" s="675" t="s">
        <v>284</v>
      </c>
      <c r="G174" s="640" t="s">
        <v>285</v>
      </c>
      <c r="H174" s="640"/>
      <c r="I174" s="659" t="s">
        <v>286</v>
      </c>
      <c r="J174" s="665" t="s">
        <v>271</v>
      </c>
      <c r="K174" s="668" t="s">
        <v>287</v>
      </c>
      <c r="L174" s="659" t="s">
        <v>270</v>
      </c>
      <c r="M174" s="671" t="s">
        <v>288</v>
      </c>
      <c r="N174" s="673" t="s">
        <v>252</v>
      </c>
      <c r="O174" s="640" t="s">
        <v>289</v>
      </c>
      <c r="P174" s="640"/>
      <c r="Q174" s="640"/>
      <c r="R174" s="640"/>
      <c r="S174" s="640"/>
      <c r="T174" s="640"/>
      <c r="U174" s="640"/>
      <c r="V174" s="640" t="s">
        <v>290</v>
      </c>
      <c r="W174" s="673" t="s">
        <v>291</v>
      </c>
      <c r="X174" s="640" t="s">
        <v>292</v>
      </c>
      <c r="Y174" s="640"/>
      <c r="Z174" s="640"/>
      <c r="AA174" s="640"/>
    </row>
    <row r="175" spans="1:27" ht="21.95" customHeight="1">
      <c r="A175" s="657"/>
      <c r="B175" s="660"/>
      <c r="C175" s="660"/>
      <c r="D175" s="660"/>
      <c r="E175" s="663"/>
      <c r="F175" s="676"/>
      <c r="G175" s="640"/>
      <c r="H175" s="640"/>
      <c r="I175" s="660"/>
      <c r="J175" s="666"/>
      <c r="K175" s="669"/>
      <c r="L175" s="660"/>
      <c r="M175" s="672"/>
      <c r="N175" s="673"/>
      <c r="O175" s="640" t="s">
        <v>259</v>
      </c>
      <c r="P175" s="640" t="s">
        <v>261</v>
      </c>
      <c r="Q175" s="640" t="s">
        <v>263</v>
      </c>
      <c r="R175" s="674" t="s">
        <v>265</v>
      </c>
      <c r="S175" s="643" t="s">
        <v>267</v>
      </c>
      <c r="T175" s="640" t="s">
        <v>272</v>
      </c>
      <c r="U175" s="640" t="s">
        <v>264</v>
      </c>
      <c r="V175" s="640"/>
      <c r="W175" s="673"/>
      <c r="X175" s="640" t="s">
        <v>293</v>
      </c>
      <c r="Y175" s="640" t="s">
        <v>294</v>
      </c>
      <c r="Z175" s="640" t="s">
        <v>295</v>
      </c>
      <c r="AA175" s="640" t="s">
        <v>264</v>
      </c>
    </row>
    <row r="176" spans="1:27" ht="21.95" customHeight="1">
      <c r="A176" s="658"/>
      <c r="B176" s="661"/>
      <c r="C176" s="661"/>
      <c r="D176" s="661"/>
      <c r="E176" s="664"/>
      <c r="F176" s="677"/>
      <c r="G176" s="348" t="s">
        <v>555</v>
      </c>
      <c r="H176" s="596" t="s">
        <v>297</v>
      </c>
      <c r="I176" s="661"/>
      <c r="J176" s="667"/>
      <c r="K176" s="670"/>
      <c r="L176" s="661"/>
      <c r="M176" s="672"/>
      <c r="N176" s="673"/>
      <c r="O176" s="640"/>
      <c r="P176" s="640"/>
      <c r="Q176" s="640"/>
      <c r="R176" s="674"/>
      <c r="S176" s="643"/>
      <c r="T176" s="640"/>
      <c r="U176" s="640"/>
      <c r="V176" s="640"/>
      <c r="W176" s="673"/>
      <c r="X176" s="640"/>
      <c r="Y176" s="640"/>
      <c r="Z176" s="640"/>
      <c r="AA176" s="640"/>
    </row>
    <row r="177" spans="1:27" ht="20.100000000000001" hidden="1" customHeight="1">
      <c r="A177" s="299">
        <v>30100030</v>
      </c>
      <c r="B177" s="598" t="s">
        <v>178</v>
      </c>
      <c r="C177" s="126" t="s">
        <v>179</v>
      </c>
      <c r="D177" s="108">
        <v>5.03</v>
      </c>
      <c r="E177" s="108"/>
      <c r="F177" s="127"/>
      <c r="G177" s="128"/>
      <c r="H177" s="606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597"/>
      <c r="P177" s="597"/>
      <c r="Q177" s="597"/>
      <c r="R177" s="597"/>
      <c r="S177" s="597"/>
      <c r="T177" s="597"/>
      <c r="U177" s="597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606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597"/>
      <c r="P178" s="597"/>
      <c r="Q178" s="597"/>
      <c r="R178" s="597"/>
      <c r="S178" s="597"/>
      <c r="T178" s="597"/>
      <c r="U178" s="597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606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597"/>
      <c r="P179" s="597"/>
      <c r="Q179" s="597"/>
      <c r="R179" s="597"/>
      <c r="S179" s="597"/>
      <c r="T179" s="597"/>
      <c r="U179" s="597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606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597"/>
      <c r="P180" s="597"/>
      <c r="Q180" s="597"/>
      <c r="R180" s="597"/>
      <c r="S180" s="597"/>
      <c r="T180" s="597"/>
      <c r="U180" s="597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606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597"/>
      <c r="P181" s="597"/>
      <c r="Q181" s="597"/>
      <c r="R181" s="597"/>
      <c r="S181" s="597"/>
      <c r="T181" s="597"/>
      <c r="U181" s="597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606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597"/>
      <c r="P182" s="597"/>
      <c r="Q182" s="597"/>
      <c r="R182" s="597"/>
      <c r="S182" s="597"/>
      <c r="T182" s="597"/>
      <c r="U182" s="597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606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597"/>
      <c r="P183" s="597"/>
      <c r="Q183" s="597"/>
      <c r="R183" s="597"/>
      <c r="S183" s="597"/>
      <c r="T183" s="597"/>
      <c r="U183" s="597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606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597"/>
      <c r="P184" s="597"/>
      <c r="Q184" s="597"/>
      <c r="R184" s="597"/>
      <c r="S184" s="597"/>
      <c r="T184" s="597"/>
      <c r="U184" s="597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606">
        <f t="shared" si="77"/>
        <v>0</v>
      </c>
      <c r="I185" s="606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597"/>
      <c r="P185" s="597"/>
      <c r="Q185" s="597"/>
      <c r="R185" s="597"/>
      <c r="S185" s="597"/>
      <c r="T185" s="597"/>
      <c r="U185" s="597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606">
        <f t="shared" si="77"/>
        <v>0</v>
      </c>
      <c r="I186" s="606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597"/>
      <c r="P186" s="597"/>
      <c r="Q186" s="597"/>
      <c r="R186" s="597"/>
      <c r="S186" s="597"/>
      <c r="T186" s="597"/>
      <c r="U186" s="597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606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597"/>
      <c r="P187" s="597"/>
      <c r="Q187" s="597"/>
      <c r="R187" s="597"/>
      <c r="S187" s="597"/>
      <c r="T187" s="597"/>
      <c r="U187" s="597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606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597"/>
      <c r="P188" s="597"/>
      <c r="Q188" s="597"/>
      <c r="R188" s="597"/>
      <c r="S188" s="597"/>
      <c r="T188" s="597"/>
      <c r="U188" s="597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606">
        <f t="shared" ref="H189:H197" si="82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3">IF(ISERROR(I189-K189),"",I189-K189)</f>
        <v>0</v>
      </c>
      <c r="N189" s="130">
        <f t="shared" ref="N189:N191" si="84">SUM(O189:U189)</f>
        <v>0</v>
      </c>
      <c r="O189" s="597"/>
      <c r="P189" s="597"/>
      <c r="Q189" s="597"/>
      <c r="R189" s="597"/>
      <c r="S189" s="597"/>
      <c r="T189" s="597"/>
      <c r="U189" s="597"/>
      <c r="V189" s="132">
        <f t="shared" ref="V189:V191" si="85">SUM(X189:AA189)</f>
        <v>0</v>
      </c>
      <c r="W189" s="133" t="str">
        <f t="shared" ref="W189:W191" si="86">IF(ISERROR(V189/G189),"",V189/G189)</f>
        <v/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606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597"/>
      <c r="P190" s="597"/>
      <c r="Q190" s="597"/>
      <c r="R190" s="597"/>
      <c r="S190" s="597"/>
      <c r="T190" s="597"/>
      <c r="U190" s="597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>
        <v>42727</v>
      </c>
      <c r="G191" s="128">
        <f>100*10+43</f>
        <v>1043</v>
      </c>
      <c r="H191" s="606">
        <f t="shared" si="82"/>
        <v>5308.87</v>
      </c>
      <c r="I191" s="129">
        <f>10.5*5</f>
        <v>52.5</v>
      </c>
      <c r="J191" s="130">
        <f t="array" ref="J191">IF(ISERROR(G191/I191),"",G191/I191)</f>
        <v>19.866666666666667</v>
      </c>
      <c r="K191" s="131">
        <f t="array" ref="K191">IF(ISERROR(G191/L191),"",G191/L191)</f>
        <v>45.347826086956523</v>
      </c>
      <c r="L191" s="129">
        <v>23</v>
      </c>
      <c r="M191" s="109">
        <f t="shared" si="83"/>
        <v>7.1521739130434767</v>
      </c>
      <c r="N191" s="130">
        <f t="shared" si="84"/>
        <v>0</v>
      </c>
      <c r="O191" s="597"/>
      <c r="P191" s="597"/>
      <c r="Q191" s="597"/>
      <c r="R191" s="597"/>
      <c r="S191" s="597"/>
      <c r="T191" s="597"/>
      <c r="U191" s="597"/>
      <c r="V191" s="132">
        <f t="shared" si="85"/>
        <v>0</v>
      </c>
      <c r="W191" s="133">
        <f t="shared" si="86"/>
        <v>0</v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596" t="s">
        <v>190</v>
      </c>
      <c r="D192" s="108">
        <v>4.8</v>
      </c>
      <c r="E192" s="108"/>
      <c r="F192" s="127"/>
      <c r="G192" s="128"/>
      <c r="H192" s="606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597"/>
      <c r="P192" s="597"/>
      <c r="Q192" s="597"/>
      <c r="R192" s="597"/>
      <c r="S192" s="597"/>
      <c r="T192" s="597"/>
      <c r="U192" s="597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596" t="s">
        <v>187</v>
      </c>
      <c r="D193" s="108">
        <v>4.8</v>
      </c>
      <c r="E193" s="108"/>
      <c r="F193" s="127"/>
      <c r="G193" s="128"/>
      <c r="H193" s="606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597"/>
      <c r="P193" s="597"/>
      <c r="Q193" s="597"/>
      <c r="R193" s="597"/>
      <c r="S193" s="597"/>
      <c r="T193" s="597"/>
      <c r="U193" s="597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596" t="s">
        <v>179</v>
      </c>
      <c r="D194" s="108">
        <v>4.8</v>
      </c>
      <c r="E194" s="108"/>
      <c r="F194" s="127"/>
      <c r="G194" s="128"/>
      <c r="H194" s="606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597"/>
      <c r="P194" s="597"/>
      <c r="Q194" s="597"/>
      <c r="R194" s="597"/>
      <c r="S194" s="597"/>
      <c r="T194" s="597"/>
      <c r="U194" s="597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596" t="s">
        <v>199</v>
      </c>
      <c r="D195" s="108">
        <v>4.8</v>
      </c>
      <c r="E195" s="108"/>
      <c r="F195" s="127"/>
      <c r="G195" s="128"/>
      <c r="H195" s="606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597"/>
      <c r="P195" s="597"/>
      <c r="Q195" s="597"/>
      <c r="R195" s="597"/>
      <c r="S195" s="597"/>
      <c r="T195" s="597"/>
      <c r="U195" s="597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606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597"/>
      <c r="P196" s="597"/>
      <c r="Q196" s="597"/>
      <c r="R196" s="597"/>
      <c r="S196" s="597"/>
      <c r="T196" s="597"/>
      <c r="U196" s="597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606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597"/>
      <c r="P197" s="597"/>
      <c r="Q197" s="597"/>
      <c r="R197" s="597"/>
      <c r="S197" s="597"/>
      <c r="T197" s="597"/>
      <c r="U197" s="597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customHeight="1">
      <c r="A198" s="630" t="s">
        <v>201</v>
      </c>
      <c r="B198" s="631"/>
      <c r="C198" s="604" t="s">
        <v>202</v>
      </c>
      <c r="D198" s="143"/>
      <c r="E198" s="143"/>
      <c r="F198" s="144"/>
      <c r="G198" s="145">
        <f>SUM(G177:G197)</f>
        <v>1043</v>
      </c>
      <c r="H198" s="146">
        <f>SUM(H177:H197)</f>
        <v>5308.87</v>
      </c>
      <c r="I198" s="146">
        <f>SUM(I177:I197)</f>
        <v>52.5</v>
      </c>
      <c r="J198" s="130">
        <f t="array" ref="J198">IF(ISERROR(G198/I198),"",G198/I198)</f>
        <v>19.866666666666667</v>
      </c>
      <c r="K198" s="146">
        <f>SUM(K177:K197)</f>
        <v>45.347826086956523</v>
      </c>
      <c r="L198" s="147"/>
      <c r="M198" s="150">
        <f t="shared" ref="M198:AA198" si="90">SUM(M177:M197)</f>
        <v>7.1521739130434767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598" t="s">
        <v>206</v>
      </c>
      <c r="C199" s="126" t="s">
        <v>199</v>
      </c>
      <c r="D199" s="108">
        <v>5.03</v>
      </c>
      <c r="E199" s="108"/>
      <c r="F199" s="127"/>
      <c r="G199" s="128"/>
      <c r="H199" s="606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601"/>
      <c r="P199" s="601"/>
      <c r="Q199" s="601"/>
      <c r="R199" s="601"/>
      <c r="S199" s="601"/>
      <c r="T199" s="601"/>
      <c r="U199" s="601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598" t="s">
        <v>425</v>
      </c>
      <c r="C200" s="187" t="s">
        <v>427</v>
      </c>
      <c r="D200" s="108">
        <v>5.03</v>
      </c>
      <c r="E200" s="108"/>
      <c r="F200" s="127"/>
      <c r="G200" s="128"/>
      <c r="H200" s="606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601"/>
      <c r="P200" s="601"/>
      <c r="Q200" s="601"/>
      <c r="R200" s="601"/>
      <c r="S200" s="601"/>
      <c r="T200" s="601"/>
      <c r="U200" s="601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598" t="s">
        <v>206</v>
      </c>
      <c r="C201" s="126" t="s">
        <v>186</v>
      </c>
      <c r="D201" s="108">
        <v>5.03</v>
      </c>
      <c r="E201" s="108"/>
      <c r="F201" s="127"/>
      <c r="G201" s="128"/>
      <c r="H201" s="606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601"/>
      <c r="P201" s="601"/>
      <c r="Q201" s="601"/>
      <c r="R201" s="601"/>
      <c r="S201" s="601"/>
      <c r="T201" s="601"/>
      <c r="U201" s="601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598" t="s">
        <v>206</v>
      </c>
      <c r="C202" s="126" t="s">
        <v>203</v>
      </c>
      <c r="D202" s="108">
        <v>5.03</v>
      </c>
      <c r="E202" s="108"/>
      <c r="F202" s="127"/>
      <c r="G202" s="128"/>
      <c r="H202" s="606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601"/>
      <c r="P202" s="601"/>
      <c r="Q202" s="601"/>
      <c r="R202" s="601"/>
      <c r="S202" s="601"/>
      <c r="T202" s="601"/>
      <c r="U202" s="601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598" t="s">
        <v>206</v>
      </c>
      <c r="C203" s="126" t="s">
        <v>207</v>
      </c>
      <c r="D203" s="108">
        <v>5.03</v>
      </c>
      <c r="E203" s="108"/>
      <c r="F203" s="127"/>
      <c r="G203" s="128"/>
      <c r="H203" s="606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0">IF(ISERROR(I203-K203),"",I203-K203)</f>
        <v>0</v>
      </c>
      <c r="N203" s="130">
        <f t="shared" si="97"/>
        <v>0</v>
      </c>
      <c r="O203" s="601"/>
      <c r="P203" s="601"/>
      <c r="Q203" s="601"/>
      <c r="R203" s="601"/>
      <c r="S203" s="601"/>
      <c r="T203" s="601"/>
      <c r="U203" s="601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598" t="s">
        <v>414</v>
      </c>
      <c r="C204" s="187" t="s">
        <v>415</v>
      </c>
      <c r="D204" s="108">
        <v>5.03</v>
      </c>
      <c r="E204" s="108"/>
      <c r="F204" s="127"/>
      <c r="G204" s="128"/>
      <c r="H204" s="606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601"/>
      <c r="P204" s="601"/>
      <c r="Q204" s="601"/>
      <c r="R204" s="601"/>
      <c r="S204" s="601"/>
      <c r="T204" s="601"/>
      <c r="U204" s="601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598" t="s">
        <v>414</v>
      </c>
      <c r="C205" s="187" t="s">
        <v>416</v>
      </c>
      <c r="D205" s="108">
        <v>5.03</v>
      </c>
      <c r="E205" s="108"/>
      <c r="F205" s="127"/>
      <c r="G205" s="128"/>
      <c r="H205" s="606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601"/>
      <c r="P205" s="601"/>
      <c r="Q205" s="601"/>
      <c r="R205" s="601"/>
      <c r="S205" s="601"/>
      <c r="T205" s="601"/>
      <c r="U205" s="601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598" t="s">
        <v>414</v>
      </c>
      <c r="C206" s="187" t="s">
        <v>61</v>
      </c>
      <c r="D206" s="108">
        <v>5.03</v>
      </c>
      <c r="E206" s="108"/>
      <c r="F206" s="127"/>
      <c r="G206" s="128"/>
      <c r="H206" s="606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601"/>
      <c r="P206" s="601"/>
      <c r="Q206" s="601"/>
      <c r="R206" s="601"/>
      <c r="S206" s="601"/>
      <c r="T206" s="601"/>
      <c r="U206" s="601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598" t="s">
        <v>208</v>
      </c>
      <c r="C207" s="126" t="s">
        <v>179</v>
      </c>
      <c r="D207" s="108">
        <v>5.08</v>
      </c>
      <c r="E207" s="108"/>
      <c r="F207" s="127"/>
      <c r="G207" s="128"/>
      <c r="H207" s="606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1">IF(ISERROR(I207-K207),"",I207-K207)</f>
        <v>0</v>
      </c>
      <c r="N207" s="130">
        <f t="shared" ref="N207:N236" si="102">SUM(O207:U207)</f>
        <v>0</v>
      </c>
      <c r="O207" s="601"/>
      <c r="P207" s="601"/>
      <c r="Q207" s="601"/>
      <c r="R207" s="601"/>
      <c r="S207" s="601"/>
      <c r="T207" s="601"/>
      <c r="U207" s="601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598" t="s">
        <v>208</v>
      </c>
      <c r="C208" s="126" t="s">
        <v>204</v>
      </c>
      <c r="D208" s="108">
        <v>5.08</v>
      </c>
      <c r="E208" s="108"/>
      <c r="F208" s="127"/>
      <c r="G208" s="128"/>
      <c r="H208" s="606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601"/>
      <c r="P208" s="601"/>
      <c r="Q208" s="601"/>
      <c r="R208" s="601"/>
      <c r="S208" s="601"/>
      <c r="T208" s="601"/>
      <c r="U208" s="601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598" t="s">
        <v>208</v>
      </c>
      <c r="C209" s="126" t="s">
        <v>205</v>
      </c>
      <c r="D209" s="108">
        <v>5.08</v>
      </c>
      <c r="E209" s="108"/>
      <c r="F209" s="127"/>
      <c r="G209" s="128"/>
      <c r="H209" s="606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601"/>
      <c r="P209" s="601"/>
      <c r="Q209" s="601"/>
      <c r="R209" s="601"/>
      <c r="S209" s="601"/>
      <c r="T209" s="601"/>
      <c r="U209" s="601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customHeight="1">
      <c r="A210" s="300">
        <v>30100022</v>
      </c>
      <c r="B210" s="598" t="s">
        <v>208</v>
      </c>
      <c r="C210" s="126" t="s">
        <v>186</v>
      </c>
      <c r="D210" s="108">
        <v>5.08</v>
      </c>
      <c r="E210" s="108"/>
      <c r="F210" s="127">
        <v>42725</v>
      </c>
      <c r="G210" s="128">
        <f>108+108*3+73</f>
        <v>505</v>
      </c>
      <c r="H210" s="606">
        <f t="shared" si="91"/>
        <v>2565.4</v>
      </c>
      <c r="I210" s="129">
        <f>8*3</f>
        <v>24</v>
      </c>
      <c r="J210" s="130">
        <f t="array" ref="J210">IF(ISERROR(G210/I210),"",G210/I210)</f>
        <v>21.041666666666668</v>
      </c>
      <c r="K210" s="131">
        <f t="array" ref="K210">IF(ISERROR(G210/L210),"",G210/L210)</f>
        <v>24.047619047619047</v>
      </c>
      <c r="L210" s="129">
        <v>21</v>
      </c>
      <c r="M210" s="109">
        <f t="shared" si="101"/>
        <v>-4.761904761904745E-2</v>
      </c>
      <c r="N210" s="130">
        <f t="shared" si="102"/>
        <v>0</v>
      </c>
      <c r="O210" s="601"/>
      <c r="P210" s="601"/>
      <c r="Q210" s="601"/>
      <c r="R210" s="601"/>
      <c r="S210" s="601"/>
      <c r="T210" s="601"/>
      <c r="U210" s="601"/>
      <c r="V210" s="132">
        <f t="shared" si="103"/>
        <v>0</v>
      </c>
      <c r="W210" s="133">
        <f t="shared" si="104"/>
        <v>0</v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598" t="s">
        <v>208</v>
      </c>
      <c r="C211" s="126" t="s">
        <v>203</v>
      </c>
      <c r="D211" s="108">
        <v>5.08</v>
      </c>
      <c r="E211" s="108"/>
      <c r="F211" s="127"/>
      <c r="G211" s="128"/>
      <c r="H211" s="606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601"/>
      <c r="P211" s="601"/>
      <c r="Q211" s="601"/>
      <c r="R211" s="601"/>
      <c r="S211" s="601"/>
      <c r="T211" s="601"/>
      <c r="U211" s="601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598" t="s">
        <v>208</v>
      </c>
      <c r="C212" s="126" t="s">
        <v>199</v>
      </c>
      <c r="D212" s="108">
        <v>5.08</v>
      </c>
      <c r="E212" s="108"/>
      <c r="F212" s="127"/>
      <c r="G212" s="128"/>
      <c r="H212" s="606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597"/>
      <c r="P212" s="597"/>
      <c r="Q212" s="597"/>
      <c r="R212" s="597"/>
      <c r="S212" s="597"/>
      <c r="T212" s="597"/>
      <c r="U212" s="597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598" t="s">
        <v>208</v>
      </c>
      <c r="C213" s="126" t="s">
        <v>187</v>
      </c>
      <c r="D213" s="108">
        <v>5.08</v>
      </c>
      <c r="E213" s="108"/>
      <c r="F213" s="127"/>
      <c r="G213" s="128"/>
      <c r="H213" s="606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601"/>
      <c r="P213" s="601"/>
      <c r="Q213" s="601"/>
      <c r="R213" s="601"/>
      <c r="S213" s="601"/>
      <c r="T213" s="601"/>
      <c r="U213" s="601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598" t="s">
        <v>208</v>
      </c>
      <c r="C214" s="126" t="s">
        <v>207</v>
      </c>
      <c r="D214" s="108">
        <v>5.08</v>
      </c>
      <c r="E214" s="108"/>
      <c r="F214" s="127"/>
      <c r="G214" s="128"/>
      <c r="H214" s="606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597"/>
      <c r="P214" s="597"/>
      <c r="Q214" s="597"/>
      <c r="R214" s="597"/>
      <c r="S214" s="597"/>
      <c r="T214" s="597"/>
      <c r="U214" s="597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598" t="s">
        <v>209</v>
      </c>
      <c r="C215" s="126" t="s">
        <v>194</v>
      </c>
      <c r="D215" s="108">
        <v>5.03</v>
      </c>
      <c r="E215" s="108"/>
      <c r="F215" s="127"/>
      <c r="G215" s="128"/>
      <c r="H215" s="606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601"/>
      <c r="P215" s="601"/>
      <c r="Q215" s="601"/>
      <c r="R215" s="601"/>
      <c r="S215" s="601"/>
      <c r="T215" s="601"/>
      <c r="U215" s="601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598" t="s">
        <v>209</v>
      </c>
      <c r="C216" s="126" t="s">
        <v>179</v>
      </c>
      <c r="D216" s="108">
        <v>5.03</v>
      </c>
      <c r="E216" s="108"/>
      <c r="F216" s="127"/>
      <c r="G216" s="128"/>
      <c r="H216" s="606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601"/>
      <c r="P216" s="601"/>
      <c r="Q216" s="601"/>
      <c r="R216" s="601"/>
      <c r="S216" s="601"/>
      <c r="T216" s="601"/>
      <c r="U216" s="601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598" t="s">
        <v>209</v>
      </c>
      <c r="C217" s="126" t="s">
        <v>195</v>
      </c>
      <c r="D217" s="108">
        <v>5.03</v>
      </c>
      <c r="E217" s="108"/>
      <c r="F217" s="127"/>
      <c r="G217" s="128"/>
      <c r="H217" s="606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601"/>
      <c r="P217" s="601"/>
      <c r="Q217" s="601"/>
      <c r="R217" s="601"/>
      <c r="S217" s="601"/>
      <c r="T217" s="601"/>
      <c r="U217" s="601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customHeight="1">
      <c r="A218" s="300">
        <v>30100031</v>
      </c>
      <c r="B218" s="598" t="s">
        <v>209</v>
      </c>
      <c r="C218" s="126" t="s">
        <v>204</v>
      </c>
      <c r="D218" s="108">
        <v>5.03</v>
      </c>
      <c r="E218" s="108"/>
      <c r="F218" s="127">
        <v>42724</v>
      </c>
      <c r="G218" s="128">
        <f>108*10+88</f>
        <v>1168</v>
      </c>
      <c r="H218" s="606">
        <f t="shared" si="91"/>
        <v>5875.04</v>
      </c>
      <c r="I218" s="129">
        <v>11</v>
      </c>
      <c r="J218" s="130">
        <f t="array" ref="J218">IF(ISERROR(G218/I218),"",G218/I218)</f>
        <v>106.18181818181819</v>
      </c>
      <c r="K218" s="131">
        <f t="array" ref="K218">IF(ISERROR(G218/L218),"",G218/L218)</f>
        <v>20.857142857142858</v>
      </c>
      <c r="L218" s="129">
        <v>56</v>
      </c>
      <c r="M218" s="109">
        <f t="shared" si="101"/>
        <v>-9.8571428571428577</v>
      </c>
      <c r="N218" s="130">
        <f t="shared" si="102"/>
        <v>0</v>
      </c>
      <c r="O218" s="601"/>
      <c r="P218" s="601"/>
      <c r="Q218" s="601"/>
      <c r="R218" s="601"/>
      <c r="S218" s="601"/>
      <c r="T218" s="601"/>
      <c r="U218" s="601"/>
      <c r="V218" s="132">
        <f t="shared" si="103"/>
        <v>0</v>
      </c>
      <c r="W218" s="133">
        <f t="shared" si="104"/>
        <v>0</v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598" t="s">
        <v>382</v>
      </c>
      <c r="C219" s="187" t="s">
        <v>383</v>
      </c>
      <c r="D219" s="108">
        <v>5.03</v>
      </c>
      <c r="E219" s="108"/>
      <c r="F219" s="127"/>
      <c r="G219" s="128"/>
      <c r="H219" s="606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601"/>
      <c r="P219" s="601"/>
      <c r="Q219" s="601"/>
      <c r="R219" s="601"/>
      <c r="S219" s="601"/>
      <c r="T219" s="601"/>
      <c r="U219" s="601"/>
      <c r="V219" s="132"/>
      <c r="W219" s="133"/>
      <c r="X219" s="132"/>
      <c r="Y219" s="132"/>
      <c r="Z219" s="132"/>
      <c r="AA219" s="132"/>
    </row>
    <row r="220" spans="1:27" ht="20.100000000000001" customHeight="1">
      <c r="A220" s="300">
        <v>30100020</v>
      </c>
      <c r="B220" s="598" t="s">
        <v>382</v>
      </c>
      <c r="C220" s="187" t="s">
        <v>384</v>
      </c>
      <c r="D220" s="108">
        <v>5.03</v>
      </c>
      <c r="E220" s="108"/>
      <c r="F220" s="127">
        <v>42725</v>
      </c>
      <c r="G220" s="128">
        <f>90*5+51+90</f>
        <v>591</v>
      </c>
      <c r="H220" s="606">
        <f t="shared" si="91"/>
        <v>2972.73</v>
      </c>
      <c r="I220" s="129">
        <f>8.5*2</f>
        <v>17</v>
      </c>
      <c r="J220" s="130">
        <f t="array" ref="J220">IF(ISERROR(G220/I220),"",G220/I220)</f>
        <v>34.764705882352942</v>
      </c>
      <c r="K220" s="131">
        <f t="array" ref="K220">IF(ISERROR(G220/L220),"",G220/L220)</f>
        <v>10.944444444444445</v>
      </c>
      <c r="L220" s="129">
        <v>54</v>
      </c>
      <c r="M220" s="109">
        <f t="shared" si="101"/>
        <v>6.0555555555555554</v>
      </c>
      <c r="N220" s="130">
        <f t="shared" si="102"/>
        <v>0</v>
      </c>
      <c r="O220" s="601"/>
      <c r="P220" s="601"/>
      <c r="Q220" s="601"/>
      <c r="R220" s="601"/>
      <c r="S220" s="601"/>
      <c r="T220" s="601"/>
      <c r="U220" s="601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598" t="s">
        <v>382</v>
      </c>
      <c r="C221" s="187" t="s">
        <v>389</v>
      </c>
      <c r="D221" s="108">
        <v>5.03</v>
      </c>
      <c r="E221" s="108"/>
      <c r="F221" s="127"/>
      <c r="G221" s="128"/>
      <c r="H221" s="606">
        <f t="shared" si="91"/>
        <v>0</v>
      </c>
      <c r="I221" s="129"/>
      <c r="J221" s="130" t="str">
        <f t="array" ref="J221">IF(ISERROR(G221/I221),"",G221/I221)</f>
        <v/>
      </c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601"/>
      <c r="P221" s="601"/>
      <c r="Q221" s="601"/>
      <c r="R221" s="601"/>
      <c r="S221" s="601"/>
      <c r="T221" s="601"/>
      <c r="U221" s="601"/>
      <c r="V221" s="132"/>
      <c r="W221" s="133"/>
      <c r="X221" s="132"/>
      <c r="Y221" s="132"/>
      <c r="Z221" s="132"/>
      <c r="AA221" s="132"/>
    </row>
    <row r="222" spans="1:27" ht="20.100000000000001" customHeight="1">
      <c r="A222" s="300">
        <v>30100018</v>
      </c>
      <c r="B222" s="598" t="s">
        <v>382</v>
      </c>
      <c r="C222" s="187" t="s">
        <v>391</v>
      </c>
      <c r="D222" s="108">
        <v>5.03</v>
      </c>
      <c r="E222" s="108"/>
      <c r="F222" s="127">
        <v>42725</v>
      </c>
      <c r="G222" s="128">
        <f>90*2+66</f>
        <v>246</v>
      </c>
      <c r="H222" s="606">
        <f t="shared" si="91"/>
        <v>1237.3800000000001</v>
      </c>
      <c r="I222" s="129">
        <f>3*3</f>
        <v>9</v>
      </c>
      <c r="J222" s="130">
        <f t="array" ref="J222">IF(ISERROR(G222/I222),"",G222/I222)</f>
        <v>27.333333333333332</v>
      </c>
      <c r="K222" s="131">
        <f t="array" ref="K222">IF(ISERROR(G222/L222),"",G222/L222)</f>
        <v>4.5555555555555554</v>
      </c>
      <c r="L222" s="129">
        <v>54</v>
      </c>
      <c r="M222" s="109">
        <f t="shared" si="101"/>
        <v>4.4444444444444446</v>
      </c>
      <c r="N222" s="130">
        <f t="shared" si="102"/>
        <v>0</v>
      </c>
      <c r="O222" s="601"/>
      <c r="P222" s="601"/>
      <c r="Q222" s="601"/>
      <c r="R222" s="601"/>
      <c r="S222" s="601"/>
      <c r="T222" s="601"/>
      <c r="U222" s="601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598" t="s">
        <v>418</v>
      </c>
      <c r="C223" s="187" t="s">
        <v>364</v>
      </c>
      <c r="D223" s="108">
        <v>5.03</v>
      </c>
      <c r="E223" s="108"/>
      <c r="F223" s="127"/>
      <c r="G223" s="128"/>
      <c r="H223" s="606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601"/>
      <c r="P223" s="601"/>
      <c r="Q223" s="601"/>
      <c r="R223" s="601"/>
      <c r="S223" s="601"/>
      <c r="T223" s="601"/>
      <c r="U223" s="601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598" t="s">
        <v>418</v>
      </c>
      <c r="C224" s="187" t="s">
        <v>365</v>
      </c>
      <c r="D224" s="108">
        <v>5.03</v>
      </c>
      <c r="E224" s="108"/>
      <c r="F224" s="127"/>
      <c r="G224" s="128"/>
      <c r="H224" s="606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601"/>
      <c r="P224" s="601"/>
      <c r="Q224" s="601"/>
      <c r="R224" s="601"/>
      <c r="S224" s="601"/>
      <c r="T224" s="601"/>
      <c r="U224" s="601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598" t="s">
        <v>418</v>
      </c>
      <c r="C225" s="187" t="s">
        <v>366</v>
      </c>
      <c r="D225" s="108">
        <v>5.03</v>
      </c>
      <c r="E225" s="108"/>
      <c r="F225" s="127"/>
      <c r="G225" s="128"/>
      <c r="H225" s="606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601"/>
      <c r="P225" s="601"/>
      <c r="Q225" s="601"/>
      <c r="R225" s="601"/>
      <c r="S225" s="601"/>
      <c r="T225" s="601"/>
      <c r="U225" s="601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598" t="s">
        <v>418</v>
      </c>
      <c r="C226" s="187" t="s">
        <v>367</v>
      </c>
      <c r="D226" s="108">
        <v>5.03</v>
      </c>
      <c r="E226" s="108"/>
      <c r="F226" s="127"/>
      <c r="G226" s="128"/>
      <c r="H226" s="606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601"/>
      <c r="P226" s="601"/>
      <c r="Q226" s="601"/>
      <c r="R226" s="601"/>
      <c r="S226" s="601"/>
      <c r="T226" s="601"/>
      <c r="U226" s="601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606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597"/>
      <c r="P227" s="597"/>
      <c r="Q227" s="597"/>
      <c r="R227" s="597"/>
      <c r="S227" s="597"/>
      <c r="T227" s="597"/>
      <c r="U227" s="597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606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597"/>
      <c r="P228" s="597"/>
      <c r="Q228" s="597"/>
      <c r="R228" s="597"/>
      <c r="S228" s="597"/>
      <c r="T228" s="597"/>
      <c r="U228" s="597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606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597"/>
      <c r="P229" s="597"/>
      <c r="Q229" s="597"/>
      <c r="R229" s="597"/>
      <c r="S229" s="597"/>
      <c r="T229" s="597"/>
      <c r="U229" s="597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606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597"/>
      <c r="P230" s="597"/>
      <c r="Q230" s="597"/>
      <c r="R230" s="597"/>
      <c r="S230" s="597"/>
      <c r="T230" s="597"/>
      <c r="U230" s="597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606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597"/>
      <c r="P231" s="597"/>
      <c r="Q231" s="597"/>
      <c r="R231" s="597"/>
      <c r="S231" s="597"/>
      <c r="T231" s="597"/>
      <c r="U231" s="597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606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597"/>
      <c r="P232" s="597"/>
      <c r="Q232" s="597"/>
      <c r="R232" s="597"/>
      <c r="S232" s="597"/>
      <c r="T232" s="597"/>
      <c r="U232" s="597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606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597"/>
      <c r="P233" s="597"/>
      <c r="Q233" s="597"/>
      <c r="R233" s="597"/>
      <c r="S233" s="597"/>
      <c r="T233" s="597"/>
      <c r="U233" s="597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606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597"/>
      <c r="P234" s="597"/>
      <c r="Q234" s="597"/>
      <c r="R234" s="597"/>
      <c r="S234" s="597"/>
      <c r="T234" s="597"/>
      <c r="U234" s="597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606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597"/>
      <c r="P235" s="597"/>
      <c r="Q235" s="597"/>
      <c r="R235" s="597"/>
      <c r="S235" s="597"/>
      <c r="T235" s="597"/>
      <c r="U235" s="597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606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597"/>
      <c r="P236" s="597"/>
      <c r="Q236" s="597"/>
      <c r="R236" s="597"/>
      <c r="S236" s="597"/>
      <c r="T236" s="597"/>
      <c r="U236" s="597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606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597"/>
      <c r="P237" s="597"/>
      <c r="Q237" s="597"/>
      <c r="R237" s="597"/>
      <c r="S237" s="597"/>
      <c r="T237" s="597"/>
      <c r="U237" s="597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606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7">IF(ISERROR(I238-K238),"",I238-K238)</f>
        <v>0</v>
      </c>
      <c r="N238" s="130"/>
      <c r="O238" s="597"/>
      <c r="P238" s="597"/>
      <c r="Q238" s="597"/>
      <c r="R238" s="597"/>
      <c r="S238" s="597"/>
      <c r="T238" s="597"/>
      <c r="U238" s="597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606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7"/>
        <v>0</v>
      </c>
      <c r="N239" s="130">
        <f t="shared" ref="N239:N240" si="108">SUM(O239:U239)</f>
        <v>0</v>
      </c>
      <c r="O239" s="597"/>
      <c r="P239" s="597"/>
      <c r="Q239" s="597"/>
      <c r="R239" s="597"/>
      <c r="S239" s="597"/>
      <c r="T239" s="597"/>
      <c r="U239" s="597"/>
      <c r="V239" s="132">
        <f t="shared" ref="V239:V240" si="109">SUM(X239:AA239)</f>
        <v>0</v>
      </c>
      <c r="W239" s="133" t="str">
        <f t="shared" ref="W239:W240" si="110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606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597"/>
      <c r="P240" s="597"/>
      <c r="Q240" s="597"/>
      <c r="R240" s="597"/>
      <c r="S240" s="597"/>
      <c r="T240" s="597"/>
      <c r="U240" s="597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606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597"/>
      <c r="P241" s="597"/>
      <c r="Q241" s="597"/>
      <c r="R241" s="597"/>
      <c r="S241" s="597"/>
      <c r="T241" s="597"/>
      <c r="U241" s="597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606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597"/>
      <c r="P242" s="597"/>
      <c r="Q242" s="597"/>
      <c r="R242" s="597"/>
      <c r="S242" s="597"/>
      <c r="T242" s="597"/>
      <c r="U242" s="597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606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597"/>
      <c r="P243" s="597"/>
      <c r="Q243" s="597"/>
      <c r="R243" s="597"/>
      <c r="S243" s="597"/>
      <c r="T243" s="597"/>
      <c r="U243" s="597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606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597"/>
      <c r="P244" s="597"/>
      <c r="Q244" s="597"/>
      <c r="R244" s="597"/>
      <c r="S244" s="597"/>
      <c r="T244" s="597"/>
      <c r="U244" s="597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606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597"/>
      <c r="P245" s="597"/>
      <c r="Q245" s="597"/>
      <c r="R245" s="597"/>
      <c r="S245" s="597"/>
      <c r="T245" s="597"/>
      <c r="U245" s="597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606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597"/>
      <c r="P246" s="597"/>
      <c r="Q246" s="597"/>
      <c r="R246" s="597"/>
      <c r="S246" s="597"/>
      <c r="T246" s="597"/>
      <c r="U246" s="597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606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597"/>
      <c r="P247" s="597"/>
      <c r="Q247" s="597"/>
      <c r="R247" s="597"/>
      <c r="S247" s="597"/>
      <c r="T247" s="597"/>
      <c r="U247" s="597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606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597"/>
      <c r="P248" s="597"/>
      <c r="Q248" s="597"/>
      <c r="R248" s="597"/>
      <c r="S248" s="597"/>
      <c r="T248" s="597"/>
      <c r="U248" s="597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606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597"/>
      <c r="P249" s="597"/>
      <c r="Q249" s="597"/>
      <c r="R249" s="597"/>
      <c r="S249" s="597"/>
      <c r="T249" s="597"/>
      <c r="U249" s="597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606">
        <f t="shared" si="91"/>
        <v>0</v>
      </c>
      <c r="I250" s="129"/>
      <c r="J250" s="130"/>
      <c r="K250" s="131"/>
      <c r="L250" s="129">
        <v>4</v>
      </c>
      <c r="M250" s="109"/>
      <c r="N250" s="130"/>
      <c r="O250" s="597"/>
      <c r="P250" s="597"/>
      <c r="Q250" s="597"/>
      <c r="R250" s="597"/>
      <c r="S250" s="597"/>
      <c r="T250" s="597"/>
      <c r="U250" s="597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606">
        <f t="shared" si="91"/>
        <v>0</v>
      </c>
      <c r="I251" s="129"/>
      <c r="J251" s="130"/>
      <c r="K251" s="131"/>
      <c r="L251" s="129">
        <v>4</v>
      </c>
      <c r="M251" s="109"/>
      <c r="N251" s="130"/>
      <c r="O251" s="597"/>
      <c r="P251" s="597"/>
      <c r="Q251" s="597"/>
      <c r="R251" s="597"/>
      <c r="S251" s="597"/>
      <c r="T251" s="597"/>
      <c r="U251" s="597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606">
        <f t="shared" si="91"/>
        <v>0</v>
      </c>
      <c r="I252" s="129"/>
      <c r="J252" s="130"/>
      <c r="K252" s="131"/>
      <c r="L252" s="129">
        <v>4</v>
      </c>
      <c r="M252" s="109"/>
      <c r="N252" s="130"/>
      <c r="O252" s="597"/>
      <c r="P252" s="597"/>
      <c r="Q252" s="597"/>
      <c r="R252" s="597"/>
      <c r="S252" s="597"/>
      <c r="T252" s="597"/>
      <c r="U252" s="597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606">
        <f t="shared" si="91"/>
        <v>0</v>
      </c>
      <c r="I253" s="129"/>
      <c r="J253" s="130"/>
      <c r="K253" s="131"/>
      <c r="L253" s="129">
        <v>4</v>
      </c>
      <c r="M253" s="109"/>
      <c r="N253" s="130"/>
      <c r="O253" s="597"/>
      <c r="P253" s="597"/>
      <c r="Q253" s="597"/>
      <c r="R253" s="597"/>
      <c r="S253" s="597"/>
      <c r="T253" s="597"/>
      <c r="U253" s="597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606">
        <f t="shared" si="91"/>
        <v>0</v>
      </c>
      <c r="I254" s="129"/>
      <c r="J254" s="130"/>
      <c r="K254" s="131"/>
      <c r="L254" s="129">
        <v>4</v>
      </c>
      <c r="M254" s="109"/>
      <c r="N254" s="130"/>
      <c r="O254" s="597"/>
      <c r="P254" s="597"/>
      <c r="Q254" s="597"/>
      <c r="R254" s="597"/>
      <c r="S254" s="597"/>
      <c r="T254" s="597"/>
      <c r="U254" s="597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606">
        <f t="shared" si="91"/>
        <v>0</v>
      </c>
      <c r="I255" s="129"/>
      <c r="J255" s="130"/>
      <c r="K255" s="131"/>
      <c r="L255" s="129">
        <v>4</v>
      </c>
      <c r="M255" s="109"/>
      <c r="N255" s="130"/>
      <c r="O255" s="597"/>
      <c r="P255" s="597"/>
      <c r="Q255" s="597"/>
      <c r="R255" s="597"/>
      <c r="S255" s="597"/>
      <c r="T255" s="597"/>
      <c r="U255" s="597"/>
      <c r="V255" s="132"/>
      <c r="W255" s="133"/>
      <c r="X255" s="132"/>
      <c r="Y255" s="132"/>
      <c r="Z255" s="132"/>
      <c r="AA255" s="132"/>
    </row>
    <row r="256" spans="1:27" ht="20.100000000000001" customHeight="1">
      <c r="A256" s="641" t="s">
        <v>216</v>
      </c>
      <c r="B256" s="641"/>
      <c r="C256" s="604" t="s">
        <v>202</v>
      </c>
      <c r="D256" s="143"/>
      <c r="E256" s="143"/>
      <c r="F256" s="144"/>
      <c r="G256" s="145">
        <f>SUM(G199:G255)</f>
        <v>2510</v>
      </c>
      <c r="H256" s="146">
        <f>SUM(H199:H255)</f>
        <v>12650.55</v>
      </c>
      <c r="I256" s="146">
        <f>SUM(I199:I255)</f>
        <v>61</v>
      </c>
      <c r="J256" s="130">
        <f t="array" ref="J256">IF(ISERROR(G256/I256),"",G256/I256)</f>
        <v>41.147540983606561</v>
      </c>
      <c r="K256" s="146">
        <f>SUM(K199:K255)</f>
        <v>60.404761904761905</v>
      </c>
      <c r="L256" s="147"/>
      <c r="M256" s="150">
        <f t="shared" ref="M256:V256" si="114">SUM(M199:M255)</f>
        <v>0.5952380952380949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>
        <f t="shared" ref="W256:W263" si="115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598" t="s">
        <v>217</v>
      </c>
      <c r="C257" s="126" t="s">
        <v>179</v>
      </c>
      <c r="D257" s="108">
        <v>5.03</v>
      </c>
      <c r="E257" s="108"/>
      <c r="F257" s="127"/>
      <c r="G257" s="128"/>
      <c r="H257" s="606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597"/>
      <c r="P257" s="597"/>
      <c r="Q257" s="597"/>
      <c r="R257" s="597"/>
      <c r="S257" s="597"/>
      <c r="T257" s="597"/>
      <c r="U257" s="597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598" t="s">
        <v>217</v>
      </c>
      <c r="C258" s="126" t="s">
        <v>186</v>
      </c>
      <c r="D258" s="108">
        <v>5.03</v>
      </c>
      <c r="E258" s="108"/>
      <c r="F258" s="127"/>
      <c r="G258" s="128"/>
      <c r="H258" s="606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597"/>
      <c r="P258" s="597"/>
      <c r="Q258" s="597"/>
      <c r="R258" s="597"/>
      <c r="S258" s="597"/>
      <c r="T258" s="597"/>
      <c r="U258" s="597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598" t="s">
        <v>217</v>
      </c>
      <c r="C259" s="126" t="s">
        <v>204</v>
      </c>
      <c r="D259" s="108">
        <v>5.03</v>
      </c>
      <c r="E259" s="108"/>
      <c r="F259" s="127"/>
      <c r="G259" s="128"/>
      <c r="H259" s="606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597"/>
      <c r="P259" s="597"/>
      <c r="Q259" s="597"/>
      <c r="R259" s="597"/>
      <c r="S259" s="597"/>
      <c r="T259" s="597"/>
      <c r="U259" s="597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>
        <v>42726</v>
      </c>
      <c r="G260" s="128">
        <f>52+60+108</f>
        <v>220</v>
      </c>
      <c r="H260" s="606">
        <f t="shared" si="116"/>
        <v>1106.6000000000001</v>
      </c>
      <c r="I260" s="129">
        <f>11*4</f>
        <v>44</v>
      </c>
      <c r="J260" s="130">
        <f t="array" ref="J260">IF(ISERROR(G260/I260),"",G260/I260)</f>
        <v>5</v>
      </c>
      <c r="K260" s="131">
        <f t="array" ref="K260">IF(ISERROR(G260/L260),"",G260/L260)</f>
        <v>23.65591397849462</v>
      </c>
      <c r="L260" s="129">
        <v>9.3000000000000007</v>
      </c>
      <c r="M260" s="109">
        <f t="shared" si="117"/>
        <v>20.34408602150538</v>
      </c>
      <c r="N260" s="130">
        <f t="shared" si="118"/>
        <v>0</v>
      </c>
      <c r="O260" s="597"/>
      <c r="P260" s="597"/>
      <c r="Q260" s="597"/>
      <c r="R260" s="597"/>
      <c r="S260" s="597"/>
      <c r="T260" s="597"/>
      <c r="U260" s="597"/>
      <c r="V260" s="132">
        <f t="shared" si="119"/>
        <v>0</v>
      </c>
      <c r="W260" s="133">
        <f t="shared" si="115"/>
        <v>0</v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606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597"/>
      <c r="P261" s="597"/>
      <c r="Q261" s="597"/>
      <c r="R261" s="597"/>
      <c r="S261" s="597"/>
      <c r="T261" s="597"/>
      <c r="U261" s="597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606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597"/>
      <c r="P262" s="597"/>
      <c r="Q262" s="597"/>
      <c r="R262" s="597"/>
      <c r="S262" s="597"/>
      <c r="T262" s="597"/>
      <c r="U262" s="597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>
        <v>42726</v>
      </c>
      <c r="G263" s="128">
        <f>108*2</f>
        <v>216</v>
      </c>
      <c r="H263" s="606">
        <f t="shared" si="116"/>
        <v>1086.48</v>
      </c>
      <c r="I263" s="129">
        <f>11*4</f>
        <v>44</v>
      </c>
      <c r="J263" s="130">
        <f t="array" ref="J263">IF(ISERROR(G263/I263),"",G263/I263)</f>
        <v>4.9090909090909092</v>
      </c>
      <c r="K263" s="131">
        <f t="array" ref="K263">IF(ISERROR(G263/L263),"",G263/L263)</f>
        <v>23.2258064516129</v>
      </c>
      <c r="L263" s="129">
        <v>9.3000000000000007</v>
      </c>
      <c r="M263" s="109">
        <f t="shared" si="117"/>
        <v>20.7741935483871</v>
      </c>
      <c r="N263" s="130">
        <f t="shared" si="118"/>
        <v>0</v>
      </c>
      <c r="O263" s="597"/>
      <c r="P263" s="597"/>
      <c r="Q263" s="597"/>
      <c r="R263" s="597"/>
      <c r="S263" s="597"/>
      <c r="T263" s="597"/>
      <c r="U263" s="597"/>
      <c r="V263" s="132">
        <f t="shared" si="119"/>
        <v>0</v>
      </c>
      <c r="W263" s="133">
        <f t="shared" si="115"/>
        <v>0</v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606">
        <f t="shared" si="116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597"/>
      <c r="P264" s="597"/>
      <c r="Q264" s="597"/>
      <c r="R264" s="597"/>
      <c r="S264" s="597"/>
      <c r="T264" s="597"/>
      <c r="U264" s="597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606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597"/>
      <c r="P265" s="597"/>
      <c r="Q265" s="597"/>
      <c r="R265" s="597"/>
      <c r="S265" s="597"/>
      <c r="T265" s="597"/>
      <c r="U265" s="597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606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597"/>
      <c r="P266" s="597"/>
      <c r="Q266" s="597"/>
      <c r="R266" s="597"/>
      <c r="S266" s="597"/>
      <c r="T266" s="597"/>
      <c r="U266" s="597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606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597"/>
      <c r="P267" s="597"/>
      <c r="Q267" s="597"/>
      <c r="R267" s="597"/>
      <c r="S267" s="597"/>
      <c r="T267" s="597"/>
      <c r="U267" s="597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606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597"/>
      <c r="P268" s="597"/>
      <c r="Q268" s="597"/>
      <c r="R268" s="597"/>
      <c r="S268" s="597"/>
      <c r="T268" s="597"/>
      <c r="U268" s="597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606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7" si="120">IF(ISERROR(I269-K269),"",I269-K269)</f>
        <v>0</v>
      </c>
      <c r="N269" s="130">
        <f t="shared" ref="N269:N284" si="121">SUM(O269:U269)</f>
        <v>0</v>
      </c>
      <c r="O269" s="597"/>
      <c r="P269" s="597"/>
      <c r="Q269" s="597"/>
      <c r="R269" s="597"/>
      <c r="S269" s="597"/>
      <c r="T269" s="597"/>
      <c r="U269" s="597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606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597"/>
      <c r="P270" s="597"/>
      <c r="Q270" s="597"/>
      <c r="R270" s="597"/>
      <c r="S270" s="597"/>
      <c r="T270" s="597"/>
      <c r="U270" s="597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606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597"/>
      <c r="P271" s="597"/>
      <c r="Q271" s="597"/>
      <c r="R271" s="597"/>
      <c r="S271" s="597"/>
      <c r="T271" s="597"/>
      <c r="U271" s="597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606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597"/>
      <c r="P272" s="597"/>
      <c r="Q272" s="597"/>
      <c r="R272" s="597"/>
      <c r="S272" s="597"/>
      <c r="T272" s="597"/>
      <c r="U272" s="597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598" t="s">
        <v>222</v>
      </c>
      <c r="C273" s="126" t="s">
        <v>181</v>
      </c>
      <c r="D273" s="108">
        <v>9.36</v>
      </c>
      <c r="E273" s="108"/>
      <c r="F273" s="127"/>
      <c r="G273" s="128"/>
      <c r="H273" s="606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597"/>
      <c r="P273" s="597"/>
      <c r="Q273" s="597"/>
      <c r="R273" s="597"/>
      <c r="S273" s="597"/>
      <c r="T273" s="597"/>
      <c r="U273" s="597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598" t="s">
        <v>222</v>
      </c>
      <c r="C274" s="126" t="s">
        <v>179</v>
      </c>
      <c r="D274" s="108">
        <v>9.36</v>
      </c>
      <c r="E274" s="108"/>
      <c r="F274" s="127"/>
      <c r="G274" s="128"/>
      <c r="H274" s="606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597"/>
      <c r="P274" s="597"/>
      <c r="Q274" s="597"/>
      <c r="R274" s="597"/>
      <c r="S274" s="597"/>
      <c r="T274" s="597"/>
      <c r="U274" s="597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598" t="s">
        <v>222</v>
      </c>
      <c r="C275" s="126" t="s">
        <v>221</v>
      </c>
      <c r="D275" s="108">
        <v>9.36</v>
      </c>
      <c r="E275" s="108"/>
      <c r="F275" s="127"/>
      <c r="G275" s="128"/>
      <c r="H275" s="606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597"/>
      <c r="P275" s="597"/>
      <c r="Q275" s="597"/>
      <c r="R275" s="597"/>
      <c r="S275" s="597"/>
      <c r="T275" s="597"/>
      <c r="U275" s="597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598" t="s">
        <v>222</v>
      </c>
      <c r="C276" s="126" t="s">
        <v>186</v>
      </c>
      <c r="D276" s="108">
        <v>9.36</v>
      </c>
      <c r="E276" s="108"/>
      <c r="F276" s="127"/>
      <c r="G276" s="128"/>
      <c r="H276" s="606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597"/>
      <c r="P276" s="597"/>
      <c r="Q276" s="597"/>
      <c r="R276" s="597"/>
      <c r="S276" s="597"/>
      <c r="T276" s="597"/>
      <c r="U276" s="597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customHeight="1">
      <c r="A277" s="299">
        <v>30400026</v>
      </c>
      <c r="B277" s="598" t="s">
        <v>393</v>
      </c>
      <c r="C277" s="187" t="s">
        <v>395</v>
      </c>
      <c r="D277" s="108">
        <v>5</v>
      </c>
      <c r="E277" s="108"/>
      <c r="F277" s="127">
        <v>42725</v>
      </c>
      <c r="G277" s="128">
        <v>83</v>
      </c>
      <c r="H277" s="606">
        <f t="shared" si="116"/>
        <v>415</v>
      </c>
      <c r="I277" s="129">
        <f>2*4</f>
        <v>8</v>
      </c>
      <c r="J277" s="130">
        <f t="array" ref="J277">IF(ISERROR(G277/I277),"",G277/I277)</f>
        <v>10.375</v>
      </c>
      <c r="K277" s="131">
        <f t="array" ref="K277">IF(ISERROR(G277/L277),"",G277/L277)</f>
        <v>16.600000000000001</v>
      </c>
      <c r="L277" s="129">
        <v>5</v>
      </c>
      <c r="M277" s="109">
        <f t="shared" si="120"/>
        <v>-8.6000000000000014</v>
      </c>
      <c r="N277" s="130">
        <f t="shared" si="121"/>
        <v>0</v>
      </c>
      <c r="O277" s="597"/>
      <c r="P277" s="597"/>
      <c r="Q277" s="597"/>
      <c r="R277" s="597"/>
      <c r="S277" s="597"/>
      <c r="T277" s="597"/>
      <c r="U277" s="597"/>
      <c r="V277" s="132"/>
      <c r="W277" s="133"/>
      <c r="X277" s="132"/>
      <c r="Y277" s="132"/>
      <c r="Z277" s="132"/>
      <c r="AA277" s="132"/>
    </row>
    <row r="278" spans="1:27" ht="20.100000000000001" customHeight="1">
      <c r="A278" s="299">
        <v>30400028</v>
      </c>
      <c r="B278" s="598" t="s">
        <v>393</v>
      </c>
      <c r="C278" s="187" t="s">
        <v>402</v>
      </c>
      <c r="D278" s="108">
        <v>5</v>
      </c>
      <c r="E278" s="108"/>
      <c r="F278" s="127">
        <v>42725</v>
      </c>
      <c r="G278" s="128">
        <f>90*2</f>
        <v>180</v>
      </c>
      <c r="H278" s="606">
        <f t="shared" si="116"/>
        <v>900</v>
      </c>
      <c r="I278" s="129">
        <f>4.5*4</f>
        <v>18</v>
      </c>
      <c r="J278" s="130">
        <f t="array" ref="J278">IF(ISERROR(G278/I278),"",G278/I278)</f>
        <v>10</v>
      </c>
      <c r="K278" s="131">
        <f t="array" ref="K278">IF(ISERROR(G278/L278),"",G278/L278)</f>
        <v>36</v>
      </c>
      <c r="L278" s="129">
        <v>5</v>
      </c>
      <c r="M278" s="109">
        <f t="shared" si="120"/>
        <v>-18</v>
      </c>
      <c r="N278" s="130">
        <f t="shared" si="121"/>
        <v>0</v>
      </c>
      <c r="O278" s="597"/>
      <c r="P278" s="597"/>
      <c r="Q278" s="597"/>
      <c r="R278" s="597"/>
      <c r="S278" s="597"/>
      <c r="T278" s="597"/>
      <c r="U278" s="597"/>
      <c r="V278" s="132"/>
      <c r="W278" s="133"/>
      <c r="X278" s="132"/>
      <c r="Y278" s="132"/>
      <c r="Z278" s="132"/>
      <c r="AA278" s="132"/>
    </row>
    <row r="279" spans="1:27" ht="20.100000000000001" customHeight="1">
      <c r="A279" s="299">
        <v>30400027</v>
      </c>
      <c r="B279" s="598" t="s">
        <v>404</v>
      </c>
      <c r="C279" s="187" t="s">
        <v>405</v>
      </c>
      <c r="D279" s="108">
        <v>5</v>
      </c>
      <c r="E279" s="108"/>
      <c r="F279" s="127">
        <v>42725</v>
      </c>
      <c r="G279" s="128">
        <f>20+13</f>
        <v>33</v>
      </c>
      <c r="H279" s="606">
        <f t="shared" si="116"/>
        <v>165</v>
      </c>
      <c r="I279" s="129">
        <f>2.5*4</f>
        <v>10</v>
      </c>
      <c r="J279" s="130">
        <f t="array" ref="J279">IF(ISERROR(G279/I279),"",G279/I279)</f>
        <v>3.3</v>
      </c>
      <c r="K279" s="131">
        <f t="array" ref="K279">IF(ISERROR(G279/L279),"",G279/L279)</f>
        <v>6.6</v>
      </c>
      <c r="L279" s="129">
        <v>5</v>
      </c>
      <c r="M279" s="109">
        <f t="shared" si="120"/>
        <v>3.4000000000000004</v>
      </c>
      <c r="N279" s="130">
        <f t="shared" si="121"/>
        <v>0</v>
      </c>
      <c r="O279" s="597"/>
      <c r="P279" s="597"/>
      <c r="Q279" s="597"/>
      <c r="R279" s="597"/>
      <c r="S279" s="597"/>
      <c r="T279" s="597"/>
      <c r="U279" s="597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598" t="s">
        <v>342</v>
      </c>
      <c r="C280" s="187" t="s">
        <v>372</v>
      </c>
      <c r="D280" s="108">
        <v>5</v>
      </c>
      <c r="E280" s="108"/>
      <c r="F280" s="127"/>
      <c r="G280" s="128"/>
      <c r="H280" s="606">
        <f t="shared" si="116"/>
        <v>0</v>
      </c>
      <c r="I280" s="129"/>
      <c r="J280" s="130" t="str">
        <f t="array" ref="J280">IF(ISERROR(G280/I280),"",G280/I280)</f>
        <v/>
      </c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597"/>
      <c r="P280" s="597"/>
      <c r="Q280" s="597"/>
      <c r="R280" s="597"/>
      <c r="S280" s="597"/>
      <c r="T280" s="597"/>
      <c r="U280" s="597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598" t="s">
        <v>343</v>
      </c>
      <c r="C281" s="126" t="s">
        <v>345</v>
      </c>
      <c r="D281" s="108">
        <v>5</v>
      </c>
      <c r="E281" s="108"/>
      <c r="F281" s="127"/>
      <c r="G281" s="128"/>
      <c r="H281" s="606">
        <f t="shared" si="116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597"/>
      <c r="P281" s="597"/>
      <c r="Q281" s="597"/>
      <c r="R281" s="597"/>
      <c r="S281" s="597"/>
      <c r="T281" s="597"/>
      <c r="U281" s="597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598" t="s">
        <v>343</v>
      </c>
      <c r="C282" s="126" t="s">
        <v>347</v>
      </c>
      <c r="D282" s="108">
        <v>5</v>
      </c>
      <c r="E282" s="108"/>
      <c r="F282" s="127"/>
      <c r="G282" s="128"/>
      <c r="H282" s="606">
        <f t="shared" si="116"/>
        <v>0</v>
      </c>
      <c r="I282" s="129"/>
      <c r="J282" s="130" t="str">
        <f t="array" ref="J282">IF(ISERROR(G282/I282),"",G282/I282)</f>
        <v/>
      </c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597"/>
      <c r="P282" s="597"/>
      <c r="Q282" s="597"/>
      <c r="R282" s="597"/>
      <c r="S282" s="597"/>
      <c r="T282" s="597"/>
      <c r="U282" s="597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606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597"/>
      <c r="P283" s="597"/>
      <c r="Q283" s="597"/>
      <c r="R283" s="597"/>
      <c r="S283" s="597"/>
      <c r="T283" s="597"/>
      <c r="U283" s="597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606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597"/>
      <c r="P284" s="597"/>
      <c r="Q284" s="597"/>
      <c r="R284" s="597"/>
      <c r="S284" s="597"/>
      <c r="T284" s="597"/>
      <c r="U284" s="597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>
        <v>42724</v>
      </c>
      <c r="G285" s="128">
        <v>83</v>
      </c>
      <c r="H285" s="606">
        <f t="shared" si="116"/>
        <v>417.49</v>
      </c>
      <c r="I285" s="129">
        <f>2*4</f>
        <v>8</v>
      </c>
      <c r="J285" s="130">
        <f t="array" ref="J285">IF(ISERROR(G285/I285),"",G285/I285)</f>
        <v>10.375</v>
      </c>
      <c r="K285" s="131">
        <f t="array" ref="K285">IF(ISERROR(G285/L285),"",G285/L285)</f>
        <v>3.4583333333333335</v>
      </c>
      <c r="L285" s="129">
        <v>24</v>
      </c>
      <c r="M285" s="109">
        <f t="shared" si="120"/>
        <v>4.5416666666666661</v>
      </c>
      <c r="N285" s="130"/>
      <c r="O285" s="597"/>
      <c r="P285" s="597"/>
      <c r="Q285" s="597"/>
      <c r="R285" s="597"/>
      <c r="S285" s="597"/>
      <c r="T285" s="597"/>
      <c r="U285" s="597"/>
      <c r="V285" s="132"/>
      <c r="W285" s="133"/>
      <c r="X285" s="132"/>
      <c r="Y285" s="132"/>
      <c r="Z285" s="132"/>
      <c r="AA285" s="132"/>
    </row>
    <row r="286" spans="1:27" ht="20.10000000000000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>
        <v>42724</v>
      </c>
      <c r="G286" s="128">
        <v>35</v>
      </c>
      <c r="H286" s="606">
        <f t="shared" si="116"/>
        <v>176.05</v>
      </c>
      <c r="I286" s="129">
        <f>1*4</f>
        <v>4</v>
      </c>
      <c r="J286" s="130">
        <f t="array" ref="J286">IF(ISERROR(G286/I286),"",G286/I286)</f>
        <v>8.75</v>
      </c>
      <c r="K286" s="131">
        <f t="array" ref="K286">IF(ISERROR(G286/L286),"",G286/L286)</f>
        <v>1.4583333333333333</v>
      </c>
      <c r="L286" s="129">
        <v>24</v>
      </c>
      <c r="M286" s="109">
        <f t="shared" si="120"/>
        <v>2.541666666666667</v>
      </c>
      <c r="N286" s="130"/>
      <c r="O286" s="597"/>
      <c r="P286" s="597"/>
      <c r="Q286" s="597"/>
      <c r="R286" s="597"/>
      <c r="S286" s="597"/>
      <c r="T286" s="597"/>
      <c r="U286" s="597"/>
      <c r="V286" s="132"/>
      <c r="W286" s="133"/>
      <c r="X286" s="132"/>
      <c r="Y286" s="132"/>
      <c r="Z286" s="132"/>
      <c r="AA286" s="132"/>
    </row>
    <row r="287" spans="1:27" ht="20.10000000000000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>
        <v>42724</v>
      </c>
      <c r="G287" s="128">
        <v>70</v>
      </c>
      <c r="H287" s="606">
        <f t="shared" si="116"/>
        <v>352.1</v>
      </c>
      <c r="I287" s="129">
        <f>1.5*4</f>
        <v>6</v>
      </c>
      <c r="J287" s="130">
        <f t="array" ref="J287">IF(ISERROR(G287/I287),"",G287/I287)</f>
        <v>11.666666666666666</v>
      </c>
      <c r="K287" s="131">
        <f t="array" ref="K287">IF(ISERROR(G287/L287),"",G287/L287)</f>
        <v>2.9166666666666665</v>
      </c>
      <c r="L287" s="129">
        <v>24</v>
      </c>
      <c r="M287" s="109">
        <f t="shared" si="120"/>
        <v>3.0833333333333335</v>
      </c>
      <c r="N287" s="130"/>
      <c r="O287" s="597"/>
      <c r="P287" s="597"/>
      <c r="Q287" s="597"/>
      <c r="R287" s="597"/>
      <c r="S287" s="597"/>
      <c r="T287" s="597"/>
      <c r="U287" s="597"/>
      <c r="V287" s="132"/>
      <c r="W287" s="133"/>
      <c r="X287" s="132"/>
      <c r="Y287" s="132"/>
      <c r="Z287" s="132"/>
      <c r="AA287" s="132"/>
    </row>
    <row r="288" spans="1:27" ht="20.10000000000000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>
        <v>42723</v>
      </c>
      <c r="G288" s="128">
        <v>23</v>
      </c>
      <c r="H288" s="606">
        <f t="shared" si="116"/>
        <v>116.61000000000001</v>
      </c>
      <c r="I288" s="129">
        <f>1.5*4</f>
        <v>6</v>
      </c>
      <c r="J288" s="130">
        <f t="array" ref="J288">IF(ISERROR(G288/I288),"",G288/I288)</f>
        <v>3.8333333333333335</v>
      </c>
      <c r="K288" s="131">
        <f t="array" ref="K288">IF(ISERROR(G288/L288),"",G288/L288)</f>
        <v>2.5555555555555554</v>
      </c>
      <c r="L288" s="129">
        <v>9</v>
      </c>
      <c r="M288" s="109">
        <f t="shared" ref="M288:M290" si="127">IF(ISERROR(I288-K288),"",I288-K288)</f>
        <v>3.4444444444444446</v>
      </c>
      <c r="N288" s="130">
        <f t="shared" ref="N288:N290" si="128">SUM(O288:U288)</f>
        <v>0</v>
      </c>
      <c r="O288" s="597"/>
      <c r="P288" s="597"/>
      <c r="Q288" s="597"/>
      <c r="R288" s="597"/>
      <c r="S288" s="597"/>
      <c r="T288" s="597"/>
      <c r="U288" s="597"/>
      <c r="V288" s="132">
        <f t="shared" ref="V288:V290" si="129">SUM(X288:AA288)</f>
        <v>0</v>
      </c>
      <c r="W288" s="133">
        <f t="shared" ref="W288:W312" si="130">IF(ISERROR(V288/G288),"",V288/G288)</f>
        <v>0</v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606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597"/>
      <c r="P289" s="597"/>
      <c r="Q289" s="597"/>
      <c r="R289" s="597"/>
      <c r="S289" s="597"/>
      <c r="T289" s="597"/>
      <c r="U289" s="597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>
        <v>42723</v>
      </c>
      <c r="G290" s="128">
        <v>110</v>
      </c>
      <c r="H290" s="606">
        <f t="shared" si="116"/>
        <v>556.59999999999991</v>
      </c>
      <c r="I290" s="129">
        <f>7*4</f>
        <v>28</v>
      </c>
      <c r="J290" s="130">
        <f t="array" ref="J290">IF(ISERROR(G290/I290),"",G290/I290)</f>
        <v>3.9285714285714284</v>
      </c>
      <c r="K290" s="606">
        <f t="array" ref="K290">IF(ISERROR(G290/L290),"",G290/L290)</f>
        <v>12.222222222222221</v>
      </c>
      <c r="L290" s="129">
        <v>9</v>
      </c>
      <c r="M290" s="109">
        <f t="shared" si="127"/>
        <v>15.777777777777779</v>
      </c>
      <c r="N290" s="130">
        <f t="shared" si="128"/>
        <v>0</v>
      </c>
      <c r="O290" s="597"/>
      <c r="P290" s="597"/>
      <c r="Q290" s="597"/>
      <c r="R290" s="597"/>
      <c r="S290" s="597"/>
      <c r="T290" s="597"/>
      <c r="U290" s="597"/>
      <c r="V290" s="132">
        <f t="shared" si="129"/>
        <v>0</v>
      </c>
      <c r="W290" s="133">
        <f t="shared" si="130"/>
        <v>0</v>
      </c>
      <c r="X290" s="132"/>
      <c r="Y290" s="132"/>
      <c r="Z290" s="132"/>
      <c r="AA290" s="132"/>
    </row>
    <row r="291" spans="1:27" ht="20.100000000000001" customHeight="1">
      <c r="A291" s="630" t="s">
        <v>224</v>
      </c>
      <c r="B291" s="631"/>
      <c r="C291" s="604" t="s">
        <v>202</v>
      </c>
      <c r="D291" s="143"/>
      <c r="E291" s="143"/>
      <c r="F291" s="144"/>
      <c r="G291" s="145">
        <f>SUM(G257:G290)</f>
        <v>1053</v>
      </c>
      <c r="H291" s="146">
        <f>SUM(H257:H290)</f>
        <v>5291.93</v>
      </c>
      <c r="I291" s="146">
        <f>SUM(I257:I290)</f>
        <v>176</v>
      </c>
      <c r="J291" s="130">
        <f t="array" ref="J291">IF(ISERROR(G291/I291),"",G291/I291)</f>
        <v>5.9829545454545459</v>
      </c>
      <c r="K291" s="146">
        <f>SUM(K257:K290)</f>
        <v>128.69283154121862</v>
      </c>
      <c r="L291" s="147"/>
      <c r="M291" s="150">
        <f t="shared" ref="M291:V291" si="131">SUM(M257:M290)</f>
        <v>47.307168458781362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>
        <f t="shared" si="130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606">
        <f t="shared" ref="H292:H306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3">IF(ISERROR(I292-K292),"",I292-K292)</f>
        <v>0</v>
      </c>
      <c r="N292" s="130">
        <f t="shared" ref="N292:N306" si="134">SUM(O292:U292)</f>
        <v>0</v>
      </c>
      <c r="O292" s="597"/>
      <c r="P292" s="597"/>
      <c r="Q292" s="597"/>
      <c r="R292" s="597"/>
      <c r="S292" s="597"/>
      <c r="T292" s="597"/>
      <c r="U292" s="597"/>
      <c r="V292" s="132">
        <f t="shared" ref="V292:V306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606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597"/>
      <c r="P293" s="597"/>
      <c r="Q293" s="597"/>
      <c r="R293" s="597"/>
      <c r="S293" s="597"/>
      <c r="T293" s="597"/>
      <c r="U293" s="597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606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3"/>
        <v>0</v>
      </c>
      <c r="N294" s="130">
        <f t="shared" si="134"/>
        <v>0</v>
      </c>
      <c r="O294" s="597"/>
      <c r="P294" s="597"/>
      <c r="Q294" s="597"/>
      <c r="R294" s="597"/>
      <c r="S294" s="597"/>
      <c r="T294" s="597"/>
      <c r="U294" s="597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606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597"/>
      <c r="P295" s="597"/>
      <c r="Q295" s="597"/>
      <c r="R295" s="597"/>
      <c r="S295" s="597"/>
      <c r="T295" s="597"/>
      <c r="U295" s="597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602" t="s">
        <v>203</v>
      </c>
      <c r="D296" s="108">
        <v>5.03</v>
      </c>
      <c r="E296" s="108"/>
      <c r="F296" s="127"/>
      <c r="G296" s="128"/>
      <c r="H296" s="606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597"/>
      <c r="P296" s="597"/>
      <c r="Q296" s="597"/>
      <c r="R296" s="597"/>
      <c r="S296" s="597"/>
      <c r="T296" s="597"/>
      <c r="U296" s="597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606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597"/>
      <c r="P297" s="597"/>
      <c r="Q297" s="597"/>
      <c r="R297" s="597"/>
      <c r="S297" s="597"/>
      <c r="T297" s="597"/>
      <c r="U297" s="597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606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597"/>
      <c r="P298" s="597"/>
      <c r="Q298" s="597"/>
      <c r="R298" s="597"/>
      <c r="S298" s="597"/>
      <c r="T298" s="597"/>
      <c r="U298" s="597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602" t="s">
        <v>228</v>
      </c>
      <c r="D299" s="108">
        <v>5.03</v>
      </c>
      <c r="E299" s="108"/>
      <c r="F299" s="127"/>
      <c r="G299" s="128"/>
      <c r="H299" s="606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597"/>
      <c r="P299" s="597"/>
      <c r="Q299" s="597"/>
      <c r="R299" s="597"/>
      <c r="S299" s="597"/>
      <c r="T299" s="597"/>
      <c r="U299" s="597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602" t="s">
        <v>212</v>
      </c>
      <c r="D300" s="108">
        <v>5.03</v>
      </c>
      <c r="E300" s="108"/>
      <c r="F300" s="127"/>
      <c r="G300" s="128"/>
      <c r="H300" s="606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597"/>
      <c r="P300" s="597"/>
      <c r="Q300" s="597"/>
      <c r="R300" s="597"/>
      <c r="S300" s="597"/>
      <c r="T300" s="597"/>
      <c r="U300" s="597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602" t="s">
        <v>203</v>
      </c>
      <c r="D301" s="108">
        <v>5.03</v>
      </c>
      <c r="E301" s="108"/>
      <c r="F301" s="127"/>
      <c r="G301" s="128"/>
      <c r="H301" s="606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597"/>
      <c r="P301" s="597"/>
      <c r="Q301" s="597"/>
      <c r="R301" s="597"/>
      <c r="S301" s="597"/>
      <c r="T301" s="597"/>
      <c r="U301" s="597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602" t="s">
        <v>186</v>
      </c>
      <c r="D302" s="108">
        <v>5.03</v>
      </c>
      <c r="E302" s="108"/>
      <c r="F302" s="127"/>
      <c r="G302" s="128"/>
      <c r="H302" s="606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597"/>
      <c r="P302" s="597"/>
      <c r="Q302" s="597"/>
      <c r="R302" s="597"/>
      <c r="S302" s="597"/>
      <c r="T302" s="597"/>
      <c r="U302" s="597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602" t="s">
        <v>228</v>
      </c>
      <c r="D303" s="108">
        <v>5.03</v>
      </c>
      <c r="E303" s="108"/>
      <c r="F303" s="127"/>
      <c r="G303" s="128"/>
      <c r="H303" s="606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597"/>
      <c r="P303" s="597"/>
      <c r="Q303" s="597"/>
      <c r="R303" s="597"/>
      <c r="S303" s="597"/>
      <c r="T303" s="597"/>
      <c r="U303" s="597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602" t="s">
        <v>199</v>
      </c>
      <c r="D304" s="108">
        <v>5.03</v>
      </c>
      <c r="E304" s="108"/>
      <c r="F304" s="127"/>
      <c r="G304" s="128"/>
      <c r="H304" s="606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597"/>
      <c r="P304" s="597"/>
      <c r="Q304" s="597"/>
      <c r="R304" s="597"/>
      <c r="S304" s="597"/>
      <c r="T304" s="597"/>
      <c r="U304" s="597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606">
        <f t="shared" si="132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3"/>
        <v>0</v>
      </c>
      <c r="N305" s="130">
        <f t="shared" si="134"/>
        <v>0</v>
      </c>
      <c r="O305" s="597"/>
      <c r="P305" s="597"/>
      <c r="Q305" s="597"/>
      <c r="R305" s="597"/>
      <c r="S305" s="597"/>
      <c r="T305" s="597"/>
      <c r="U305" s="597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606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597"/>
      <c r="P306" s="597"/>
      <c r="Q306" s="597"/>
      <c r="R306" s="597"/>
      <c r="S306" s="597"/>
      <c r="T306" s="597"/>
      <c r="U306" s="597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630" t="s">
        <v>231</v>
      </c>
      <c r="B307" s="631"/>
      <c r="C307" s="604" t="s">
        <v>202</v>
      </c>
      <c r="D307" s="143"/>
      <c r="E307" s="143"/>
      <c r="F307" s="144"/>
      <c r="G307" s="145">
        <f>SUM(G292:G306)</f>
        <v>0</v>
      </c>
      <c r="H307" s="146">
        <f>SUM(H292:H306)</f>
        <v>0</v>
      </c>
      <c r="I307" s="146">
        <f>SUM(I292:I306)</f>
        <v>0</v>
      </c>
      <c r="J307" s="130" t="str">
        <f t="array" ref="J307">IF(ISERROR(G307/I307),"",G307/I307)</f>
        <v/>
      </c>
      <c r="K307" s="146">
        <f>SUM(K292:K306)</f>
        <v>0</v>
      </c>
      <c r="L307" s="146"/>
      <c r="M307" s="150">
        <f>SUM(M292:M306)</f>
        <v>0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 t="str">
        <f t="shared" si="130"/>
        <v/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606">
        <f t="shared" ref="H308:H316" si="136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7">IF(ISERROR(I308-K308),"",I308-K308)</f>
        <v>0</v>
      </c>
      <c r="N308" s="130">
        <f t="shared" ref="N308:N312" si="138">SUM(O308:U308)</f>
        <v>0</v>
      </c>
      <c r="O308" s="597"/>
      <c r="P308" s="597"/>
      <c r="Q308" s="597"/>
      <c r="R308" s="597"/>
      <c r="S308" s="597"/>
      <c r="T308" s="597"/>
      <c r="U308" s="597"/>
      <c r="V308" s="132">
        <f t="shared" ref="V308:V312" si="139">SUM(X308:AA308)</f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606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597"/>
      <c r="P309" s="597"/>
      <c r="Q309" s="597"/>
      <c r="R309" s="597"/>
      <c r="S309" s="597"/>
      <c r="T309" s="597"/>
      <c r="U309" s="597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606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597"/>
      <c r="P310" s="597"/>
      <c r="Q310" s="597"/>
      <c r="R310" s="597"/>
      <c r="S310" s="597"/>
      <c r="T310" s="597"/>
      <c r="U310" s="597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606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597"/>
      <c r="P311" s="597"/>
      <c r="Q311" s="597"/>
      <c r="R311" s="597"/>
      <c r="S311" s="597"/>
      <c r="T311" s="597"/>
      <c r="U311" s="597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606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597"/>
      <c r="P312" s="597"/>
      <c r="Q312" s="597"/>
      <c r="R312" s="597"/>
      <c r="S312" s="597"/>
      <c r="T312" s="597"/>
      <c r="U312" s="597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606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597"/>
      <c r="P313" s="597"/>
      <c r="Q313" s="597"/>
      <c r="R313" s="597"/>
      <c r="S313" s="597"/>
      <c r="T313" s="597"/>
      <c r="U313" s="597"/>
      <c r="V313" s="132"/>
      <c r="W313" s="133"/>
      <c r="X313" s="132"/>
      <c r="Y313" s="132"/>
      <c r="Z313" s="132"/>
      <c r="AA313" s="132"/>
    </row>
    <row r="314" spans="1:27" ht="20.100000000000001" hidden="1" customHeight="1">
      <c r="A314" s="300">
        <v>30400020</v>
      </c>
      <c r="B314" s="134" t="s">
        <v>439</v>
      </c>
      <c r="C314" s="187" t="s">
        <v>74</v>
      </c>
      <c r="D314" s="108">
        <v>5.03</v>
      </c>
      <c r="E314" s="108"/>
      <c r="F314" s="127"/>
      <c r="G314" s="128"/>
      <c r="H314" s="606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597"/>
      <c r="P314" s="597"/>
      <c r="Q314" s="597"/>
      <c r="R314" s="597"/>
      <c r="S314" s="597"/>
      <c r="T314" s="597"/>
      <c r="U314" s="597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30400021</v>
      </c>
      <c r="B315" s="134" t="s">
        <v>439</v>
      </c>
      <c r="C315" s="187" t="s">
        <v>53</v>
      </c>
      <c r="D315" s="108">
        <v>5.03</v>
      </c>
      <c r="E315" s="108"/>
      <c r="F315" s="127"/>
      <c r="G315" s="128"/>
      <c r="H315" s="606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597"/>
      <c r="P315" s="597"/>
      <c r="Q315" s="597"/>
      <c r="R315" s="597"/>
      <c r="S315" s="597"/>
      <c r="T315" s="597"/>
      <c r="U315" s="597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606">
        <f t="shared" si="136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0">IF(ISERROR(I316-K316),"",I316-K316)</f>
        <v>0</v>
      </c>
      <c r="N316" s="130">
        <f t="shared" ref="N316" si="141">SUM(O316:U316)</f>
        <v>0</v>
      </c>
      <c r="O316" s="597"/>
      <c r="P316" s="597"/>
      <c r="Q316" s="597"/>
      <c r="R316" s="597"/>
      <c r="S316" s="597"/>
      <c r="T316" s="597"/>
      <c r="U316" s="597"/>
      <c r="V316" s="132">
        <f t="shared" ref="V316" si="142">SUM(X316:AA316)</f>
        <v>0</v>
      </c>
      <c r="W316" s="133" t="str">
        <f t="shared" ref="W316:W321" si="143">IF(ISERROR(V316/G316),"",V316/G316)</f>
        <v/>
      </c>
      <c r="X316" s="132"/>
      <c r="Y316" s="132"/>
      <c r="Z316" s="132"/>
      <c r="AA316" s="132"/>
    </row>
    <row r="317" spans="1:27" ht="20.100000000000001" hidden="1" customHeight="1">
      <c r="A317" s="630" t="s">
        <v>234</v>
      </c>
      <c r="B317" s="631"/>
      <c r="C317" s="604" t="s">
        <v>202</v>
      </c>
      <c r="D317" s="143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3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596"/>
      <c r="D318" s="108">
        <v>3.65</v>
      </c>
      <c r="E318" s="108"/>
      <c r="F318" s="153"/>
      <c r="G318" s="128"/>
      <c r="H318" s="606">
        <f t="shared" ref="H318:H331" si="144">D318*G318</f>
        <v>0</v>
      </c>
      <c r="I318" s="129"/>
      <c r="J318" s="130" t="str">
        <f t="array" ref="J318">IF(ISERROR(G318/I318),"",G318/I318)</f>
        <v/>
      </c>
      <c r="K318" s="606">
        <f t="array" ref="K318">IF(ISERROR(G318/L318),"",G318/L318)</f>
        <v>0</v>
      </c>
      <c r="L318" s="129">
        <v>5</v>
      </c>
      <c r="M318" s="109">
        <f t="shared" ref="M318:M321" si="145">IF(ISERROR(I318-K318),"",I318-K318)</f>
        <v>0</v>
      </c>
      <c r="N318" s="130">
        <f t="shared" ref="N318:N321" si="146">SUM(O318:U318)</f>
        <v>0</v>
      </c>
      <c r="O318" s="597"/>
      <c r="P318" s="597"/>
      <c r="Q318" s="597"/>
      <c r="R318" s="597"/>
      <c r="S318" s="597"/>
      <c r="T318" s="597"/>
      <c r="U318" s="597"/>
      <c r="V318" s="132">
        <f t="shared" ref="V318:V321" si="147">SUM(X318:AA318)</f>
        <v>0</v>
      </c>
      <c r="W318" s="133" t="str">
        <f t="shared" si="143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596"/>
      <c r="D319" s="108">
        <v>6.58</v>
      </c>
      <c r="E319" s="108"/>
      <c r="F319" s="127"/>
      <c r="G319" s="128"/>
      <c r="H319" s="606">
        <f t="shared" si="144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5"/>
        <v>0</v>
      </c>
      <c r="N319" s="130">
        <f t="shared" si="146"/>
        <v>0</v>
      </c>
      <c r="O319" s="597"/>
      <c r="P319" s="597"/>
      <c r="Q319" s="597"/>
      <c r="R319" s="597"/>
      <c r="S319" s="597"/>
      <c r="T319" s="597"/>
      <c r="U319" s="597"/>
      <c r="V319" s="132">
        <f t="shared" si="147"/>
        <v>0</v>
      </c>
      <c r="W319" s="133" t="str">
        <f t="shared" si="143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596"/>
      <c r="D320" s="108">
        <v>7.8</v>
      </c>
      <c r="E320" s="108"/>
      <c r="F320" s="127"/>
      <c r="G320" s="128"/>
      <c r="H320" s="606">
        <f t="shared" si="144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5"/>
        <v>0</v>
      </c>
      <c r="N320" s="130">
        <f t="shared" si="146"/>
        <v>0</v>
      </c>
      <c r="O320" s="597"/>
      <c r="P320" s="597"/>
      <c r="Q320" s="597"/>
      <c r="R320" s="597"/>
      <c r="S320" s="597"/>
      <c r="T320" s="597"/>
      <c r="U320" s="597"/>
      <c r="V320" s="132">
        <f t="shared" si="147"/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596"/>
      <c r="D321" s="108">
        <v>4.4000000000000004</v>
      </c>
      <c r="E321" s="108"/>
      <c r="F321" s="127"/>
      <c r="G321" s="128"/>
      <c r="H321" s="606">
        <f t="shared" si="144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5"/>
        <v>0</v>
      </c>
      <c r="N321" s="130">
        <f t="shared" si="146"/>
        <v>0</v>
      </c>
      <c r="O321" s="597"/>
      <c r="P321" s="597"/>
      <c r="Q321" s="597"/>
      <c r="R321" s="597"/>
      <c r="S321" s="597"/>
      <c r="T321" s="597"/>
      <c r="U321" s="597"/>
      <c r="V321" s="132">
        <f t="shared" si="147"/>
        <v>0</v>
      </c>
      <c r="W321" s="133" t="str">
        <f t="shared" si="143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596"/>
      <c r="D322" s="108"/>
      <c r="E322" s="108"/>
      <c r="F322" s="127"/>
      <c r="G322" s="128"/>
      <c r="H322" s="606">
        <f t="shared" si="144"/>
        <v>0</v>
      </c>
      <c r="I322" s="129"/>
      <c r="J322" s="130"/>
      <c r="K322" s="131"/>
      <c r="L322" s="129">
        <v>6</v>
      </c>
      <c r="M322" s="109"/>
      <c r="N322" s="130"/>
      <c r="O322" s="597"/>
      <c r="P322" s="597"/>
      <c r="Q322" s="597"/>
      <c r="R322" s="597"/>
      <c r="S322" s="597"/>
      <c r="T322" s="597"/>
      <c r="U322" s="597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596" t="s">
        <v>239</v>
      </c>
      <c r="C323" s="596" t="s">
        <v>179</v>
      </c>
      <c r="D323" s="108">
        <v>6.04</v>
      </c>
      <c r="E323" s="108"/>
      <c r="F323" s="127"/>
      <c r="G323" s="128"/>
      <c r="H323" s="606">
        <f t="shared" si="144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8">IF(ISERROR(I323-K323),"",I323-K323)</f>
        <v>0</v>
      </c>
      <c r="N323" s="130">
        <f t="shared" ref="N323:N324" si="149">SUM(O323:U323)</f>
        <v>0</v>
      </c>
      <c r="O323" s="597"/>
      <c r="P323" s="597"/>
      <c r="Q323" s="597"/>
      <c r="R323" s="597"/>
      <c r="S323" s="597"/>
      <c r="T323" s="597"/>
      <c r="U323" s="597"/>
      <c r="V323" s="132">
        <f t="shared" ref="V323:V324" si="150">SUM(X323:AA323)</f>
        <v>0</v>
      </c>
      <c r="W323" s="133" t="str">
        <f t="shared" ref="W323:W324" si="151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596" t="s">
        <v>239</v>
      </c>
      <c r="C324" s="596" t="s">
        <v>186</v>
      </c>
      <c r="D324" s="108">
        <v>6.04</v>
      </c>
      <c r="E324" s="108"/>
      <c r="F324" s="127"/>
      <c r="G324" s="128"/>
      <c r="H324" s="606">
        <f t="shared" si="144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8"/>
        <v>0</v>
      </c>
      <c r="N324" s="130">
        <f t="shared" si="149"/>
        <v>0</v>
      </c>
      <c r="O324" s="597"/>
      <c r="P324" s="597"/>
      <c r="Q324" s="597"/>
      <c r="R324" s="597"/>
      <c r="S324" s="597"/>
      <c r="T324" s="597"/>
      <c r="U324" s="597"/>
      <c r="V324" s="132">
        <f t="shared" si="150"/>
        <v>0</v>
      </c>
      <c r="W324" s="133" t="str">
        <f t="shared" si="151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596" t="s">
        <v>443</v>
      </c>
      <c r="C325" s="596" t="s">
        <v>179</v>
      </c>
      <c r="D325" s="108">
        <v>6</v>
      </c>
      <c r="E325" s="108"/>
      <c r="F325" s="127"/>
      <c r="G325" s="128"/>
      <c r="H325" s="606">
        <f t="shared" si="144"/>
        <v>0</v>
      </c>
      <c r="I325" s="129"/>
      <c r="J325" s="130"/>
      <c r="K325" s="131"/>
      <c r="L325" s="129"/>
      <c r="M325" s="109"/>
      <c r="N325" s="130"/>
      <c r="O325" s="597"/>
      <c r="P325" s="597"/>
      <c r="Q325" s="597"/>
      <c r="R325" s="597"/>
      <c r="S325" s="597"/>
      <c r="T325" s="597"/>
      <c r="U325" s="597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596" t="s">
        <v>443</v>
      </c>
      <c r="C326" s="596" t="s">
        <v>60</v>
      </c>
      <c r="D326" s="108">
        <v>6</v>
      </c>
      <c r="E326" s="108"/>
      <c r="F326" s="127"/>
      <c r="G326" s="128"/>
      <c r="H326" s="606">
        <f t="shared" si="144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597"/>
      <c r="P326" s="597"/>
      <c r="Q326" s="597"/>
      <c r="R326" s="597"/>
      <c r="S326" s="597"/>
      <c r="T326" s="597"/>
      <c r="U326" s="597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598" t="s">
        <v>240</v>
      </c>
      <c r="C327" s="126"/>
      <c r="D327" s="108">
        <v>7.3</v>
      </c>
      <c r="E327" s="108"/>
      <c r="F327" s="127"/>
      <c r="G327" s="128"/>
      <c r="H327" s="606">
        <f t="shared" si="144"/>
        <v>0</v>
      </c>
      <c r="I327" s="129"/>
      <c r="J327" s="130"/>
      <c r="K327" s="131"/>
      <c r="L327" s="129"/>
      <c r="M327" s="109"/>
      <c r="N327" s="130"/>
      <c r="O327" s="597"/>
      <c r="P327" s="597"/>
      <c r="Q327" s="597"/>
      <c r="R327" s="597"/>
      <c r="S327" s="597"/>
      <c r="T327" s="597"/>
      <c r="U327" s="597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598" t="s">
        <v>241</v>
      </c>
      <c r="C328" s="126"/>
      <c r="D328" s="108">
        <f>78*120/1000</f>
        <v>9.36</v>
      </c>
      <c r="E328" s="108"/>
      <c r="F328" s="127"/>
      <c r="G328" s="128"/>
      <c r="H328" s="606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2">SUM(O328:U328)</f>
        <v>0</v>
      </c>
      <c r="O328" s="597"/>
      <c r="P328" s="597"/>
      <c r="Q328" s="597"/>
      <c r="R328" s="597"/>
      <c r="S328" s="597"/>
      <c r="T328" s="597"/>
      <c r="U328" s="597"/>
      <c r="V328" s="132">
        <f t="shared" ref="V328" si="153">SUM(X328:AA328)</f>
        <v>0</v>
      </c>
      <c r="W328" s="133" t="str">
        <f t="shared" ref="W328" si="154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598" t="s">
        <v>242</v>
      </c>
      <c r="C329" s="126"/>
      <c r="D329" s="108">
        <v>4.5</v>
      </c>
      <c r="E329" s="108"/>
      <c r="F329" s="127"/>
      <c r="G329" s="128"/>
      <c r="H329" s="606">
        <f t="shared" si="144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597"/>
      <c r="P329" s="597"/>
      <c r="Q329" s="597"/>
      <c r="R329" s="597"/>
      <c r="S329" s="597"/>
      <c r="T329" s="597"/>
      <c r="U329" s="597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598" t="s">
        <v>243</v>
      </c>
      <c r="C330" s="126"/>
      <c r="D330" s="108">
        <v>4.5</v>
      </c>
      <c r="E330" s="108"/>
      <c r="F330" s="127"/>
      <c r="G330" s="128"/>
      <c r="H330" s="606">
        <f t="shared" si="144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597"/>
      <c r="P330" s="597"/>
      <c r="Q330" s="597"/>
      <c r="R330" s="597"/>
      <c r="S330" s="597"/>
      <c r="T330" s="597"/>
      <c r="U330" s="597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606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597"/>
      <c r="P331" s="597"/>
      <c r="Q331" s="597"/>
      <c r="R331" s="597"/>
      <c r="S331" s="597"/>
      <c r="T331" s="597"/>
      <c r="U331" s="597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630" t="s">
        <v>244</v>
      </c>
      <c r="B332" s="631"/>
      <c r="C332" s="604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5">SUM(M318:M328)</f>
        <v>0</v>
      </c>
      <c r="N332" s="146">
        <f t="shared" si="155"/>
        <v>0</v>
      </c>
      <c r="O332" s="148">
        <f t="shared" si="155"/>
        <v>0</v>
      </c>
      <c r="P332" s="148">
        <f t="shared" si="155"/>
        <v>0</v>
      </c>
      <c r="Q332" s="148">
        <f t="shared" si="155"/>
        <v>0</v>
      </c>
      <c r="R332" s="148">
        <f t="shared" si="155"/>
        <v>0</v>
      </c>
      <c r="S332" s="148">
        <f t="shared" si="155"/>
        <v>0</v>
      </c>
      <c r="T332" s="148">
        <f t="shared" si="155"/>
        <v>0</v>
      </c>
      <c r="U332" s="148">
        <f t="shared" si="155"/>
        <v>0</v>
      </c>
      <c r="V332" s="149">
        <f t="shared" si="155"/>
        <v>0</v>
      </c>
      <c r="W332" s="133">
        <f t="shared" si="155"/>
        <v>0</v>
      </c>
      <c r="X332" s="149">
        <f t="shared" si="155"/>
        <v>0</v>
      </c>
      <c r="Y332" s="149">
        <f t="shared" si="155"/>
        <v>0</v>
      </c>
      <c r="Z332" s="149">
        <f t="shared" si="155"/>
        <v>0</v>
      </c>
      <c r="AA332" s="149">
        <f t="shared" si="155"/>
        <v>0</v>
      </c>
    </row>
    <row r="333" spans="1:27" ht="20.100000000000001" customHeight="1">
      <c r="A333" s="632" t="s">
        <v>246</v>
      </c>
      <c r="B333" s="633"/>
      <c r="C333" s="633"/>
      <c r="D333" s="633"/>
      <c r="E333" s="633"/>
      <c r="F333" s="634"/>
      <c r="G333" s="154">
        <f>SUM(G198,G256,G291,G307,G317,G332)</f>
        <v>4606</v>
      </c>
      <c r="H333" s="154">
        <f>SUM(H198,H256,H291,H307,H317,H332)</f>
        <v>23251.35</v>
      </c>
      <c r="I333" s="154">
        <f>SUM(I198,I256,I291,I307,I317,I332)</f>
        <v>289.5</v>
      </c>
      <c r="J333" s="155">
        <f t="array" ref="J333">IF(ISERROR(G333/I333),"",G333/I333)</f>
        <v>15.910189982728843</v>
      </c>
      <c r="K333" s="154">
        <f>SUM(K198,K256,K291,K307,K317,K332)</f>
        <v>234.44541953293705</v>
      </c>
      <c r="L333" s="155">
        <f>IF(ISERROR(G333/K333),"",G333/K333)</f>
        <v>19.646363785550122</v>
      </c>
      <c r="M333" s="154">
        <f t="shared" ref="M333:AA333" si="156">SUM(M198,M256,M291,M307,M317,M332)</f>
        <v>55.054580467062934</v>
      </c>
      <c r="N333" s="154">
        <f t="shared" si="156"/>
        <v>0</v>
      </c>
      <c r="O333" s="154">
        <f t="shared" si="156"/>
        <v>0</v>
      </c>
      <c r="P333" s="154">
        <f t="shared" si="156"/>
        <v>0</v>
      </c>
      <c r="Q333" s="154">
        <f t="shared" si="156"/>
        <v>0</v>
      </c>
      <c r="R333" s="154">
        <f t="shared" si="156"/>
        <v>0</v>
      </c>
      <c r="S333" s="154">
        <f t="shared" si="156"/>
        <v>0</v>
      </c>
      <c r="T333" s="154">
        <f t="shared" si="156"/>
        <v>0</v>
      </c>
      <c r="U333" s="154">
        <f t="shared" si="156"/>
        <v>0</v>
      </c>
      <c r="V333" s="154">
        <f t="shared" si="156"/>
        <v>0</v>
      </c>
      <c r="W333" s="154">
        <f t="shared" si="156"/>
        <v>0</v>
      </c>
      <c r="X333" s="154">
        <f t="shared" si="156"/>
        <v>0</v>
      </c>
      <c r="Y333" s="154">
        <f t="shared" si="156"/>
        <v>0</v>
      </c>
      <c r="Z333" s="154">
        <f t="shared" si="156"/>
        <v>0</v>
      </c>
      <c r="AA333" s="154">
        <f t="shared" si="156"/>
        <v>0</v>
      </c>
    </row>
    <row r="334" spans="1:27" ht="20.100000000000001" customHeight="1">
      <c r="A334" s="635" t="s">
        <v>476</v>
      </c>
      <c r="B334" s="603" t="s">
        <v>247</v>
      </c>
      <c r="C334" s="638" t="s">
        <v>248</v>
      </c>
      <c r="D334" s="639"/>
      <c r="E334" s="640" t="s">
        <v>249</v>
      </c>
      <c r="F334" s="640"/>
      <c r="G334" s="643" t="s">
        <v>250</v>
      </c>
      <c r="H334" s="643"/>
      <c r="I334" s="640" t="s">
        <v>251</v>
      </c>
      <c r="J334" s="640"/>
      <c r="K334" s="640" t="s">
        <v>252</v>
      </c>
      <c r="L334" s="640"/>
      <c r="M334" s="640" t="s">
        <v>253</v>
      </c>
      <c r="N334" s="640"/>
      <c r="O334" s="640" t="s">
        <v>254</v>
      </c>
      <c r="P334" s="643" t="s">
        <v>255</v>
      </c>
      <c r="Q334" s="643"/>
      <c r="R334" s="643" t="s">
        <v>252</v>
      </c>
      <c r="S334" s="643"/>
      <c r="T334" s="643" t="s">
        <v>256</v>
      </c>
      <c r="U334" s="643"/>
      <c r="V334" s="643" t="s">
        <v>257</v>
      </c>
      <c r="W334" s="643"/>
      <c r="X334" s="643" t="s">
        <v>252</v>
      </c>
      <c r="Y334" s="643"/>
      <c r="Z334" s="643" t="s">
        <v>256</v>
      </c>
      <c r="AA334" s="643"/>
    </row>
    <row r="335" spans="1:27" ht="20.100000000000001" customHeight="1">
      <c r="A335" s="636"/>
      <c r="B335" s="603" t="s">
        <v>258</v>
      </c>
      <c r="C335" s="678">
        <v>1</v>
      </c>
      <c r="D335" s="679"/>
      <c r="E335" s="642">
        <f>C335*11</f>
        <v>11</v>
      </c>
      <c r="F335" s="642"/>
      <c r="G335" s="643">
        <v>1</v>
      </c>
      <c r="H335" s="643"/>
      <c r="I335" s="642">
        <f>G335*11</f>
        <v>11</v>
      </c>
      <c r="J335" s="642"/>
      <c r="K335" s="642">
        <f>E335-I335</f>
        <v>0</v>
      </c>
      <c r="L335" s="642"/>
      <c r="M335" s="644">
        <f>IF(ISERROR(K335/E335),"",K335/E335)</f>
        <v>0</v>
      </c>
      <c r="N335" s="644"/>
      <c r="O335" s="640"/>
      <c r="P335" s="643" t="s">
        <v>201</v>
      </c>
      <c r="Q335" s="643"/>
      <c r="R335" s="645">
        <f>SUM(O198:U198)</f>
        <v>0</v>
      </c>
      <c r="S335" s="645"/>
      <c r="T335" s="646" t="str">
        <f t="array" ref="T335">IF(ISERROR(R335/R342),"",R335/R342)</f>
        <v/>
      </c>
      <c r="U335" s="646"/>
      <c r="V335" s="643" t="s">
        <v>259</v>
      </c>
      <c r="W335" s="643"/>
      <c r="X335" s="680">
        <f>SUM(P197,P255,P290,P306,P316,P331)</f>
        <v>0</v>
      </c>
      <c r="Y335" s="681"/>
      <c r="Z335" s="646" t="str">
        <f t="array" ref="Z335">IF(ISERROR(X335/X342),"",X335/X342)</f>
        <v/>
      </c>
      <c r="AA335" s="646"/>
    </row>
    <row r="336" spans="1:27" ht="20.100000000000001" customHeight="1">
      <c r="A336" s="636"/>
      <c r="B336" s="603" t="s">
        <v>260</v>
      </c>
      <c r="C336" s="638">
        <v>0</v>
      </c>
      <c r="D336" s="639"/>
      <c r="E336" s="642">
        <f>C336*11</f>
        <v>0</v>
      </c>
      <c r="F336" s="642"/>
      <c r="G336" s="643">
        <v>0</v>
      </c>
      <c r="H336" s="643"/>
      <c r="I336" s="642">
        <f>G336*11</f>
        <v>0</v>
      </c>
      <c r="J336" s="642"/>
      <c r="K336" s="642">
        <f>E336-I336</f>
        <v>0</v>
      </c>
      <c r="L336" s="642"/>
      <c r="M336" s="644" t="str">
        <f>IF(ISERROR(K336/E336),"",K336/E336)</f>
        <v/>
      </c>
      <c r="N336" s="644"/>
      <c r="O336" s="640"/>
      <c r="P336" s="643" t="s">
        <v>216</v>
      </c>
      <c r="Q336" s="643"/>
      <c r="R336" s="645">
        <f>SUM(O256:U256)</f>
        <v>0</v>
      </c>
      <c r="S336" s="645"/>
      <c r="T336" s="646" t="str">
        <f>IF(ISERROR(R336/R342),"",R336/R342)</f>
        <v/>
      </c>
      <c r="U336" s="646"/>
      <c r="V336" s="643" t="s">
        <v>261</v>
      </c>
      <c r="W336" s="643"/>
      <c r="X336" s="680">
        <f>SUM(P198,P256,P291,P307,P317,P332)</f>
        <v>0</v>
      </c>
      <c r="Y336" s="681"/>
      <c r="Z336" s="646" t="str">
        <f>IF(ISERROR(X336/X342),"",X336/X342)</f>
        <v/>
      </c>
      <c r="AA336" s="646"/>
    </row>
    <row r="337" spans="1:27" ht="20.100000000000001" customHeight="1">
      <c r="A337" s="636"/>
      <c r="B337" s="603" t="s">
        <v>262</v>
      </c>
      <c r="C337" s="638">
        <v>0</v>
      </c>
      <c r="D337" s="639"/>
      <c r="E337" s="642">
        <f>C337*8</f>
        <v>0</v>
      </c>
      <c r="F337" s="642"/>
      <c r="G337" s="643">
        <v>1</v>
      </c>
      <c r="H337" s="643"/>
      <c r="I337" s="642">
        <f>G337*8</f>
        <v>8</v>
      </c>
      <c r="J337" s="642"/>
      <c r="K337" s="642">
        <f>E337-I337</f>
        <v>-8</v>
      </c>
      <c r="L337" s="642"/>
      <c r="M337" s="644" t="str">
        <f>IF(ISERROR(K337/E337),"",K337/E337)</f>
        <v/>
      </c>
      <c r="N337" s="644"/>
      <c r="O337" s="640"/>
      <c r="P337" s="643" t="s">
        <v>224</v>
      </c>
      <c r="Q337" s="643"/>
      <c r="R337" s="645">
        <f>SUM(O291:U291)</f>
        <v>0</v>
      </c>
      <c r="S337" s="645"/>
      <c r="T337" s="646" t="str">
        <f>IF(ISERROR(R337/R342),"",R337/R342)</f>
        <v/>
      </c>
      <c r="U337" s="646"/>
      <c r="V337" s="643" t="s">
        <v>263</v>
      </c>
      <c r="W337" s="643"/>
      <c r="X337" s="680">
        <f>SUM(P199,P257,P292,P308,P318,P333)</f>
        <v>0</v>
      </c>
      <c r="Y337" s="681"/>
      <c r="Z337" s="646" t="str">
        <f>IF(ISERROR(X337/X342),"",X337/X342)</f>
        <v/>
      </c>
      <c r="AA337" s="646"/>
    </row>
    <row r="338" spans="1:27" ht="20.100000000000001" customHeight="1">
      <c r="A338" s="636"/>
      <c r="B338" s="603" t="s">
        <v>264</v>
      </c>
      <c r="C338" s="638">
        <v>1</v>
      </c>
      <c r="D338" s="639"/>
      <c r="E338" s="642">
        <f>C338*11</f>
        <v>11</v>
      </c>
      <c r="F338" s="642"/>
      <c r="G338" s="643">
        <v>1</v>
      </c>
      <c r="H338" s="643"/>
      <c r="I338" s="642">
        <f>G338*11</f>
        <v>11</v>
      </c>
      <c r="J338" s="642"/>
      <c r="K338" s="642">
        <f>E338-I338</f>
        <v>0</v>
      </c>
      <c r="L338" s="642"/>
      <c r="M338" s="644">
        <f>IF(ISERROR(K338/E338),"",K338/E338)</f>
        <v>0</v>
      </c>
      <c r="N338" s="644"/>
      <c r="O338" s="640"/>
      <c r="P338" s="643" t="s">
        <v>231</v>
      </c>
      <c r="Q338" s="643"/>
      <c r="R338" s="645">
        <f>SUM(O307:U307)</f>
        <v>0</v>
      </c>
      <c r="S338" s="645"/>
      <c r="T338" s="646" t="str">
        <f>IF(ISERROR(R338/R342),"",R338/R342)</f>
        <v/>
      </c>
      <c r="U338" s="646"/>
      <c r="V338" s="643" t="s">
        <v>265</v>
      </c>
      <c r="W338" s="643"/>
      <c r="X338" s="680">
        <f>SUM(P201,P258,P293,P309,P319,P334)</f>
        <v>0</v>
      </c>
      <c r="Y338" s="681"/>
      <c r="Z338" s="646" t="str">
        <f>IF(ISERROR(X338/X342),"",X338/X342)</f>
        <v/>
      </c>
      <c r="AA338" s="646"/>
    </row>
    <row r="339" spans="1:27" ht="20.100000000000001" customHeight="1">
      <c r="A339" s="637"/>
      <c r="B339" s="603" t="s">
        <v>266</v>
      </c>
      <c r="C339" s="648">
        <f>SUM(C335:D338)</f>
        <v>2</v>
      </c>
      <c r="D339" s="649"/>
      <c r="E339" s="642">
        <f>SUM(E335:F338)</f>
        <v>22</v>
      </c>
      <c r="F339" s="642"/>
      <c r="G339" s="643">
        <f>SUM(G335:H338)</f>
        <v>3</v>
      </c>
      <c r="H339" s="643"/>
      <c r="I339" s="642">
        <f>SUM(I335:J338)</f>
        <v>30</v>
      </c>
      <c r="J339" s="642"/>
      <c r="K339" s="642">
        <f>SUM(K335:L338)</f>
        <v>-8</v>
      </c>
      <c r="L339" s="642"/>
      <c r="M339" s="644">
        <f>IF(ISERROR(K339/E339),"",K339/E339)</f>
        <v>-0.36363636363636365</v>
      </c>
      <c r="N339" s="644"/>
      <c r="O339" s="640"/>
      <c r="P339" s="643" t="s">
        <v>234</v>
      </c>
      <c r="Q339" s="643"/>
      <c r="R339" s="645">
        <f>SUM(O317:U317)</f>
        <v>0</v>
      </c>
      <c r="S339" s="645"/>
      <c r="T339" s="646" t="str">
        <f>IF(ISERROR(R339/R342),"",R339/R342)</f>
        <v/>
      </c>
      <c r="U339" s="646"/>
      <c r="V339" s="643" t="s">
        <v>267</v>
      </c>
      <c r="W339" s="643"/>
      <c r="X339" s="680">
        <f>SUM(P202,P259,P294,P310,P320,P335)</f>
        <v>0</v>
      </c>
      <c r="Y339" s="681"/>
      <c r="Z339" s="646" t="str">
        <f>IF(ISERROR(X339/X342),"",X339/X342)</f>
        <v/>
      </c>
      <c r="AA339" s="646"/>
    </row>
    <row r="340" spans="1:27" ht="20.100000000000001" customHeight="1">
      <c r="A340" s="309" t="s">
        <v>477</v>
      </c>
      <c r="B340" s="603">
        <f>G333</f>
        <v>4606</v>
      </c>
      <c r="C340" s="650" t="s">
        <v>269</v>
      </c>
      <c r="D340" s="651"/>
      <c r="E340" s="643">
        <f>H333</f>
        <v>23251.35</v>
      </c>
      <c r="F340" s="643"/>
      <c r="G340" s="643" t="s">
        <v>270</v>
      </c>
      <c r="H340" s="643"/>
      <c r="I340" s="652">
        <f>L333</f>
        <v>19.646363785550122</v>
      </c>
      <c r="J340" s="652"/>
      <c r="K340" s="640" t="s">
        <v>271</v>
      </c>
      <c r="L340" s="640"/>
      <c r="M340" s="652">
        <f>J333</f>
        <v>15.910189982728843</v>
      </c>
      <c r="N340" s="652"/>
      <c r="O340" s="640"/>
      <c r="P340" s="643" t="s">
        <v>244</v>
      </c>
      <c r="Q340" s="643"/>
      <c r="R340" s="645">
        <f>SUM(O332:U332)</f>
        <v>0</v>
      </c>
      <c r="S340" s="645"/>
      <c r="T340" s="646" t="str">
        <f>IF(ISERROR(R340/R342),"",R340/R342)</f>
        <v/>
      </c>
      <c r="U340" s="646"/>
      <c r="V340" s="643" t="s">
        <v>272</v>
      </c>
      <c r="W340" s="643"/>
      <c r="X340" s="680">
        <f>SUM(P203,P260,P295,P311,P321,P336)</f>
        <v>0</v>
      </c>
      <c r="Y340" s="681"/>
      <c r="Z340" s="646" t="str">
        <f>IF(ISERROR(X340/X342),"",X340/X342)</f>
        <v/>
      </c>
      <c r="AA340" s="646"/>
    </row>
    <row r="341" spans="1:27" ht="20.100000000000001" customHeight="1">
      <c r="A341" s="310" t="s">
        <v>478</v>
      </c>
      <c r="B341" s="603">
        <f>I333+C339</f>
        <v>291.5</v>
      </c>
      <c r="C341" s="653" t="s">
        <v>251</v>
      </c>
      <c r="D341" s="654"/>
      <c r="E341" s="655">
        <f>K333+I339</f>
        <v>264.44541953293708</v>
      </c>
      <c r="F341" s="655"/>
      <c r="G341" s="643" t="s">
        <v>274</v>
      </c>
      <c r="H341" s="643"/>
      <c r="I341" s="652">
        <f>B341-E341</f>
        <v>27.05458046706292</v>
      </c>
      <c r="J341" s="652"/>
      <c r="K341" s="640" t="s">
        <v>275</v>
      </c>
      <c r="L341" s="640"/>
      <c r="M341" s="644">
        <f>IF(ISERROR(I341/E341),"",I341/E341)</f>
        <v>0.10230685982327339</v>
      </c>
      <c r="N341" s="644"/>
      <c r="O341" s="640"/>
      <c r="P341" s="643" t="s">
        <v>245</v>
      </c>
      <c r="Q341" s="643"/>
      <c r="R341" s="645"/>
      <c r="S341" s="645"/>
      <c r="T341" s="646" t="str">
        <f>IF(ISERROR(R341/R342),"",R341/R342)</f>
        <v/>
      </c>
      <c r="U341" s="646"/>
      <c r="V341" s="643" t="s">
        <v>264</v>
      </c>
      <c r="W341" s="643"/>
      <c r="X341" s="680">
        <f>SUM(P204,P261,P296,P312,P322,P337)</f>
        <v>0</v>
      </c>
      <c r="Y341" s="681"/>
      <c r="Z341" s="646" t="str">
        <f>IF(ISERROR(X341/X342),"",X341/X342)</f>
        <v/>
      </c>
      <c r="AA341" s="646"/>
    </row>
    <row r="342" spans="1:27" ht="20.100000000000001" customHeight="1">
      <c r="A342" s="310" t="s">
        <v>479</v>
      </c>
      <c r="B342" s="603">
        <f>N333</f>
        <v>0</v>
      </c>
      <c r="C342" s="653" t="s">
        <v>277</v>
      </c>
      <c r="D342" s="654"/>
      <c r="E342" s="646">
        <f>IF(ISERROR(B342/B341),"",B342/B341)</f>
        <v>0</v>
      </c>
      <c r="F342" s="646"/>
      <c r="G342" s="643" t="s">
        <v>278</v>
      </c>
      <c r="H342" s="643"/>
      <c r="I342" s="640">
        <f>V333</f>
        <v>0</v>
      </c>
      <c r="J342" s="640"/>
      <c r="K342" s="640" t="s">
        <v>279</v>
      </c>
      <c r="L342" s="640"/>
      <c r="M342" s="644">
        <f t="array" ref="M342">IF(ISERROR(I342/B340),"",I342/B340)</f>
        <v>0</v>
      </c>
      <c r="N342" s="644"/>
      <c r="O342" s="640"/>
      <c r="P342" s="643" t="s">
        <v>266</v>
      </c>
      <c r="Q342" s="643"/>
      <c r="R342" s="645">
        <f>SUM(R335:S341)</f>
        <v>0</v>
      </c>
      <c r="S342" s="645"/>
      <c r="T342" s="646"/>
      <c r="U342" s="646"/>
      <c r="V342" s="643" t="s">
        <v>266</v>
      </c>
      <c r="W342" s="643"/>
      <c r="X342" s="647">
        <f>SUM(X335:Y341)</f>
        <v>0</v>
      </c>
      <c r="Y342" s="647"/>
      <c r="Z342" s="646"/>
      <c r="AA342" s="646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56" t="s">
        <v>480</v>
      </c>
      <c r="B344" s="659" t="s">
        <v>280</v>
      </c>
      <c r="C344" s="659" t="s">
        <v>281</v>
      </c>
      <c r="D344" s="659" t="s">
        <v>282</v>
      </c>
      <c r="E344" s="662" t="s">
        <v>283</v>
      </c>
      <c r="F344" s="675" t="s">
        <v>284</v>
      </c>
      <c r="G344" s="640" t="s">
        <v>285</v>
      </c>
      <c r="H344" s="640"/>
      <c r="I344" s="659" t="s">
        <v>286</v>
      </c>
      <c r="J344" s="665" t="s">
        <v>271</v>
      </c>
      <c r="K344" s="668" t="s">
        <v>287</v>
      </c>
      <c r="L344" s="659" t="s">
        <v>270</v>
      </c>
      <c r="M344" s="671" t="s">
        <v>288</v>
      </c>
      <c r="N344" s="673" t="s">
        <v>252</v>
      </c>
      <c r="O344" s="640" t="s">
        <v>289</v>
      </c>
      <c r="P344" s="640"/>
      <c r="Q344" s="640"/>
      <c r="R344" s="640"/>
      <c r="S344" s="640"/>
      <c r="T344" s="640"/>
      <c r="U344" s="640"/>
      <c r="V344" s="640" t="s">
        <v>290</v>
      </c>
      <c r="W344" s="673" t="s">
        <v>291</v>
      </c>
      <c r="X344" s="640" t="s">
        <v>292</v>
      </c>
      <c r="Y344" s="640"/>
      <c r="Z344" s="640"/>
      <c r="AA344" s="640"/>
    </row>
    <row r="345" spans="1:27" ht="21.95" customHeight="1">
      <c r="A345" s="657"/>
      <c r="B345" s="660"/>
      <c r="C345" s="660"/>
      <c r="D345" s="660"/>
      <c r="E345" s="663"/>
      <c r="F345" s="676"/>
      <c r="G345" s="640"/>
      <c r="H345" s="640"/>
      <c r="I345" s="660"/>
      <c r="J345" s="666"/>
      <c r="K345" s="669"/>
      <c r="L345" s="660"/>
      <c r="M345" s="672"/>
      <c r="N345" s="673"/>
      <c r="O345" s="640" t="s">
        <v>259</v>
      </c>
      <c r="P345" s="640" t="s">
        <v>261</v>
      </c>
      <c r="Q345" s="640" t="s">
        <v>263</v>
      </c>
      <c r="R345" s="674" t="s">
        <v>265</v>
      </c>
      <c r="S345" s="643" t="s">
        <v>267</v>
      </c>
      <c r="T345" s="640" t="s">
        <v>272</v>
      </c>
      <c r="U345" s="640" t="s">
        <v>264</v>
      </c>
      <c r="V345" s="640"/>
      <c r="W345" s="673"/>
      <c r="X345" s="640" t="s">
        <v>293</v>
      </c>
      <c r="Y345" s="640" t="s">
        <v>294</v>
      </c>
      <c r="Z345" s="640" t="s">
        <v>295</v>
      </c>
      <c r="AA345" s="640" t="s">
        <v>264</v>
      </c>
    </row>
    <row r="346" spans="1:27" ht="21.95" customHeight="1">
      <c r="A346" s="658"/>
      <c r="B346" s="661"/>
      <c r="C346" s="661"/>
      <c r="D346" s="661"/>
      <c r="E346" s="664"/>
      <c r="F346" s="677"/>
      <c r="G346" s="348" t="s">
        <v>296</v>
      </c>
      <c r="H346" s="596" t="s">
        <v>297</v>
      </c>
      <c r="I346" s="661"/>
      <c r="J346" s="667"/>
      <c r="K346" s="670"/>
      <c r="L346" s="661"/>
      <c r="M346" s="672"/>
      <c r="N346" s="673"/>
      <c r="O346" s="640"/>
      <c r="P346" s="640"/>
      <c r="Q346" s="640"/>
      <c r="R346" s="674"/>
      <c r="S346" s="643"/>
      <c r="T346" s="640"/>
      <c r="U346" s="640"/>
      <c r="V346" s="640"/>
      <c r="W346" s="673"/>
      <c r="X346" s="640"/>
      <c r="Y346" s="640"/>
      <c r="Z346" s="640"/>
      <c r="AA346" s="640"/>
    </row>
    <row r="347" spans="1:27" ht="20.100000000000001" hidden="1" customHeight="1">
      <c r="A347" s="299">
        <v>30100030</v>
      </c>
      <c r="B347" s="598" t="s">
        <v>178</v>
      </c>
      <c r="C347" s="126" t="s">
        <v>179</v>
      </c>
      <c r="D347" s="108">
        <v>5.03</v>
      </c>
      <c r="E347" s="108"/>
      <c r="F347" s="127"/>
      <c r="G347" s="128"/>
      <c r="H347" s="606">
        <f t="shared" ref="H347:H367" si="157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8">IF(ISERROR(I347-K347),"",I347-K347)</f>
        <v>0</v>
      </c>
      <c r="N347" s="130">
        <f t="shared" ref="N347:N352" si="159">SUM(O347:U347)</f>
        <v>0</v>
      </c>
      <c r="O347" s="597"/>
      <c r="P347" s="597"/>
      <c r="Q347" s="597"/>
      <c r="R347" s="597"/>
      <c r="S347" s="597"/>
      <c r="T347" s="597"/>
      <c r="U347" s="597"/>
      <c r="V347" s="132">
        <f t="shared" ref="V347:V352" si="160">SUM(X347:AA347)</f>
        <v>0</v>
      </c>
      <c r="W347" s="133" t="str">
        <f t="shared" ref="W347:W352" si="161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606">
        <f t="shared" si="157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8"/>
        <v>0</v>
      </c>
      <c r="N348" s="130">
        <f t="shared" si="159"/>
        <v>0</v>
      </c>
      <c r="O348" s="597"/>
      <c r="P348" s="597"/>
      <c r="Q348" s="597"/>
      <c r="R348" s="597"/>
      <c r="S348" s="597"/>
      <c r="T348" s="597"/>
      <c r="U348" s="597"/>
      <c r="V348" s="132">
        <f t="shared" si="160"/>
        <v>0</v>
      </c>
      <c r="W348" s="133" t="str">
        <f t="shared" si="161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606">
        <f t="shared" si="157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8"/>
        <v>0</v>
      </c>
      <c r="N349" s="130">
        <f t="shared" si="159"/>
        <v>0</v>
      </c>
      <c r="O349" s="597"/>
      <c r="P349" s="597"/>
      <c r="Q349" s="597"/>
      <c r="R349" s="597"/>
      <c r="S349" s="597"/>
      <c r="T349" s="597"/>
      <c r="U349" s="597"/>
      <c r="V349" s="132">
        <f t="shared" si="160"/>
        <v>0</v>
      </c>
      <c r="W349" s="133" t="str">
        <f t="shared" si="161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606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597"/>
      <c r="P350" s="597"/>
      <c r="Q350" s="597"/>
      <c r="R350" s="597"/>
      <c r="S350" s="597"/>
      <c r="T350" s="597"/>
      <c r="U350" s="597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606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8"/>
        <v>0</v>
      </c>
      <c r="N351" s="130">
        <f t="shared" si="159"/>
        <v>0</v>
      </c>
      <c r="O351" s="597"/>
      <c r="P351" s="597"/>
      <c r="Q351" s="597"/>
      <c r="R351" s="597"/>
      <c r="S351" s="597"/>
      <c r="T351" s="597"/>
      <c r="U351" s="597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606">
        <f t="shared" si="157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597"/>
      <c r="P352" s="597"/>
      <c r="Q352" s="597"/>
      <c r="R352" s="597"/>
      <c r="S352" s="597"/>
      <c r="T352" s="597"/>
      <c r="U352" s="597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606">
        <f t="shared" si="157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8"/>
        <v>0</v>
      </c>
      <c r="N353" s="130"/>
      <c r="O353" s="597"/>
      <c r="P353" s="597"/>
      <c r="Q353" s="597"/>
      <c r="R353" s="597"/>
      <c r="S353" s="597"/>
      <c r="T353" s="597"/>
      <c r="U353" s="597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606">
        <f t="shared" si="157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8"/>
        <v>0</v>
      </c>
      <c r="N354" s="130"/>
      <c r="O354" s="597"/>
      <c r="P354" s="597"/>
      <c r="Q354" s="597"/>
      <c r="R354" s="597"/>
      <c r="S354" s="597"/>
      <c r="T354" s="597"/>
      <c r="U354" s="597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606">
        <f t="shared" si="157"/>
        <v>0</v>
      </c>
      <c r="I355" s="606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8"/>
        <v>0</v>
      </c>
      <c r="N355" s="130">
        <f>SUM(O355:U355)</f>
        <v>0</v>
      </c>
      <c r="O355" s="597"/>
      <c r="P355" s="597"/>
      <c r="Q355" s="597"/>
      <c r="R355" s="597"/>
      <c r="S355" s="597"/>
      <c r="T355" s="597"/>
      <c r="U355" s="597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606">
        <f t="shared" si="157"/>
        <v>0</v>
      </c>
      <c r="I356" s="606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8"/>
        <v>0</v>
      </c>
      <c r="N356" s="130">
        <f>SUM(O356:U356)</f>
        <v>0</v>
      </c>
      <c r="O356" s="597"/>
      <c r="P356" s="597"/>
      <c r="Q356" s="597"/>
      <c r="R356" s="597"/>
      <c r="S356" s="597"/>
      <c r="T356" s="597"/>
      <c r="U356" s="597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606">
        <f t="shared" si="157"/>
        <v>0</v>
      </c>
      <c r="I357" s="606"/>
      <c r="J357" s="130"/>
      <c r="K357" s="131"/>
      <c r="L357" s="129"/>
      <c r="M357" s="109"/>
      <c r="N357" s="130"/>
      <c r="O357" s="597"/>
      <c r="P357" s="597"/>
      <c r="Q357" s="597"/>
      <c r="R357" s="597"/>
      <c r="S357" s="597"/>
      <c r="T357" s="597"/>
      <c r="U357" s="597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606">
        <f t="shared" si="157"/>
        <v>0</v>
      </c>
      <c r="I358" s="606"/>
      <c r="J358" s="130"/>
      <c r="K358" s="131"/>
      <c r="L358" s="129"/>
      <c r="M358" s="109"/>
      <c r="N358" s="130"/>
      <c r="O358" s="597"/>
      <c r="P358" s="597"/>
      <c r="Q358" s="597"/>
      <c r="R358" s="597"/>
      <c r="S358" s="597"/>
      <c r="T358" s="597"/>
      <c r="U358" s="597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606">
        <f t="shared" si="157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2">IF(ISERROR(I359-K359),"",I359-K359)</f>
        <v>0</v>
      </c>
      <c r="N359" s="130">
        <f t="shared" ref="N359:N361" si="163">SUM(O359:U359)</f>
        <v>0</v>
      </c>
      <c r="O359" s="597"/>
      <c r="P359" s="597"/>
      <c r="Q359" s="597"/>
      <c r="R359" s="597"/>
      <c r="S359" s="597"/>
      <c r="T359" s="597"/>
      <c r="U359" s="597"/>
      <c r="V359" s="132">
        <f t="shared" ref="V359:V361" si="164">SUM(X359:AA359)</f>
        <v>0</v>
      </c>
      <c r="W359" s="133" t="str">
        <f t="shared" ref="W359:W361" si="165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606">
        <f t="shared" si="157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2"/>
        <v>0</v>
      </c>
      <c r="N360" s="130">
        <f t="shared" si="163"/>
        <v>0</v>
      </c>
      <c r="O360" s="597"/>
      <c r="P360" s="597"/>
      <c r="Q360" s="597"/>
      <c r="R360" s="597"/>
      <c r="S360" s="597"/>
      <c r="T360" s="597"/>
      <c r="U360" s="597"/>
      <c r="V360" s="132">
        <f t="shared" si="164"/>
        <v>0</v>
      </c>
      <c r="W360" s="133" t="str">
        <f t="shared" si="165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606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2"/>
        <v>0</v>
      </c>
      <c r="N361" s="130">
        <f t="shared" si="163"/>
        <v>0</v>
      </c>
      <c r="O361" s="597"/>
      <c r="P361" s="597"/>
      <c r="Q361" s="597"/>
      <c r="R361" s="597"/>
      <c r="S361" s="597"/>
      <c r="T361" s="597"/>
      <c r="U361" s="597"/>
      <c r="V361" s="132">
        <f t="shared" si="164"/>
        <v>0</v>
      </c>
      <c r="W361" s="133" t="str">
        <f t="shared" si="165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596" t="s">
        <v>190</v>
      </c>
      <c r="D362" s="108">
        <v>4.8</v>
      </c>
      <c r="E362" s="108"/>
      <c r="F362" s="127"/>
      <c r="G362" s="128"/>
      <c r="H362" s="606">
        <f t="shared" si="157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2"/>
        <v>0</v>
      </c>
      <c r="N362" s="130"/>
      <c r="O362" s="597"/>
      <c r="P362" s="597"/>
      <c r="Q362" s="597"/>
      <c r="R362" s="597"/>
      <c r="S362" s="597"/>
      <c r="T362" s="597"/>
      <c r="U362" s="597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596" t="s">
        <v>187</v>
      </c>
      <c r="D363" s="108">
        <v>4.8</v>
      </c>
      <c r="E363" s="108"/>
      <c r="F363" s="127"/>
      <c r="G363" s="128"/>
      <c r="H363" s="606">
        <f t="shared" si="157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2"/>
        <v>0</v>
      </c>
      <c r="N363" s="130"/>
      <c r="O363" s="597"/>
      <c r="P363" s="597"/>
      <c r="Q363" s="597"/>
      <c r="R363" s="597"/>
      <c r="S363" s="597"/>
      <c r="T363" s="597"/>
      <c r="U363" s="597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596" t="s">
        <v>179</v>
      </c>
      <c r="D364" s="108">
        <v>4.8</v>
      </c>
      <c r="E364" s="108"/>
      <c r="F364" s="127"/>
      <c r="G364" s="128"/>
      <c r="H364" s="606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597"/>
      <c r="P364" s="597"/>
      <c r="Q364" s="597"/>
      <c r="R364" s="597"/>
      <c r="S364" s="597"/>
      <c r="T364" s="597"/>
      <c r="U364" s="597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596" t="s">
        <v>199</v>
      </c>
      <c r="D365" s="108">
        <v>4.8</v>
      </c>
      <c r="E365" s="108"/>
      <c r="F365" s="127"/>
      <c r="G365" s="128"/>
      <c r="H365" s="606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597"/>
      <c r="P365" s="597"/>
      <c r="Q365" s="597"/>
      <c r="R365" s="597"/>
      <c r="S365" s="597"/>
      <c r="T365" s="597"/>
      <c r="U365" s="597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606">
        <f t="shared" si="157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2"/>
        <v>0</v>
      </c>
      <c r="N366" s="130">
        <f t="shared" ref="N366:N367" si="166">SUM(O366:U366)</f>
        <v>0</v>
      </c>
      <c r="O366" s="597"/>
      <c r="P366" s="597"/>
      <c r="Q366" s="597"/>
      <c r="R366" s="597"/>
      <c r="S366" s="597"/>
      <c r="T366" s="597"/>
      <c r="U366" s="597"/>
      <c r="V366" s="132">
        <f t="shared" ref="V366:V367" si="167">SUM(X366:AA366)</f>
        <v>0</v>
      </c>
      <c r="W366" s="133" t="str">
        <f t="shared" ref="W366:W367" si="168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606">
        <f t="shared" si="157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2"/>
        <v>0</v>
      </c>
      <c r="N367" s="130">
        <f t="shared" si="166"/>
        <v>0</v>
      </c>
      <c r="O367" s="597"/>
      <c r="P367" s="597"/>
      <c r="Q367" s="597"/>
      <c r="R367" s="597"/>
      <c r="S367" s="597"/>
      <c r="T367" s="597"/>
      <c r="U367" s="597"/>
      <c r="V367" s="132">
        <f t="shared" si="167"/>
        <v>0</v>
      </c>
      <c r="W367" s="133" t="str">
        <f t="shared" si="168"/>
        <v/>
      </c>
      <c r="X367" s="132"/>
      <c r="Y367" s="132"/>
      <c r="Z367" s="132"/>
      <c r="AA367" s="132"/>
    </row>
    <row r="368" spans="1:27" ht="20.100000000000001" hidden="1" customHeight="1">
      <c r="A368" s="630" t="s">
        <v>201</v>
      </c>
      <c r="B368" s="631"/>
      <c r="C368" s="604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69">SUM(M347:M367)</f>
        <v>0</v>
      </c>
      <c r="N368" s="146">
        <f t="shared" si="169"/>
        <v>0</v>
      </c>
      <c r="O368" s="148">
        <f t="shared" si="169"/>
        <v>0</v>
      </c>
      <c r="P368" s="148">
        <f t="shared" si="169"/>
        <v>0</v>
      </c>
      <c r="Q368" s="148">
        <f t="shared" si="169"/>
        <v>0</v>
      </c>
      <c r="R368" s="148">
        <f t="shared" si="169"/>
        <v>0</v>
      </c>
      <c r="S368" s="148">
        <f t="shared" si="169"/>
        <v>0</v>
      </c>
      <c r="T368" s="148">
        <f t="shared" si="169"/>
        <v>0</v>
      </c>
      <c r="U368" s="148">
        <f t="shared" si="169"/>
        <v>0</v>
      </c>
      <c r="V368" s="149">
        <f t="shared" si="169"/>
        <v>0</v>
      </c>
      <c r="W368" s="133">
        <f t="shared" si="169"/>
        <v>0</v>
      </c>
      <c r="X368" s="149">
        <f t="shared" si="169"/>
        <v>0</v>
      </c>
      <c r="Y368" s="149">
        <f t="shared" si="169"/>
        <v>0</v>
      </c>
      <c r="Z368" s="149">
        <f t="shared" si="169"/>
        <v>0</v>
      </c>
      <c r="AA368" s="149">
        <f t="shared" si="169"/>
        <v>0</v>
      </c>
    </row>
    <row r="369" spans="1:27" ht="20.100000000000001" hidden="1" customHeight="1">
      <c r="A369" s="300">
        <v>30100012</v>
      </c>
      <c r="B369" s="598" t="s">
        <v>206</v>
      </c>
      <c r="C369" s="126" t="s">
        <v>199</v>
      </c>
      <c r="D369" s="108">
        <v>5.03</v>
      </c>
      <c r="E369" s="108"/>
      <c r="F369" s="127"/>
      <c r="G369" s="128"/>
      <c r="H369" s="606">
        <f t="shared" ref="H369:H425" si="170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1">IF(ISERROR(I369-K369),"",I369-K369)</f>
        <v>0</v>
      </c>
      <c r="N369" s="130">
        <f t="shared" ref="N369" si="172">SUM(O369:U369)</f>
        <v>0</v>
      </c>
      <c r="O369" s="601"/>
      <c r="P369" s="601"/>
      <c r="Q369" s="601"/>
      <c r="R369" s="601"/>
      <c r="S369" s="601"/>
      <c r="T369" s="601"/>
      <c r="U369" s="601"/>
      <c r="V369" s="132">
        <f t="shared" ref="V369" si="173">SUM(X369:AA369)</f>
        <v>0</v>
      </c>
      <c r="W369" s="133" t="str">
        <f t="shared" ref="W369" si="174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598" t="s">
        <v>425</v>
      </c>
      <c r="C370" s="187" t="s">
        <v>427</v>
      </c>
      <c r="D370" s="108">
        <v>5.03</v>
      </c>
      <c r="E370" s="108"/>
      <c r="F370" s="127"/>
      <c r="G370" s="128"/>
      <c r="H370" s="606">
        <f t="shared" si="170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601"/>
      <c r="P370" s="601"/>
      <c r="Q370" s="601"/>
      <c r="R370" s="601"/>
      <c r="S370" s="601"/>
      <c r="T370" s="601"/>
      <c r="U370" s="601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598" t="s">
        <v>206</v>
      </c>
      <c r="C371" s="126" t="s">
        <v>186</v>
      </c>
      <c r="D371" s="108">
        <v>5.03</v>
      </c>
      <c r="E371" s="108"/>
      <c r="F371" s="127"/>
      <c r="G371" s="128"/>
      <c r="H371" s="606">
        <f t="shared" si="170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5">IF(ISERROR(I371-K371),"",I371-K371)</f>
        <v>0</v>
      </c>
      <c r="N371" s="130">
        <f t="shared" ref="N371:N373" si="176">SUM(O371:U371)</f>
        <v>0</v>
      </c>
      <c r="O371" s="601"/>
      <c r="P371" s="601"/>
      <c r="Q371" s="601"/>
      <c r="R371" s="601"/>
      <c r="S371" s="601"/>
      <c r="T371" s="601"/>
      <c r="U371" s="601"/>
      <c r="V371" s="132">
        <f t="shared" ref="V371:V373" si="177">SUM(X371:AA371)</f>
        <v>0</v>
      </c>
      <c r="W371" s="133" t="str">
        <f t="shared" ref="W371:W373" si="178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598" t="s">
        <v>206</v>
      </c>
      <c r="C372" s="126" t="s">
        <v>203</v>
      </c>
      <c r="D372" s="108">
        <v>5.03</v>
      </c>
      <c r="E372" s="108"/>
      <c r="F372" s="127"/>
      <c r="G372" s="128"/>
      <c r="H372" s="606">
        <f t="shared" si="170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5"/>
        <v>0</v>
      </c>
      <c r="N372" s="130">
        <f t="shared" si="176"/>
        <v>0</v>
      </c>
      <c r="O372" s="601"/>
      <c r="P372" s="601"/>
      <c r="Q372" s="601"/>
      <c r="R372" s="601"/>
      <c r="S372" s="601"/>
      <c r="T372" s="601"/>
      <c r="U372" s="601"/>
      <c r="V372" s="132">
        <f t="shared" si="177"/>
        <v>0</v>
      </c>
      <c r="W372" s="133" t="str">
        <f t="shared" si="178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598" t="s">
        <v>206</v>
      </c>
      <c r="C373" s="126" t="s">
        <v>207</v>
      </c>
      <c r="D373" s="108">
        <v>5.03</v>
      </c>
      <c r="E373" s="108"/>
      <c r="F373" s="127"/>
      <c r="G373" s="128"/>
      <c r="H373" s="606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5"/>
        <v>0</v>
      </c>
      <c r="N373" s="130">
        <f t="shared" si="176"/>
        <v>0</v>
      </c>
      <c r="O373" s="601"/>
      <c r="P373" s="601"/>
      <c r="Q373" s="601"/>
      <c r="R373" s="601"/>
      <c r="S373" s="601"/>
      <c r="T373" s="601"/>
      <c r="U373" s="601"/>
      <c r="V373" s="132">
        <f t="shared" si="177"/>
        <v>0</v>
      </c>
      <c r="W373" s="133" t="str">
        <f t="shared" si="178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598" t="s">
        <v>414</v>
      </c>
      <c r="C374" s="187" t="s">
        <v>415</v>
      </c>
      <c r="D374" s="108"/>
      <c r="E374" s="108"/>
      <c r="F374" s="127"/>
      <c r="G374" s="128"/>
      <c r="H374" s="606">
        <f t="shared" si="170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/>
      <c r="O374" s="601"/>
      <c r="P374" s="601"/>
      <c r="Q374" s="601"/>
      <c r="R374" s="601"/>
      <c r="S374" s="601"/>
      <c r="T374" s="601"/>
      <c r="U374" s="601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598" t="s">
        <v>414</v>
      </c>
      <c r="C375" s="187" t="s">
        <v>416</v>
      </c>
      <c r="D375" s="108"/>
      <c r="E375" s="108"/>
      <c r="F375" s="127"/>
      <c r="G375" s="128"/>
      <c r="H375" s="606">
        <f t="shared" si="170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/>
      <c r="O375" s="601"/>
      <c r="P375" s="601"/>
      <c r="Q375" s="601"/>
      <c r="R375" s="601"/>
      <c r="S375" s="601"/>
      <c r="T375" s="601"/>
      <c r="U375" s="601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598" t="s">
        <v>414</v>
      </c>
      <c r="C376" s="187" t="s">
        <v>61</v>
      </c>
      <c r="D376" s="108"/>
      <c r="E376" s="108"/>
      <c r="F376" s="127"/>
      <c r="G376" s="128"/>
      <c r="H376" s="606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601"/>
      <c r="P376" s="601"/>
      <c r="Q376" s="601"/>
      <c r="R376" s="601"/>
      <c r="S376" s="601"/>
      <c r="T376" s="601"/>
      <c r="U376" s="601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598" t="s">
        <v>208</v>
      </c>
      <c r="C377" s="126" t="s">
        <v>179</v>
      </c>
      <c r="D377" s="108">
        <v>5.08</v>
      </c>
      <c r="E377" s="108"/>
      <c r="F377" s="127"/>
      <c r="G377" s="128"/>
      <c r="H377" s="606">
        <f t="shared" si="170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5"/>
        <v>0</v>
      </c>
      <c r="N377" s="130">
        <f t="shared" ref="N377:N392" si="179">SUM(O377:U377)</f>
        <v>0</v>
      </c>
      <c r="O377" s="601"/>
      <c r="P377" s="601"/>
      <c r="Q377" s="601"/>
      <c r="R377" s="601"/>
      <c r="S377" s="601"/>
      <c r="T377" s="601"/>
      <c r="U377" s="601"/>
      <c r="V377" s="132">
        <f t="shared" ref="V377:V388" si="180">SUM(X377:AA377)</f>
        <v>0</v>
      </c>
      <c r="W377" s="133" t="str">
        <f t="shared" ref="W377:W388" si="181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598" t="s">
        <v>208</v>
      </c>
      <c r="C378" s="126" t="s">
        <v>204</v>
      </c>
      <c r="D378" s="108">
        <v>5.08</v>
      </c>
      <c r="E378" s="108"/>
      <c r="F378" s="127"/>
      <c r="G378" s="128"/>
      <c r="H378" s="606">
        <f t="shared" si="170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5"/>
        <v>0</v>
      </c>
      <c r="N378" s="130">
        <f t="shared" si="179"/>
        <v>0</v>
      </c>
      <c r="O378" s="601"/>
      <c r="P378" s="601"/>
      <c r="Q378" s="601"/>
      <c r="R378" s="601"/>
      <c r="S378" s="601"/>
      <c r="T378" s="601"/>
      <c r="U378" s="601"/>
      <c r="V378" s="132">
        <f t="shared" si="180"/>
        <v>0</v>
      </c>
      <c r="W378" s="133" t="str">
        <f t="shared" si="181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598" t="s">
        <v>208</v>
      </c>
      <c r="C379" s="126" t="s">
        <v>205</v>
      </c>
      <c r="D379" s="108">
        <v>5.08</v>
      </c>
      <c r="E379" s="108"/>
      <c r="F379" s="127"/>
      <c r="G379" s="128"/>
      <c r="H379" s="606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si="179"/>
        <v>0</v>
      </c>
      <c r="O379" s="601"/>
      <c r="P379" s="601"/>
      <c r="Q379" s="601"/>
      <c r="R379" s="601"/>
      <c r="S379" s="601"/>
      <c r="T379" s="601"/>
      <c r="U379" s="601"/>
      <c r="V379" s="132">
        <f t="shared" si="180"/>
        <v>0</v>
      </c>
      <c r="W379" s="133" t="str">
        <f t="shared" si="181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598" t="s">
        <v>208</v>
      </c>
      <c r="C380" s="126" t="s">
        <v>186</v>
      </c>
      <c r="D380" s="108">
        <v>5.08</v>
      </c>
      <c r="E380" s="108"/>
      <c r="F380" s="127"/>
      <c r="G380" s="128"/>
      <c r="H380" s="606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601"/>
      <c r="P380" s="601"/>
      <c r="Q380" s="601"/>
      <c r="R380" s="601"/>
      <c r="S380" s="601"/>
      <c r="T380" s="601"/>
      <c r="U380" s="601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598" t="s">
        <v>208</v>
      </c>
      <c r="C381" s="126" t="s">
        <v>203</v>
      </c>
      <c r="D381" s="108">
        <v>5.08</v>
      </c>
      <c r="E381" s="108"/>
      <c r="F381" s="127"/>
      <c r="G381" s="128"/>
      <c r="H381" s="606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601"/>
      <c r="P381" s="601"/>
      <c r="Q381" s="601"/>
      <c r="R381" s="601"/>
      <c r="S381" s="601"/>
      <c r="T381" s="601"/>
      <c r="U381" s="601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598" t="s">
        <v>208</v>
      </c>
      <c r="C382" s="126" t="s">
        <v>199</v>
      </c>
      <c r="D382" s="108">
        <v>5.08</v>
      </c>
      <c r="E382" s="108"/>
      <c r="F382" s="127"/>
      <c r="G382" s="128"/>
      <c r="H382" s="606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597"/>
      <c r="P382" s="597"/>
      <c r="Q382" s="597"/>
      <c r="R382" s="597"/>
      <c r="S382" s="597"/>
      <c r="T382" s="597"/>
      <c r="U382" s="597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598" t="s">
        <v>208</v>
      </c>
      <c r="C383" s="126" t="s">
        <v>187</v>
      </c>
      <c r="D383" s="108">
        <v>5.08</v>
      </c>
      <c r="E383" s="108"/>
      <c r="F383" s="127"/>
      <c r="G383" s="128"/>
      <c r="H383" s="606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601"/>
      <c r="P383" s="601"/>
      <c r="Q383" s="601"/>
      <c r="R383" s="601"/>
      <c r="S383" s="601"/>
      <c r="T383" s="601"/>
      <c r="U383" s="601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598" t="s">
        <v>208</v>
      </c>
      <c r="C384" s="126" t="s">
        <v>207</v>
      </c>
      <c r="D384" s="108">
        <v>5.08</v>
      </c>
      <c r="E384" s="108"/>
      <c r="F384" s="127"/>
      <c r="G384" s="128"/>
      <c r="H384" s="606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597"/>
      <c r="P384" s="597"/>
      <c r="Q384" s="597"/>
      <c r="R384" s="597"/>
      <c r="S384" s="597"/>
      <c r="T384" s="597"/>
      <c r="U384" s="597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598" t="s">
        <v>209</v>
      </c>
      <c r="C385" s="126" t="s">
        <v>194</v>
      </c>
      <c r="D385" s="108">
        <v>5.03</v>
      </c>
      <c r="E385" s="108"/>
      <c r="F385" s="127"/>
      <c r="G385" s="128"/>
      <c r="H385" s="606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5"/>
        <v>0</v>
      </c>
      <c r="N385" s="130">
        <f t="shared" si="179"/>
        <v>0</v>
      </c>
      <c r="O385" s="601"/>
      <c r="P385" s="601"/>
      <c r="Q385" s="601"/>
      <c r="R385" s="601"/>
      <c r="S385" s="601"/>
      <c r="T385" s="601"/>
      <c r="U385" s="601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598" t="s">
        <v>209</v>
      </c>
      <c r="C386" s="126" t="s">
        <v>179</v>
      </c>
      <c r="D386" s="108">
        <v>5.03</v>
      </c>
      <c r="E386" s="108"/>
      <c r="F386" s="127"/>
      <c r="G386" s="128"/>
      <c r="H386" s="606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5"/>
        <v>0</v>
      </c>
      <c r="N386" s="130">
        <f t="shared" si="179"/>
        <v>0</v>
      </c>
      <c r="O386" s="601"/>
      <c r="P386" s="601"/>
      <c r="Q386" s="601"/>
      <c r="R386" s="601"/>
      <c r="S386" s="601"/>
      <c r="T386" s="601"/>
      <c r="U386" s="601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598" t="s">
        <v>209</v>
      </c>
      <c r="C387" s="126" t="s">
        <v>195</v>
      </c>
      <c r="D387" s="108">
        <v>5.03</v>
      </c>
      <c r="E387" s="108"/>
      <c r="F387" s="127"/>
      <c r="G387" s="128"/>
      <c r="H387" s="606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601"/>
      <c r="P387" s="601"/>
      <c r="Q387" s="601"/>
      <c r="R387" s="601"/>
      <c r="S387" s="601"/>
      <c r="T387" s="601"/>
      <c r="U387" s="601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598" t="s">
        <v>209</v>
      </c>
      <c r="C388" s="126" t="s">
        <v>204</v>
      </c>
      <c r="D388" s="108">
        <v>5.03</v>
      </c>
      <c r="E388" s="108"/>
      <c r="F388" s="127"/>
      <c r="G388" s="128"/>
      <c r="H388" s="606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601"/>
      <c r="P388" s="601"/>
      <c r="Q388" s="601"/>
      <c r="R388" s="601"/>
      <c r="S388" s="601"/>
      <c r="T388" s="601"/>
      <c r="U388" s="601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598" t="s">
        <v>382</v>
      </c>
      <c r="C389" s="187" t="s">
        <v>383</v>
      </c>
      <c r="D389" s="108">
        <v>5.03</v>
      </c>
      <c r="E389" s="108"/>
      <c r="F389" s="127"/>
      <c r="G389" s="128"/>
      <c r="H389" s="606">
        <f t="shared" si="170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5"/>
        <v>0</v>
      </c>
      <c r="N389" s="130">
        <f t="shared" si="179"/>
        <v>0</v>
      </c>
      <c r="O389" s="601"/>
      <c r="P389" s="601"/>
      <c r="Q389" s="601"/>
      <c r="R389" s="601"/>
      <c r="S389" s="601"/>
      <c r="T389" s="601"/>
      <c r="U389" s="601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598" t="s">
        <v>382</v>
      </c>
      <c r="C390" s="187" t="s">
        <v>384</v>
      </c>
      <c r="D390" s="108">
        <v>5.03</v>
      </c>
      <c r="E390" s="108"/>
      <c r="F390" s="127"/>
      <c r="G390" s="128"/>
      <c r="H390" s="606">
        <f t="shared" si="170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5"/>
        <v>0</v>
      </c>
      <c r="N390" s="130">
        <f t="shared" si="179"/>
        <v>0</v>
      </c>
      <c r="O390" s="601"/>
      <c r="P390" s="601"/>
      <c r="Q390" s="601"/>
      <c r="R390" s="601"/>
      <c r="S390" s="601"/>
      <c r="T390" s="601"/>
      <c r="U390" s="601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598" t="s">
        <v>382</v>
      </c>
      <c r="C391" s="187" t="s">
        <v>389</v>
      </c>
      <c r="D391" s="108">
        <v>5.03</v>
      </c>
      <c r="E391" s="108"/>
      <c r="F391" s="127"/>
      <c r="G391" s="128"/>
      <c r="H391" s="606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601"/>
      <c r="P391" s="601"/>
      <c r="Q391" s="601"/>
      <c r="R391" s="601"/>
      <c r="S391" s="601"/>
      <c r="T391" s="601"/>
      <c r="U391" s="601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598" t="s">
        <v>382</v>
      </c>
      <c r="C392" s="187" t="s">
        <v>391</v>
      </c>
      <c r="D392" s="108">
        <v>5.03</v>
      </c>
      <c r="E392" s="108"/>
      <c r="F392" s="127"/>
      <c r="G392" s="128"/>
      <c r="H392" s="606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601"/>
      <c r="P392" s="601"/>
      <c r="Q392" s="601"/>
      <c r="R392" s="601"/>
      <c r="S392" s="601"/>
      <c r="T392" s="601"/>
      <c r="U392" s="601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598" t="s">
        <v>418</v>
      </c>
      <c r="C393" s="187" t="s">
        <v>364</v>
      </c>
      <c r="D393" s="108">
        <v>5.03</v>
      </c>
      <c r="E393" s="108"/>
      <c r="F393" s="127"/>
      <c r="G393" s="128"/>
      <c r="H393" s="606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5"/>
        <v>0</v>
      </c>
      <c r="N393" s="130"/>
      <c r="O393" s="601"/>
      <c r="P393" s="601"/>
      <c r="Q393" s="601"/>
      <c r="R393" s="601"/>
      <c r="S393" s="601"/>
      <c r="T393" s="601"/>
      <c r="U393" s="601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598" t="s">
        <v>418</v>
      </c>
      <c r="C394" s="187" t="s">
        <v>365</v>
      </c>
      <c r="D394" s="108">
        <v>5.03</v>
      </c>
      <c r="E394" s="108"/>
      <c r="F394" s="127"/>
      <c r="G394" s="128"/>
      <c r="H394" s="606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5"/>
        <v>0</v>
      </c>
      <c r="N394" s="130"/>
      <c r="O394" s="601"/>
      <c r="P394" s="601"/>
      <c r="Q394" s="601"/>
      <c r="R394" s="601"/>
      <c r="S394" s="601"/>
      <c r="T394" s="601"/>
      <c r="U394" s="601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598" t="s">
        <v>418</v>
      </c>
      <c r="C395" s="187" t="s">
        <v>366</v>
      </c>
      <c r="D395" s="108">
        <v>5.03</v>
      </c>
      <c r="E395" s="108"/>
      <c r="F395" s="127"/>
      <c r="G395" s="128"/>
      <c r="H395" s="606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601"/>
      <c r="P395" s="601"/>
      <c r="Q395" s="601"/>
      <c r="R395" s="601"/>
      <c r="S395" s="601"/>
      <c r="T395" s="601"/>
      <c r="U395" s="601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598" t="s">
        <v>418</v>
      </c>
      <c r="C396" s="187" t="s">
        <v>367</v>
      </c>
      <c r="D396" s="108">
        <v>5.03</v>
      </c>
      <c r="E396" s="108"/>
      <c r="F396" s="127"/>
      <c r="G396" s="128"/>
      <c r="H396" s="606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601"/>
      <c r="P396" s="601"/>
      <c r="Q396" s="601"/>
      <c r="R396" s="601"/>
      <c r="S396" s="601"/>
      <c r="T396" s="601"/>
      <c r="U396" s="601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606">
        <f t="shared" si="170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5"/>
        <v>0</v>
      </c>
      <c r="N397" s="130">
        <f t="shared" ref="N397:N406" si="182">SUM(O397:U397)</f>
        <v>0</v>
      </c>
      <c r="O397" s="597"/>
      <c r="P397" s="597"/>
      <c r="Q397" s="597"/>
      <c r="R397" s="597"/>
      <c r="S397" s="597"/>
      <c r="T397" s="597"/>
      <c r="U397" s="597"/>
      <c r="V397" s="132">
        <f t="shared" ref="V397:V406" si="183">SUM(X397:AA397)</f>
        <v>0</v>
      </c>
      <c r="W397" s="133" t="str">
        <f t="shared" ref="W397:W406" si="184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606">
        <f t="shared" si="170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5"/>
        <v>0</v>
      </c>
      <c r="N398" s="130">
        <f t="shared" si="182"/>
        <v>0</v>
      </c>
      <c r="O398" s="597"/>
      <c r="P398" s="597"/>
      <c r="Q398" s="597"/>
      <c r="R398" s="597"/>
      <c r="S398" s="597"/>
      <c r="T398" s="597"/>
      <c r="U398" s="597"/>
      <c r="V398" s="132">
        <f t="shared" si="183"/>
        <v>0</v>
      </c>
      <c r="W398" s="133" t="str">
        <f t="shared" si="184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606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si="182"/>
        <v>0</v>
      </c>
      <c r="O399" s="597"/>
      <c r="P399" s="597"/>
      <c r="Q399" s="597"/>
      <c r="R399" s="597"/>
      <c r="S399" s="597"/>
      <c r="T399" s="597"/>
      <c r="U399" s="597"/>
      <c r="V399" s="132">
        <f t="shared" si="183"/>
        <v>0</v>
      </c>
      <c r="W399" s="133" t="str">
        <f t="shared" si="184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606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5"/>
        <v>0</v>
      </c>
      <c r="N400" s="130">
        <f t="shared" si="182"/>
        <v>0</v>
      </c>
      <c r="O400" s="597"/>
      <c r="P400" s="597"/>
      <c r="Q400" s="597"/>
      <c r="R400" s="597"/>
      <c r="S400" s="597"/>
      <c r="T400" s="597"/>
      <c r="U400" s="597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606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5"/>
        <v>0</v>
      </c>
      <c r="N401" s="130">
        <f t="shared" si="182"/>
        <v>0</v>
      </c>
      <c r="O401" s="597"/>
      <c r="P401" s="597"/>
      <c r="Q401" s="597"/>
      <c r="R401" s="597"/>
      <c r="S401" s="597"/>
      <c r="T401" s="597"/>
      <c r="U401" s="597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606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597"/>
      <c r="P402" s="597"/>
      <c r="Q402" s="597"/>
      <c r="R402" s="597"/>
      <c r="S402" s="597"/>
      <c r="T402" s="597"/>
      <c r="U402" s="597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606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597"/>
      <c r="P403" s="597"/>
      <c r="Q403" s="597"/>
      <c r="R403" s="597"/>
      <c r="S403" s="597"/>
      <c r="T403" s="597"/>
      <c r="U403" s="597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606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597"/>
      <c r="P404" s="597"/>
      <c r="Q404" s="597"/>
      <c r="R404" s="597"/>
      <c r="S404" s="597"/>
      <c r="T404" s="597"/>
      <c r="U404" s="597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606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597"/>
      <c r="P405" s="597"/>
      <c r="Q405" s="597"/>
      <c r="R405" s="597"/>
      <c r="S405" s="597"/>
      <c r="T405" s="597"/>
      <c r="U405" s="597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606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597"/>
      <c r="P406" s="597"/>
      <c r="Q406" s="597"/>
      <c r="R406" s="597"/>
      <c r="S406" s="597"/>
      <c r="T406" s="597"/>
      <c r="U406" s="597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606">
        <f t="shared" si="170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597"/>
      <c r="P407" s="597"/>
      <c r="Q407" s="597"/>
      <c r="R407" s="597"/>
      <c r="S407" s="597"/>
      <c r="T407" s="597"/>
      <c r="U407" s="597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606">
        <f t="shared" si="170"/>
        <v>0</v>
      </c>
      <c r="I408" s="129"/>
      <c r="J408" s="130"/>
      <c r="K408" s="131"/>
      <c r="L408" s="129">
        <v>50</v>
      </c>
      <c r="M408" s="109"/>
      <c r="N408" s="130"/>
      <c r="O408" s="597"/>
      <c r="P408" s="597"/>
      <c r="Q408" s="597"/>
      <c r="R408" s="597"/>
      <c r="S408" s="597"/>
      <c r="T408" s="597"/>
      <c r="U408" s="597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606">
        <f t="shared" si="170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5">IF(ISERROR(I409-K409),"",I409-K409)</f>
        <v>0</v>
      </c>
      <c r="N409" s="130">
        <f t="shared" ref="N409:N410" si="186">SUM(O409:U409)</f>
        <v>0</v>
      </c>
      <c r="O409" s="597"/>
      <c r="P409" s="597"/>
      <c r="Q409" s="597"/>
      <c r="R409" s="597"/>
      <c r="S409" s="597"/>
      <c r="T409" s="597"/>
      <c r="U409" s="597"/>
      <c r="V409" s="132">
        <f t="shared" ref="V409:V410" si="187">SUM(X409:AA409)</f>
        <v>0</v>
      </c>
      <c r="W409" s="133" t="str">
        <f t="shared" ref="W409:W410" si="188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606">
        <f t="shared" si="170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5"/>
        <v>0</v>
      </c>
      <c r="N410" s="130">
        <f t="shared" si="186"/>
        <v>0</v>
      </c>
      <c r="O410" s="597"/>
      <c r="P410" s="597"/>
      <c r="Q410" s="597"/>
      <c r="R410" s="597"/>
      <c r="S410" s="597"/>
      <c r="T410" s="597"/>
      <c r="U410" s="597"/>
      <c r="V410" s="132">
        <f t="shared" si="187"/>
        <v>0</v>
      </c>
      <c r="W410" s="133" t="str">
        <f t="shared" si="188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606">
        <f t="shared" si="170"/>
        <v>0</v>
      </c>
      <c r="I411" s="129"/>
      <c r="J411" s="130"/>
      <c r="K411" s="131"/>
      <c r="L411" s="129"/>
      <c r="M411" s="109"/>
      <c r="N411" s="130"/>
      <c r="O411" s="597"/>
      <c r="P411" s="597"/>
      <c r="Q411" s="597"/>
      <c r="R411" s="597"/>
      <c r="S411" s="597"/>
      <c r="T411" s="597"/>
      <c r="U411" s="597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606">
        <f t="shared" si="170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89">IF(ISERROR(I412-K412),"",I412-K412)</f>
        <v/>
      </c>
      <c r="N412" s="130">
        <f t="shared" ref="N412:N415" si="190">SUM(O412:U412)</f>
        <v>0</v>
      </c>
      <c r="O412" s="597"/>
      <c r="P412" s="597"/>
      <c r="Q412" s="597"/>
      <c r="R412" s="597"/>
      <c r="S412" s="597"/>
      <c r="T412" s="597"/>
      <c r="U412" s="597"/>
      <c r="V412" s="132">
        <f t="shared" ref="V412:V415" si="191">SUM(X412:AA412)</f>
        <v>0</v>
      </c>
      <c r="W412" s="133" t="str">
        <f t="shared" ref="W412:W415" si="192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606">
        <f t="shared" si="170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89"/>
        <v/>
      </c>
      <c r="N413" s="130">
        <f t="shared" si="190"/>
        <v>0</v>
      </c>
      <c r="O413" s="597"/>
      <c r="P413" s="597"/>
      <c r="Q413" s="597"/>
      <c r="R413" s="597"/>
      <c r="S413" s="597"/>
      <c r="T413" s="597"/>
      <c r="U413" s="597"/>
      <c r="V413" s="132">
        <f t="shared" si="191"/>
        <v>0</v>
      </c>
      <c r="W413" s="133" t="str">
        <f t="shared" si="192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606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89"/>
        <v/>
      </c>
      <c r="N414" s="130">
        <f t="shared" si="190"/>
        <v>0</v>
      </c>
      <c r="O414" s="597"/>
      <c r="P414" s="597"/>
      <c r="Q414" s="597"/>
      <c r="R414" s="597"/>
      <c r="S414" s="597"/>
      <c r="T414" s="597"/>
      <c r="U414" s="597"/>
      <c r="V414" s="132">
        <f t="shared" si="191"/>
        <v>0</v>
      </c>
      <c r="W414" s="133" t="str">
        <f t="shared" si="192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606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597"/>
      <c r="P415" s="597"/>
      <c r="Q415" s="597"/>
      <c r="R415" s="597"/>
      <c r="S415" s="597"/>
      <c r="T415" s="597"/>
      <c r="U415" s="597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606">
        <f t="shared" si="170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89"/>
        <v>0</v>
      </c>
      <c r="N416" s="130"/>
      <c r="O416" s="597"/>
      <c r="P416" s="597"/>
      <c r="Q416" s="597"/>
      <c r="R416" s="597"/>
      <c r="S416" s="597"/>
      <c r="T416" s="597"/>
      <c r="U416" s="597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606">
        <f t="shared" si="170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89"/>
        <v>0</v>
      </c>
      <c r="N417" s="130"/>
      <c r="O417" s="597"/>
      <c r="P417" s="597"/>
      <c r="Q417" s="597"/>
      <c r="R417" s="597"/>
      <c r="S417" s="597"/>
      <c r="T417" s="597"/>
      <c r="U417" s="597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606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597"/>
      <c r="P418" s="597"/>
      <c r="Q418" s="597"/>
      <c r="R418" s="597"/>
      <c r="S418" s="597"/>
      <c r="T418" s="597"/>
      <c r="U418" s="597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606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597"/>
      <c r="P419" s="597"/>
      <c r="Q419" s="597"/>
      <c r="R419" s="597"/>
      <c r="S419" s="597"/>
      <c r="T419" s="597"/>
      <c r="U419" s="597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606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89"/>
        <v>0</v>
      </c>
      <c r="N420" s="130"/>
      <c r="O420" s="597"/>
      <c r="P420" s="597"/>
      <c r="Q420" s="597"/>
      <c r="R420" s="597"/>
      <c r="S420" s="597"/>
      <c r="T420" s="597"/>
      <c r="U420" s="597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606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89"/>
        <v>0</v>
      </c>
      <c r="N421" s="130"/>
      <c r="O421" s="597"/>
      <c r="P421" s="597"/>
      <c r="Q421" s="597"/>
      <c r="R421" s="597"/>
      <c r="S421" s="597"/>
      <c r="T421" s="597"/>
      <c r="U421" s="597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606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597"/>
      <c r="P422" s="597"/>
      <c r="Q422" s="597"/>
      <c r="R422" s="597"/>
      <c r="S422" s="597"/>
      <c r="T422" s="597"/>
      <c r="U422" s="597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606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597"/>
      <c r="P423" s="597"/>
      <c r="Q423" s="597"/>
      <c r="R423" s="597"/>
      <c r="S423" s="597"/>
      <c r="T423" s="597"/>
      <c r="U423" s="597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606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597"/>
      <c r="P424" s="597"/>
      <c r="Q424" s="597"/>
      <c r="R424" s="597"/>
      <c r="S424" s="597"/>
      <c r="T424" s="597"/>
      <c r="U424" s="597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606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597"/>
      <c r="P425" s="597"/>
      <c r="Q425" s="597"/>
      <c r="R425" s="597"/>
      <c r="S425" s="597"/>
      <c r="T425" s="597"/>
      <c r="U425" s="597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41" t="s">
        <v>216</v>
      </c>
      <c r="B426" s="641"/>
      <c r="C426" s="604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3">SUM(M369:M425)</f>
        <v>0</v>
      </c>
      <c r="N426" s="146">
        <f t="shared" si="193"/>
        <v>0</v>
      </c>
      <c r="O426" s="148">
        <f t="shared" si="193"/>
        <v>0</v>
      </c>
      <c r="P426" s="148">
        <f t="shared" si="193"/>
        <v>0</v>
      </c>
      <c r="Q426" s="148">
        <f t="shared" si="193"/>
        <v>0</v>
      </c>
      <c r="R426" s="148">
        <f t="shared" si="193"/>
        <v>0</v>
      </c>
      <c r="S426" s="148">
        <f t="shared" si="193"/>
        <v>0</v>
      </c>
      <c r="T426" s="148">
        <f t="shared" si="193"/>
        <v>0</v>
      </c>
      <c r="U426" s="148">
        <f t="shared" si="193"/>
        <v>0</v>
      </c>
      <c r="V426" s="149">
        <f t="shared" si="193"/>
        <v>0</v>
      </c>
      <c r="W426" s="133" t="str">
        <f t="shared" ref="W426:W433" si="194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598" t="s">
        <v>217</v>
      </c>
      <c r="C427" s="126" t="s">
        <v>179</v>
      </c>
      <c r="D427" s="108">
        <v>5.03</v>
      </c>
      <c r="E427" s="108"/>
      <c r="F427" s="127"/>
      <c r="G427" s="128"/>
      <c r="H427" s="606">
        <f t="shared" ref="H427:H460" si="195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6">IF(ISERROR(I427-K427),"",I427-K427)</f>
        <v>0</v>
      </c>
      <c r="N427" s="130">
        <f t="shared" ref="N427:N434" si="197">SUM(O427:U427)</f>
        <v>0</v>
      </c>
      <c r="O427" s="597"/>
      <c r="P427" s="597"/>
      <c r="Q427" s="597"/>
      <c r="R427" s="597"/>
      <c r="S427" s="597"/>
      <c r="T427" s="597"/>
      <c r="U427" s="597"/>
      <c r="V427" s="132">
        <f t="shared" ref="V427:V433" si="198">SUM(X427:AA427)</f>
        <v>0</v>
      </c>
      <c r="W427" s="133" t="str">
        <f t="shared" si="194"/>
        <v/>
      </c>
      <c r="X427" s="132"/>
      <c r="Y427" s="132"/>
      <c r="Z427" s="132"/>
      <c r="AA427" s="132"/>
    </row>
    <row r="428" spans="1:27" ht="20.100000000000001" customHeight="1">
      <c r="A428" s="299">
        <v>30400010</v>
      </c>
      <c r="B428" s="598" t="s">
        <v>217</v>
      </c>
      <c r="C428" s="126" t="s">
        <v>186</v>
      </c>
      <c r="D428" s="108">
        <v>5.03</v>
      </c>
      <c r="E428" s="108"/>
      <c r="F428" s="127">
        <v>42725</v>
      </c>
      <c r="G428" s="128">
        <f>72+29</f>
        <v>101</v>
      </c>
      <c r="H428" s="606">
        <f t="shared" si="195"/>
        <v>508.03000000000003</v>
      </c>
      <c r="I428" s="129">
        <f>5*2</f>
        <v>10</v>
      </c>
      <c r="J428" s="130">
        <f t="array" ref="J428">IF(ISERROR(G428/I428),"",G428/I428)</f>
        <v>10.1</v>
      </c>
      <c r="K428" s="131">
        <f t="array" ref="K428">IF(ISERROR(G428/L428),"",G428/L428)</f>
        <v>11.477272727272727</v>
      </c>
      <c r="L428" s="129">
        <v>8.8000000000000007</v>
      </c>
      <c r="M428" s="109">
        <f t="shared" si="196"/>
        <v>-1.4772727272727266</v>
      </c>
      <c r="N428" s="130">
        <f t="shared" si="197"/>
        <v>0</v>
      </c>
      <c r="O428" s="597"/>
      <c r="P428" s="597"/>
      <c r="Q428" s="597"/>
      <c r="R428" s="597"/>
      <c r="S428" s="597"/>
      <c r="T428" s="597"/>
      <c r="U428" s="597"/>
      <c r="V428" s="132">
        <f t="shared" si="198"/>
        <v>0</v>
      </c>
      <c r="W428" s="133">
        <f t="shared" si="194"/>
        <v>0</v>
      </c>
      <c r="X428" s="132"/>
      <c r="Y428" s="132"/>
      <c r="Z428" s="132"/>
      <c r="AA428" s="132"/>
    </row>
    <row r="429" spans="1:27" ht="20.100000000000001" customHeight="1">
      <c r="A429" s="299">
        <v>30400011</v>
      </c>
      <c r="B429" s="598" t="s">
        <v>217</v>
      </c>
      <c r="C429" s="126" t="s">
        <v>204</v>
      </c>
      <c r="D429" s="108">
        <v>5.03</v>
      </c>
      <c r="E429" s="108"/>
      <c r="F429" s="127">
        <v>42725</v>
      </c>
      <c r="G429" s="128">
        <f>72*3+31+40+57+72*2</f>
        <v>488</v>
      </c>
      <c r="H429" s="606">
        <f t="shared" si="195"/>
        <v>2454.6400000000003</v>
      </c>
      <c r="I429" s="129">
        <f>8+9.5+10+10</f>
        <v>37.5</v>
      </c>
      <c r="J429" s="130">
        <f t="array" ref="J429">IF(ISERROR(G429/I429),"",G429/I429)</f>
        <v>13.013333333333334</v>
      </c>
      <c r="K429" s="131">
        <f t="array" ref="K429">IF(ISERROR(G429/L429),"",G429/L429)</f>
        <v>55.454545454545453</v>
      </c>
      <c r="L429" s="129">
        <v>8.8000000000000007</v>
      </c>
      <c r="M429" s="109">
        <f t="shared" si="196"/>
        <v>-17.954545454545453</v>
      </c>
      <c r="N429" s="130">
        <f t="shared" si="197"/>
        <v>0</v>
      </c>
      <c r="O429" s="597"/>
      <c r="P429" s="597"/>
      <c r="Q429" s="597"/>
      <c r="R429" s="597"/>
      <c r="S429" s="597"/>
      <c r="T429" s="597"/>
      <c r="U429" s="597"/>
      <c r="V429" s="132">
        <f t="shared" si="198"/>
        <v>0</v>
      </c>
      <c r="W429" s="133">
        <f t="shared" si="194"/>
        <v>0</v>
      </c>
      <c r="X429" s="132"/>
      <c r="Y429" s="132"/>
      <c r="Z429" s="132"/>
      <c r="AA429" s="132"/>
    </row>
    <row r="430" spans="1:27" ht="20.10000000000000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>
        <v>42726</v>
      </c>
      <c r="G430" s="128">
        <f>108+47</f>
        <v>155</v>
      </c>
      <c r="H430" s="606">
        <f t="shared" si="195"/>
        <v>779.65000000000009</v>
      </c>
      <c r="I430" s="129">
        <f>9+8.5</f>
        <v>17.5</v>
      </c>
      <c r="J430" s="130">
        <f t="array" ref="J430">IF(ISERROR(G430/I430),"",G430/I430)</f>
        <v>8.8571428571428577</v>
      </c>
      <c r="K430" s="131">
        <f t="array" ref="K430">IF(ISERROR(G430/L430),"",G430/L430)</f>
        <v>16.666666666666664</v>
      </c>
      <c r="L430" s="129">
        <v>9.3000000000000007</v>
      </c>
      <c r="M430" s="109">
        <f t="shared" si="196"/>
        <v>0.8333333333333357</v>
      </c>
      <c r="N430" s="130">
        <f t="shared" si="197"/>
        <v>0</v>
      </c>
      <c r="O430" s="597"/>
      <c r="P430" s="597"/>
      <c r="Q430" s="597"/>
      <c r="R430" s="597"/>
      <c r="S430" s="597"/>
      <c r="T430" s="597"/>
      <c r="U430" s="597"/>
      <c r="V430" s="132">
        <f t="shared" si="198"/>
        <v>0</v>
      </c>
      <c r="W430" s="133">
        <f t="shared" si="194"/>
        <v>0</v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606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6"/>
        <v>0</v>
      </c>
      <c r="N431" s="130">
        <f t="shared" si="197"/>
        <v>0</v>
      </c>
      <c r="O431" s="597"/>
      <c r="P431" s="597"/>
      <c r="Q431" s="597"/>
      <c r="R431" s="597"/>
      <c r="S431" s="597"/>
      <c r="T431" s="597"/>
      <c r="U431" s="597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606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597"/>
      <c r="P432" s="597"/>
      <c r="Q432" s="597"/>
      <c r="R432" s="597"/>
      <c r="S432" s="597"/>
      <c r="T432" s="597"/>
      <c r="U432" s="597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>
        <v>42726</v>
      </c>
      <c r="G433" s="128">
        <f>60+61</f>
        <v>121</v>
      </c>
      <c r="H433" s="606">
        <f t="shared" si="195"/>
        <v>608.63</v>
      </c>
      <c r="I433" s="129">
        <f>5.5*2</f>
        <v>11</v>
      </c>
      <c r="J433" s="130">
        <f t="array" ref="J433">IF(ISERROR(G433/I433),"",G433/I433)</f>
        <v>11</v>
      </c>
      <c r="K433" s="131">
        <f t="array" ref="K433">IF(ISERROR(G433/L433),"",G433/L433)</f>
        <v>13.010752688172042</v>
      </c>
      <c r="L433" s="129">
        <v>9.3000000000000007</v>
      </c>
      <c r="M433" s="109">
        <f t="shared" si="196"/>
        <v>-2.0107526881720421</v>
      </c>
      <c r="N433" s="130">
        <f t="shared" si="197"/>
        <v>0</v>
      </c>
      <c r="O433" s="597"/>
      <c r="P433" s="597"/>
      <c r="Q433" s="597"/>
      <c r="R433" s="597"/>
      <c r="S433" s="597"/>
      <c r="T433" s="597"/>
      <c r="U433" s="597"/>
      <c r="V433" s="132">
        <f t="shared" si="198"/>
        <v>0</v>
      </c>
      <c r="W433" s="133">
        <f t="shared" si="194"/>
        <v>0</v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606">
        <f t="shared" si="195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597"/>
      <c r="P434" s="597"/>
      <c r="Q434" s="597"/>
      <c r="R434" s="597"/>
      <c r="S434" s="597"/>
      <c r="T434" s="597"/>
      <c r="U434" s="597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606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597"/>
      <c r="P435" s="597"/>
      <c r="Q435" s="597"/>
      <c r="R435" s="597"/>
      <c r="S435" s="597"/>
      <c r="T435" s="597"/>
      <c r="U435" s="597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606">
        <f t="shared" si="195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597"/>
      <c r="P436" s="597"/>
      <c r="Q436" s="597"/>
      <c r="R436" s="597"/>
      <c r="S436" s="597"/>
      <c r="T436" s="597"/>
      <c r="U436" s="597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606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597"/>
      <c r="P437" s="597"/>
      <c r="Q437" s="597"/>
      <c r="R437" s="597"/>
      <c r="S437" s="597"/>
      <c r="T437" s="597"/>
      <c r="U437" s="597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606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597"/>
      <c r="P438" s="597"/>
      <c r="Q438" s="597"/>
      <c r="R438" s="597"/>
      <c r="S438" s="597"/>
      <c r="T438" s="597"/>
      <c r="U438" s="597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606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199">IF(ISERROR(I439-K439),"",I439-K439)</f>
        <v>0</v>
      </c>
      <c r="N439" s="130">
        <f t="shared" ref="N439:N454" si="200">SUM(O439:U439)</f>
        <v>0</v>
      </c>
      <c r="O439" s="597"/>
      <c r="P439" s="597"/>
      <c r="Q439" s="597"/>
      <c r="R439" s="597"/>
      <c r="S439" s="597"/>
      <c r="T439" s="597"/>
      <c r="U439" s="597"/>
      <c r="V439" s="132">
        <f t="shared" ref="V439:V442" si="201">SUM(X439:AA439)</f>
        <v>0</v>
      </c>
      <c r="W439" s="133" t="str">
        <f t="shared" ref="W439:W446" si="202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606">
        <f t="shared" si="195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199"/>
        <v/>
      </c>
      <c r="N440" s="130">
        <f t="shared" si="200"/>
        <v>0</v>
      </c>
      <c r="O440" s="597"/>
      <c r="P440" s="597"/>
      <c r="Q440" s="597"/>
      <c r="R440" s="597"/>
      <c r="S440" s="597"/>
      <c r="T440" s="597"/>
      <c r="U440" s="597"/>
      <c r="V440" s="132">
        <f t="shared" si="201"/>
        <v>0</v>
      </c>
      <c r="W440" s="133" t="str">
        <f t="shared" si="202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606">
        <f t="shared" si="195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199"/>
        <v/>
      </c>
      <c r="N441" s="130">
        <f t="shared" si="200"/>
        <v>0</v>
      </c>
      <c r="O441" s="597"/>
      <c r="P441" s="597"/>
      <c r="Q441" s="597"/>
      <c r="R441" s="597"/>
      <c r="S441" s="597"/>
      <c r="T441" s="597"/>
      <c r="U441" s="597"/>
      <c r="V441" s="132">
        <f t="shared" si="201"/>
        <v>0</v>
      </c>
      <c r="W441" s="133" t="str">
        <f t="shared" si="202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606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597"/>
      <c r="P442" s="597"/>
      <c r="Q442" s="597"/>
      <c r="R442" s="597"/>
      <c r="S442" s="597"/>
      <c r="T442" s="597"/>
      <c r="U442" s="597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598" t="s">
        <v>222</v>
      </c>
      <c r="C443" s="126" t="s">
        <v>181</v>
      </c>
      <c r="D443" s="108">
        <v>9.36</v>
      </c>
      <c r="E443" s="108"/>
      <c r="F443" s="127"/>
      <c r="G443" s="128"/>
      <c r="H443" s="606">
        <f t="shared" si="195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199"/>
        <v>0</v>
      </c>
      <c r="N443" s="130">
        <f t="shared" si="200"/>
        <v>0</v>
      </c>
      <c r="O443" s="597"/>
      <c r="P443" s="597"/>
      <c r="Q443" s="597"/>
      <c r="R443" s="597"/>
      <c r="S443" s="597"/>
      <c r="T443" s="597"/>
      <c r="U443" s="597"/>
      <c r="V443" s="132">
        <f t="shared" ref="V443:V446" si="203">SUM(X443:AA443)</f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598" t="s">
        <v>222</v>
      </c>
      <c r="C444" s="126" t="s">
        <v>179</v>
      </c>
      <c r="D444" s="108">
        <v>9.36</v>
      </c>
      <c r="E444" s="108"/>
      <c r="F444" s="127"/>
      <c r="G444" s="128"/>
      <c r="H444" s="606">
        <f t="shared" si="195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199"/>
        <v>0</v>
      </c>
      <c r="N444" s="130">
        <f t="shared" si="200"/>
        <v>0</v>
      </c>
      <c r="O444" s="597"/>
      <c r="P444" s="597"/>
      <c r="Q444" s="597"/>
      <c r="R444" s="597"/>
      <c r="S444" s="597"/>
      <c r="T444" s="597"/>
      <c r="U444" s="597"/>
      <c r="V444" s="132">
        <f t="shared" si="203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598" t="s">
        <v>222</v>
      </c>
      <c r="C445" s="126" t="s">
        <v>221</v>
      </c>
      <c r="D445" s="108">
        <v>9.36</v>
      </c>
      <c r="E445" s="108"/>
      <c r="F445" s="127"/>
      <c r="G445" s="128"/>
      <c r="H445" s="606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597"/>
      <c r="P445" s="597"/>
      <c r="Q445" s="597"/>
      <c r="R445" s="597"/>
      <c r="S445" s="597"/>
      <c r="T445" s="597"/>
      <c r="U445" s="597"/>
      <c r="V445" s="132">
        <f t="shared" si="203"/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598" t="s">
        <v>222</v>
      </c>
      <c r="C446" s="126" t="s">
        <v>186</v>
      </c>
      <c r="D446" s="108">
        <v>9.36</v>
      </c>
      <c r="E446" s="108"/>
      <c r="F446" s="127"/>
      <c r="G446" s="128"/>
      <c r="H446" s="606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597"/>
      <c r="P446" s="597"/>
      <c r="Q446" s="597"/>
      <c r="R446" s="597"/>
      <c r="S446" s="597"/>
      <c r="T446" s="597"/>
      <c r="U446" s="597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598" t="s">
        <v>393</v>
      </c>
      <c r="C447" s="187" t="s">
        <v>395</v>
      </c>
      <c r="D447" s="108">
        <v>5</v>
      </c>
      <c r="E447" s="108"/>
      <c r="F447" s="127"/>
      <c r="G447" s="128"/>
      <c r="H447" s="606">
        <f t="shared" si="195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199"/>
        <v>0</v>
      </c>
      <c r="N447" s="130">
        <f t="shared" si="200"/>
        <v>0</v>
      </c>
      <c r="O447" s="597"/>
      <c r="P447" s="597"/>
      <c r="Q447" s="597"/>
      <c r="R447" s="597"/>
      <c r="S447" s="597"/>
      <c r="T447" s="597"/>
      <c r="U447" s="597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598" t="s">
        <v>393</v>
      </c>
      <c r="C448" s="187" t="s">
        <v>402</v>
      </c>
      <c r="D448" s="108">
        <v>5</v>
      </c>
      <c r="E448" s="108"/>
      <c r="F448" s="127"/>
      <c r="G448" s="128"/>
      <c r="H448" s="606">
        <f t="shared" si="195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199"/>
        <v>0</v>
      </c>
      <c r="N448" s="130">
        <f t="shared" si="200"/>
        <v>0</v>
      </c>
      <c r="O448" s="597"/>
      <c r="P448" s="597"/>
      <c r="Q448" s="597"/>
      <c r="R448" s="597"/>
      <c r="S448" s="597"/>
      <c r="T448" s="597"/>
      <c r="U448" s="597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598" t="s">
        <v>404</v>
      </c>
      <c r="C449" s="187" t="s">
        <v>405</v>
      </c>
      <c r="D449" s="108">
        <v>5</v>
      </c>
      <c r="E449" s="108"/>
      <c r="F449" s="127"/>
      <c r="G449" s="128"/>
      <c r="H449" s="606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597"/>
      <c r="P449" s="597"/>
      <c r="Q449" s="597"/>
      <c r="R449" s="597"/>
      <c r="S449" s="597"/>
      <c r="T449" s="597"/>
      <c r="U449" s="597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598" t="s">
        <v>342</v>
      </c>
      <c r="C450" s="187" t="s">
        <v>372</v>
      </c>
      <c r="D450" s="108">
        <v>5</v>
      </c>
      <c r="E450" s="108"/>
      <c r="F450" s="127"/>
      <c r="G450" s="128"/>
      <c r="H450" s="606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597"/>
      <c r="P450" s="597"/>
      <c r="Q450" s="597"/>
      <c r="R450" s="597"/>
      <c r="S450" s="597"/>
      <c r="T450" s="597"/>
      <c r="U450" s="597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598" t="s">
        <v>343</v>
      </c>
      <c r="C451" s="126" t="s">
        <v>345</v>
      </c>
      <c r="D451" s="108">
        <v>5</v>
      </c>
      <c r="E451" s="108"/>
      <c r="F451" s="127"/>
      <c r="G451" s="128"/>
      <c r="H451" s="606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597"/>
      <c r="P451" s="597"/>
      <c r="Q451" s="597"/>
      <c r="R451" s="597"/>
      <c r="S451" s="597"/>
      <c r="T451" s="597"/>
      <c r="U451" s="597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598" t="s">
        <v>343</v>
      </c>
      <c r="C452" s="126" t="s">
        <v>347</v>
      </c>
      <c r="D452" s="108">
        <v>5</v>
      </c>
      <c r="E452" s="108"/>
      <c r="F452" s="127"/>
      <c r="G452" s="128"/>
      <c r="H452" s="606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597"/>
      <c r="P452" s="597"/>
      <c r="Q452" s="597"/>
      <c r="R452" s="597"/>
      <c r="S452" s="597"/>
      <c r="T452" s="597"/>
      <c r="U452" s="597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606">
        <f t="shared" si="195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199"/>
        <v>0</v>
      </c>
      <c r="N453" s="130">
        <f t="shared" si="200"/>
        <v>0</v>
      </c>
      <c r="O453" s="597"/>
      <c r="P453" s="597"/>
      <c r="Q453" s="597"/>
      <c r="R453" s="597"/>
      <c r="S453" s="597"/>
      <c r="T453" s="597"/>
      <c r="U453" s="597"/>
      <c r="V453" s="132">
        <f t="shared" ref="V453:V454" si="204">SUM(X453:AA453)</f>
        <v>0</v>
      </c>
      <c r="W453" s="133" t="str">
        <f t="shared" ref="W453:W454" si="205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606">
        <f t="shared" si="195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199"/>
        <v>0</v>
      </c>
      <c r="N454" s="130">
        <f t="shared" si="200"/>
        <v>0</v>
      </c>
      <c r="O454" s="597"/>
      <c r="P454" s="597"/>
      <c r="Q454" s="597"/>
      <c r="R454" s="597"/>
      <c r="S454" s="597"/>
      <c r="T454" s="597"/>
      <c r="U454" s="597"/>
      <c r="V454" s="132">
        <f t="shared" si="204"/>
        <v>0</v>
      </c>
      <c r="W454" s="133" t="str">
        <f t="shared" si="205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606">
        <f t="shared" si="195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199"/>
        <v>0</v>
      </c>
      <c r="N455" s="130"/>
      <c r="O455" s="597"/>
      <c r="P455" s="597"/>
      <c r="Q455" s="597"/>
      <c r="R455" s="597"/>
      <c r="S455" s="597"/>
      <c r="T455" s="597"/>
      <c r="U455" s="597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606">
        <f t="shared" si="195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199"/>
        <v>0</v>
      </c>
      <c r="N456" s="130"/>
      <c r="O456" s="597"/>
      <c r="P456" s="597"/>
      <c r="Q456" s="597"/>
      <c r="R456" s="597"/>
      <c r="S456" s="597"/>
      <c r="T456" s="597"/>
      <c r="U456" s="597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606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597"/>
      <c r="P457" s="597"/>
      <c r="Q457" s="597"/>
      <c r="R457" s="597"/>
      <c r="S457" s="597"/>
      <c r="T457" s="597"/>
      <c r="U457" s="597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606">
        <f t="shared" si="195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199"/>
        <v>0</v>
      </c>
      <c r="N458" s="130">
        <f t="shared" ref="N458:N460" si="206">SUM(O458:U458)</f>
        <v>0</v>
      </c>
      <c r="O458" s="597"/>
      <c r="P458" s="597"/>
      <c r="Q458" s="597"/>
      <c r="R458" s="597"/>
      <c r="S458" s="597"/>
      <c r="T458" s="597"/>
      <c r="U458" s="597"/>
      <c r="V458" s="132">
        <f t="shared" ref="V458:V460" si="207">SUM(X458:AA458)</f>
        <v>0</v>
      </c>
      <c r="W458" s="133" t="str">
        <f t="shared" ref="W458:W482" si="208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606">
        <f t="shared" si="195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199"/>
        <v>0</v>
      </c>
      <c r="N459" s="130">
        <f t="shared" si="206"/>
        <v>0</v>
      </c>
      <c r="O459" s="597"/>
      <c r="P459" s="597"/>
      <c r="Q459" s="597"/>
      <c r="R459" s="597"/>
      <c r="S459" s="597"/>
      <c r="T459" s="597"/>
      <c r="U459" s="597"/>
      <c r="V459" s="132">
        <f t="shared" si="207"/>
        <v>0</v>
      </c>
      <c r="W459" s="133" t="str">
        <f t="shared" si="208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606">
        <f t="shared" si="195"/>
        <v>0</v>
      </c>
      <c r="I460" s="129"/>
      <c r="J460" s="130" t="str">
        <f t="array" ref="J460">IF(ISERROR(G460/I460),"",G460/I460)</f>
        <v/>
      </c>
      <c r="K460" s="606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si="206"/>
        <v>0</v>
      </c>
      <c r="O460" s="597"/>
      <c r="P460" s="597"/>
      <c r="Q460" s="597"/>
      <c r="R460" s="597"/>
      <c r="S460" s="597"/>
      <c r="T460" s="597"/>
      <c r="U460" s="597"/>
      <c r="V460" s="132">
        <f t="shared" si="207"/>
        <v>0</v>
      </c>
      <c r="W460" s="133" t="str">
        <f t="shared" si="208"/>
        <v/>
      </c>
      <c r="X460" s="132"/>
      <c r="Y460" s="132"/>
      <c r="Z460" s="132"/>
      <c r="AA460" s="132"/>
    </row>
    <row r="461" spans="1:27" ht="20.100000000000001" customHeight="1">
      <c r="A461" s="630" t="s">
        <v>224</v>
      </c>
      <c r="B461" s="631"/>
      <c r="C461" s="604" t="s">
        <v>202</v>
      </c>
      <c r="D461" s="143"/>
      <c r="E461" s="143"/>
      <c r="F461" s="144"/>
      <c r="G461" s="145">
        <f>SUM(G427:G460)</f>
        <v>865</v>
      </c>
      <c r="H461" s="146">
        <f>SUM(H427:H460)</f>
        <v>4350.9500000000007</v>
      </c>
      <c r="I461" s="146">
        <f>SUM(I427:I460)</f>
        <v>76</v>
      </c>
      <c r="J461" s="130">
        <f t="array" ref="J461">IF(ISERROR(G461/I461),"",G461/I461)</f>
        <v>11.381578947368421</v>
      </c>
      <c r="K461" s="146">
        <f>SUM(K427:K460)</f>
        <v>96.609237536656892</v>
      </c>
      <c r="L461" s="147"/>
      <c r="M461" s="150">
        <f t="shared" ref="M461:V461" si="209">SUM(M427:M460)</f>
        <v>-20.609237536656885</v>
      </c>
      <c r="N461" s="146">
        <f t="shared" si="209"/>
        <v>0</v>
      </c>
      <c r="O461" s="148">
        <f t="shared" si="209"/>
        <v>0</v>
      </c>
      <c r="P461" s="148">
        <f t="shared" si="209"/>
        <v>0</v>
      </c>
      <c r="Q461" s="148">
        <f t="shared" si="209"/>
        <v>0</v>
      </c>
      <c r="R461" s="148">
        <f t="shared" si="209"/>
        <v>0</v>
      </c>
      <c r="S461" s="148">
        <f t="shared" si="209"/>
        <v>0</v>
      </c>
      <c r="T461" s="148">
        <f t="shared" si="209"/>
        <v>0</v>
      </c>
      <c r="U461" s="148">
        <f t="shared" si="209"/>
        <v>0</v>
      </c>
      <c r="V461" s="149">
        <f t="shared" si="209"/>
        <v>0</v>
      </c>
      <c r="W461" s="133">
        <f t="shared" si="208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606">
        <f t="shared" ref="H462:H476" si="210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1">IF(ISERROR(I462-K462),"",I462-K462)</f>
        <v>0</v>
      </c>
      <c r="N462" s="130">
        <f t="shared" ref="N462:N476" si="212">SUM(O462:U462)</f>
        <v>0</v>
      </c>
      <c r="O462" s="597"/>
      <c r="P462" s="597"/>
      <c r="Q462" s="597"/>
      <c r="R462" s="597"/>
      <c r="S462" s="597"/>
      <c r="T462" s="597"/>
      <c r="U462" s="597"/>
      <c r="V462" s="132">
        <f t="shared" ref="V462:V476" si="213">SUM(X462:AA462)</f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606">
        <f t="shared" si="210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1"/>
        <v>0</v>
      </c>
      <c r="N463" s="130">
        <f t="shared" si="212"/>
        <v>0</v>
      </c>
      <c r="O463" s="597"/>
      <c r="P463" s="597"/>
      <c r="Q463" s="597"/>
      <c r="R463" s="597"/>
      <c r="S463" s="597"/>
      <c r="T463" s="597"/>
      <c r="U463" s="597"/>
      <c r="V463" s="132">
        <f t="shared" si="213"/>
        <v>0</v>
      </c>
      <c r="W463" s="133" t="str">
        <f t="shared" si="208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606">
        <f t="shared" si="210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1"/>
        <v>0</v>
      </c>
      <c r="N464" s="130">
        <f t="shared" si="212"/>
        <v>0</v>
      </c>
      <c r="O464" s="597"/>
      <c r="P464" s="597"/>
      <c r="Q464" s="597"/>
      <c r="R464" s="597"/>
      <c r="S464" s="597"/>
      <c r="T464" s="597"/>
      <c r="U464" s="597"/>
      <c r="V464" s="132">
        <f t="shared" si="213"/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606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1"/>
        <v>0</v>
      </c>
      <c r="N465" s="130">
        <f t="shared" si="212"/>
        <v>0</v>
      </c>
      <c r="O465" s="597"/>
      <c r="P465" s="597"/>
      <c r="Q465" s="597"/>
      <c r="R465" s="597"/>
      <c r="S465" s="597"/>
      <c r="T465" s="597"/>
      <c r="U465" s="597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602" t="s">
        <v>203</v>
      </c>
      <c r="D466" s="108">
        <v>5.03</v>
      </c>
      <c r="E466" s="108"/>
      <c r="F466" s="127"/>
      <c r="G466" s="128"/>
      <c r="H466" s="606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1"/>
        <v>0</v>
      </c>
      <c r="N466" s="130">
        <f t="shared" si="212"/>
        <v>0</v>
      </c>
      <c r="O466" s="597"/>
      <c r="P466" s="597"/>
      <c r="Q466" s="597"/>
      <c r="R466" s="597"/>
      <c r="S466" s="597"/>
      <c r="T466" s="597"/>
      <c r="U466" s="597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606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597"/>
      <c r="P467" s="597"/>
      <c r="Q467" s="597"/>
      <c r="R467" s="597"/>
      <c r="S467" s="597"/>
      <c r="T467" s="597"/>
      <c r="U467" s="597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606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597"/>
      <c r="P468" s="597"/>
      <c r="Q468" s="597"/>
      <c r="R468" s="597"/>
      <c r="S468" s="597"/>
      <c r="T468" s="597"/>
      <c r="U468" s="597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602" t="s">
        <v>228</v>
      </c>
      <c r="D469" s="108">
        <v>5.03</v>
      </c>
      <c r="E469" s="108"/>
      <c r="F469" s="127"/>
      <c r="G469" s="128"/>
      <c r="H469" s="606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597"/>
      <c r="P469" s="597"/>
      <c r="Q469" s="597"/>
      <c r="R469" s="597"/>
      <c r="S469" s="597"/>
      <c r="T469" s="597"/>
      <c r="U469" s="597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602" t="s">
        <v>212</v>
      </c>
      <c r="D470" s="108">
        <v>5.03</v>
      </c>
      <c r="E470" s="108"/>
      <c r="F470" s="127"/>
      <c r="G470" s="128"/>
      <c r="H470" s="606">
        <f t="shared" si="210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1"/>
        <v/>
      </c>
      <c r="N470" s="130">
        <f t="shared" si="212"/>
        <v>0</v>
      </c>
      <c r="O470" s="597"/>
      <c r="P470" s="597"/>
      <c r="Q470" s="597"/>
      <c r="R470" s="597"/>
      <c r="S470" s="597"/>
      <c r="T470" s="597"/>
      <c r="U470" s="597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602" t="s">
        <v>203</v>
      </c>
      <c r="D471" s="108">
        <v>5.03</v>
      </c>
      <c r="E471" s="108"/>
      <c r="F471" s="127"/>
      <c r="G471" s="128"/>
      <c r="H471" s="606">
        <f t="shared" si="210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1"/>
        <v/>
      </c>
      <c r="N471" s="130">
        <f t="shared" si="212"/>
        <v>0</v>
      </c>
      <c r="O471" s="597"/>
      <c r="P471" s="597"/>
      <c r="Q471" s="597"/>
      <c r="R471" s="597"/>
      <c r="S471" s="597"/>
      <c r="T471" s="597"/>
      <c r="U471" s="597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602" t="s">
        <v>186</v>
      </c>
      <c r="D472" s="108">
        <v>5.03</v>
      </c>
      <c r="E472" s="108"/>
      <c r="F472" s="127"/>
      <c r="G472" s="128"/>
      <c r="H472" s="606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597"/>
      <c r="P472" s="597"/>
      <c r="Q472" s="597"/>
      <c r="R472" s="597"/>
      <c r="S472" s="597"/>
      <c r="T472" s="597"/>
      <c r="U472" s="597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602" t="s">
        <v>228</v>
      </c>
      <c r="D473" s="108">
        <v>5.03</v>
      </c>
      <c r="E473" s="108"/>
      <c r="F473" s="127"/>
      <c r="G473" s="128"/>
      <c r="H473" s="606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597"/>
      <c r="P473" s="597"/>
      <c r="Q473" s="597"/>
      <c r="R473" s="597"/>
      <c r="S473" s="597"/>
      <c r="T473" s="597"/>
      <c r="U473" s="597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602" t="s">
        <v>199</v>
      </c>
      <c r="D474" s="108">
        <v>5.03</v>
      </c>
      <c r="E474" s="108"/>
      <c r="F474" s="127"/>
      <c r="G474" s="128"/>
      <c r="H474" s="606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597"/>
      <c r="P474" s="597"/>
      <c r="Q474" s="597"/>
      <c r="R474" s="597"/>
      <c r="S474" s="597"/>
      <c r="T474" s="597"/>
      <c r="U474" s="597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606">
        <f t="shared" si="210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1"/>
        <v>0</v>
      </c>
      <c r="N475" s="130">
        <f t="shared" si="212"/>
        <v>0</v>
      </c>
      <c r="O475" s="597"/>
      <c r="P475" s="597"/>
      <c r="Q475" s="597"/>
      <c r="R475" s="597"/>
      <c r="S475" s="597"/>
      <c r="T475" s="597"/>
      <c r="U475" s="597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606">
        <f t="shared" si="210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1"/>
        <v>0</v>
      </c>
      <c r="N476" s="130">
        <f t="shared" si="212"/>
        <v>0</v>
      </c>
      <c r="O476" s="597"/>
      <c r="P476" s="597"/>
      <c r="Q476" s="597"/>
      <c r="R476" s="597"/>
      <c r="S476" s="597"/>
      <c r="T476" s="597"/>
      <c r="U476" s="597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630" t="s">
        <v>231</v>
      </c>
      <c r="B477" s="631"/>
      <c r="C477" s="604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8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606">
        <f t="shared" ref="H478:H486" si="214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5">IF(ISERROR(I478-K478),"",I478-K478)</f>
        <v>0</v>
      </c>
      <c r="N478" s="130">
        <f t="shared" ref="N478:N482" si="216">SUM(O478:U478)</f>
        <v>0</v>
      </c>
      <c r="O478" s="597"/>
      <c r="P478" s="597"/>
      <c r="Q478" s="597"/>
      <c r="R478" s="597"/>
      <c r="S478" s="597"/>
      <c r="T478" s="597"/>
      <c r="U478" s="597"/>
      <c r="V478" s="132">
        <f t="shared" ref="V478:V482" si="217">SUM(X478:AA478)</f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606">
        <f t="shared" si="214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5"/>
        <v>0</v>
      </c>
      <c r="N479" s="130">
        <f t="shared" si="216"/>
        <v>0</v>
      </c>
      <c r="O479" s="597"/>
      <c r="P479" s="597"/>
      <c r="Q479" s="597"/>
      <c r="R479" s="597"/>
      <c r="S479" s="597"/>
      <c r="T479" s="597"/>
      <c r="U479" s="597"/>
      <c r="V479" s="132">
        <f t="shared" si="217"/>
        <v>0</v>
      </c>
      <c r="W479" s="133" t="str">
        <f t="shared" si="208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606">
        <f t="shared" si="214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5"/>
        <v>0</v>
      </c>
      <c r="N480" s="130">
        <f t="shared" si="216"/>
        <v>0</v>
      </c>
      <c r="O480" s="597"/>
      <c r="P480" s="597"/>
      <c r="Q480" s="597"/>
      <c r="R480" s="597"/>
      <c r="S480" s="597"/>
      <c r="T480" s="597"/>
      <c r="U480" s="597"/>
      <c r="V480" s="132">
        <f t="shared" si="217"/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606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597"/>
      <c r="P481" s="597"/>
      <c r="Q481" s="597"/>
      <c r="R481" s="597"/>
      <c r="S481" s="597"/>
      <c r="T481" s="597"/>
      <c r="U481" s="597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606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597"/>
      <c r="P482" s="597"/>
      <c r="Q482" s="597"/>
      <c r="R482" s="597"/>
      <c r="S482" s="597"/>
      <c r="T482" s="597"/>
      <c r="U482" s="597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606">
        <f t="shared" si="214"/>
        <v>0</v>
      </c>
      <c r="I483" s="129"/>
      <c r="J483" s="130"/>
      <c r="K483" s="131"/>
      <c r="L483" s="129">
        <v>13.5</v>
      </c>
      <c r="M483" s="109"/>
      <c r="N483" s="130"/>
      <c r="O483" s="597"/>
      <c r="P483" s="597"/>
      <c r="Q483" s="597"/>
      <c r="R483" s="597"/>
      <c r="S483" s="597"/>
      <c r="T483" s="597"/>
      <c r="U483" s="597"/>
      <c r="V483" s="132"/>
      <c r="W483" s="133"/>
      <c r="X483" s="132"/>
      <c r="Y483" s="132"/>
      <c r="Z483" s="132"/>
      <c r="AA483" s="132"/>
    </row>
    <row r="484" spans="1:27" ht="20.100000000000001" hidden="1" customHeight="1">
      <c r="A484" s="300">
        <v>30400020</v>
      </c>
      <c r="B484" s="134" t="s">
        <v>439</v>
      </c>
      <c r="C484" s="187" t="s">
        <v>74</v>
      </c>
      <c r="D484" s="108">
        <v>5.04</v>
      </c>
      <c r="E484" s="108"/>
      <c r="F484" s="127"/>
      <c r="G484" s="128"/>
      <c r="H484" s="606">
        <f t="shared" si="214"/>
        <v>0</v>
      </c>
      <c r="I484" s="129"/>
      <c r="J484" s="130"/>
      <c r="K484" s="131"/>
      <c r="L484" s="129">
        <v>13.5</v>
      </c>
      <c r="M484" s="109"/>
      <c r="N484" s="130"/>
      <c r="O484" s="597"/>
      <c r="P484" s="597"/>
      <c r="Q484" s="597"/>
      <c r="R484" s="597"/>
      <c r="S484" s="597"/>
      <c r="T484" s="597"/>
      <c r="U484" s="597"/>
      <c r="V484" s="132"/>
      <c r="W484" s="133"/>
      <c r="X484" s="132"/>
      <c r="Y484" s="132"/>
      <c r="Z484" s="132"/>
      <c r="AA484" s="132"/>
    </row>
    <row r="485" spans="1:27" ht="20.100000000000001" hidden="1" customHeight="1">
      <c r="A485" s="300">
        <v>30400021</v>
      </c>
      <c r="B485" s="134" t="s">
        <v>439</v>
      </c>
      <c r="C485" s="187" t="s">
        <v>53</v>
      </c>
      <c r="D485" s="108">
        <v>5.04</v>
      </c>
      <c r="E485" s="108"/>
      <c r="F485" s="127"/>
      <c r="G485" s="128"/>
      <c r="H485" s="606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597"/>
      <c r="P485" s="597"/>
      <c r="Q485" s="597"/>
      <c r="R485" s="597"/>
      <c r="S485" s="597"/>
      <c r="T485" s="597"/>
      <c r="U485" s="5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606">
        <f t="shared" si="214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8">IF(ISERROR(I486-K486),"",I486-K486)</f>
        <v>0</v>
      </c>
      <c r="N486" s="130">
        <f t="shared" ref="N486" si="219">SUM(O486:U486)</f>
        <v>0</v>
      </c>
      <c r="O486" s="597"/>
      <c r="P486" s="597"/>
      <c r="Q486" s="597"/>
      <c r="R486" s="597"/>
      <c r="S486" s="597"/>
      <c r="T486" s="597"/>
      <c r="U486" s="597"/>
      <c r="V486" s="132">
        <f t="shared" ref="V486" si="220">SUM(X486:AA486)</f>
        <v>0</v>
      </c>
      <c r="W486" s="133" t="str">
        <f t="shared" ref="W486:W491" si="221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30" t="s">
        <v>234</v>
      </c>
      <c r="B487" s="631"/>
      <c r="C487" s="604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1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596"/>
      <c r="D488" s="108">
        <v>3.65</v>
      </c>
      <c r="E488" s="108"/>
      <c r="F488" s="153"/>
      <c r="G488" s="128"/>
      <c r="H488" s="606">
        <f t="shared" ref="H488:H502" si="222">D488*G488</f>
        <v>0</v>
      </c>
      <c r="I488" s="129"/>
      <c r="J488" s="130" t="str">
        <f t="array" ref="J488">IF(ISERROR(G488/I488),"",G488/I488)</f>
        <v/>
      </c>
      <c r="K488" s="606">
        <f t="array" ref="K488">IF(ISERROR(G488/L488),"",G488/L488)</f>
        <v>0</v>
      </c>
      <c r="L488" s="129">
        <v>5</v>
      </c>
      <c r="M488" s="109">
        <f t="shared" ref="M488:M491" si="223">IF(ISERROR(I488-K488),"",I488-K488)</f>
        <v>0</v>
      </c>
      <c r="N488" s="130">
        <f t="shared" ref="N488:N491" si="224">SUM(O488:U488)</f>
        <v>0</v>
      </c>
      <c r="O488" s="597"/>
      <c r="P488" s="597"/>
      <c r="Q488" s="597"/>
      <c r="R488" s="597"/>
      <c r="S488" s="597"/>
      <c r="T488" s="597"/>
      <c r="U488" s="597"/>
      <c r="V488" s="132">
        <f t="shared" ref="V488:V491" si="225">SUM(X488:AA488)</f>
        <v>0</v>
      </c>
      <c r="W488" s="133" t="str">
        <f t="shared" si="221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596"/>
      <c r="D489" s="108">
        <v>6.58</v>
      </c>
      <c r="E489" s="108"/>
      <c r="F489" s="127"/>
      <c r="G489" s="128"/>
      <c r="H489" s="606">
        <f t="shared" si="222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3"/>
        <v>0</v>
      </c>
      <c r="N489" s="130">
        <f t="shared" si="224"/>
        <v>0</v>
      </c>
      <c r="O489" s="597"/>
      <c r="P489" s="597"/>
      <c r="Q489" s="597"/>
      <c r="R489" s="597"/>
      <c r="S489" s="597"/>
      <c r="T489" s="597"/>
      <c r="U489" s="597"/>
      <c r="V489" s="132">
        <f t="shared" si="225"/>
        <v>0</v>
      </c>
      <c r="W489" s="133" t="str">
        <f t="shared" si="221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596"/>
      <c r="D490" s="108">
        <v>7.8</v>
      </c>
      <c r="E490" s="108"/>
      <c r="F490" s="127"/>
      <c r="G490" s="128"/>
      <c r="H490" s="606">
        <f t="shared" si="222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3"/>
        <v>0</v>
      </c>
      <c r="N490" s="130">
        <f t="shared" si="224"/>
        <v>0</v>
      </c>
      <c r="O490" s="597"/>
      <c r="P490" s="597"/>
      <c r="Q490" s="597"/>
      <c r="R490" s="597"/>
      <c r="S490" s="597"/>
      <c r="T490" s="597"/>
      <c r="U490" s="597"/>
      <c r="V490" s="132">
        <f t="shared" si="225"/>
        <v>0</v>
      </c>
      <c r="W490" s="133" t="str">
        <f t="shared" si="221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596"/>
      <c r="D491" s="108">
        <v>4.4000000000000004</v>
      </c>
      <c r="E491" s="108"/>
      <c r="F491" s="127"/>
      <c r="G491" s="128"/>
      <c r="H491" s="606">
        <f t="shared" si="222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3"/>
        <v>0</v>
      </c>
      <c r="N491" s="130">
        <f t="shared" si="224"/>
        <v>0</v>
      </c>
      <c r="O491" s="597"/>
      <c r="P491" s="597"/>
      <c r="Q491" s="597"/>
      <c r="R491" s="597"/>
      <c r="S491" s="597"/>
      <c r="T491" s="597"/>
      <c r="U491" s="597"/>
      <c r="V491" s="132">
        <f t="shared" si="225"/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606">
        <f t="shared" si="222"/>
        <v>0</v>
      </c>
      <c r="I492" s="129"/>
      <c r="J492" s="130"/>
      <c r="K492" s="131"/>
      <c r="L492" s="129"/>
      <c r="M492" s="109"/>
      <c r="N492" s="130"/>
      <c r="O492" s="597"/>
      <c r="P492" s="597"/>
      <c r="Q492" s="597"/>
      <c r="R492" s="597"/>
      <c r="S492" s="597"/>
      <c r="T492" s="597"/>
      <c r="U492" s="597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596"/>
      <c r="D493" s="108"/>
      <c r="E493" s="108"/>
      <c r="F493" s="127"/>
      <c r="G493" s="128"/>
      <c r="H493" s="606">
        <f t="shared" si="222"/>
        <v>0</v>
      </c>
      <c r="I493" s="129"/>
      <c r="J493" s="130"/>
      <c r="K493" s="131"/>
      <c r="L493" s="129">
        <v>6</v>
      </c>
      <c r="M493" s="109"/>
      <c r="N493" s="130"/>
      <c r="O493" s="597"/>
      <c r="P493" s="597"/>
      <c r="Q493" s="597"/>
      <c r="R493" s="597"/>
      <c r="S493" s="597"/>
      <c r="T493" s="597"/>
      <c r="U493" s="597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596" t="s">
        <v>239</v>
      </c>
      <c r="C494" s="596" t="s">
        <v>179</v>
      </c>
      <c r="D494" s="108">
        <v>6.04</v>
      </c>
      <c r="E494" s="108"/>
      <c r="F494" s="127"/>
      <c r="G494" s="128"/>
      <c r="H494" s="606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6">IF(ISERROR(I494-K494),"",I494-K494)</f>
        <v>0</v>
      </c>
      <c r="N494" s="130">
        <f t="shared" ref="N494:N495" si="227">SUM(O494:U494)</f>
        <v>0</v>
      </c>
      <c r="O494" s="597"/>
      <c r="P494" s="597"/>
      <c r="Q494" s="597"/>
      <c r="R494" s="597"/>
      <c r="S494" s="597"/>
      <c r="T494" s="597"/>
      <c r="U494" s="597"/>
      <c r="V494" s="132">
        <f t="shared" ref="V494:V495" si="228">SUM(X494:AA494)</f>
        <v>0</v>
      </c>
      <c r="W494" s="133" t="str">
        <f t="shared" ref="W494:W495" si="229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596" t="s">
        <v>239</v>
      </c>
      <c r="C495" s="596" t="s">
        <v>186</v>
      </c>
      <c r="D495" s="108">
        <v>6.04</v>
      </c>
      <c r="E495" s="108"/>
      <c r="F495" s="127"/>
      <c r="G495" s="128"/>
      <c r="H495" s="606">
        <f t="shared" si="222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6"/>
        <v>0</v>
      </c>
      <c r="N495" s="130">
        <f t="shared" si="227"/>
        <v>0</v>
      </c>
      <c r="O495" s="597"/>
      <c r="P495" s="597"/>
      <c r="Q495" s="597"/>
      <c r="R495" s="597"/>
      <c r="S495" s="597"/>
      <c r="T495" s="597"/>
      <c r="U495" s="597"/>
      <c r="V495" s="132">
        <f t="shared" si="228"/>
        <v>0</v>
      </c>
      <c r="W495" s="133" t="str">
        <f t="shared" si="229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596" t="s">
        <v>443</v>
      </c>
      <c r="C496" s="596" t="s">
        <v>179</v>
      </c>
      <c r="D496" s="108"/>
      <c r="E496" s="108"/>
      <c r="F496" s="127"/>
      <c r="G496" s="128"/>
      <c r="H496" s="606">
        <f t="shared" si="222"/>
        <v>0</v>
      </c>
      <c r="I496" s="129"/>
      <c r="J496" s="130"/>
      <c r="K496" s="131"/>
      <c r="L496" s="129"/>
      <c r="M496" s="109"/>
      <c r="N496" s="130"/>
      <c r="O496" s="597"/>
      <c r="P496" s="597"/>
      <c r="Q496" s="597"/>
      <c r="R496" s="597"/>
      <c r="S496" s="597"/>
      <c r="T496" s="597"/>
      <c r="U496" s="597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596" t="s">
        <v>443</v>
      </c>
      <c r="C497" s="596" t="s">
        <v>186</v>
      </c>
      <c r="D497" s="108"/>
      <c r="E497" s="108"/>
      <c r="F497" s="127"/>
      <c r="G497" s="128"/>
      <c r="H497" s="606">
        <f t="shared" si="222"/>
        <v>0</v>
      </c>
      <c r="I497" s="129"/>
      <c r="J497" s="130"/>
      <c r="K497" s="131"/>
      <c r="L497" s="129"/>
      <c r="M497" s="109"/>
      <c r="N497" s="130"/>
      <c r="O497" s="597"/>
      <c r="P497" s="597"/>
      <c r="Q497" s="597"/>
      <c r="R497" s="597"/>
      <c r="S497" s="597"/>
      <c r="T497" s="597"/>
      <c r="U497" s="597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598" t="s">
        <v>240</v>
      </c>
      <c r="C498" s="126"/>
      <c r="D498" s="108">
        <v>7.3</v>
      </c>
      <c r="E498" s="108"/>
      <c r="F498" s="127"/>
      <c r="G498" s="128"/>
      <c r="H498" s="606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0">IF(ISERROR(I498-K498),"",I498-K498)</f>
        <v>0</v>
      </c>
      <c r="N498" s="130">
        <f t="shared" ref="N498" si="231">SUM(O498:U498)</f>
        <v>0</v>
      </c>
      <c r="O498" s="597"/>
      <c r="P498" s="597"/>
      <c r="Q498" s="597"/>
      <c r="R498" s="597"/>
      <c r="S498" s="597"/>
      <c r="T498" s="597"/>
      <c r="U498" s="597"/>
      <c r="V498" s="132">
        <f t="shared" ref="V498" si="232">SUM(X498:AA498)</f>
        <v>0</v>
      </c>
      <c r="W498" s="133" t="str">
        <f t="shared" ref="W498" si="233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598" t="s">
        <v>241</v>
      </c>
      <c r="C499" s="126"/>
      <c r="D499" s="108">
        <f>78*120/1000</f>
        <v>9.36</v>
      </c>
      <c r="E499" s="108"/>
      <c r="F499" s="127"/>
      <c r="G499" s="128"/>
      <c r="H499" s="606">
        <f t="shared" si="222"/>
        <v>0</v>
      </c>
      <c r="I499" s="129"/>
      <c r="J499" s="130"/>
      <c r="K499" s="131"/>
      <c r="L499" s="129"/>
      <c r="M499" s="109"/>
      <c r="N499" s="130"/>
      <c r="O499" s="597"/>
      <c r="P499" s="597"/>
      <c r="Q499" s="597"/>
      <c r="R499" s="597"/>
      <c r="S499" s="597"/>
      <c r="T499" s="597"/>
      <c r="U499" s="597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598" t="s">
        <v>242</v>
      </c>
      <c r="C500" s="126"/>
      <c r="D500" s="108">
        <v>4.5</v>
      </c>
      <c r="E500" s="108"/>
      <c r="F500" s="127"/>
      <c r="G500" s="128"/>
      <c r="H500" s="606">
        <f t="shared" si="222"/>
        <v>0</v>
      </c>
      <c r="I500" s="129"/>
      <c r="J500" s="130"/>
      <c r="K500" s="131"/>
      <c r="L500" s="129"/>
      <c r="M500" s="109"/>
      <c r="N500" s="130"/>
      <c r="O500" s="597"/>
      <c r="P500" s="597"/>
      <c r="Q500" s="597"/>
      <c r="R500" s="597"/>
      <c r="S500" s="597"/>
      <c r="T500" s="597"/>
      <c r="U500" s="597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598" t="s">
        <v>243</v>
      </c>
      <c r="C501" s="126"/>
      <c r="D501" s="108">
        <v>4.5</v>
      </c>
      <c r="E501" s="108"/>
      <c r="F501" s="127"/>
      <c r="G501" s="128"/>
      <c r="H501" s="606">
        <f t="shared" si="222"/>
        <v>0</v>
      </c>
      <c r="I501" s="129"/>
      <c r="J501" s="130"/>
      <c r="K501" s="131"/>
      <c r="L501" s="129"/>
      <c r="M501" s="109"/>
      <c r="N501" s="130"/>
      <c r="O501" s="597"/>
      <c r="P501" s="597"/>
      <c r="Q501" s="597"/>
      <c r="R501" s="597"/>
      <c r="S501" s="597"/>
      <c r="T501" s="597"/>
      <c r="U501" s="597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598"/>
      <c r="C502" s="126"/>
      <c r="D502" s="108"/>
      <c r="E502" s="108"/>
      <c r="F502" s="127"/>
      <c r="G502" s="128"/>
      <c r="H502" s="606">
        <f t="shared" si="222"/>
        <v>0</v>
      </c>
      <c r="I502" s="129"/>
      <c r="J502" s="130"/>
      <c r="K502" s="131"/>
      <c r="L502" s="129"/>
      <c r="M502" s="109"/>
      <c r="N502" s="130"/>
      <c r="O502" s="597"/>
      <c r="P502" s="597"/>
      <c r="Q502" s="597"/>
      <c r="R502" s="597"/>
      <c r="S502" s="597"/>
      <c r="T502" s="597"/>
      <c r="U502" s="597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30" t="s">
        <v>244</v>
      </c>
      <c r="B503" s="631"/>
      <c r="C503" s="604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4">SUM(M488:M498)</f>
        <v>0</v>
      </c>
      <c r="N503" s="146">
        <f t="shared" si="234"/>
        <v>0</v>
      </c>
      <c r="O503" s="148">
        <f t="shared" si="234"/>
        <v>0</v>
      </c>
      <c r="P503" s="148">
        <f t="shared" si="234"/>
        <v>0</v>
      </c>
      <c r="Q503" s="148">
        <f t="shared" si="234"/>
        <v>0</v>
      </c>
      <c r="R503" s="148">
        <f t="shared" si="234"/>
        <v>0</v>
      </c>
      <c r="S503" s="148">
        <f t="shared" si="234"/>
        <v>0</v>
      </c>
      <c r="T503" s="148">
        <f t="shared" si="234"/>
        <v>0</v>
      </c>
      <c r="U503" s="148">
        <f t="shared" si="234"/>
        <v>0</v>
      </c>
      <c r="V503" s="149">
        <f t="shared" si="234"/>
        <v>0</v>
      </c>
      <c r="W503" s="133">
        <f t="shared" si="234"/>
        <v>0</v>
      </c>
      <c r="X503" s="149">
        <f t="shared" si="234"/>
        <v>0</v>
      </c>
      <c r="Y503" s="149">
        <f t="shared" si="234"/>
        <v>0</v>
      </c>
      <c r="Z503" s="149">
        <f t="shared" si="234"/>
        <v>0</v>
      </c>
      <c r="AA503" s="149">
        <f t="shared" si="234"/>
        <v>0</v>
      </c>
    </row>
    <row r="504" spans="1:27" ht="20.100000000000001" customHeight="1">
      <c r="A504" s="632" t="s">
        <v>246</v>
      </c>
      <c r="B504" s="633"/>
      <c r="C504" s="633"/>
      <c r="D504" s="633"/>
      <c r="E504" s="633"/>
      <c r="F504" s="634"/>
      <c r="G504" s="154">
        <f>SUM(G368,G426,G461,G477,G487,G503)</f>
        <v>865</v>
      </c>
      <c r="H504" s="154">
        <f>SUM(H368,H426,H461,H477,H487,H503)</f>
        <v>4350.9500000000007</v>
      </c>
      <c r="I504" s="154">
        <f>SUM(I368,I426,I461,I477,I487,I503)</f>
        <v>76</v>
      </c>
      <c r="J504" s="155">
        <f t="array" ref="J504">IF(ISERROR(G504/I504),"",G504/I504)</f>
        <v>11.381578947368421</v>
      </c>
      <c r="K504" s="154">
        <f>SUM(K368,K426,K461,K477,K487,K503)</f>
        <v>96.609237536656892</v>
      </c>
      <c r="L504" s="155">
        <f>IF(ISERROR(G504/K504),"",G504/K504)</f>
        <v>8.9535951432365781</v>
      </c>
      <c r="M504" s="154">
        <f t="shared" ref="M504:V504" si="235">SUM(M368,M426,M461,M477,M487,M503)</f>
        <v>-20.609237536656885</v>
      </c>
      <c r="N504" s="154">
        <f t="shared" si="235"/>
        <v>0</v>
      </c>
      <c r="O504" s="154">
        <f t="shared" si="235"/>
        <v>0</v>
      </c>
      <c r="P504" s="154">
        <f t="shared" si="235"/>
        <v>0</v>
      </c>
      <c r="Q504" s="154">
        <f t="shared" si="235"/>
        <v>0</v>
      </c>
      <c r="R504" s="154">
        <f t="shared" si="235"/>
        <v>0</v>
      </c>
      <c r="S504" s="154">
        <f t="shared" si="235"/>
        <v>0</v>
      </c>
      <c r="T504" s="154">
        <f t="shared" si="235"/>
        <v>0</v>
      </c>
      <c r="U504" s="154">
        <f t="shared" si="235"/>
        <v>0</v>
      </c>
      <c r="V504" s="154">
        <f t="shared" si="235"/>
        <v>0</v>
      </c>
      <c r="W504" s="156">
        <f t="shared" ref="W504" si="236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35" t="s">
        <v>476</v>
      </c>
      <c r="B505" s="603" t="s">
        <v>247</v>
      </c>
      <c r="C505" s="638" t="s">
        <v>248</v>
      </c>
      <c r="D505" s="639"/>
      <c r="E505" s="640" t="s">
        <v>249</v>
      </c>
      <c r="F505" s="640"/>
      <c r="G505" s="643" t="s">
        <v>250</v>
      </c>
      <c r="H505" s="643"/>
      <c r="I505" s="640" t="s">
        <v>251</v>
      </c>
      <c r="J505" s="640"/>
      <c r="K505" s="640" t="s">
        <v>252</v>
      </c>
      <c r="L505" s="640"/>
      <c r="M505" s="640" t="s">
        <v>253</v>
      </c>
      <c r="N505" s="640"/>
      <c r="O505" s="640" t="s">
        <v>254</v>
      </c>
      <c r="P505" s="643" t="s">
        <v>255</v>
      </c>
      <c r="Q505" s="643"/>
      <c r="R505" s="643" t="s">
        <v>252</v>
      </c>
      <c r="S505" s="643"/>
      <c r="T505" s="643" t="s">
        <v>256</v>
      </c>
      <c r="U505" s="643"/>
      <c r="V505" s="643" t="s">
        <v>257</v>
      </c>
      <c r="W505" s="643"/>
      <c r="X505" s="643" t="s">
        <v>252</v>
      </c>
      <c r="Y505" s="643"/>
      <c r="Z505" s="643" t="s">
        <v>256</v>
      </c>
      <c r="AA505" s="643"/>
    </row>
    <row r="506" spans="1:27" ht="20.100000000000001" customHeight="1">
      <c r="A506" s="636"/>
      <c r="B506" s="603" t="s">
        <v>258</v>
      </c>
      <c r="C506" s="638">
        <v>0</v>
      </c>
      <c r="D506" s="639"/>
      <c r="E506" s="642">
        <f>C506*11</f>
        <v>0</v>
      </c>
      <c r="F506" s="642"/>
      <c r="G506" s="643">
        <v>0</v>
      </c>
      <c r="H506" s="643"/>
      <c r="I506" s="642">
        <f>G506*11</f>
        <v>0</v>
      </c>
      <c r="J506" s="642"/>
      <c r="K506" s="642">
        <f>E506-I506</f>
        <v>0</v>
      </c>
      <c r="L506" s="642"/>
      <c r="M506" s="644" t="str">
        <f>IF(ISERROR(K506/E506),"",K506/E506)</f>
        <v/>
      </c>
      <c r="N506" s="644"/>
      <c r="O506" s="640"/>
      <c r="P506" s="643" t="s">
        <v>201</v>
      </c>
      <c r="Q506" s="643"/>
      <c r="R506" s="645">
        <f>SUM(O368:U368)</f>
        <v>0</v>
      </c>
      <c r="S506" s="645"/>
      <c r="T506" s="646" t="str">
        <f t="array" ref="T506">IF(ISERROR(R506/R513),"",R506/R513)</f>
        <v/>
      </c>
      <c r="U506" s="646"/>
      <c r="V506" s="643" t="s">
        <v>259</v>
      </c>
      <c r="W506" s="643"/>
      <c r="X506" s="647">
        <f>SUM(O368,O426,O461,O477,O487,O503)</f>
        <v>0</v>
      </c>
      <c r="Y506" s="647"/>
      <c r="Z506" s="646" t="str">
        <f t="array" ref="Z506">IF(ISERROR(X506/X513),"",X506/X513)</f>
        <v/>
      </c>
      <c r="AA506" s="646"/>
    </row>
    <row r="507" spans="1:27" ht="20.100000000000001" customHeight="1">
      <c r="A507" s="636"/>
      <c r="B507" s="603" t="s">
        <v>260</v>
      </c>
      <c r="C507" s="638">
        <v>0</v>
      </c>
      <c r="D507" s="639"/>
      <c r="E507" s="642">
        <f>C507*11</f>
        <v>0</v>
      </c>
      <c r="F507" s="642"/>
      <c r="G507" s="643">
        <v>0</v>
      </c>
      <c r="H507" s="643"/>
      <c r="I507" s="642">
        <f>G507*11</f>
        <v>0</v>
      </c>
      <c r="J507" s="642"/>
      <c r="K507" s="642">
        <f>E507-I507</f>
        <v>0</v>
      </c>
      <c r="L507" s="642"/>
      <c r="M507" s="644" t="str">
        <f>IF(ISERROR(K507/E507),"",K507/E507)</f>
        <v/>
      </c>
      <c r="N507" s="644"/>
      <c r="O507" s="640"/>
      <c r="P507" s="643" t="s">
        <v>216</v>
      </c>
      <c r="Q507" s="643"/>
      <c r="R507" s="645">
        <f>SUM(O426:U426)</f>
        <v>0</v>
      </c>
      <c r="S507" s="645"/>
      <c r="T507" s="646" t="str">
        <f>IF(ISERROR(R507/R513),"",R507/R513)</f>
        <v/>
      </c>
      <c r="U507" s="646"/>
      <c r="V507" s="643" t="s">
        <v>261</v>
      </c>
      <c r="W507" s="643"/>
      <c r="X507" s="647">
        <f>SUM(O369,O427,O462,O478,O488,O504)</f>
        <v>0</v>
      </c>
      <c r="Y507" s="647"/>
      <c r="Z507" s="646" t="str">
        <f>IF(ISERROR(X507/X513),"",X507/X513)</f>
        <v/>
      </c>
      <c r="AA507" s="646"/>
    </row>
    <row r="508" spans="1:27" ht="20.100000000000001" customHeight="1">
      <c r="A508" s="636"/>
      <c r="B508" s="603" t="s">
        <v>262</v>
      </c>
      <c r="C508" s="638">
        <v>0</v>
      </c>
      <c r="D508" s="639"/>
      <c r="E508" s="642">
        <f>C508*11</f>
        <v>0</v>
      </c>
      <c r="F508" s="642"/>
      <c r="G508" s="643">
        <v>0</v>
      </c>
      <c r="H508" s="643"/>
      <c r="I508" s="642">
        <f>G508*11</f>
        <v>0</v>
      </c>
      <c r="J508" s="642"/>
      <c r="K508" s="642">
        <f>E508-I508</f>
        <v>0</v>
      </c>
      <c r="L508" s="642"/>
      <c r="M508" s="644" t="str">
        <f>IF(ISERROR(K508/E508),"",K508/E508)</f>
        <v/>
      </c>
      <c r="N508" s="644"/>
      <c r="O508" s="640"/>
      <c r="P508" s="643" t="s">
        <v>224</v>
      </c>
      <c r="Q508" s="643"/>
      <c r="R508" s="645">
        <f>SUM(O461:U461)</f>
        <v>0</v>
      </c>
      <c r="S508" s="645"/>
      <c r="T508" s="646" t="str">
        <f>IF(ISERROR(R508/R513),"",R508/R513)</f>
        <v/>
      </c>
      <c r="U508" s="646"/>
      <c r="V508" s="643" t="s">
        <v>263</v>
      </c>
      <c r="W508" s="643"/>
      <c r="X508" s="647">
        <f>SUM(O371,O428,O463,O479,O489,O505)</f>
        <v>0</v>
      </c>
      <c r="Y508" s="647"/>
      <c r="Z508" s="646" t="str">
        <f>IF(ISERROR(X508/X513),"",X508/X513)</f>
        <v/>
      </c>
      <c r="AA508" s="646"/>
    </row>
    <row r="509" spans="1:27" ht="20.100000000000001" customHeight="1">
      <c r="A509" s="636"/>
      <c r="B509" s="603" t="s">
        <v>264</v>
      </c>
      <c r="C509" s="638">
        <v>1</v>
      </c>
      <c r="D509" s="639"/>
      <c r="E509" s="642">
        <f>C509*11</f>
        <v>11</v>
      </c>
      <c r="F509" s="642"/>
      <c r="G509" s="643">
        <v>1</v>
      </c>
      <c r="H509" s="643"/>
      <c r="I509" s="642">
        <f>G509*11</f>
        <v>11</v>
      </c>
      <c r="J509" s="642"/>
      <c r="K509" s="642">
        <f>E509-I509</f>
        <v>0</v>
      </c>
      <c r="L509" s="642"/>
      <c r="M509" s="644">
        <f>IF(ISERROR(K509/E509),"",K509/E509)</f>
        <v>0</v>
      </c>
      <c r="N509" s="644"/>
      <c r="O509" s="640"/>
      <c r="P509" s="643" t="s">
        <v>231</v>
      </c>
      <c r="Q509" s="643"/>
      <c r="R509" s="645">
        <f>SUM(O477:U477)</f>
        <v>0</v>
      </c>
      <c r="S509" s="645"/>
      <c r="T509" s="646" t="str">
        <f>IF(ISERROR(R509/R513),"",R509/R513)</f>
        <v/>
      </c>
      <c r="U509" s="646"/>
      <c r="V509" s="643" t="s">
        <v>265</v>
      </c>
      <c r="W509" s="643"/>
      <c r="X509" s="647">
        <f>SUM(O372,O429,O464,O480,O490,O506)</f>
        <v>0</v>
      </c>
      <c r="Y509" s="647"/>
      <c r="Z509" s="646" t="str">
        <f>IF(ISERROR(X509/X513),"",X509/X513)</f>
        <v/>
      </c>
      <c r="AA509" s="646"/>
    </row>
    <row r="510" spans="1:27" ht="20.100000000000001" customHeight="1">
      <c r="A510" s="637"/>
      <c r="B510" s="603" t="s">
        <v>266</v>
      </c>
      <c r="C510" s="648">
        <f>SUM(C506:D509)</f>
        <v>1</v>
      </c>
      <c r="D510" s="649"/>
      <c r="E510" s="642">
        <f>SUM(E506:F509)</f>
        <v>11</v>
      </c>
      <c r="F510" s="642"/>
      <c r="G510" s="643">
        <f>SUM(G506:H509)</f>
        <v>1</v>
      </c>
      <c r="H510" s="643"/>
      <c r="I510" s="642">
        <f>SUM(I506:J509)</f>
        <v>11</v>
      </c>
      <c r="J510" s="642"/>
      <c r="K510" s="642">
        <f>SUM(K506:L509)</f>
        <v>0</v>
      </c>
      <c r="L510" s="642"/>
      <c r="M510" s="644">
        <f>IF(ISERROR(K510/E510),"",K510/E510)</f>
        <v>0</v>
      </c>
      <c r="N510" s="644"/>
      <c r="O510" s="640"/>
      <c r="P510" s="643" t="s">
        <v>234</v>
      </c>
      <c r="Q510" s="643"/>
      <c r="R510" s="645">
        <f>SUM(O487:U487)</f>
        <v>0</v>
      </c>
      <c r="S510" s="645"/>
      <c r="T510" s="646" t="str">
        <f>IF(ISERROR(R510/R513),"",R510/R513)</f>
        <v/>
      </c>
      <c r="U510" s="646"/>
      <c r="V510" s="643" t="s">
        <v>267</v>
      </c>
      <c r="W510" s="643"/>
      <c r="X510" s="647">
        <f>SUM(O373,O430,O465,O481,O491,O507)</f>
        <v>0</v>
      </c>
      <c r="Y510" s="647"/>
      <c r="Z510" s="646" t="str">
        <f>IF(ISERROR(X510/X513),"",X510/X513)</f>
        <v/>
      </c>
      <c r="AA510" s="646"/>
    </row>
    <row r="511" spans="1:27" ht="20.100000000000001" customHeight="1">
      <c r="A511" s="307" t="s">
        <v>477</v>
      </c>
      <c r="B511" s="603">
        <f>G504</f>
        <v>865</v>
      </c>
      <c r="C511" s="650" t="s">
        <v>269</v>
      </c>
      <c r="D511" s="651"/>
      <c r="E511" s="643">
        <f>H504</f>
        <v>4350.9500000000007</v>
      </c>
      <c r="F511" s="643"/>
      <c r="G511" s="643" t="s">
        <v>270</v>
      </c>
      <c r="H511" s="643"/>
      <c r="I511" s="652">
        <f>L504</f>
        <v>8.9535951432365781</v>
      </c>
      <c r="J511" s="652"/>
      <c r="K511" s="640" t="s">
        <v>271</v>
      </c>
      <c r="L511" s="640"/>
      <c r="M511" s="652">
        <f>J504</f>
        <v>11.381578947368421</v>
      </c>
      <c r="N511" s="652"/>
      <c r="O511" s="640"/>
      <c r="P511" s="643" t="s">
        <v>244</v>
      </c>
      <c r="Q511" s="643"/>
      <c r="R511" s="645">
        <f>SUM(O503:U503)</f>
        <v>0</v>
      </c>
      <c r="S511" s="645"/>
      <c r="T511" s="646" t="str">
        <f>IF(ISERROR(R511/R513),"",R511/R513)</f>
        <v/>
      </c>
      <c r="U511" s="646"/>
      <c r="V511" s="643" t="s">
        <v>272</v>
      </c>
      <c r="W511" s="643"/>
      <c r="X511" s="647">
        <f>SUM(O374,O431,O466,O482,O492,O508)</f>
        <v>0</v>
      </c>
      <c r="Y511" s="647"/>
      <c r="Z511" s="646" t="str">
        <f>IF(ISERROR(X511/X513),"",X511/X513)</f>
        <v/>
      </c>
      <c r="AA511" s="646"/>
    </row>
    <row r="512" spans="1:27" ht="20.100000000000001" customHeight="1">
      <c r="A512" s="308" t="s">
        <v>478</v>
      </c>
      <c r="B512" s="603">
        <f>I504+C510</f>
        <v>77</v>
      </c>
      <c r="C512" s="653" t="s">
        <v>251</v>
      </c>
      <c r="D512" s="654"/>
      <c r="E512" s="655">
        <f>K504+I510</f>
        <v>107.60923753665689</v>
      </c>
      <c r="F512" s="655"/>
      <c r="G512" s="643" t="s">
        <v>274</v>
      </c>
      <c r="H512" s="643"/>
      <c r="I512" s="652">
        <f>B512-E512</f>
        <v>-30.609237536656892</v>
      </c>
      <c r="J512" s="652"/>
      <c r="K512" s="640" t="s">
        <v>275</v>
      </c>
      <c r="L512" s="640"/>
      <c r="M512" s="644">
        <f>IF(ISERROR(I512/E512),"",I512/E512)</f>
        <v>-0.28444804774524968</v>
      </c>
      <c r="N512" s="644"/>
      <c r="O512" s="640"/>
      <c r="P512" s="643" t="s">
        <v>245</v>
      </c>
      <c r="Q512" s="643"/>
      <c r="R512" s="645"/>
      <c r="S512" s="645"/>
      <c r="T512" s="646" t="str">
        <f>IF(ISERROR(R512/R513),"",R512/R513)</f>
        <v/>
      </c>
      <c r="U512" s="646"/>
      <c r="V512" s="643" t="s">
        <v>264</v>
      </c>
      <c r="W512" s="643"/>
      <c r="X512" s="647">
        <f>SUM(O375,O432,O467,O486,O493,O509)</f>
        <v>0</v>
      </c>
      <c r="Y512" s="647"/>
      <c r="Z512" s="646" t="str">
        <f>IF(ISERROR(X512/X513),"",X512/X513)</f>
        <v/>
      </c>
      <c r="AA512" s="646"/>
    </row>
    <row r="513" spans="1:27" ht="20.100000000000001" customHeight="1">
      <c r="A513" s="308" t="s">
        <v>479</v>
      </c>
      <c r="B513" s="603">
        <f>N504</f>
        <v>0</v>
      </c>
      <c r="C513" s="653" t="s">
        <v>277</v>
      </c>
      <c r="D513" s="654"/>
      <c r="E513" s="646">
        <f>IF(ISERROR(B513/B512),"",B513/B512)</f>
        <v>0</v>
      </c>
      <c r="F513" s="646"/>
      <c r="G513" s="643" t="s">
        <v>278</v>
      </c>
      <c r="H513" s="643"/>
      <c r="I513" s="640">
        <f>V504</f>
        <v>0</v>
      </c>
      <c r="J513" s="640"/>
      <c r="K513" s="640" t="s">
        <v>279</v>
      </c>
      <c r="L513" s="640"/>
      <c r="M513" s="644">
        <f t="array" ref="M513">IF(ISERROR(I513/B511),"",I513/B511)</f>
        <v>0</v>
      </c>
      <c r="N513" s="644"/>
      <c r="O513" s="640"/>
      <c r="P513" s="643" t="s">
        <v>266</v>
      </c>
      <c r="Q513" s="643"/>
      <c r="R513" s="645">
        <f>SUM(R506:S512)</f>
        <v>0</v>
      </c>
      <c r="S513" s="645"/>
      <c r="T513" s="646"/>
      <c r="U513" s="646"/>
      <c r="V513" s="643" t="s">
        <v>266</v>
      </c>
      <c r="W513" s="643"/>
      <c r="X513" s="647">
        <f>SUM(X506:Y512)</f>
        <v>0</v>
      </c>
      <c r="Y513" s="647"/>
      <c r="Z513" s="646"/>
      <c r="AA513" s="646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682" t="str">
        <f>IF(ISERROR(#REF!/#REF!),"",#REF!/#REF!)</f>
        <v/>
      </c>
      <c r="H514" s="682"/>
      <c r="I514" s="682"/>
      <c r="J514" s="125"/>
      <c r="K514" s="160"/>
      <c r="L514" s="122"/>
      <c r="M514" s="122"/>
      <c r="N514" s="682" t="str">
        <f>IF(ISERROR(G514/#REF!),"",G514/#REF!)</f>
        <v/>
      </c>
      <c r="O514" s="682"/>
      <c r="P514" s="682"/>
      <c r="Q514" s="682"/>
      <c r="R514" s="682"/>
      <c r="S514" s="605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685" t="s">
        <v>268</v>
      </c>
      <c r="B516" s="685"/>
      <c r="C516" s="638">
        <f>SUM(B170,B340,B511)</f>
        <v>9103</v>
      </c>
      <c r="D516" s="639"/>
      <c r="E516" s="685" t="s">
        <v>269</v>
      </c>
      <c r="F516" s="685"/>
      <c r="G516" s="655">
        <f>SUM(E170,E340,E511)</f>
        <v>45844.959999999992</v>
      </c>
      <c r="H516" s="655"/>
      <c r="I516" s="643" t="s">
        <v>270</v>
      </c>
      <c r="J516" s="685"/>
      <c r="K516" s="638">
        <f>IF(ISERROR(C516/G517),"",C516/G517)</f>
        <v>15.282644976475854</v>
      </c>
      <c r="L516" s="639"/>
      <c r="M516" s="643" t="s">
        <v>271</v>
      </c>
      <c r="N516" s="643"/>
      <c r="O516" s="680">
        <f t="array" ref="O516">IF(ISERROR(C516/C517),"",C516/C517)</f>
        <v>15.914335664335665</v>
      </c>
      <c r="P516" s="681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643" t="s">
        <v>273</v>
      </c>
      <c r="B517" s="643"/>
      <c r="C517" s="638">
        <f>SUM(B171,B341,B512)</f>
        <v>572</v>
      </c>
      <c r="D517" s="639"/>
      <c r="E517" s="643" t="s">
        <v>251</v>
      </c>
      <c r="F517" s="643"/>
      <c r="G517" s="655">
        <f>SUM(E171,E341,E512)</f>
        <v>595.64296717040747</v>
      </c>
      <c r="H517" s="655"/>
      <c r="I517" s="653" t="s">
        <v>274</v>
      </c>
      <c r="J517" s="654"/>
      <c r="K517" s="650">
        <f>C517-G517</f>
        <v>-23.642967170407474</v>
      </c>
      <c r="L517" s="651"/>
      <c r="M517" s="650" t="s">
        <v>275</v>
      </c>
      <c r="N517" s="651"/>
      <c r="O517" s="683">
        <f>IF(ISERROR(K517/C517),"",K517/C517)</f>
        <v>-4.1333858689523557E-2</v>
      </c>
      <c r="P517" s="684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653" t="s">
        <v>276</v>
      </c>
      <c r="B518" s="654"/>
      <c r="C518" s="638">
        <f>SUM(B172,B342,B513)</f>
        <v>0</v>
      </c>
      <c r="D518" s="639"/>
      <c r="E518" s="653" t="s">
        <v>277</v>
      </c>
      <c r="F518" s="654"/>
      <c r="G518" s="646">
        <f>IF(ISERROR(C518/C517),"",C518/C517)</f>
        <v>0</v>
      </c>
      <c r="H518" s="646"/>
      <c r="I518" s="643" t="s">
        <v>278</v>
      </c>
      <c r="J518" s="685"/>
      <c r="K518" s="655">
        <f>SUM(I172,I342,I513)</f>
        <v>0</v>
      </c>
      <c r="L518" s="655"/>
      <c r="M518" s="685" t="s">
        <v>279</v>
      </c>
      <c r="N518" s="685"/>
      <c r="O518" s="683">
        <f t="array" ref="O518">IF(ISERROR(K518/C516),"",K518/C516)</f>
        <v>0</v>
      </c>
      <c r="P518" s="684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605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653" t="s">
        <v>298</v>
      </c>
      <c r="B520" s="654"/>
      <c r="C520" s="653" t="s">
        <v>299</v>
      </c>
      <c r="D520" s="654"/>
      <c r="E520" s="653" t="s">
        <v>256</v>
      </c>
      <c r="F520" s="654"/>
      <c r="G520" s="686" t="s">
        <v>254</v>
      </c>
      <c r="H520" s="687"/>
      <c r="I520" s="653" t="s">
        <v>255</v>
      </c>
      <c r="J520" s="651"/>
      <c r="K520" s="653" t="s">
        <v>300</v>
      </c>
      <c r="L520" s="654"/>
      <c r="M520" s="653" t="s">
        <v>256</v>
      </c>
      <c r="N520" s="654"/>
      <c r="O520" s="643" t="s">
        <v>257</v>
      </c>
      <c r="P520" s="643"/>
      <c r="Q520" s="653" t="s">
        <v>300</v>
      </c>
      <c r="R520" s="654"/>
      <c r="S520" s="653" t="s">
        <v>256</v>
      </c>
      <c r="T520" s="654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692" t="s">
        <v>201</v>
      </c>
      <c r="B521" s="654"/>
      <c r="C521" s="653">
        <f>SUM(G28,G198,G368)</f>
        <v>1478</v>
      </c>
      <c r="D521" s="654"/>
      <c r="E521" s="693">
        <f>IF(ISERROR(C521/C527),"",C521/C527)</f>
        <v>0.16236405580577831</v>
      </c>
      <c r="F521" s="694"/>
      <c r="G521" s="688"/>
      <c r="H521" s="689"/>
      <c r="I521" s="695" t="s">
        <v>301</v>
      </c>
      <c r="J521" s="696"/>
      <c r="K521" s="650">
        <f t="shared" ref="K521:K526" si="237">SUM(R165,U335,U506)</f>
        <v>0</v>
      </c>
      <c r="L521" s="651"/>
      <c r="M521" s="693" t="str">
        <f t="array" ref="M521">IF(ISERROR(K521/K527),"",K521/K527)</f>
        <v/>
      </c>
      <c r="N521" s="694"/>
      <c r="O521" s="643" t="s">
        <v>259</v>
      </c>
      <c r="P521" s="643"/>
      <c r="Q521" s="680">
        <f t="shared" ref="Q521:Q526" si="238">SUM(X165,AA335,AA506)</f>
        <v>0</v>
      </c>
      <c r="R521" s="681"/>
      <c r="S521" s="693" t="str">
        <f t="array" ref="S521">IF(ISERROR(Q521/Q527),"",Q521/Q527)</f>
        <v/>
      </c>
      <c r="T521" s="694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692" t="s">
        <v>216</v>
      </c>
      <c r="B522" s="654"/>
      <c r="C522" s="653">
        <f>SUM(G86,G256,G426)</f>
        <v>4839</v>
      </c>
      <c r="D522" s="654"/>
      <c r="E522" s="693">
        <f>IF(ISERROR(C522/C527),"",C522/C527)</f>
        <v>0.53158299461715919</v>
      </c>
      <c r="F522" s="694"/>
      <c r="G522" s="688"/>
      <c r="H522" s="689"/>
      <c r="I522" s="695" t="s">
        <v>302</v>
      </c>
      <c r="J522" s="696"/>
      <c r="K522" s="650">
        <f t="shared" si="237"/>
        <v>0</v>
      </c>
      <c r="L522" s="651"/>
      <c r="M522" s="693" t="str">
        <f>IF(ISERROR(K522/K527),"",K522/K527)</f>
        <v/>
      </c>
      <c r="N522" s="694"/>
      <c r="O522" s="643" t="s">
        <v>261</v>
      </c>
      <c r="P522" s="643"/>
      <c r="Q522" s="680">
        <f t="shared" si="238"/>
        <v>0</v>
      </c>
      <c r="R522" s="681"/>
      <c r="S522" s="693" t="str">
        <f>IF(ISERROR(Q522/Q527),"",Q522/Q527)</f>
        <v/>
      </c>
      <c r="T522" s="694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692" t="s">
        <v>224</v>
      </c>
      <c r="B523" s="654"/>
      <c r="C523" s="653">
        <f>SUM(G121,G291,G461)</f>
        <v>2786</v>
      </c>
      <c r="D523" s="654"/>
      <c r="E523" s="693">
        <f>IF(ISERROR(C523/C527),"",C523/C527)</f>
        <v>0.30605294957706253</v>
      </c>
      <c r="F523" s="694"/>
      <c r="G523" s="688"/>
      <c r="H523" s="689"/>
      <c r="I523" s="695" t="s">
        <v>303</v>
      </c>
      <c r="J523" s="696"/>
      <c r="K523" s="650">
        <f t="shared" si="237"/>
        <v>0</v>
      </c>
      <c r="L523" s="651"/>
      <c r="M523" s="693" t="str">
        <f>IF(ISERROR(K523/K527),"",K523/K527)</f>
        <v/>
      </c>
      <c r="N523" s="694"/>
      <c r="O523" s="643" t="s">
        <v>263</v>
      </c>
      <c r="P523" s="643"/>
      <c r="Q523" s="680">
        <f t="shared" si="238"/>
        <v>0</v>
      </c>
      <c r="R523" s="681"/>
      <c r="S523" s="693" t="str">
        <f>IF(ISERROR(Q523/Q527),"",Q523/Q527)</f>
        <v/>
      </c>
      <c r="T523" s="694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692" t="s">
        <v>231</v>
      </c>
      <c r="B524" s="654"/>
      <c r="C524" s="653">
        <f>SUM(G137,G307,G477)</f>
        <v>0</v>
      </c>
      <c r="D524" s="654"/>
      <c r="E524" s="693">
        <f>IF(ISERROR(C524/C527),"",C524/C527)</f>
        <v>0</v>
      </c>
      <c r="F524" s="694"/>
      <c r="G524" s="688"/>
      <c r="H524" s="689"/>
      <c r="I524" s="695" t="s">
        <v>304</v>
      </c>
      <c r="J524" s="696"/>
      <c r="K524" s="650">
        <f t="shared" si="237"/>
        <v>0</v>
      </c>
      <c r="L524" s="651"/>
      <c r="M524" s="693" t="str">
        <f>IF(ISERROR(K524/K527),"",K524/K527)</f>
        <v/>
      </c>
      <c r="N524" s="694"/>
      <c r="O524" s="643" t="s">
        <v>305</v>
      </c>
      <c r="P524" s="643"/>
      <c r="Q524" s="680">
        <f t="shared" si="238"/>
        <v>0</v>
      </c>
      <c r="R524" s="681"/>
      <c r="S524" s="693" t="str">
        <f>IF(ISERROR(Q524/Q527),"",Q524/Q527)</f>
        <v/>
      </c>
      <c r="T524" s="694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92" t="s">
        <v>234</v>
      </c>
      <c r="B525" s="654"/>
      <c r="C525" s="653">
        <f>SUM(G147,G317,G487)</f>
        <v>0</v>
      </c>
      <c r="D525" s="654"/>
      <c r="E525" s="693">
        <f>IF(ISERROR(C525/C527),"",C525/C527)</f>
        <v>0</v>
      </c>
      <c r="F525" s="694"/>
      <c r="G525" s="688"/>
      <c r="H525" s="689"/>
      <c r="I525" s="695" t="s">
        <v>306</v>
      </c>
      <c r="J525" s="696"/>
      <c r="K525" s="650">
        <f t="shared" si="237"/>
        <v>0</v>
      </c>
      <c r="L525" s="651"/>
      <c r="M525" s="693" t="str">
        <f>IF(ISERROR(K525/K527),"",K525/K527)</f>
        <v/>
      </c>
      <c r="N525" s="694"/>
      <c r="O525" s="643" t="s">
        <v>267</v>
      </c>
      <c r="P525" s="643"/>
      <c r="Q525" s="680">
        <f t="shared" si="238"/>
        <v>0</v>
      </c>
      <c r="R525" s="681"/>
      <c r="S525" s="693" t="str">
        <f>IF(ISERROR(Q525/Q527),"",Q525/Q527)</f>
        <v/>
      </c>
      <c r="T525" s="694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92" t="s">
        <v>244</v>
      </c>
      <c r="B526" s="654"/>
      <c r="C526" s="653">
        <f>SUM(G162,G332,G503)</f>
        <v>0</v>
      </c>
      <c r="D526" s="654"/>
      <c r="E526" s="693">
        <f>IF(ISERROR(C526/C527),"",C526/C527)</f>
        <v>0</v>
      </c>
      <c r="F526" s="694"/>
      <c r="G526" s="688"/>
      <c r="H526" s="689"/>
      <c r="I526" s="695" t="s">
        <v>307</v>
      </c>
      <c r="J526" s="696"/>
      <c r="K526" s="650">
        <f t="shared" si="237"/>
        <v>0</v>
      </c>
      <c r="L526" s="651"/>
      <c r="M526" s="693" t="str">
        <f>IF(ISERROR(K526/K527),"",K526/K527)</f>
        <v/>
      </c>
      <c r="N526" s="694"/>
      <c r="O526" s="643" t="s">
        <v>272</v>
      </c>
      <c r="P526" s="643"/>
      <c r="Q526" s="680">
        <f t="shared" si="238"/>
        <v>0</v>
      </c>
      <c r="R526" s="681"/>
      <c r="S526" s="693" t="str">
        <f>IF(ISERROR(Q526/Q527),"",Q526/Q527)</f>
        <v/>
      </c>
      <c r="T526" s="694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53" t="s">
        <v>266</v>
      </c>
      <c r="B527" s="654"/>
      <c r="C527" s="653">
        <f>SUM(C521:C526)</f>
        <v>9103</v>
      </c>
      <c r="D527" s="654"/>
      <c r="E527" s="693">
        <f>SUM(E521:F526)</f>
        <v>1</v>
      </c>
      <c r="F527" s="694"/>
      <c r="G527" s="690"/>
      <c r="H527" s="691"/>
      <c r="I527" s="653" t="s">
        <v>266</v>
      </c>
      <c r="J527" s="651"/>
      <c r="K527" s="650">
        <f>SUM(R172,U342,U513)</f>
        <v>0</v>
      </c>
      <c r="L527" s="651"/>
      <c r="M527" s="693"/>
      <c r="N527" s="694"/>
      <c r="O527" s="643" t="s">
        <v>266</v>
      </c>
      <c r="P527" s="643"/>
      <c r="Q527" s="680">
        <f>SUM(Q521:R526)</f>
        <v>0</v>
      </c>
      <c r="R527" s="681"/>
      <c r="S527" s="693">
        <f>SUM(S521:T526)</f>
        <v>0</v>
      </c>
      <c r="T527" s="694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695" t="s">
        <v>308</v>
      </c>
      <c r="B529" s="649"/>
      <c r="C529" s="596" t="s">
        <v>309</v>
      </c>
      <c r="D529" s="596" t="s">
        <v>310</v>
      </c>
      <c r="E529" s="596" t="s">
        <v>311</v>
      </c>
      <c r="F529" s="596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597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606" t="s">
        <v>322</v>
      </c>
      <c r="Q529" s="129" t="s">
        <v>323</v>
      </c>
      <c r="R529" s="109" t="s">
        <v>324</v>
      </c>
      <c r="S529" s="596" t="s">
        <v>325</v>
      </c>
      <c r="T529" s="596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697" t="s">
        <v>327</v>
      </c>
      <c r="B530" s="698"/>
      <c r="C530" s="106">
        <f>D530+E530+F530-G530-O530-P530</f>
        <v>38</v>
      </c>
      <c r="D530" s="106">
        <f>+'22'!C530</f>
        <v>38</v>
      </c>
      <c r="E530" s="106"/>
      <c r="F530" s="106"/>
      <c r="G530" s="107"/>
      <c r="H530" s="106"/>
      <c r="I530" s="106"/>
      <c r="J530" s="106">
        <f>C530-H530-I530</f>
        <v>38</v>
      </c>
      <c r="K530" s="106"/>
      <c r="L530" s="106"/>
      <c r="M530" s="106"/>
      <c r="N530" s="106"/>
      <c r="O530" s="106"/>
      <c r="P530" s="108"/>
      <c r="Q530" s="106">
        <f>J530-K530-L530</f>
        <v>38</v>
      </c>
      <c r="R530" s="109">
        <f>Q530*11-M530-N530</f>
        <v>418</v>
      </c>
      <c r="S530" s="599">
        <f t="array" ref="S530">IF(ISERROR(Q530/J530),"",Q530/J530)</f>
        <v>1</v>
      </c>
      <c r="T530" s="599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697" t="s">
        <v>328</v>
      </c>
      <c r="B531" s="698"/>
      <c r="C531" s="106">
        <f>D531+E531+F531-G531-O531-P531</f>
        <v>35</v>
      </c>
      <c r="D531" s="106">
        <f>+'22'!C531</f>
        <v>31</v>
      </c>
      <c r="E531" s="110">
        <v>4</v>
      </c>
      <c r="F531" s="110"/>
      <c r="G531" s="107"/>
      <c r="H531" s="106"/>
      <c r="I531" s="106"/>
      <c r="J531" s="106">
        <f>C531-H531-I531</f>
        <v>35</v>
      </c>
      <c r="K531" s="106">
        <v>1</v>
      </c>
      <c r="L531" s="106"/>
      <c r="M531" s="106"/>
      <c r="N531" s="106"/>
      <c r="O531" s="110"/>
      <c r="P531" s="111"/>
      <c r="Q531" s="106">
        <f>J531-K531-L531</f>
        <v>34</v>
      </c>
      <c r="R531" s="109">
        <f>Q531*11-M531-N531</f>
        <v>374</v>
      </c>
      <c r="S531" s="599">
        <f t="array" ref="S531">IF(ISERROR(Q531/J531),"",Q531/J531)</f>
        <v>0.97142857142857142</v>
      </c>
      <c r="T531" s="599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697" t="s">
        <v>329</v>
      </c>
      <c r="B532" s="698"/>
      <c r="C532" s="106">
        <f>D532+E532+F532-G532-O532-P532</f>
        <v>10</v>
      </c>
      <c r="D532" s="106">
        <f>+'22'!C532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599">
        <f t="array" ref="S532">IF(ISERROR(Q532/J532),"",Q532/J532)</f>
        <v>1</v>
      </c>
      <c r="T532" s="599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699" t="s">
        <v>330</v>
      </c>
      <c r="B533" s="700"/>
      <c r="C533" s="112">
        <f>SUM(C530:C532)</f>
        <v>83</v>
      </c>
      <c r="D533" s="112">
        <f t="shared" ref="D533:N533" si="239">SUM(D530:D532)</f>
        <v>79</v>
      </c>
      <c r="E533" s="112">
        <f t="shared" si="239"/>
        <v>4</v>
      </c>
      <c r="F533" s="112">
        <f t="shared" si="239"/>
        <v>0</v>
      </c>
      <c r="G533" s="113">
        <f t="shared" si="239"/>
        <v>0</v>
      </c>
      <c r="H533" s="112">
        <f t="shared" si="239"/>
        <v>0</v>
      </c>
      <c r="I533" s="112">
        <f t="shared" si="239"/>
        <v>0</v>
      </c>
      <c r="J533" s="112">
        <f t="shared" si="239"/>
        <v>83</v>
      </c>
      <c r="K533" s="112">
        <f t="shared" si="239"/>
        <v>1</v>
      </c>
      <c r="L533" s="112">
        <f t="shared" si="239"/>
        <v>0</v>
      </c>
      <c r="M533" s="112">
        <f t="shared" si="239"/>
        <v>0</v>
      </c>
      <c r="N533" s="112">
        <f t="shared" si="239"/>
        <v>0</v>
      </c>
      <c r="O533" s="112">
        <f>SUM(O530:O532)</f>
        <v>0</v>
      </c>
      <c r="P533" s="112">
        <f>SUM(P530:P532)</f>
        <v>0</v>
      </c>
      <c r="Q533" s="112">
        <f>SUM(Q530:Q532)</f>
        <v>82</v>
      </c>
      <c r="R533" s="114">
        <f>SUM(R530:R532)</f>
        <v>902</v>
      </c>
      <c r="S533" s="115">
        <f t="array" ref="S533">IF(ISERROR(Q533/J533),"",Q533/J533)</f>
        <v>0.98795180722891562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X5:X6"/>
    <mergeCell ref="R164:S164"/>
    <mergeCell ref="T164:U164"/>
    <mergeCell ref="V164:W164"/>
    <mergeCell ref="X164:Y164"/>
    <mergeCell ref="Z164:AA164"/>
    <mergeCell ref="C165:D165"/>
    <mergeCell ref="E165:F165"/>
    <mergeCell ref="G165:H165"/>
    <mergeCell ref="I165:J165"/>
    <mergeCell ref="K165:L165"/>
    <mergeCell ref="G164:H164"/>
    <mergeCell ref="I164:J164"/>
    <mergeCell ref="K164:L164"/>
    <mergeCell ref="M164:N164"/>
    <mergeCell ref="O164:O172"/>
    <mergeCell ref="P164:Q164"/>
    <mergeCell ref="M165:N165"/>
    <mergeCell ref="P165:Q165"/>
    <mergeCell ref="M166:N166"/>
    <mergeCell ref="P166:Q16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R166:S166"/>
    <mergeCell ref="T166:U166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Z167:AA167"/>
    <mergeCell ref="C168:D168"/>
    <mergeCell ref="E168:F168"/>
    <mergeCell ref="G168:H168"/>
    <mergeCell ref="I168:J168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7:W167"/>
    <mergeCell ref="X167:Y167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C337:D337"/>
    <mergeCell ref="E337:F337"/>
    <mergeCell ref="G337:H337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C508:D508"/>
    <mergeCell ref="E508:F508"/>
    <mergeCell ref="G508:H508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A522:B522"/>
    <mergeCell ref="C522:D522"/>
    <mergeCell ref="E522:F522"/>
    <mergeCell ref="I522:J522"/>
    <mergeCell ref="K522:L522"/>
    <mergeCell ref="M522:N522"/>
    <mergeCell ref="O522:P522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A525:B525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127" activePane="bottomRight" state="frozen"/>
      <selection activeCell="F484" sqref="F484"/>
      <selection pane="topRight" activeCell="F484" sqref="F484"/>
      <selection pane="bottomLeft" activeCell="F484" sqref="F484"/>
      <selection pane="bottomRight" activeCell="E136" sqref="E136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07" t="s">
        <v>413</v>
      </c>
      <c r="B1" s="607"/>
      <c r="C1" s="607"/>
      <c r="D1" s="607"/>
      <c r="E1" s="607"/>
      <c r="F1" s="607"/>
      <c r="G1" s="607"/>
      <c r="H1" s="607"/>
      <c r="I1" s="607"/>
      <c r="J1" s="607"/>
      <c r="K1" s="607"/>
      <c r="L1" s="607"/>
      <c r="M1" s="607"/>
      <c r="N1" s="607"/>
      <c r="O1" s="607"/>
      <c r="P1" s="607"/>
      <c r="Q1" s="607"/>
      <c r="R1" s="607"/>
      <c r="S1" s="607"/>
      <c r="T1" s="607"/>
      <c r="U1" s="607"/>
      <c r="V1" s="607"/>
      <c r="W1" s="607"/>
      <c r="X1" s="607"/>
      <c r="Y1" s="607"/>
      <c r="Z1" s="607"/>
      <c r="AA1" s="607"/>
    </row>
    <row r="2" spans="1:27" ht="18.75">
      <c r="A2" s="608"/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09" t="s">
        <v>12</v>
      </c>
      <c r="B4" s="609" t="s">
        <v>25</v>
      </c>
      <c r="C4" s="609" t="s">
        <v>26</v>
      </c>
      <c r="D4" s="609" t="s">
        <v>27</v>
      </c>
      <c r="E4" s="612" t="s">
        <v>28</v>
      </c>
      <c r="F4" s="615" t="s">
        <v>29</v>
      </c>
      <c r="G4" s="618" t="s">
        <v>30</v>
      </c>
      <c r="H4" s="618"/>
      <c r="I4" s="609" t="s">
        <v>31</v>
      </c>
      <c r="J4" s="621" t="s">
        <v>32</v>
      </c>
      <c r="K4" s="624" t="s">
        <v>33</v>
      </c>
      <c r="L4" s="609" t="s">
        <v>34</v>
      </c>
      <c r="M4" s="627" t="s">
        <v>35</v>
      </c>
      <c r="N4" s="629" t="s">
        <v>36</v>
      </c>
      <c r="O4" s="618" t="s">
        <v>37</v>
      </c>
      <c r="P4" s="618"/>
      <c r="Q4" s="618"/>
      <c r="R4" s="618"/>
      <c r="S4" s="618"/>
      <c r="T4" s="618"/>
      <c r="U4" s="618"/>
      <c r="V4" s="618" t="s">
        <v>38</v>
      </c>
      <c r="W4" s="629" t="s">
        <v>39</v>
      </c>
      <c r="X4" s="618" t="s">
        <v>40</v>
      </c>
      <c r="Y4" s="618"/>
      <c r="Z4" s="618"/>
      <c r="AA4" s="618"/>
    </row>
    <row r="5" spans="1:27" s="104" customFormat="1" ht="15" customHeight="1">
      <c r="A5" s="610"/>
      <c r="B5" s="610"/>
      <c r="C5" s="610"/>
      <c r="D5" s="610"/>
      <c r="E5" s="613"/>
      <c r="F5" s="616"/>
      <c r="G5" s="618"/>
      <c r="H5" s="618"/>
      <c r="I5" s="610"/>
      <c r="J5" s="622"/>
      <c r="K5" s="625"/>
      <c r="L5" s="610"/>
      <c r="M5" s="628"/>
      <c r="N5" s="629"/>
      <c r="O5" s="618" t="s">
        <v>41</v>
      </c>
      <c r="P5" s="618" t="s">
        <v>42</v>
      </c>
      <c r="Q5" s="618" t="s">
        <v>43</v>
      </c>
      <c r="R5" s="619" t="s">
        <v>44</v>
      </c>
      <c r="S5" s="620" t="s">
        <v>45</v>
      </c>
      <c r="T5" s="618" t="s">
        <v>46</v>
      </c>
      <c r="U5" s="618" t="s">
        <v>47</v>
      </c>
      <c r="V5" s="618"/>
      <c r="W5" s="629"/>
      <c r="X5" s="618" t="s">
        <v>13</v>
      </c>
      <c r="Y5" s="618" t="s">
        <v>48</v>
      </c>
      <c r="Z5" s="618" t="s">
        <v>49</v>
      </c>
      <c r="AA5" s="618" t="s">
        <v>47</v>
      </c>
    </row>
    <row r="6" spans="1:27" s="104" customFormat="1" ht="27.75" customHeight="1">
      <c r="A6" s="611"/>
      <c r="B6" s="611"/>
      <c r="C6" s="611"/>
      <c r="D6" s="611"/>
      <c r="E6" s="614"/>
      <c r="F6" s="617"/>
      <c r="G6" s="105" t="s">
        <v>50</v>
      </c>
      <c r="H6" s="216" t="s">
        <v>51</v>
      </c>
      <c r="I6" s="611"/>
      <c r="J6" s="623"/>
      <c r="K6" s="626"/>
      <c r="L6" s="611"/>
      <c r="M6" s="628"/>
      <c r="N6" s="629"/>
      <c r="O6" s="618"/>
      <c r="P6" s="618"/>
      <c r="Q6" s="618"/>
      <c r="R6" s="619"/>
      <c r="S6" s="620"/>
      <c r="T6" s="618"/>
      <c r="U6" s="618"/>
      <c r="V6" s="618"/>
      <c r="W6" s="629"/>
      <c r="X6" s="618"/>
      <c r="Y6" s="618"/>
      <c r="Z6" s="618"/>
      <c r="AA6" s="618"/>
    </row>
    <row r="7" spans="1:27" ht="20.100000000000001" customHeight="1">
      <c r="A7" s="299">
        <v>30100030</v>
      </c>
      <c r="B7" s="291" t="s">
        <v>460</v>
      </c>
      <c r="C7" s="126" t="s">
        <v>179</v>
      </c>
      <c r="D7" s="108">
        <v>5.03</v>
      </c>
      <c r="E7" s="108"/>
      <c r="F7" s="127"/>
      <c r="G7" s="128"/>
      <c r="H7" s="226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219"/>
      <c r="P7" s="219"/>
      <c r="Q7" s="219"/>
      <c r="R7" s="219"/>
      <c r="S7" s="219"/>
      <c r="T7" s="219"/>
      <c r="U7" s="21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customHeight="1">
      <c r="A8" s="300"/>
      <c r="B8" s="134" t="s">
        <v>461</v>
      </c>
      <c r="C8" s="126" t="s">
        <v>179</v>
      </c>
      <c r="D8" s="108">
        <v>5.03</v>
      </c>
      <c r="E8" s="108"/>
      <c r="F8" s="127"/>
      <c r="G8" s="128"/>
      <c r="H8" s="226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135"/>
      <c r="P8" s="219"/>
      <c r="Q8" s="219"/>
      <c r="R8" s="219"/>
      <c r="S8" s="219"/>
      <c r="T8" s="219"/>
      <c r="U8" s="21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customHeight="1">
      <c r="A9" s="301"/>
      <c r="B9" s="134" t="s">
        <v>461</v>
      </c>
      <c r="C9" s="126" t="s">
        <v>181</v>
      </c>
      <c r="D9" s="108">
        <v>5.03</v>
      </c>
      <c r="E9" s="108"/>
      <c r="F9" s="127"/>
      <c r="G9" s="128"/>
      <c r="H9" s="226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219"/>
      <c r="P9" s="219"/>
      <c r="Q9" s="219"/>
      <c r="R9" s="219"/>
      <c r="S9" s="219"/>
      <c r="T9" s="219"/>
      <c r="U9" s="21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299">
        <v>30100048</v>
      </c>
      <c r="B10" s="134" t="s">
        <v>462</v>
      </c>
      <c r="C10" s="126" t="s">
        <v>179</v>
      </c>
      <c r="D10" s="108">
        <v>5.03</v>
      </c>
      <c r="E10" s="108"/>
      <c r="F10" s="127"/>
      <c r="G10" s="128"/>
      <c r="H10" s="226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219"/>
      <c r="P10" s="219"/>
      <c r="Q10" s="219"/>
      <c r="R10" s="219"/>
      <c r="S10" s="219"/>
      <c r="T10" s="219"/>
      <c r="U10" s="21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customHeight="1">
      <c r="A11" s="299">
        <v>30100047</v>
      </c>
      <c r="B11" s="134" t="s">
        <v>462</v>
      </c>
      <c r="C11" s="126" t="s">
        <v>183</v>
      </c>
      <c r="D11" s="108">
        <v>5.03</v>
      </c>
      <c r="E11" s="108"/>
      <c r="F11" s="127"/>
      <c r="G11" s="128"/>
      <c r="H11" s="226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219"/>
      <c r="P11" s="219"/>
      <c r="Q11" s="219"/>
      <c r="R11" s="219"/>
      <c r="S11" s="219"/>
      <c r="T11" s="219"/>
      <c r="U11" s="21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customHeight="1">
      <c r="A12" s="299">
        <v>30100052</v>
      </c>
      <c r="B12" s="134" t="s">
        <v>463</v>
      </c>
      <c r="C12" s="126" t="s">
        <v>179</v>
      </c>
      <c r="D12" s="108">
        <v>5.04</v>
      </c>
      <c r="E12" s="108"/>
      <c r="F12" s="136"/>
      <c r="G12" s="137"/>
      <c r="H12" s="226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219"/>
      <c r="P12" s="219"/>
      <c r="Q12" s="219"/>
      <c r="R12" s="219"/>
      <c r="S12" s="219"/>
      <c r="T12" s="219"/>
      <c r="U12" s="21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customHeight="1">
      <c r="A13" s="332">
        <v>30100059</v>
      </c>
      <c r="B13" s="134" t="s">
        <v>464</v>
      </c>
      <c r="C13" s="126" t="s">
        <v>186</v>
      </c>
      <c r="D13" s="108">
        <v>5.03</v>
      </c>
      <c r="E13" s="108"/>
      <c r="F13" s="127"/>
      <c r="G13" s="128"/>
      <c r="H13" s="226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219"/>
      <c r="P13" s="219"/>
      <c r="Q13" s="219"/>
      <c r="R13" s="219"/>
      <c r="S13" s="219"/>
      <c r="T13" s="219"/>
      <c r="U13" s="219"/>
      <c r="V13" s="132"/>
      <c r="W13" s="133"/>
      <c r="X13" s="132"/>
      <c r="Y13" s="132"/>
      <c r="Z13" s="132"/>
      <c r="AA13" s="132"/>
    </row>
    <row r="14" spans="1:27" ht="20.100000000000001" customHeight="1">
      <c r="A14" s="302">
        <v>30100060</v>
      </c>
      <c r="B14" s="134" t="s">
        <v>464</v>
      </c>
      <c r="C14" s="126" t="s">
        <v>187</v>
      </c>
      <c r="D14" s="108">
        <v>5.03</v>
      </c>
      <c r="E14" s="108"/>
      <c r="F14" s="127"/>
      <c r="G14" s="128"/>
      <c r="H14" s="226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219"/>
      <c r="P14" s="219"/>
      <c r="Q14" s="219"/>
      <c r="R14" s="219"/>
      <c r="S14" s="219"/>
      <c r="T14" s="219"/>
      <c r="U14" s="219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465</v>
      </c>
      <c r="C15" s="126" t="s">
        <v>189</v>
      </c>
      <c r="D15" s="108">
        <v>5.04</v>
      </c>
      <c r="E15" s="108"/>
      <c r="F15" s="139"/>
      <c r="G15" s="128"/>
      <c r="H15" s="226">
        <f t="shared" si="0"/>
        <v>0</v>
      </c>
      <c r="I15" s="226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219"/>
      <c r="P15" s="219"/>
      <c r="Q15" s="219"/>
      <c r="R15" s="219"/>
      <c r="S15" s="219"/>
      <c r="T15" s="219"/>
      <c r="U15" s="21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customHeight="1">
      <c r="A16" s="300">
        <v>30200005</v>
      </c>
      <c r="B16" s="134" t="s">
        <v>465</v>
      </c>
      <c r="C16" s="126" t="s">
        <v>190</v>
      </c>
      <c r="D16" s="108">
        <v>5.04</v>
      </c>
      <c r="E16" s="108"/>
      <c r="F16" s="126"/>
      <c r="G16" s="128"/>
      <c r="H16" s="226">
        <f t="shared" si="0"/>
        <v>0</v>
      </c>
      <c r="I16" s="226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219"/>
      <c r="P16" s="219"/>
      <c r="Q16" s="219"/>
      <c r="R16" s="219"/>
      <c r="S16" s="219"/>
      <c r="T16" s="219"/>
      <c r="U16" s="21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customHeight="1">
      <c r="A17" s="302">
        <v>30100063</v>
      </c>
      <c r="B17" s="134" t="s">
        <v>484</v>
      </c>
      <c r="C17" s="126" t="s">
        <v>192</v>
      </c>
      <c r="D17" s="108">
        <v>5.03</v>
      </c>
      <c r="E17" s="108"/>
      <c r="F17" s="127"/>
      <c r="G17" s="128"/>
      <c r="H17" s="226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219"/>
      <c r="P17" s="219"/>
      <c r="Q17" s="219"/>
      <c r="R17" s="219"/>
      <c r="S17" s="219"/>
      <c r="T17" s="219"/>
      <c r="U17" s="219"/>
      <c r="V17" s="132"/>
      <c r="W17" s="133"/>
      <c r="X17" s="132"/>
      <c r="Y17" s="132"/>
      <c r="Z17" s="132"/>
      <c r="AA17" s="132"/>
    </row>
    <row r="18" spans="1:27" ht="20.100000000000001" customHeight="1">
      <c r="A18" s="302">
        <v>30100061</v>
      </c>
      <c r="B18" s="134" t="s">
        <v>466</v>
      </c>
      <c r="C18" s="126" t="s">
        <v>193</v>
      </c>
      <c r="D18" s="108">
        <v>5.03</v>
      </c>
      <c r="E18" s="108"/>
      <c r="F18" s="127"/>
      <c r="G18" s="128"/>
      <c r="H18" s="226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219"/>
      <c r="P18" s="219"/>
      <c r="Q18" s="219"/>
      <c r="R18" s="219"/>
      <c r="S18" s="219"/>
      <c r="T18" s="219"/>
      <c r="U18" s="219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467</v>
      </c>
      <c r="C19" s="126" t="s">
        <v>189</v>
      </c>
      <c r="D19" s="108">
        <v>5.0599999999999996</v>
      </c>
      <c r="E19" s="108"/>
      <c r="F19" s="127"/>
      <c r="G19" s="128"/>
      <c r="H19" s="354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52"/>
      <c r="P19" s="352"/>
      <c r="Q19" s="352"/>
      <c r="R19" s="352"/>
      <c r="S19" s="352"/>
      <c r="T19" s="352"/>
      <c r="U19" s="352"/>
      <c r="V19" s="132">
        <f t="shared" ref="V19:V21" si="5">SUM(X19:AA19)</f>
        <v>0</v>
      </c>
      <c r="W19" s="353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468</v>
      </c>
      <c r="C20" s="126" t="s">
        <v>189</v>
      </c>
      <c r="D20" s="108">
        <v>5.09</v>
      </c>
      <c r="E20" s="108"/>
      <c r="F20" s="127"/>
      <c r="G20" s="128"/>
      <c r="H20" s="226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219"/>
      <c r="P20" s="219"/>
      <c r="Q20" s="219"/>
      <c r="R20" s="219"/>
      <c r="S20" s="219"/>
      <c r="T20" s="219"/>
      <c r="U20" s="21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customHeight="1">
      <c r="A21" s="300">
        <v>30200003</v>
      </c>
      <c r="B21" s="134" t="s">
        <v>468</v>
      </c>
      <c r="C21" s="126" t="s">
        <v>190</v>
      </c>
      <c r="D21" s="108">
        <v>5.09</v>
      </c>
      <c r="E21" s="108"/>
      <c r="F21" s="127"/>
      <c r="G21" s="128"/>
      <c r="H21" s="226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219"/>
      <c r="P21" s="219"/>
      <c r="Q21" s="219"/>
      <c r="R21" s="219"/>
      <c r="S21" s="219"/>
      <c r="T21" s="219"/>
      <c r="U21" s="219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customHeight="1">
      <c r="A22" s="300">
        <v>30100003</v>
      </c>
      <c r="B22" s="141" t="s">
        <v>469</v>
      </c>
      <c r="C22" s="217" t="s">
        <v>190</v>
      </c>
      <c r="D22" s="108">
        <v>4.8</v>
      </c>
      <c r="E22" s="108"/>
      <c r="F22" s="127"/>
      <c r="G22" s="128"/>
      <c r="H22" s="226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219"/>
      <c r="P22" s="219"/>
      <c r="Q22" s="219"/>
      <c r="R22" s="219"/>
      <c r="S22" s="219"/>
      <c r="T22" s="219"/>
      <c r="U22" s="219"/>
      <c r="V22" s="132"/>
      <c r="W22" s="133"/>
      <c r="X22" s="132"/>
      <c r="Y22" s="132"/>
      <c r="Z22" s="132"/>
      <c r="AA22" s="132"/>
    </row>
    <row r="23" spans="1:27" ht="20.100000000000001" customHeight="1">
      <c r="A23" s="300">
        <v>30100004</v>
      </c>
      <c r="B23" s="141" t="s">
        <v>198</v>
      </c>
      <c r="C23" s="217" t="s">
        <v>187</v>
      </c>
      <c r="D23" s="108">
        <v>4.8</v>
      </c>
      <c r="E23" s="108"/>
      <c r="F23" s="127"/>
      <c r="G23" s="128"/>
      <c r="H23" s="226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219"/>
      <c r="P23" s="219"/>
      <c r="Q23" s="219"/>
      <c r="R23" s="219"/>
      <c r="S23" s="219"/>
      <c r="T23" s="219"/>
      <c r="U23" s="219"/>
      <c r="V23" s="132"/>
      <c r="W23" s="133"/>
      <c r="X23" s="132"/>
      <c r="Y23" s="132"/>
      <c r="Z23" s="132"/>
      <c r="AA23" s="132"/>
    </row>
    <row r="24" spans="1:27" ht="20.100000000000001" customHeight="1">
      <c r="A24" s="300">
        <v>30100006</v>
      </c>
      <c r="B24" s="141" t="s">
        <v>198</v>
      </c>
      <c r="C24" s="217" t="s">
        <v>179</v>
      </c>
      <c r="D24" s="108">
        <v>4.8</v>
      </c>
      <c r="E24" s="108"/>
      <c r="F24" s="127"/>
      <c r="G24" s="128"/>
      <c r="H24" s="226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219"/>
      <c r="P24" s="219"/>
      <c r="Q24" s="219"/>
      <c r="R24" s="219"/>
      <c r="S24" s="219"/>
      <c r="T24" s="219"/>
      <c r="U24" s="219"/>
      <c r="V24" s="132"/>
      <c r="W24" s="133"/>
      <c r="X24" s="132"/>
      <c r="Y24" s="132"/>
      <c r="Z24" s="132"/>
      <c r="AA24" s="132"/>
    </row>
    <row r="25" spans="1:27" ht="20.100000000000001" customHeight="1">
      <c r="A25" s="300">
        <v>30100005</v>
      </c>
      <c r="B25" s="141" t="s">
        <v>198</v>
      </c>
      <c r="C25" s="217" t="s">
        <v>199</v>
      </c>
      <c r="D25" s="108">
        <v>4.8</v>
      </c>
      <c r="E25" s="108"/>
      <c r="F25" s="127"/>
      <c r="G25" s="128"/>
      <c r="H25" s="226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219"/>
      <c r="P25" s="219"/>
      <c r="Q25" s="219"/>
      <c r="R25" s="219"/>
      <c r="S25" s="219"/>
      <c r="T25" s="219"/>
      <c r="U25" s="219"/>
      <c r="V25" s="132"/>
      <c r="W25" s="133"/>
      <c r="X25" s="132"/>
      <c r="Y25" s="132"/>
      <c r="Z25" s="132"/>
      <c r="AA25" s="132"/>
    </row>
    <row r="26" spans="1:27" ht="20.10000000000000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226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219"/>
      <c r="P26" s="219"/>
      <c r="Q26" s="219"/>
      <c r="R26" s="219"/>
      <c r="S26" s="219"/>
      <c r="T26" s="219"/>
      <c r="U26" s="219"/>
      <c r="V26" s="132">
        <f t="shared" ref="V26:V27" si="8">SUM(X26:AA26)</f>
        <v>0</v>
      </c>
      <c r="W26" s="133" t="str">
        <f t="shared" ref="W26:W27" si="9">IF(ISERROR(V26/G26),"",V26/G26)</f>
        <v/>
      </c>
      <c r="X26" s="132"/>
      <c r="Y26" s="132"/>
      <c r="Z26" s="132"/>
      <c r="AA26" s="132"/>
    </row>
    <row r="27" spans="1:27" ht="20.10000000000000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226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219"/>
      <c r="P27" s="219"/>
      <c r="Q27" s="219"/>
      <c r="R27" s="219"/>
      <c r="S27" s="219"/>
      <c r="T27" s="219"/>
      <c r="U27" s="21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30" t="s">
        <v>201</v>
      </c>
      <c r="B28" s="631"/>
      <c r="C28" s="224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ref="W28:W33" si="11">IF(ISERROR(V28/G28),"",V28/G28)</f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customHeight="1">
      <c r="A29" s="300">
        <v>30100012</v>
      </c>
      <c r="B29" s="291" t="s">
        <v>206</v>
      </c>
      <c r="C29" s="126" t="s">
        <v>199</v>
      </c>
      <c r="D29" s="108">
        <v>5.03</v>
      </c>
      <c r="E29" s="108"/>
      <c r="F29" s="127"/>
      <c r="G29" s="128"/>
      <c r="H29" s="226">
        <f t="shared" ref="H29:H36" si="12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:M33" si="13">IF(ISERROR(I29-K29),"",I29-K29)</f>
        <v>0</v>
      </c>
      <c r="N29" s="130">
        <f t="shared" ref="N29:N33" si="14">SUM(O29:U29)</f>
        <v>0</v>
      </c>
      <c r="O29" s="221"/>
      <c r="P29" s="221"/>
      <c r="Q29" s="221"/>
      <c r="R29" s="221"/>
      <c r="S29" s="221"/>
      <c r="T29" s="221"/>
      <c r="U29" s="221"/>
      <c r="V29" s="132">
        <f t="shared" ref="V29:V33" si="15">SUM(X29:AA29)</f>
        <v>0</v>
      </c>
      <c r="W29" s="133" t="str">
        <f t="shared" si="11"/>
        <v/>
      </c>
      <c r="X29" s="132"/>
      <c r="Y29" s="132"/>
      <c r="Z29" s="132"/>
      <c r="AA29" s="132"/>
    </row>
    <row r="30" spans="1:27" ht="20.100000000000001" customHeight="1">
      <c r="A30" s="300">
        <v>30100011</v>
      </c>
      <c r="B30" s="291" t="s">
        <v>425</v>
      </c>
      <c r="C30" s="187" t="s">
        <v>432</v>
      </c>
      <c r="D30" s="108">
        <v>5.03</v>
      </c>
      <c r="E30" s="108"/>
      <c r="F30" s="127"/>
      <c r="G30" s="128"/>
      <c r="H30" s="239">
        <f t="shared" si="12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238"/>
      <c r="P30" s="238"/>
      <c r="Q30" s="238"/>
      <c r="R30" s="238"/>
      <c r="S30" s="238"/>
      <c r="T30" s="238"/>
      <c r="U30" s="238"/>
      <c r="V30" s="132"/>
      <c r="W30" s="133"/>
      <c r="X30" s="132"/>
      <c r="Y30" s="132"/>
      <c r="Z30" s="132"/>
      <c r="AA30" s="132"/>
    </row>
    <row r="31" spans="1:27" ht="20.100000000000001" customHeight="1">
      <c r="A31" s="300">
        <v>30100010</v>
      </c>
      <c r="B31" s="291" t="s">
        <v>206</v>
      </c>
      <c r="C31" s="126" t="s">
        <v>186</v>
      </c>
      <c r="D31" s="108">
        <v>5.03</v>
      </c>
      <c r="E31" s="108"/>
      <c r="F31" s="127"/>
      <c r="G31" s="128"/>
      <c r="H31" s="239">
        <f t="shared" si="12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si="13"/>
        <v>0</v>
      </c>
      <c r="N31" s="130">
        <f t="shared" si="14"/>
        <v>0</v>
      </c>
      <c r="O31" s="221"/>
      <c r="P31" s="221"/>
      <c r="Q31" s="221"/>
      <c r="R31" s="221"/>
      <c r="S31" s="221"/>
      <c r="T31" s="221"/>
      <c r="U31" s="221"/>
      <c r="V31" s="132">
        <f t="shared" si="15"/>
        <v>0</v>
      </c>
      <c r="W31" s="133" t="str">
        <f t="shared" si="11"/>
        <v/>
      </c>
      <c r="X31" s="132"/>
      <c r="Y31" s="132"/>
      <c r="Z31" s="132"/>
      <c r="AA31" s="132"/>
    </row>
    <row r="32" spans="1:27" ht="20.100000000000001" customHeight="1">
      <c r="A32" s="300">
        <v>30100014</v>
      </c>
      <c r="B32" s="291" t="s">
        <v>206</v>
      </c>
      <c r="C32" s="126" t="s">
        <v>203</v>
      </c>
      <c r="D32" s="108">
        <v>5.03</v>
      </c>
      <c r="E32" s="108"/>
      <c r="F32" s="127"/>
      <c r="G32" s="128"/>
      <c r="H32" s="226">
        <f t="shared" si="12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3"/>
        <v>0</v>
      </c>
      <c r="N32" s="130">
        <f t="shared" si="14"/>
        <v>0</v>
      </c>
      <c r="O32" s="221"/>
      <c r="P32" s="221"/>
      <c r="Q32" s="221"/>
      <c r="R32" s="221"/>
      <c r="S32" s="221"/>
      <c r="T32" s="221"/>
      <c r="U32" s="221"/>
      <c r="V32" s="132">
        <f t="shared" si="15"/>
        <v>0</v>
      </c>
      <c r="W32" s="133" t="str">
        <f t="shared" si="11"/>
        <v/>
      </c>
      <c r="X32" s="132"/>
      <c r="Y32" s="132"/>
      <c r="Z32" s="132"/>
      <c r="AA32" s="132"/>
    </row>
    <row r="33" spans="1:27" ht="20.100000000000001" customHeight="1">
      <c r="A33" s="300">
        <v>30100013</v>
      </c>
      <c r="B33" s="291" t="s">
        <v>206</v>
      </c>
      <c r="C33" s="126" t="s">
        <v>207</v>
      </c>
      <c r="D33" s="108">
        <v>5.03</v>
      </c>
      <c r="E33" s="108"/>
      <c r="F33" s="127"/>
      <c r="G33" s="128"/>
      <c r="H33" s="226">
        <f t="shared" si="12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3"/>
        <v>0</v>
      </c>
      <c r="N33" s="130">
        <f t="shared" si="14"/>
        <v>0</v>
      </c>
      <c r="O33" s="221"/>
      <c r="P33" s="221"/>
      <c r="Q33" s="221"/>
      <c r="R33" s="221"/>
      <c r="S33" s="221"/>
      <c r="T33" s="221"/>
      <c r="U33" s="221"/>
      <c r="V33" s="132">
        <f t="shared" si="15"/>
        <v>0</v>
      </c>
      <c r="W33" s="133" t="str">
        <f t="shared" si="11"/>
        <v/>
      </c>
      <c r="X33" s="132"/>
      <c r="Y33" s="132"/>
      <c r="Z33" s="132"/>
      <c r="AA33" s="132"/>
    </row>
    <row r="34" spans="1:27" ht="20.100000000000001" customHeight="1">
      <c r="A34" s="300">
        <v>30100016</v>
      </c>
      <c r="B34" s="291" t="s">
        <v>414</v>
      </c>
      <c r="C34" s="187" t="s">
        <v>415</v>
      </c>
      <c r="D34" s="108">
        <v>5.03</v>
      </c>
      <c r="E34" s="108"/>
      <c r="F34" s="127"/>
      <c r="G34" s="128"/>
      <c r="H34" s="226">
        <f t="shared" si="12"/>
        <v>0</v>
      </c>
      <c r="I34" s="129"/>
      <c r="J34" s="130"/>
      <c r="K34" s="131"/>
      <c r="L34" s="129">
        <v>52</v>
      </c>
      <c r="M34" s="109"/>
      <c r="N34" s="130"/>
      <c r="O34" s="221"/>
      <c r="P34" s="221"/>
      <c r="Q34" s="221"/>
      <c r="R34" s="221"/>
      <c r="S34" s="221"/>
      <c r="T34" s="221"/>
      <c r="U34" s="221"/>
      <c r="V34" s="132"/>
      <c r="W34" s="133"/>
      <c r="X34" s="132"/>
      <c r="Y34" s="132"/>
      <c r="Z34" s="132"/>
      <c r="AA34" s="132"/>
    </row>
    <row r="35" spans="1:27" ht="20.100000000000001" customHeight="1">
      <c r="A35" s="300">
        <v>30100017</v>
      </c>
      <c r="B35" s="291" t="s">
        <v>414</v>
      </c>
      <c r="C35" s="187" t="s">
        <v>416</v>
      </c>
      <c r="D35" s="108">
        <v>5.03</v>
      </c>
      <c r="E35" s="108"/>
      <c r="F35" s="127"/>
      <c r="G35" s="128"/>
      <c r="H35" s="226">
        <f t="shared" si="12"/>
        <v>0</v>
      </c>
      <c r="I35" s="129"/>
      <c r="J35" s="130"/>
      <c r="K35" s="131"/>
      <c r="L35" s="129">
        <v>52</v>
      </c>
      <c r="M35" s="109"/>
      <c r="N35" s="130"/>
      <c r="O35" s="221"/>
      <c r="P35" s="221"/>
      <c r="Q35" s="221"/>
      <c r="R35" s="221"/>
      <c r="S35" s="221"/>
      <c r="T35" s="221"/>
      <c r="U35" s="221"/>
      <c r="V35" s="132"/>
      <c r="W35" s="133"/>
      <c r="X35" s="132"/>
      <c r="Y35" s="132"/>
      <c r="Z35" s="132"/>
      <c r="AA35" s="132"/>
    </row>
    <row r="36" spans="1:27" ht="20.100000000000001" customHeight="1">
      <c r="A36" s="300">
        <v>30100015</v>
      </c>
      <c r="B36" s="291" t="s">
        <v>414</v>
      </c>
      <c r="C36" s="187" t="s">
        <v>61</v>
      </c>
      <c r="D36" s="108">
        <v>5.03</v>
      </c>
      <c r="E36" s="108"/>
      <c r="F36" s="127"/>
      <c r="G36" s="128"/>
      <c r="H36" s="226">
        <f t="shared" si="12"/>
        <v>0</v>
      </c>
      <c r="I36" s="129"/>
      <c r="J36" s="130"/>
      <c r="K36" s="131"/>
      <c r="L36" s="129">
        <v>52</v>
      </c>
      <c r="M36" s="109"/>
      <c r="N36" s="130"/>
      <c r="O36" s="221"/>
      <c r="P36" s="221"/>
      <c r="Q36" s="221"/>
      <c r="R36" s="221"/>
      <c r="S36" s="221"/>
      <c r="T36" s="221"/>
      <c r="U36" s="221"/>
      <c r="V36" s="132"/>
      <c r="W36" s="133"/>
      <c r="X36" s="132"/>
      <c r="Y36" s="132"/>
      <c r="Z36" s="132"/>
      <c r="AA36" s="132"/>
    </row>
    <row r="37" spans="1:27" ht="20.100000000000001" customHeight="1">
      <c r="A37" s="300">
        <v>30100027</v>
      </c>
      <c r="B37" s="291" t="s">
        <v>208</v>
      </c>
      <c r="C37" s="126" t="s">
        <v>179</v>
      </c>
      <c r="D37" s="108">
        <v>5.08</v>
      </c>
      <c r="E37" s="108"/>
      <c r="F37" s="127"/>
      <c r="G37" s="128"/>
      <c r="H37" s="226">
        <f t="shared" ref="H37:H85" si="16">D37*G37</f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57" si="17">IF(ISERROR(I37-K37),"",I37-K37)</f>
        <v>0</v>
      </c>
      <c r="N37" s="130">
        <f t="shared" ref="N37:N52" si="18">SUM(O37:U37)</f>
        <v>0</v>
      </c>
      <c r="O37" s="221"/>
      <c r="P37" s="221"/>
      <c r="Q37" s="221"/>
      <c r="R37" s="221"/>
      <c r="S37" s="221"/>
      <c r="T37" s="221"/>
      <c r="U37" s="221"/>
      <c r="V37" s="132">
        <f t="shared" ref="V37:V48" si="19">SUM(X37:AA37)</f>
        <v>0</v>
      </c>
      <c r="W37" s="133" t="str">
        <f t="shared" ref="W37:W48" si="20">IF(ISERROR(V37/G37),"",V37/G37)</f>
        <v/>
      </c>
      <c r="X37" s="132"/>
      <c r="Y37" s="132"/>
      <c r="Z37" s="132"/>
      <c r="AA37" s="132"/>
    </row>
    <row r="38" spans="1:27" ht="20.100000000000001" customHeight="1">
      <c r="A38" s="300">
        <v>30100023</v>
      </c>
      <c r="B38" s="291" t="s">
        <v>208</v>
      </c>
      <c r="C38" s="126" t="s">
        <v>204</v>
      </c>
      <c r="D38" s="108">
        <v>5.08</v>
      </c>
      <c r="E38" s="108"/>
      <c r="F38" s="127"/>
      <c r="G38" s="128"/>
      <c r="H38" s="226">
        <f t="shared" si="16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7"/>
        <v>0</v>
      </c>
      <c r="N38" s="130">
        <f t="shared" si="18"/>
        <v>0</v>
      </c>
      <c r="O38" s="221"/>
      <c r="P38" s="221"/>
      <c r="Q38" s="221"/>
      <c r="R38" s="221"/>
      <c r="S38" s="221"/>
      <c r="T38" s="221"/>
      <c r="U38" s="221"/>
      <c r="V38" s="132">
        <f t="shared" si="19"/>
        <v>0</v>
      </c>
      <c r="W38" s="133" t="str">
        <f t="shared" si="20"/>
        <v/>
      </c>
      <c r="X38" s="132"/>
      <c r="Y38" s="132"/>
      <c r="Z38" s="132"/>
      <c r="AA38" s="132"/>
    </row>
    <row r="39" spans="1:27" ht="20.100000000000001" customHeight="1">
      <c r="A39" s="300">
        <v>30100024</v>
      </c>
      <c r="B39" s="291" t="s">
        <v>208</v>
      </c>
      <c r="C39" s="126" t="s">
        <v>205</v>
      </c>
      <c r="D39" s="108">
        <v>5.08</v>
      </c>
      <c r="E39" s="108"/>
      <c r="F39" s="127"/>
      <c r="G39" s="128"/>
      <c r="H39" s="226">
        <f t="shared" si="16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7"/>
        <v>0</v>
      </c>
      <c r="N39" s="130">
        <f t="shared" si="18"/>
        <v>0</v>
      </c>
      <c r="O39" s="221"/>
      <c r="P39" s="221"/>
      <c r="Q39" s="221"/>
      <c r="R39" s="221"/>
      <c r="S39" s="221"/>
      <c r="T39" s="221"/>
      <c r="U39" s="221"/>
      <c r="V39" s="132">
        <f t="shared" si="19"/>
        <v>0</v>
      </c>
      <c r="W39" s="133" t="str">
        <f t="shared" si="20"/>
        <v/>
      </c>
      <c r="X39" s="132"/>
      <c r="Y39" s="132"/>
      <c r="Z39" s="132"/>
      <c r="AA39" s="132"/>
    </row>
    <row r="40" spans="1:27" ht="20.100000000000001" customHeight="1">
      <c r="A40" s="300">
        <v>30100022</v>
      </c>
      <c r="B40" s="291" t="s">
        <v>208</v>
      </c>
      <c r="C40" s="126" t="s">
        <v>186</v>
      </c>
      <c r="D40" s="108">
        <v>5.08</v>
      </c>
      <c r="E40" s="108"/>
      <c r="F40" s="127"/>
      <c r="G40" s="128"/>
      <c r="H40" s="226">
        <f t="shared" si="16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7"/>
        <v>0</v>
      </c>
      <c r="N40" s="130">
        <f t="shared" si="18"/>
        <v>0</v>
      </c>
      <c r="O40" s="221"/>
      <c r="P40" s="221"/>
      <c r="Q40" s="221"/>
      <c r="R40" s="221"/>
      <c r="S40" s="221"/>
      <c r="T40" s="221"/>
      <c r="U40" s="221"/>
      <c r="V40" s="132">
        <f t="shared" si="19"/>
        <v>0</v>
      </c>
      <c r="W40" s="133" t="str">
        <f t="shared" si="20"/>
        <v/>
      </c>
      <c r="X40" s="132"/>
      <c r="Y40" s="132"/>
      <c r="Z40" s="132"/>
      <c r="AA40" s="132"/>
    </row>
    <row r="41" spans="1:27" ht="20.100000000000001" customHeight="1">
      <c r="A41" s="300">
        <v>30100029</v>
      </c>
      <c r="B41" s="291" t="s">
        <v>208</v>
      </c>
      <c r="C41" s="126" t="s">
        <v>203</v>
      </c>
      <c r="D41" s="108">
        <v>5.08</v>
      </c>
      <c r="E41" s="108"/>
      <c r="F41" s="127"/>
      <c r="G41" s="128"/>
      <c r="H41" s="226">
        <f t="shared" si="16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7"/>
        <v>0</v>
      </c>
      <c r="N41" s="130">
        <f t="shared" si="18"/>
        <v>0</v>
      </c>
      <c r="O41" s="221"/>
      <c r="P41" s="221"/>
      <c r="Q41" s="221"/>
      <c r="R41" s="221"/>
      <c r="S41" s="221"/>
      <c r="T41" s="221"/>
      <c r="U41" s="221"/>
      <c r="V41" s="132">
        <f t="shared" si="19"/>
        <v>0</v>
      </c>
      <c r="W41" s="133" t="str">
        <f t="shared" si="20"/>
        <v/>
      </c>
      <c r="X41" s="132"/>
      <c r="Y41" s="132"/>
      <c r="Z41" s="132"/>
      <c r="AA41" s="132"/>
    </row>
    <row r="42" spans="1:27" ht="20.100000000000001" customHeight="1">
      <c r="A42" s="300">
        <v>30100026</v>
      </c>
      <c r="B42" s="291" t="s">
        <v>208</v>
      </c>
      <c r="C42" s="126" t="s">
        <v>199</v>
      </c>
      <c r="D42" s="108">
        <v>5.08</v>
      </c>
      <c r="E42" s="108"/>
      <c r="F42" s="127"/>
      <c r="G42" s="128"/>
      <c r="H42" s="226">
        <f t="shared" si="16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7"/>
        <v>0</v>
      </c>
      <c r="N42" s="130">
        <f t="shared" si="18"/>
        <v>0</v>
      </c>
      <c r="O42" s="219"/>
      <c r="P42" s="219"/>
      <c r="Q42" s="219"/>
      <c r="R42" s="219"/>
      <c r="S42" s="219"/>
      <c r="T42" s="219"/>
      <c r="U42" s="219"/>
      <c r="V42" s="132">
        <f t="shared" si="19"/>
        <v>0</v>
      </c>
      <c r="W42" s="133" t="str">
        <f t="shared" si="20"/>
        <v/>
      </c>
      <c r="X42" s="132"/>
      <c r="Y42" s="132"/>
      <c r="Z42" s="132"/>
      <c r="AA42" s="132"/>
    </row>
    <row r="43" spans="1:27" ht="20.100000000000001" customHeight="1">
      <c r="A43" s="300">
        <v>30100025</v>
      </c>
      <c r="B43" s="291" t="s">
        <v>208</v>
      </c>
      <c r="C43" s="126" t="s">
        <v>187</v>
      </c>
      <c r="D43" s="108">
        <v>5.08</v>
      </c>
      <c r="E43" s="108"/>
      <c r="F43" s="127"/>
      <c r="G43" s="128"/>
      <c r="H43" s="226">
        <f t="shared" si="16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7"/>
        <v>0</v>
      </c>
      <c r="N43" s="130">
        <f t="shared" si="18"/>
        <v>0</v>
      </c>
      <c r="O43" s="221"/>
      <c r="P43" s="221"/>
      <c r="Q43" s="221"/>
      <c r="R43" s="221"/>
      <c r="S43" s="221"/>
      <c r="T43" s="221"/>
      <c r="U43" s="221"/>
      <c r="V43" s="132">
        <f t="shared" si="19"/>
        <v>0</v>
      </c>
      <c r="W43" s="133" t="str">
        <f t="shared" si="20"/>
        <v/>
      </c>
      <c r="X43" s="132"/>
      <c r="Y43" s="132"/>
      <c r="Z43" s="132"/>
      <c r="AA43" s="132"/>
    </row>
    <row r="44" spans="1:27" ht="20.100000000000001" customHeight="1">
      <c r="A44" s="300">
        <v>30100028</v>
      </c>
      <c r="B44" s="291" t="s">
        <v>208</v>
      </c>
      <c r="C44" s="126" t="s">
        <v>207</v>
      </c>
      <c r="D44" s="108">
        <v>5.08</v>
      </c>
      <c r="E44" s="108"/>
      <c r="F44" s="127"/>
      <c r="G44" s="128"/>
      <c r="H44" s="226">
        <f t="shared" si="16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7"/>
        <v>0</v>
      </c>
      <c r="N44" s="130">
        <f t="shared" si="18"/>
        <v>0</v>
      </c>
      <c r="O44" s="219"/>
      <c r="P44" s="219"/>
      <c r="Q44" s="219"/>
      <c r="R44" s="219"/>
      <c r="S44" s="219"/>
      <c r="T44" s="219"/>
      <c r="U44" s="219"/>
      <c r="V44" s="132">
        <f t="shared" si="19"/>
        <v>0</v>
      </c>
      <c r="W44" s="133" t="str">
        <f t="shared" si="20"/>
        <v/>
      </c>
      <c r="X44" s="132"/>
      <c r="Y44" s="132"/>
      <c r="Z44" s="132"/>
      <c r="AA44" s="132"/>
    </row>
    <row r="45" spans="1:27" ht="20.100000000000001" customHeight="1">
      <c r="A45" s="300">
        <v>30100032</v>
      </c>
      <c r="B45" s="291" t="s">
        <v>209</v>
      </c>
      <c r="C45" s="126" t="s">
        <v>194</v>
      </c>
      <c r="D45" s="108">
        <v>5.03</v>
      </c>
      <c r="E45" s="108"/>
      <c r="F45" s="127"/>
      <c r="G45" s="128"/>
      <c r="H45" s="226">
        <f t="shared" si="16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7"/>
        <v>0</v>
      </c>
      <c r="N45" s="130">
        <f t="shared" si="18"/>
        <v>0</v>
      </c>
      <c r="O45" s="221"/>
      <c r="P45" s="221"/>
      <c r="Q45" s="221"/>
      <c r="R45" s="221"/>
      <c r="S45" s="221"/>
      <c r="T45" s="221"/>
      <c r="U45" s="221"/>
      <c r="V45" s="132">
        <f t="shared" si="19"/>
        <v>0</v>
      </c>
      <c r="W45" s="133" t="str">
        <f t="shared" si="20"/>
        <v/>
      </c>
      <c r="X45" s="132"/>
      <c r="Y45" s="132"/>
      <c r="Z45" s="132"/>
      <c r="AA45" s="132"/>
    </row>
    <row r="46" spans="1:27" ht="20.100000000000001" customHeight="1">
      <c r="A46" s="300">
        <v>30100033</v>
      </c>
      <c r="B46" s="291" t="s">
        <v>209</v>
      </c>
      <c r="C46" s="126" t="s">
        <v>179</v>
      </c>
      <c r="D46" s="108">
        <v>5.03</v>
      </c>
      <c r="E46" s="108"/>
      <c r="F46" s="127"/>
      <c r="G46" s="128"/>
      <c r="H46" s="226">
        <f t="shared" si="16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7"/>
        <v>0</v>
      </c>
      <c r="N46" s="130">
        <f t="shared" si="18"/>
        <v>0</v>
      </c>
      <c r="O46" s="221"/>
      <c r="P46" s="221"/>
      <c r="Q46" s="221"/>
      <c r="R46" s="221"/>
      <c r="S46" s="221"/>
      <c r="T46" s="221"/>
      <c r="U46" s="221"/>
      <c r="V46" s="132">
        <f t="shared" si="19"/>
        <v>0</v>
      </c>
      <c r="W46" s="133" t="str">
        <f t="shared" si="20"/>
        <v/>
      </c>
      <c r="X46" s="132"/>
      <c r="Y46" s="132"/>
      <c r="Z46" s="132"/>
      <c r="AA46" s="132"/>
    </row>
    <row r="47" spans="1:27" ht="20.100000000000001" customHeight="1">
      <c r="A47" s="300">
        <v>30100062</v>
      </c>
      <c r="B47" s="291" t="s">
        <v>209</v>
      </c>
      <c r="C47" s="126" t="s">
        <v>195</v>
      </c>
      <c r="D47" s="108">
        <v>5.03</v>
      </c>
      <c r="E47" s="108"/>
      <c r="F47" s="127"/>
      <c r="G47" s="128"/>
      <c r="H47" s="226">
        <f t="shared" si="16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7"/>
        <v>0</v>
      </c>
      <c r="N47" s="130">
        <f t="shared" si="18"/>
        <v>0</v>
      </c>
      <c r="O47" s="221"/>
      <c r="P47" s="221"/>
      <c r="Q47" s="221"/>
      <c r="R47" s="221"/>
      <c r="S47" s="221"/>
      <c r="T47" s="221"/>
      <c r="U47" s="221"/>
      <c r="V47" s="132">
        <f t="shared" si="19"/>
        <v>0</v>
      </c>
      <c r="W47" s="133" t="str">
        <f t="shared" si="20"/>
        <v/>
      </c>
      <c r="X47" s="132"/>
      <c r="Y47" s="132"/>
      <c r="Z47" s="132"/>
      <c r="AA47" s="132"/>
    </row>
    <row r="48" spans="1:27" ht="20.100000000000001" customHeight="1">
      <c r="A48" s="300">
        <v>30100031</v>
      </c>
      <c r="B48" s="291" t="s">
        <v>209</v>
      </c>
      <c r="C48" s="126" t="s">
        <v>204</v>
      </c>
      <c r="D48" s="108">
        <v>5.03</v>
      </c>
      <c r="E48" s="108"/>
      <c r="F48" s="127"/>
      <c r="G48" s="128"/>
      <c r="H48" s="226">
        <f t="shared" si="16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7"/>
        <v>0</v>
      </c>
      <c r="N48" s="130">
        <f t="shared" si="18"/>
        <v>0</v>
      </c>
      <c r="O48" s="221"/>
      <c r="P48" s="221"/>
      <c r="Q48" s="221"/>
      <c r="R48" s="221"/>
      <c r="S48" s="221"/>
      <c r="T48" s="221"/>
      <c r="U48" s="221"/>
      <c r="V48" s="132">
        <f t="shared" si="19"/>
        <v>0</v>
      </c>
      <c r="W48" s="133" t="str">
        <f t="shared" si="20"/>
        <v/>
      </c>
      <c r="X48" s="132"/>
      <c r="Y48" s="132"/>
      <c r="Z48" s="132"/>
      <c r="AA48" s="132"/>
    </row>
    <row r="49" spans="1:27" ht="20.100000000000001" customHeight="1">
      <c r="A49" s="300">
        <v>30100019</v>
      </c>
      <c r="B49" s="291" t="s">
        <v>382</v>
      </c>
      <c r="C49" s="187" t="s">
        <v>383</v>
      </c>
      <c r="D49" s="108">
        <v>5.03</v>
      </c>
      <c r="E49" s="108"/>
      <c r="F49" s="127"/>
      <c r="G49" s="128"/>
      <c r="H49" s="226">
        <f t="shared" si="16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7"/>
        <v>0</v>
      </c>
      <c r="N49" s="130">
        <f t="shared" si="18"/>
        <v>0</v>
      </c>
      <c r="O49" s="221"/>
      <c r="P49" s="221"/>
      <c r="Q49" s="221"/>
      <c r="R49" s="221"/>
      <c r="S49" s="221"/>
      <c r="T49" s="221"/>
      <c r="U49" s="221"/>
      <c r="V49" s="132"/>
      <c r="W49" s="133"/>
      <c r="X49" s="132"/>
      <c r="Y49" s="132"/>
      <c r="Z49" s="132"/>
      <c r="AA49" s="132"/>
    </row>
    <row r="50" spans="1:27" ht="20.100000000000001" customHeight="1">
      <c r="A50" s="300">
        <v>30100020</v>
      </c>
      <c r="B50" s="291" t="s">
        <v>382</v>
      </c>
      <c r="C50" s="187" t="s">
        <v>384</v>
      </c>
      <c r="D50" s="108">
        <v>5.03</v>
      </c>
      <c r="E50" s="108"/>
      <c r="F50" s="127"/>
      <c r="G50" s="128"/>
      <c r="H50" s="226">
        <f t="shared" si="16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7"/>
        <v>0</v>
      </c>
      <c r="N50" s="130">
        <f t="shared" si="18"/>
        <v>0</v>
      </c>
      <c r="O50" s="221"/>
      <c r="P50" s="221"/>
      <c r="Q50" s="221"/>
      <c r="R50" s="221"/>
      <c r="S50" s="221"/>
      <c r="T50" s="221"/>
      <c r="U50" s="221"/>
      <c r="V50" s="132"/>
      <c r="W50" s="133"/>
      <c r="X50" s="132"/>
      <c r="Y50" s="132"/>
      <c r="Z50" s="132"/>
      <c r="AA50" s="132"/>
    </row>
    <row r="51" spans="1:27" ht="20.100000000000001" customHeight="1">
      <c r="A51" s="300">
        <v>30100021</v>
      </c>
      <c r="B51" s="291" t="s">
        <v>382</v>
      </c>
      <c r="C51" s="187" t="s">
        <v>389</v>
      </c>
      <c r="D51" s="108">
        <v>5.03</v>
      </c>
      <c r="E51" s="108"/>
      <c r="F51" s="127"/>
      <c r="G51" s="128"/>
      <c r="H51" s="226">
        <f t="shared" si="16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7"/>
        <v>0</v>
      </c>
      <c r="N51" s="130">
        <f t="shared" si="18"/>
        <v>0</v>
      </c>
      <c r="O51" s="221"/>
      <c r="P51" s="221"/>
      <c r="Q51" s="221"/>
      <c r="R51" s="221"/>
      <c r="S51" s="221"/>
      <c r="T51" s="221"/>
      <c r="U51" s="221"/>
      <c r="V51" s="132"/>
      <c r="W51" s="133"/>
      <c r="X51" s="132"/>
      <c r="Y51" s="132"/>
      <c r="Z51" s="132"/>
      <c r="AA51" s="132"/>
    </row>
    <row r="52" spans="1:27" ht="20.100000000000001" customHeight="1">
      <c r="A52" s="300">
        <v>30100018</v>
      </c>
      <c r="B52" s="291" t="s">
        <v>382</v>
      </c>
      <c r="C52" s="187" t="s">
        <v>391</v>
      </c>
      <c r="D52" s="108">
        <v>5.03</v>
      </c>
      <c r="E52" s="108"/>
      <c r="F52" s="127"/>
      <c r="G52" s="128"/>
      <c r="H52" s="226">
        <f t="shared" si="16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7"/>
        <v>0</v>
      </c>
      <c r="N52" s="130">
        <f t="shared" si="18"/>
        <v>0</v>
      </c>
      <c r="O52" s="221"/>
      <c r="P52" s="221"/>
      <c r="Q52" s="221"/>
      <c r="R52" s="221"/>
      <c r="S52" s="221"/>
      <c r="T52" s="221"/>
      <c r="U52" s="221"/>
      <c r="V52" s="132"/>
      <c r="W52" s="133"/>
      <c r="X52" s="132"/>
      <c r="Y52" s="132"/>
      <c r="Z52" s="132"/>
      <c r="AA52" s="132"/>
    </row>
    <row r="53" spans="1:27" ht="20.100000000000001" customHeight="1">
      <c r="A53" s="303">
        <v>30700007</v>
      </c>
      <c r="B53" s="291" t="s">
        <v>418</v>
      </c>
      <c r="C53" s="187" t="s">
        <v>364</v>
      </c>
      <c r="D53" s="108">
        <v>5.03</v>
      </c>
      <c r="E53" s="108"/>
      <c r="F53" s="127"/>
      <c r="G53" s="128"/>
      <c r="H53" s="226">
        <f t="shared" si="16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7"/>
        <v>0</v>
      </c>
      <c r="N53" s="130"/>
      <c r="O53" s="221"/>
      <c r="P53" s="221"/>
      <c r="Q53" s="221"/>
      <c r="R53" s="221"/>
      <c r="S53" s="221"/>
      <c r="T53" s="221"/>
      <c r="U53" s="221"/>
      <c r="V53" s="132"/>
      <c r="W53" s="133"/>
      <c r="X53" s="132"/>
      <c r="Y53" s="132"/>
      <c r="Z53" s="132"/>
      <c r="AA53" s="132"/>
    </row>
    <row r="54" spans="1:27" ht="20.100000000000001" customHeight="1">
      <c r="A54" s="303">
        <v>30700006</v>
      </c>
      <c r="B54" s="291" t="s">
        <v>418</v>
      </c>
      <c r="C54" s="187" t="s">
        <v>365</v>
      </c>
      <c r="D54" s="108">
        <v>5.03</v>
      </c>
      <c r="E54" s="108"/>
      <c r="F54" s="127"/>
      <c r="G54" s="128"/>
      <c r="H54" s="226">
        <f t="shared" si="16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7"/>
        <v>0</v>
      </c>
      <c r="N54" s="130"/>
      <c r="O54" s="221"/>
      <c r="P54" s="221"/>
      <c r="Q54" s="221"/>
      <c r="R54" s="221"/>
      <c r="S54" s="221"/>
      <c r="T54" s="221"/>
      <c r="U54" s="221"/>
      <c r="V54" s="132"/>
      <c r="W54" s="133"/>
      <c r="X54" s="132"/>
      <c r="Y54" s="132"/>
      <c r="Z54" s="132"/>
      <c r="AA54" s="132"/>
    </row>
    <row r="55" spans="1:27" ht="20.100000000000001" customHeight="1">
      <c r="A55" s="303">
        <v>30700008</v>
      </c>
      <c r="B55" s="291" t="s">
        <v>418</v>
      </c>
      <c r="C55" s="187" t="s">
        <v>366</v>
      </c>
      <c r="D55" s="108">
        <v>5.03</v>
      </c>
      <c r="E55" s="108"/>
      <c r="F55" s="127"/>
      <c r="G55" s="128"/>
      <c r="H55" s="226">
        <f t="shared" si="16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7"/>
        <v>0</v>
      </c>
      <c r="N55" s="130"/>
      <c r="O55" s="221"/>
      <c r="P55" s="221"/>
      <c r="Q55" s="221"/>
      <c r="R55" s="221"/>
      <c r="S55" s="221"/>
      <c r="T55" s="221"/>
      <c r="U55" s="221"/>
      <c r="V55" s="132"/>
      <c r="W55" s="133"/>
      <c r="X55" s="132"/>
      <c r="Y55" s="132"/>
      <c r="Z55" s="132"/>
      <c r="AA55" s="132"/>
    </row>
    <row r="56" spans="1:27" ht="20.100000000000001" customHeight="1">
      <c r="A56" s="303">
        <v>30700009</v>
      </c>
      <c r="B56" s="291" t="s">
        <v>418</v>
      </c>
      <c r="C56" s="187" t="s">
        <v>367</v>
      </c>
      <c r="D56" s="108">
        <v>5.03</v>
      </c>
      <c r="E56" s="108"/>
      <c r="F56" s="127"/>
      <c r="G56" s="128"/>
      <c r="H56" s="226">
        <f t="shared" si="16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7"/>
        <v>0</v>
      </c>
      <c r="N56" s="130"/>
      <c r="O56" s="221"/>
      <c r="P56" s="221"/>
      <c r="Q56" s="221"/>
      <c r="R56" s="221"/>
      <c r="S56" s="221"/>
      <c r="T56" s="221"/>
      <c r="U56" s="221"/>
      <c r="V56" s="132"/>
      <c r="W56" s="133"/>
      <c r="X56" s="132"/>
      <c r="Y56" s="132"/>
      <c r="Z56" s="132"/>
      <c r="AA56" s="132"/>
    </row>
    <row r="57" spans="1:27" ht="20.10000000000000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226">
        <f t="shared" si="16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7"/>
        <v>0</v>
      </c>
      <c r="N57" s="130">
        <f t="shared" ref="N57:N66" si="21">SUM(O57:U57)</f>
        <v>0</v>
      </c>
      <c r="O57" s="219"/>
      <c r="P57" s="219"/>
      <c r="Q57" s="219"/>
      <c r="R57" s="219"/>
      <c r="S57" s="219"/>
      <c r="T57" s="219"/>
      <c r="U57" s="219"/>
      <c r="V57" s="132">
        <f t="shared" ref="V57:V66" si="22">SUM(X57:AA57)</f>
        <v>0</v>
      </c>
      <c r="W57" s="133" t="str">
        <f t="shared" ref="W57:W66" si="23">IF(ISERROR(V57/G57),"",V57/G57)</f>
        <v/>
      </c>
      <c r="X57" s="132"/>
      <c r="Y57" s="132"/>
      <c r="Z57" s="132"/>
      <c r="AA57" s="132"/>
    </row>
    <row r="58" spans="1:27" ht="20.10000000000000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226">
        <f t="shared" si="16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ref="M58:M66" si="24">IF(ISERROR(I58-K58),"",I58-K58)</f>
        <v>0</v>
      </c>
      <c r="N58" s="130">
        <f t="shared" si="21"/>
        <v>0</v>
      </c>
      <c r="O58" s="219"/>
      <c r="P58" s="219"/>
      <c r="Q58" s="219"/>
      <c r="R58" s="219"/>
      <c r="S58" s="219"/>
      <c r="T58" s="219"/>
      <c r="U58" s="219"/>
      <c r="V58" s="132">
        <f t="shared" si="22"/>
        <v>0</v>
      </c>
      <c r="W58" s="133" t="str">
        <f t="shared" si="23"/>
        <v/>
      </c>
      <c r="X58" s="132"/>
      <c r="Y58" s="132"/>
      <c r="Z58" s="132"/>
      <c r="AA58" s="132"/>
    </row>
    <row r="59" spans="1:27" ht="20.10000000000000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226">
        <f t="shared" si="16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24"/>
        <v>0</v>
      </c>
      <c r="N59" s="130">
        <f t="shared" si="21"/>
        <v>0</v>
      </c>
      <c r="O59" s="219"/>
      <c r="P59" s="219"/>
      <c r="Q59" s="219"/>
      <c r="R59" s="219"/>
      <c r="S59" s="219"/>
      <c r="T59" s="219"/>
      <c r="U59" s="219"/>
      <c r="V59" s="132">
        <f t="shared" si="22"/>
        <v>0</v>
      </c>
      <c r="W59" s="133" t="str">
        <f t="shared" si="23"/>
        <v/>
      </c>
      <c r="X59" s="132"/>
      <c r="Y59" s="132"/>
      <c r="Z59" s="132"/>
      <c r="AA59" s="132"/>
    </row>
    <row r="60" spans="1:27" ht="20.10000000000000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226">
        <f t="shared" si="16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24"/>
        <v>0</v>
      </c>
      <c r="N60" s="130">
        <f t="shared" si="21"/>
        <v>0</v>
      </c>
      <c r="O60" s="219"/>
      <c r="P60" s="219"/>
      <c r="Q60" s="219"/>
      <c r="R60" s="219"/>
      <c r="S60" s="219"/>
      <c r="T60" s="219"/>
      <c r="U60" s="219"/>
      <c r="V60" s="132">
        <f t="shared" si="22"/>
        <v>0</v>
      </c>
      <c r="W60" s="133" t="str">
        <f t="shared" si="23"/>
        <v/>
      </c>
      <c r="X60" s="132"/>
      <c r="Y60" s="132"/>
      <c r="Z60" s="132"/>
      <c r="AA60" s="132"/>
    </row>
    <row r="61" spans="1:27" ht="20.10000000000000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226">
        <f t="shared" si="16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24"/>
        <v>0</v>
      </c>
      <c r="N61" s="130">
        <f t="shared" si="21"/>
        <v>0</v>
      </c>
      <c r="O61" s="219"/>
      <c r="P61" s="219"/>
      <c r="Q61" s="219"/>
      <c r="R61" s="219"/>
      <c r="S61" s="219"/>
      <c r="T61" s="219"/>
      <c r="U61" s="219"/>
      <c r="V61" s="132">
        <f t="shared" si="22"/>
        <v>0</v>
      </c>
      <c r="W61" s="133" t="str">
        <f t="shared" si="23"/>
        <v/>
      </c>
      <c r="X61" s="132"/>
      <c r="Y61" s="132"/>
      <c r="Z61" s="132"/>
      <c r="AA61" s="132"/>
    </row>
    <row r="62" spans="1:27" ht="20.10000000000000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226">
        <f t="shared" si="16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24"/>
        <v>0</v>
      </c>
      <c r="N62" s="130">
        <f t="shared" si="21"/>
        <v>0</v>
      </c>
      <c r="O62" s="219"/>
      <c r="P62" s="219"/>
      <c r="Q62" s="219"/>
      <c r="R62" s="219"/>
      <c r="S62" s="219"/>
      <c r="T62" s="219"/>
      <c r="U62" s="219"/>
      <c r="V62" s="132">
        <f t="shared" si="22"/>
        <v>0</v>
      </c>
      <c r="W62" s="133" t="str">
        <f t="shared" si="23"/>
        <v/>
      </c>
      <c r="X62" s="132"/>
      <c r="Y62" s="132"/>
      <c r="Z62" s="132"/>
      <c r="AA62" s="132"/>
    </row>
    <row r="63" spans="1:27" ht="20.10000000000000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226">
        <f t="shared" si="16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24"/>
        <v>0</v>
      </c>
      <c r="N63" s="130">
        <f t="shared" si="21"/>
        <v>0</v>
      </c>
      <c r="O63" s="219"/>
      <c r="P63" s="219"/>
      <c r="Q63" s="219"/>
      <c r="R63" s="219"/>
      <c r="S63" s="219"/>
      <c r="T63" s="219"/>
      <c r="U63" s="219"/>
      <c r="V63" s="132">
        <f t="shared" si="22"/>
        <v>0</v>
      </c>
      <c r="W63" s="133" t="str">
        <f t="shared" si="23"/>
        <v/>
      </c>
      <c r="X63" s="132"/>
      <c r="Y63" s="132"/>
      <c r="Z63" s="132"/>
      <c r="AA63" s="132"/>
    </row>
    <row r="64" spans="1:27" ht="20.10000000000000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226">
        <f t="shared" si="16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24"/>
        <v>0</v>
      </c>
      <c r="N64" s="130">
        <f t="shared" si="21"/>
        <v>0</v>
      </c>
      <c r="O64" s="219"/>
      <c r="P64" s="219"/>
      <c r="Q64" s="219"/>
      <c r="R64" s="219"/>
      <c r="S64" s="219"/>
      <c r="T64" s="219"/>
      <c r="U64" s="219"/>
      <c r="V64" s="132">
        <f t="shared" si="22"/>
        <v>0</v>
      </c>
      <c r="W64" s="133" t="str">
        <f t="shared" si="23"/>
        <v/>
      </c>
      <c r="X64" s="132"/>
      <c r="Y64" s="132"/>
      <c r="Z64" s="132"/>
      <c r="AA64" s="132"/>
    </row>
    <row r="65" spans="1:27" ht="20.10000000000000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226">
        <f t="shared" si="16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24"/>
        <v>0</v>
      </c>
      <c r="N65" s="130">
        <f t="shared" si="21"/>
        <v>0</v>
      </c>
      <c r="O65" s="219"/>
      <c r="P65" s="219"/>
      <c r="Q65" s="219"/>
      <c r="R65" s="219"/>
      <c r="S65" s="219"/>
      <c r="T65" s="219"/>
      <c r="U65" s="219"/>
      <c r="V65" s="132">
        <f t="shared" si="22"/>
        <v>0</v>
      </c>
      <c r="W65" s="133" t="str">
        <f t="shared" si="23"/>
        <v/>
      </c>
      <c r="X65" s="132"/>
      <c r="Y65" s="132"/>
      <c r="Z65" s="132"/>
      <c r="AA65" s="132"/>
    </row>
    <row r="66" spans="1:27" ht="20.10000000000000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226">
        <f t="shared" si="16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24"/>
        <v>0</v>
      </c>
      <c r="N66" s="130">
        <f t="shared" si="21"/>
        <v>0</v>
      </c>
      <c r="O66" s="219"/>
      <c r="P66" s="219"/>
      <c r="Q66" s="219"/>
      <c r="R66" s="219"/>
      <c r="S66" s="219"/>
      <c r="T66" s="219"/>
      <c r="U66" s="219"/>
      <c r="V66" s="132">
        <f t="shared" si="22"/>
        <v>0</v>
      </c>
      <c r="W66" s="133" t="str">
        <f t="shared" si="23"/>
        <v/>
      </c>
      <c r="X66" s="132"/>
      <c r="Y66" s="132"/>
      <c r="Z66" s="132"/>
      <c r="AA66" s="132"/>
    </row>
    <row r="67" spans="1:27" ht="20.100000000000001" customHeight="1">
      <c r="A67" s="300">
        <v>30100043</v>
      </c>
      <c r="B67" s="134" t="s">
        <v>429</v>
      </c>
      <c r="C67" s="297" t="s">
        <v>452</v>
      </c>
      <c r="D67" s="108">
        <v>5.03</v>
      </c>
      <c r="E67" s="108"/>
      <c r="F67" s="127"/>
      <c r="G67" s="128"/>
      <c r="H67" s="239">
        <f t="shared" si="16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237"/>
      <c r="P67" s="237"/>
      <c r="Q67" s="237"/>
      <c r="R67" s="237"/>
      <c r="S67" s="237"/>
      <c r="T67" s="237"/>
      <c r="U67" s="237"/>
      <c r="V67" s="132"/>
      <c r="W67" s="133"/>
      <c r="X67" s="132"/>
      <c r="Y67" s="132"/>
      <c r="Z67" s="132"/>
      <c r="AA67" s="132"/>
    </row>
    <row r="68" spans="1:27" ht="20.10000000000000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239">
        <f t="shared" si="16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219"/>
      <c r="P68" s="219"/>
      <c r="Q68" s="219"/>
      <c r="R68" s="219"/>
      <c r="S68" s="219"/>
      <c r="T68" s="219"/>
      <c r="U68" s="219"/>
      <c r="V68" s="132"/>
      <c r="W68" s="133"/>
      <c r="X68" s="132"/>
      <c r="Y68" s="132"/>
      <c r="Z68" s="132"/>
      <c r="AA68" s="132"/>
    </row>
    <row r="69" spans="1:27" ht="20.10000000000000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228">
        <f t="shared" si="16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5">IF(ISERROR(I69-K69),"",I69-K69)</f>
        <v>0</v>
      </c>
      <c r="N69" s="130">
        <f t="shared" ref="N69:N70" si="26">SUM(O69:U69)</f>
        <v>0</v>
      </c>
      <c r="O69" s="219"/>
      <c r="P69" s="219"/>
      <c r="Q69" s="219"/>
      <c r="R69" s="219"/>
      <c r="S69" s="219"/>
      <c r="T69" s="219"/>
      <c r="U69" s="219"/>
      <c r="V69" s="132">
        <f t="shared" ref="V69:V70" si="27">SUM(X69:AA69)</f>
        <v>0</v>
      </c>
      <c r="W69" s="133" t="str">
        <f t="shared" ref="W69:W70" si="28">IF(ISERROR(V69/G69),"",V69/G69)</f>
        <v/>
      </c>
      <c r="X69" s="132"/>
      <c r="Y69" s="132"/>
      <c r="Z69" s="132"/>
      <c r="AA69" s="132"/>
    </row>
    <row r="70" spans="1:27" ht="20.10000000000000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228">
        <f t="shared" si="16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5"/>
        <v>0</v>
      </c>
      <c r="N70" s="130">
        <f t="shared" si="26"/>
        <v>0</v>
      </c>
      <c r="O70" s="219"/>
      <c r="P70" s="219"/>
      <c r="Q70" s="219"/>
      <c r="R70" s="219"/>
      <c r="S70" s="219"/>
      <c r="T70" s="219"/>
      <c r="U70" s="219"/>
      <c r="V70" s="132">
        <f t="shared" si="27"/>
        <v>0</v>
      </c>
      <c r="W70" s="133" t="str">
        <f t="shared" si="28"/>
        <v/>
      </c>
      <c r="X70" s="132"/>
      <c r="Y70" s="132"/>
      <c r="Z70" s="132"/>
      <c r="AA70" s="132"/>
    </row>
    <row r="71" spans="1:27" ht="20.100000000000001" customHeight="1">
      <c r="A71" s="300"/>
      <c r="B71" s="134" t="s">
        <v>487</v>
      </c>
      <c r="C71" s="187" t="s">
        <v>361</v>
      </c>
      <c r="D71" s="108">
        <v>5.03</v>
      </c>
      <c r="E71" s="108"/>
      <c r="F71" s="127"/>
      <c r="G71" s="128"/>
      <c r="H71" s="228">
        <f t="shared" si="16"/>
        <v>0</v>
      </c>
      <c r="I71" s="129"/>
      <c r="J71" s="130"/>
      <c r="K71" s="131"/>
      <c r="L71" s="129"/>
      <c r="M71" s="109"/>
      <c r="N71" s="130"/>
      <c r="O71" s="219"/>
      <c r="P71" s="219"/>
      <c r="Q71" s="219"/>
      <c r="R71" s="219"/>
      <c r="S71" s="219"/>
      <c r="T71" s="219"/>
      <c r="U71" s="219"/>
      <c r="V71" s="132"/>
      <c r="W71" s="133"/>
      <c r="X71" s="132"/>
      <c r="Y71" s="132"/>
      <c r="Z71" s="132"/>
      <c r="AA71" s="132"/>
    </row>
    <row r="72" spans="1:27" ht="20.10000000000000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228">
        <f t="shared" si="16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29">IF(ISERROR(I72-K72),"",I72-K72)</f>
        <v/>
      </c>
      <c r="N72" s="130">
        <f t="shared" ref="N72:N75" si="30">SUM(O72:U72)</f>
        <v>0</v>
      </c>
      <c r="O72" s="219"/>
      <c r="P72" s="219"/>
      <c r="Q72" s="219"/>
      <c r="R72" s="219"/>
      <c r="S72" s="219"/>
      <c r="T72" s="219"/>
      <c r="U72" s="219"/>
      <c r="V72" s="132">
        <f t="shared" ref="V72:V75" si="31">SUM(X72:AA72)</f>
        <v>0</v>
      </c>
      <c r="W72" s="133" t="str">
        <f t="shared" ref="W72:W75" si="32">IF(ISERROR(V72/G72),"",V72/G72)</f>
        <v/>
      </c>
      <c r="X72" s="132"/>
      <c r="Y72" s="132"/>
      <c r="Z72" s="132"/>
      <c r="AA72" s="132"/>
    </row>
    <row r="73" spans="1:27" ht="20.10000000000000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228">
        <f t="shared" si="16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29"/>
        <v/>
      </c>
      <c r="N73" s="130">
        <f t="shared" si="30"/>
        <v>0</v>
      </c>
      <c r="O73" s="219"/>
      <c r="P73" s="219"/>
      <c r="Q73" s="219"/>
      <c r="R73" s="219"/>
      <c r="S73" s="219"/>
      <c r="T73" s="219"/>
      <c r="U73" s="219"/>
      <c r="V73" s="132">
        <f t="shared" si="31"/>
        <v>0</v>
      </c>
      <c r="W73" s="133" t="str">
        <f t="shared" si="32"/>
        <v/>
      </c>
      <c r="X73" s="132"/>
      <c r="Y73" s="132"/>
      <c r="Z73" s="132"/>
      <c r="AA73" s="132"/>
    </row>
    <row r="74" spans="1:27" ht="20.10000000000000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228">
        <f t="shared" si="16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29"/>
        <v/>
      </c>
      <c r="N74" s="130">
        <f t="shared" si="30"/>
        <v>0</v>
      </c>
      <c r="O74" s="219"/>
      <c r="P74" s="219"/>
      <c r="Q74" s="219"/>
      <c r="R74" s="219"/>
      <c r="S74" s="219"/>
      <c r="T74" s="219"/>
      <c r="U74" s="219"/>
      <c r="V74" s="132">
        <f t="shared" si="31"/>
        <v>0</v>
      </c>
      <c r="W74" s="133" t="str">
        <f t="shared" si="32"/>
        <v/>
      </c>
      <c r="X74" s="132"/>
      <c r="Y74" s="132"/>
      <c r="Z74" s="132"/>
      <c r="AA74" s="132"/>
    </row>
    <row r="75" spans="1:27" ht="20.100000000000001" customHeight="1">
      <c r="A75" s="300">
        <v>30100058</v>
      </c>
      <c r="B75" s="140" t="s">
        <v>488</v>
      </c>
      <c r="C75" s="126" t="s">
        <v>187</v>
      </c>
      <c r="D75" s="108">
        <v>5.0599999999999996</v>
      </c>
      <c r="E75" s="108"/>
      <c r="F75" s="127"/>
      <c r="G75" s="128"/>
      <c r="H75" s="228">
        <f t="shared" si="16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29"/>
        <v/>
      </c>
      <c r="N75" s="130">
        <f t="shared" si="30"/>
        <v>0</v>
      </c>
      <c r="O75" s="219"/>
      <c r="P75" s="219"/>
      <c r="Q75" s="219"/>
      <c r="R75" s="219"/>
      <c r="S75" s="219"/>
      <c r="T75" s="219"/>
      <c r="U75" s="219"/>
      <c r="V75" s="132">
        <f t="shared" si="31"/>
        <v>0</v>
      </c>
      <c r="W75" s="133" t="str">
        <f t="shared" si="32"/>
        <v/>
      </c>
      <c r="X75" s="132"/>
      <c r="Y75" s="132"/>
      <c r="Z75" s="132"/>
      <c r="AA75" s="132"/>
    </row>
    <row r="76" spans="1:27" ht="20.10000000000000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228">
        <f t="shared" si="16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29"/>
        <v>0</v>
      </c>
      <c r="N76" s="130"/>
      <c r="O76" s="219"/>
      <c r="P76" s="219"/>
      <c r="Q76" s="219"/>
      <c r="R76" s="219"/>
      <c r="S76" s="219"/>
      <c r="T76" s="219"/>
      <c r="U76" s="219"/>
      <c r="V76" s="132"/>
      <c r="W76" s="133"/>
      <c r="X76" s="132"/>
      <c r="Y76" s="132"/>
      <c r="Z76" s="132"/>
      <c r="AA76" s="132"/>
    </row>
    <row r="77" spans="1:27" ht="20.10000000000000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228">
        <f t="shared" si="16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29"/>
        <v>0</v>
      </c>
      <c r="N77" s="130"/>
      <c r="O77" s="219"/>
      <c r="P77" s="219"/>
      <c r="Q77" s="219"/>
      <c r="R77" s="219"/>
      <c r="S77" s="219"/>
      <c r="T77" s="219"/>
      <c r="U77" s="219"/>
      <c r="V77" s="132"/>
      <c r="W77" s="133"/>
      <c r="X77" s="132"/>
      <c r="Y77" s="132"/>
      <c r="Z77" s="132"/>
      <c r="AA77" s="132"/>
    </row>
    <row r="78" spans="1:27" ht="20.10000000000000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228">
        <f t="shared" si="16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29"/>
        <v>0</v>
      </c>
      <c r="N78" s="130"/>
      <c r="O78" s="219"/>
      <c r="P78" s="219"/>
      <c r="Q78" s="219"/>
      <c r="R78" s="219"/>
      <c r="S78" s="219"/>
      <c r="T78" s="219"/>
      <c r="U78" s="219"/>
      <c r="V78" s="132"/>
      <c r="W78" s="133"/>
      <c r="X78" s="132"/>
      <c r="Y78" s="132"/>
      <c r="Z78" s="132"/>
      <c r="AA78" s="132"/>
    </row>
    <row r="79" spans="1:27" ht="20.10000000000000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228">
        <f t="shared" si="16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29"/>
        <v>0</v>
      </c>
      <c r="N79" s="130"/>
      <c r="O79" s="219"/>
      <c r="P79" s="219"/>
      <c r="Q79" s="219"/>
      <c r="R79" s="219"/>
      <c r="S79" s="219"/>
      <c r="T79" s="219"/>
      <c r="U79" s="219"/>
      <c r="V79" s="132"/>
      <c r="W79" s="133"/>
      <c r="X79" s="132"/>
      <c r="Y79" s="132"/>
      <c r="Z79" s="132"/>
      <c r="AA79" s="132"/>
    </row>
    <row r="80" spans="1:27" ht="20.10000000000000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228">
        <f t="shared" si="16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219"/>
      <c r="P80" s="219"/>
      <c r="Q80" s="219"/>
      <c r="R80" s="219"/>
      <c r="S80" s="219"/>
      <c r="T80" s="219"/>
      <c r="U80" s="219"/>
      <c r="V80" s="132"/>
      <c r="W80" s="133"/>
      <c r="X80" s="132"/>
      <c r="Y80" s="132"/>
      <c r="Z80" s="132"/>
      <c r="AA80" s="132"/>
    </row>
    <row r="81" spans="1:27" ht="20.10000000000000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228">
        <f t="shared" si="16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219"/>
      <c r="P81" s="219"/>
      <c r="Q81" s="219"/>
      <c r="R81" s="219"/>
      <c r="S81" s="219"/>
      <c r="T81" s="219"/>
      <c r="U81" s="219"/>
      <c r="V81" s="132"/>
      <c r="W81" s="133"/>
      <c r="X81" s="132"/>
      <c r="Y81" s="132"/>
      <c r="Z81" s="132"/>
      <c r="AA81" s="132"/>
    </row>
    <row r="82" spans="1:27" ht="20.10000000000000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228">
        <f t="shared" si="16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219"/>
      <c r="P82" s="219"/>
      <c r="Q82" s="219"/>
      <c r="R82" s="219"/>
      <c r="S82" s="219"/>
      <c r="T82" s="219"/>
      <c r="U82" s="219"/>
      <c r="V82" s="132"/>
      <c r="W82" s="133"/>
      <c r="X82" s="132"/>
      <c r="Y82" s="132"/>
      <c r="Z82" s="132"/>
      <c r="AA82" s="132"/>
    </row>
    <row r="83" spans="1:27" ht="20.10000000000000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228">
        <f t="shared" si="16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219"/>
      <c r="P83" s="219"/>
      <c r="Q83" s="219"/>
      <c r="R83" s="219"/>
      <c r="S83" s="219"/>
      <c r="T83" s="219"/>
      <c r="U83" s="219"/>
      <c r="V83" s="132"/>
      <c r="W83" s="133"/>
      <c r="X83" s="132"/>
      <c r="Y83" s="132"/>
      <c r="Z83" s="132"/>
      <c r="AA83" s="132"/>
    </row>
    <row r="84" spans="1:27" ht="20.10000000000000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228">
        <f t="shared" si="16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219"/>
      <c r="P84" s="219"/>
      <c r="Q84" s="219"/>
      <c r="R84" s="219"/>
      <c r="S84" s="219"/>
      <c r="T84" s="219"/>
      <c r="U84" s="219"/>
      <c r="V84" s="132"/>
      <c r="W84" s="133"/>
      <c r="X84" s="132"/>
      <c r="Y84" s="132"/>
      <c r="Z84" s="132"/>
      <c r="AA84" s="132"/>
    </row>
    <row r="85" spans="1:27" ht="20.10000000000000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228">
        <f t="shared" si="16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219"/>
      <c r="P85" s="219"/>
      <c r="Q85" s="219"/>
      <c r="R85" s="219"/>
      <c r="S85" s="219"/>
      <c r="T85" s="219"/>
      <c r="U85" s="219"/>
      <c r="V85" s="132"/>
      <c r="W85" s="133"/>
      <c r="X85" s="132"/>
      <c r="Y85" s="132"/>
      <c r="Z85" s="132"/>
      <c r="AA85" s="132"/>
    </row>
    <row r="86" spans="1:27" ht="20.100000000000001" customHeight="1">
      <c r="A86" s="641" t="s">
        <v>216</v>
      </c>
      <c r="B86" s="641"/>
      <c r="C86" s="224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3">SUM(M29:M85)</f>
        <v>0</v>
      </c>
      <c r="N86" s="146">
        <f t="shared" si="33"/>
        <v>0</v>
      </c>
      <c r="O86" s="148">
        <f t="shared" si="33"/>
        <v>0</v>
      </c>
      <c r="P86" s="148">
        <f t="shared" si="33"/>
        <v>0</v>
      </c>
      <c r="Q86" s="148">
        <f t="shared" si="33"/>
        <v>0</v>
      </c>
      <c r="R86" s="148">
        <f t="shared" si="33"/>
        <v>0</v>
      </c>
      <c r="S86" s="148">
        <f t="shared" si="33"/>
        <v>0</v>
      </c>
      <c r="T86" s="148">
        <f t="shared" si="33"/>
        <v>0</v>
      </c>
      <c r="U86" s="148">
        <f t="shared" si="33"/>
        <v>0</v>
      </c>
      <c r="V86" s="149">
        <f t="shared" si="33"/>
        <v>0</v>
      </c>
      <c r="W86" s="133" t="str">
        <f t="shared" ref="W86:W93" si="34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customHeight="1">
      <c r="A87" s="299">
        <v>30400012</v>
      </c>
      <c r="B87" s="291" t="s">
        <v>217</v>
      </c>
      <c r="C87" s="126" t="s">
        <v>179</v>
      </c>
      <c r="D87" s="108">
        <v>5.03</v>
      </c>
      <c r="E87" s="108"/>
      <c r="F87" s="127"/>
      <c r="G87" s="128"/>
      <c r="H87" s="226">
        <f t="shared" ref="H87:H120" si="35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6">IF(ISERROR(I87-K87),"",I87-K87)</f>
        <v>0</v>
      </c>
      <c r="N87" s="130">
        <f t="shared" ref="N87:N93" si="37">SUM(O87:U87)</f>
        <v>0</v>
      </c>
      <c r="O87" s="219"/>
      <c r="P87" s="219"/>
      <c r="Q87" s="219"/>
      <c r="R87" s="219"/>
      <c r="S87" s="219"/>
      <c r="T87" s="219"/>
      <c r="U87" s="219"/>
      <c r="V87" s="132">
        <f t="shared" ref="V87:V93" si="38">SUM(X87:AA87)</f>
        <v>0</v>
      </c>
      <c r="W87" s="133" t="str">
        <f t="shared" si="34"/>
        <v/>
      </c>
      <c r="X87" s="132"/>
      <c r="Y87" s="132"/>
      <c r="Z87" s="132"/>
      <c r="AA87" s="132"/>
    </row>
    <row r="88" spans="1:27" ht="20.100000000000001" customHeight="1">
      <c r="A88" s="299">
        <v>30400010</v>
      </c>
      <c r="B88" s="291" t="s">
        <v>217</v>
      </c>
      <c r="C88" s="126" t="s">
        <v>186</v>
      </c>
      <c r="D88" s="108">
        <v>5.03</v>
      </c>
      <c r="E88" s="108"/>
      <c r="F88" s="127"/>
      <c r="G88" s="128"/>
      <c r="H88" s="226">
        <f t="shared" si="35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6"/>
        <v>0</v>
      </c>
      <c r="N88" s="130">
        <f t="shared" si="37"/>
        <v>0</v>
      </c>
      <c r="O88" s="219"/>
      <c r="P88" s="219"/>
      <c r="Q88" s="219"/>
      <c r="R88" s="219"/>
      <c r="S88" s="219"/>
      <c r="T88" s="219"/>
      <c r="U88" s="219"/>
      <c r="V88" s="132">
        <f t="shared" si="38"/>
        <v>0</v>
      </c>
      <c r="W88" s="133" t="str">
        <f t="shared" si="34"/>
        <v/>
      </c>
      <c r="X88" s="132"/>
      <c r="Y88" s="132"/>
      <c r="Z88" s="132"/>
      <c r="AA88" s="132"/>
    </row>
    <row r="89" spans="1:27" ht="20.100000000000001" customHeight="1">
      <c r="A89" s="299">
        <v>30400011</v>
      </c>
      <c r="B89" s="291" t="s">
        <v>217</v>
      </c>
      <c r="C89" s="126" t="s">
        <v>204</v>
      </c>
      <c r="D89" s="108">
        <v>5.03</v>
      </c>
      <c r="E89" s="108"/>
      <c r="F89" s="127"/>
      <c r="G89" s="128"/>
      <c r="H89" s="226">
        <f t="shared" si="35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6"/>
        <v>0</v>
      </c>
      <c r="N89" s="130">
        <f t="shared" si="37"/>
        <v>0</v>
      </c>
      <c r="O89" s="219"/>
      <c r="P89" s="219"/>
      <c r="Q89" s="219"/>
      <c r="R89" s="219"/>
      <c r="S89" s="219"/>
      <c r="T89" s="219"/>
      <c r="U89" s="219"/>
      <c r="V89" s="132">
        <f t="shared" si="38"/>
        <v>0</v>
      </c>
      <c r="W89" s="133" t="str">
        <f t="shared" si="34"/>
        <v/>
      </c>
      <c r="X89" s="132"/>
      <c r="Y89" s="132"/>
      <c r="Z89" s="132"/>
      <c r="AA89" s="132"/>
    </row>
    <row r="90" spans="1:27" ht="20.10000000000000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226">
        <f t="shared" si="35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6"/>
        <v>0</v>
      </c>
      <c r="N90" s="130">
        <f t="shared" si="37"/>
        <v>0</v>
      </c>
      <c r="O90" s="219"/>
      <c r="P90" s="219"/>
      <c r="Q90" s="219"/>
      <c r="R90" s="219"/>
      <c r="S90" s="219"/>
      <c r="T90" s="219"/>
      <c r="U90" s="219"/>
      <c r="V90" s="132">
        <f t="shared" si="38"/>
        <v>0</v>
      </c>
      <c r="W90" s="133" t="str">
        <f t="shared" si="34"/>
        <v/>
      </c>
      <c r="X90" s="132"/>
      <c r="Y90" s="132"/>
      <c r="Z90" s="132"/>
      <c r="AA90" s="132"/>
    </row>
    <row r="91" spans="1:27" ht="20.10000000000000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226">
        <f t="shared" si="35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6"/>
        <v>0</v>
      </c>
      <c r="N91" s="130">
        <f t="shared" si="37"/>
        <v>0</v>
      </c>
      <c r="O91" s="219"/>
      <c r="P91" s="219"/>
      <c r="Q91" s="219"/>
      <c r="R91" s="219"/>
      <c r="S91" s="219"/>
      <c r="T91" s="219"/>
      <c r="U91" s="219"/>
      <c r="V91" s="132">
        <f t="shared" si="38"/>
        <v>0</v>
      </c>
      <c r="W91" s="133" t="str">
        <f t="shared" si="34"/>
        <v/>
      </c>
      <c r="X91" s="132"/>
      <c r="Y91" s="132"/>
      <c r="Z91" s="132"/>
      <c r="AA91" s="132"/>
    </row>
    <row r="92" spans="1:27" ht="20.10000000000000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226">
        <f t="shared" si="35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6"/>
        <v>0</v>
      </c>
      <c r="N92" s="130">
        <f t="shared" si="37"/>
        <v>0</v>
      </c>
      <c r="O92" s="219"/>
      <c r="P92" s="219"/>
      <c r="Q92" s="219"/>
      <c r="R92" s="219"/>
      <c r="S92" s="219"/>
      <c r="T92" s="219"/>
      <c r="U92" s="219"/>
      <c r="V92" s="132">
        <f t="shared" si="38"/>
        <v>0</v>
      </c>
      <c r="W92" s="133" t="str">
        <f t="shared" si="34"/>
        <v/>
      </c>
      <c r="X92" s="132"/>
      <c r="Y92" s="132"/>
      <c r="Z92" s="132"/>
      <c r="AA92" s="132"/>
    </row>
    <row r="93" spans="1:27" ht="20.10000000000000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226">
        <f t="shared" si="35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6"/>
        <v>0</v>
      </c>
      <c r="N93" s="130">
        <f t="shared" si="37"/>
        <v>0</v>
      </c>
      <c r="O93" s="219"/>
      <c r="P93" s="219"/>
      <c r="Q93" s="219"/>
      <c r="R93" s="219"/>
      <c r="S93" s="219"/>
      <c r="T93" s="219"/>
      <c r="U93" s="219"/>
      <c r="V93" s="132">
        <f t="shared" si="38"/>
        <v>0</v>
      </c>
      <c r="W93" s="133" t="str">
        <f t="shared" si="34"/>
        <v/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226">
        <f t="shared" si="35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6"/>
        <v>0</v>
      </c>
      <c r="N94" s="130"/>
      <c r="O94" s="219"/>
      <c r="P94" s="219"/>
      <c r="Q94" s="219"/>
      <c r="R94" s="219"/>
      <c r="S94" s="219"/>
      <c r="T94" s="219"/>
      <c r="U94" s="219"/>
      <c r="V94" s="132"/>
      <c r="W94" s="133"/>
      <c r="X94" s="132"/>
      <c r="Y94" s="132"/>
      <c r="Z94" s="132"/>
      <c r="AA94" s="132"/>
    </row>
    <row r="95" spans="1:27" ht="20.10000000000000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52"/>
      <c r="H95" s="226">
        <f t="shared" si="35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6"/>
        <v>0</v>
      </c>
      <c r="N95" s="130">
        <f t="shared" ref="N95:N114" si="39">SUM(O95:U95)</f>
        <v>0</v>
      </c>
      <c r="O95" s="219"/>
      <c r="P95" s="219"/>
      <c r="Q95" s="219"/>
      <c r="R95" s="219"/>
      <c r="S95" s="219"/>
      <c r="T95" s="219"/>
      <c r="U95" s="219"/>
      <c r="V95" s="132">
        <f t="shared" ref="V95:V102" si="40">SUM(X95:AA95)</f>
        <v>0</v>
      </c>
      <c r="W95" s="133" t="str">
        <f t="shared" ref="W95:W106" si="41">IF(ISERROR(V95/G95),"",V95/G95)</f>
        <v/>
      </c>
      <c r="X95" s="132"/>
      <c r="Y95" s="132"/>
      <c r="Z95" s="132"/>
      <c r="AA95" s="132"/>
    </row>
    <row r="96" spans="1:27" ht="20.10000000000000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226">
        <f t="shared" si="35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6"/>
        <v>0</v>
      </c>
      <c r="N96" s="130">
        <f t="shared" si="39"/>
        <v>0</v>
      </c>
      <c r="O96" s="219"/>
      <c r="P96" s="219"/>
      <c r="Q96" s="219"/>
      <c r="R96" s="219"/>
      <c r="S96" s="219"/>
      <c r="T96" s="219"/>
      <c r="U96" s="219"/>
      <c r="V96" s="132">
        <f t="shared" si="40"/>
        <v>0</v>
      </c>
      <c r="W96" s="133" t="str">
        <f t="shared" si="41"/>
        <v/>
      </c>
      <c r="X96" s="132"/>
      <c r="Y96" s="132"/>
      <c r="Z96" s="132"/>
      <c r="AA96" s="132"/>
    </row>
    <row r="97" spans="1:27" ht="20.10000000000000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226">
        <f t="shared" si="35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6"/>
        <v>0</v>
      </c>
      <c r="N97" s="130">
        <f t="shared" si="39"/>
        <v>0</v>
      </c>
      <c r="O97" s="219"/>
      <c r="P97" s="219"/>
      <c r="Q97" s="219"/>
      <c r="R97" s="219"/>
      <c r="S97" s="219"/>
      <c r="T97" s="219"/>
      <c r="U97" s="219"/>
      <c r="V97" s="132">
        <f t="shared" si="40"/>
        <v>0</v>
      </c>
      <c r="W97" s="133" t="str">
        <f t="shared" si="41"/>
        <v/>
      </c>
      <c r="X97" s="132"/>
      <c r="Y97" s="132"/>
      <c r="Z97" s="132"/>
      <c r="AA97" s="132"/>
    </row>
    <row r="98" spans="1:27" ht="20.10000000000000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226">
        <f t="shared" si="35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6"/>
        <v>0</v>
      </c>
      <c r="N98" s="130">
        <f t="shared" si="39"/>
        <v>0</v>
      </c>
      <c r="O98" s="219"/>
      <c r="P98" s="219"/>
      <c r="Q98" s="219"/>
      <c r="R98" s="219"/>
      <c r="S98" s="219"/>
      <c r="T98" s="219"/>
      <c r="U98" s="219"/>
      <c r="V98" s="132">
        <f t="shared" si="40"/>
        <v>0</v>
      </c>
      <c r="W98" s="133" t="str">
        <f t="shared" si="41"/>
        <v/>
      </c>
      <c r="X98" s="132"/>
      <c r="Y98" s="132"/>
      <c r="Z98" s="132"/>
      <c r="AA98" s="132"/>
    </row>
    <row r="99" spans="1:27" ht="20.100000000000001" customHeight="1">
      <c r="A99" s="304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226">
        <f t="shared" si="35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6"/>
        <v>0</v>
      </c>
      <c r="N99" s="130">
        <f t="shared" si="39"/>
        <v>0</v>
      </c>
      <c r="O99" s="219"/>
      <c r="P99" s="219"/>
      <c r="Q99" s="219"/>
      <c r="R99" s="219"/>
      <c r="S99" s="219"/>
      <c r="T99" s="219"/>
      <c r="U99" s="219"/>
      <c r="V99" s="132">
        <f t="shared" si="40"/>
        <v>0</v>
      </c>
      <c r="W99" s="133" t="str">
        <f t="shared" si="41"/>
        <v/>
      </c>
      <c r="X99" s="132"/>
      <c r="Y99" s="132"/>
      <c r="Z99" s="132"/>
      <c r="AA99" s="132"/>
    </row>
    <row r="100" spans="1:27" ht="20.10000000000000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226">
        <f t="shared" si="35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6"/>
        <v/>
      </c>
      <c r="N100" s="130">
        <f t="shared" si="39"/>
        <v>0</v>
      </c>
      <c r="O100" s="219"/>
      <c r="P100" s="219"/>
      <c r="Q100" s="219"/>
      <c r="R100" s="219"/>
      <c r="S100" s="219"/>
      <c r="T100" s="219"/>
      <c r="U100" s="219"/>
      <c r="V100" s="132">
        <f t="shared" si="40"/>
        <v>0</v>
      </c>
      <c r="W100" s="133" t="str">
        <f t="shared" si="41"/>
        <v/>
      </c>
      <c r="X100" s="132"/>
      <c r="Y100" s="132"/>
      <c r="Z100" s="132"/>
      <c r="AA100" s="132"/>
    </row>
    <row r="101" spans="1:27" ht="20.10000000000000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226">
        <f t="shared" si="35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6"/>
        <v/>
      </c>
      <c r="N101" s="130">
        <f t="shared" si="39"/>
        <v>0</v>
      </c>
      <c r="O101" s="219"/>
      <c r="P101" s="219"/>
      <c r="Q101" s="219"/>
      <c r="R101" s="219"/>
      <c r="S101" s="219"/>
      <c r="T101" s="219"/>
      <c r="U101" s="219"/>
      <c r="V101" s="132">
        <f t="shared" si="40"/>
        <v>0</v>
      </c>
      <c r="W101" s="133" t="str">
        <f t="shared" si="41"/>
        <v/>
      </c>
      <c r="X101" s="132"/>
      <c r="Y101" s="132"/>
      <c r="Z101" s="132"/>
      <c r="AA101" s="132"/>
    </row>
    <row r="102" spans="1:27" ht="20.10000000000000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226">
        <f t="shared" si="35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6"/>
        <v/>
      </c>
      <c r="N102" s="130">
        <f t="shared" si="39"/>
        <v>0</v>
      </c>
      <c r="O102" s="219"/>
      <c r="P102" s="219"/>
      <c r="Q102" s="219"/>
      <c r="R102" s="219"/>
      <c r="S102" s="219"/>
      <c r="T102" s="219"/>
      <c r="U102" s="219"/>
      <c r="V102" s="132">
        <f t="shared" si="40"/>
        <v>0</v>
      </c>
      <c r="W102" s="133" t="str">
        <f t="shared" si="41"/>
        <v/>
      </c>
      <c r="X102" s="132"/>
      <c r="Y102" s="132"/>
      <c r="Z102" s="132"/>
      <c r="AA102" s="132"/>
    </row>
    <row r="103" spans="1:27" ht="20.100000000000001" customHeight="1">
      <c r="A103" s="304">
        <v>30600005</v>
      </c>
      <c r="B103" s="291" t="s">
        <v>222</v>
      </c>
      <c r="C103" s="126" t="s">
        <v>181</v>
      </c>
      <c r="D103" s="108">
        <v>10.199999999999999</v>
      </c>
      <c r="E103" s="108"/>
      <c r="F103" s="127"/>
      <c r="G103" s="128"/>
      <c r="H103" s="226">
        <f t="shared" si="35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6"/>
        <v>0</v>
      </c>
      <c r="N103" s="130">
        <f t="shared" si="39"/>
        <v>0</v>
      </c>
      <c r="O103" s="219"/>
      <c r="P103" s="219"/>
      <c r="Q103" s="219"/>
      <c r="R103" s="219"/>
      <c r="S103" s="219"/>
      <c r="T103" s="219"/>
      <c r="U103" s="219"/>
      <c r="V103" s="132">
        <f t="shared" ref="V103:V106" si="42">SUM(X103:AA103)</f>
        <v>0</v>
      </c>
      <c r="W103" s="133" t="str">
        <f t="shared" si="41"/>
        <v/>
      </c>
      <c r="X103" s="132"/>
      <c r="Y103" s="132"/>
      <c r="Z103" s="132"/>
      <c r="AA103" s="132"/>
    </row>
    <row r="104" spans="1:27" ht="20.100000000000001" customHeight="1">
      <c r="A104" s="304">
        <v>30600008</v>
      </c>
      <c r="B104" s="291" t="s">
        <v>222</v>
      </c>
      <c r="C104" s="126" t="s">
        <v>179</v>
      </c>
      <c r="D104" s="108">
        <v>10.199999999999999</v>
      </c>
      <c r="E104" s="108"/>
      <c r="F104" s="127"/>
      <c r="G104" s="128"/>
      <c r="H104" s="226">
        <f t="shared" si="35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6"/>
        <v>0</v>
      </c>
      <c r="N104" s="130">
        <f t="shared" si="39"/>
        <v>0</v>
      </c>
      <c r="O104" s="219"/>
      <c r="P104" s="219"/>
      <c r="Q104" s="219"/>
      <c r="R104" s="219"/>
      <c r="S104" s="219"/>
      <c r="T104" s="219"/>
      <c r="U104" s="219"/>
      <c r="V104" s="132">
        <f t="shared" si="42"/>
        <v>0</v>
      </c>
      <c r="W104" s="133" t="str">
        <f t="shared" si="41"/>
        <v/>
      </c>
      <c r="X104" s="132"/>
      <c r="Y104" s="132"/>
      <c r="Z104" s="132"/>
      <c r="AA104" s="132"/>
    </row>
    <row r="105" spans="1:27" ht="20.100000000000001" customHeight="1">
      <c r="A105" s="304">
        <v>30600007</v>
      </c>
      <c r="B105" s="291" t="s">
        <v>222</v>
      </c>
      <c r="C105" s="126" t="s">
        <v>221</v>
      </c>
      <c r="D105" s="108">
        <v>10.199999999999999</v>
      </c>
      <c r="E105" s="108"/>
      <c r="F105" s="127"/>
      <c r="G105" s="128"/>
      <c r="H105" s="226">
        <f t="shared" si="35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6"/>
        <v>0</v>
      </c>
      <c r="N105" s="130">
        <f t="shared" si="39"/>
        <v>0</v>
      </c>
      <c r="O105" s="219"/>
      <c r="P105" s="219"/>
      <c r="Q105" s="219"/>
      <c r="R105" s="219"/>
      <c r="S105" s="219"/>
      <c r="T105" s="219"/>
      <c r="U105" s="219"/>
      <c r="V105" s="132">
        <f t="shared" si="42"/>
        <v>0</v>
      </c>
      <c r="W105" s="133" t="str">
        <f t="shared" si="41"/>
        <v/>
      </c>
      <c r="X105" s="132"/>
      <c r="Y105" s="132"/>
      <c r="Z105" s="132"/>
      <c r="AA105" s="132"/>
    </row>
    <row r="106" spans="1:27" ht="20.100000000000001" customHeight="1">
      <c r="A106" s="304">
        <v>30600006</v>
      </c>
      <c r="B106" s="291" t="s">
        <v>222</v>
      </c>
      <c r="C106" s="126" t="s">
        <v>186</v>
      </c>
      <c r="D106" s="108">
        <v>10.199999999999999</v>
      </c>
      <c r="E106" s="108"/>
      <c r="F106" s="127"/>
      <c r="G106" s="128"/>
      <c r="H106" s="226">
        <f t="shared" si="35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6"/>
        <v>0</v>
      </c>
      <c r="N106" s="130">
        <f t="shared" si="39"/>
        <v>0</v>
      </c>
      <c r="O106" s="219"/>
      <c r="P106" s="219"/>
      <c r="Q106" s="219"/>
      <c r="R106" s="219"/>
      <c r="S106" s="219"/>
      <c r="T106" s="219"/>
      <c r="U106" s="219"/>
      <c r="V106" s="132">
        <f t="shared" si="42"/>
        <v>0</v>
      </c>
      <c r="W106" s="133" t="str">
        <f t="shared" si="41"/>
        <v/>
      </c>
      <c r="X106" s="132"/>
      <c r="Y106" s="132"/>
      <c r="Z106" s="132"/>
      <c r="AA106" s="132"/>
    </row>
    <row r="107" spans="1:27" ht="20.100000000000001" customHeight="1">
      <c r="A107" s="299">
        <v>30400026</v>
      </c>
      <c r="B107" s="291" t="s">
        <v>393</v>
      </c>
      <c r="C107" s="187" t="s">
        <v>395</v>
      </c>
      <c r="D107" s="108">
        <v>5</v>
      </c>
      <c r="E107" s="108"/>
      <c r="F107" s="127"/>
      <c r="G107" s="128"/>
      <c r="H107" s="226">
        <f t="shared" si="35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6"/>
        <v>0</v>
      </c>
      <c r="N107" s="130">
        <f t="shared" si="39"/>
        <v>0</v>
      </c>
      <c r="O107" s="219"/>
      <c r="P107" s="219"/>
      <c r="Q107" s="219"/>
      <c r="R107" s="219"/>
      <c r="S107" s="219"/>
      <c r="T107" s="219"/>
      <c r="U107" s="219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291" t="s">
        <v>393</v>
      </c>
      <c r="C108" s="187" t="s">
        <v>402</v>
      </c>
      <c r="D108" s="108">
        <v>5</v>
      </c>
      <c r="E108" s="108"/>
      <c r="F108" s="127"/>
      <c r="G108" s="128"/>
      <c r="H108" s="226">
        <f t="shared" si="35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6"/>
        <v>0</v>
      </c>
      <c r="N108" s="130">
        <f t="shared" si="39"/>
        <v>0</v>
      </c>
      <c r="O108" s="219"/>
      <c r="P108" s="219"/>
      <c r="Q108" s="219"/>
      <c r="R108" s="219"/>
      <c r="S108" s="219"/>
      <c r="T108" s="219"/>
      <c r="U108" s="219"/>
      <c r="V108" s="132"/>
      <c r="W108" s="133"/>
      <c r="X108" s="132"/>
      <c r="Y108" s="132"/>
      <c r="Z108" s="132"/>
      <c r="AA108" s="132"/>
    </row>
    <row r="109" spans="1:27" ht="20.100000000000001" customHeight="1">
      <c r="A109" s="299">
        <v>30400027</v>
      </c>
      <c r="B109" s="291" t="s">
        <v>404</v>
      </c>
      <c r="C109" s="187" t="s">
        <v>405</v>
      </c>
      <c r="D109" s="108">
        <v>5</v>
      </c>
      <c r="E109" s="108"/>
      <c r="F109" s="127"/>
      <c r="G109" s="128"/>
      <c r="H109" s="226">
        <f t="shared" si="35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6"/>
        <v>0</v>
      </c>
      <c r="N109" s="130">
        <f t="shared" si="39"/>
        <v>0</v>
      </c>
      <c r="O109" s="219"/>
      <c r="P109" s="219"/>
      <c r="Q109" s="219"/>
      <c r="R109" s="219"/>
      <c r="S109" s="219"/>
      <c r="T109" s="219"/>
      <c r="U109" s="219"/>
      <c r="V109" s="132"/>
      <c r="W109" s="133"/>
      <c r="X109" s="132"/>
      <c r="Y109" s="132"/>
      <c r="Z109" s="132"/>
      <c r="AA109" s="132"/>
    </row>
    <row r="110" spans="1:27" ht="20.100000000000001" customHeight="1">
      <c r="A110" s="299"/>
      <c r="B110" s="291" t="s">
        <v>492</v>
      </c>
      <c r="C110" s="187" t="s">
        <v>372</v>
      </c>
      <c r="D110" s="108">
        <v>5</v>
      </c>
      <c r="E110" s="108"/>
      <c r="F110" s="127"/>
      <c r="G110" s="128"/>
      <c r="H110" s="226">
        <f t="shared" si="35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6"/>
        <v>0</v>
      </c>
      <c r="N110" s="130">
        <f t="shared" si="39"/>
        <v>0</v>
      </c>
      <c r="O110" s="219"/>
      <c r="P110" s="219"/>
      <c r="Q110" s="219"/>
      <c r="R110" s="219"/>
      <c r="S110" s="219"/>
      <c r="T110" s="219"/>
      <c r="U110" s="219"/>
      <c r="V110" s="132"/>
      <c r="W110" s="133"/>
      <c r="X110" s="132"/>
      <c r="Y110" s="132"/>
      <c r="Z110" s="132"/>
      <c r="AA110" s="132"/>
    </row>
    <row r="111" spans="1:27" ht="20.100000000000001" customHeight="1">
      <c r="A111" s="299">
        <v>30600009</v>
      </c>
      <c r="B111" s="291" t="s">
        <v>343</v>
      </c>
      <c r="C111" s="126" t="s">
        <v>345</v>
      </c>
      <c r="D111" s="108">
        <v>5</v>
      </c>
      <c r="E111" s="108"/>
      <c r="F111" s="127"/>
      <c r="G111" s="128"/>
      <c r="H111" s="226">
        <f t="shared" si="35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6"/>
        <v>0</v>
      </c>
      <c r="N111" s="130">
        <f t="shared" si="39"/>
        <v>0</v>
      </c>
      <c r="O111" s="219"/>
      <c r="P111" s="219"/>
      <c r="Q111" s="219"/>
      <c r="R111" s="219"/>
      <c r="S111" s="219"/>
      <c r="T111" s="219"/>
      <c r="U111" s="219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291" t="s">
        <v>343</v>
      </c>
      <c r="C112" s="126" t="s">
        <v>347</v>
      </c>
      <c r="D112" s="108">
        <v>5</v>
      </c>
      <c r="E112" s="108"/>
      <c r="F112" s="127"/>
      <c r="G112" s="128"/>
      <c r="H112" s="226">
        <f t="shared" si="35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6"/>
        <v>0</v>
      </c>
      <c r="N112" s="130">
        <f t="shared" si="39"/>
        <v>0</v>
      </c>
      <c r="O112" s="219"/>
      <c r="P112" s="219"/>
      <c r="Q112" s="219"/>
      <c r="R112" s="219"/>
      <c r="S112" s="219"/>
      <c r="T112" s="219"/>
      <c r="U112" s="219"/>
      <c r="V112" s="132"/>
      <c r="W112" s="133"/>
      <c r="X112" s="132"/>
      <c r="Y112" s="132"/>
      <c r="Z112" s="132"/>
      <c r="AA112" s="132"/>
    </row>
    <row r="113" spans="1:27" ht="20.10000000000000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226">
        <f t="shared" si="35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6"/>
        <v>0</v>
      </c>
      <c r="N113" s="130">
        <f t="shared" si="39"/>
        <v>0</v>
      </c>
      <c r="O113" s="219"/>
      <c r="P113" s="219"/>
      <c r="Q113" s="219"/>
      <c r="R113" s="219"/>
      <c r="S113" s="219"/>
      <c r="T113" s="219"/>
      <c r="U113" s="219"/>
      <c r="V113" s="132">
        <f t="shared" ref="V113:V114" si="43">SUM(X113:AA113)</f>
        <v>0</v>
      </c>
      <c r="W113" s="133" t="str">
        <f t="shared" ref="W113:W114" si="44">IF(ISERROR(V113/G113),"",V113/G113)</f>
        <v/>
      </c>
      <c r="X113" s="132"/>
      <c r="Y113" s="132"/>
      <c r="Z113" s="132"/>
      <c r="AA113" s="132"/>
    </row>
    <row r="114" spans="1:27" ht="20.10000000000000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226">
        <f t="shared" si="35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6"/>
        <v>0</v>
      </c>
      <c r="N114" s="130">
        <f t="shared" si="39"/>
        <v>0</v>
      </c>
      <c r="O114" s="219"/>
      <c r="P114" s="219"/>
      <c r="Q114" s="219"/>
      <c r="R114" s="219"/>
      <c r="S114" s="219"/>
      <c r="T114" s="219"/>
      <c r="U114" s="219"/>
      <c r="V114" s="132">
        <f t="shared" si="43"/>
        <v>0</v>
      </c>
      <c r="W114" s="133" t="str">
        <f t="shared" si="44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420</v>
      </c>
      <c r="D115" s="108">
        <v>5</v>
      </c>
      <c r="E115" s="108"/>
      <c r="F115" s="127"/>
      <c r="G115" s="128"/>
      <c r="H115" s="226">
        <f t="shared" si="35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219"/>
      <c r="P115" s="219"/>
      <c r="Q115" s="219"/>
      <c r="R115" s="219"/>
      <c r="S115" s="219"/>
      <c r="T115" s="219"/>
      <c r="U115" s="219"/>
      <c r="V115" s="132"/>
      <c r="W115" s="133"/>
      <c r="X115" s="132"/>
      <c r="Y115" s="132"/>
      <c r="Z115" s="132"/>
      <c r="AA115" s="132"/>
    </row>
    <row r="116" spans="1:27" ht="20.10000000000000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226">
        <f t="shared" si="35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219"/>
      <c r="P116" s="219"/>
      <c r="Q116" s="219"/>
      <c r="R116" s="219"/>
      <c r="S116" s="219"/>
      <c r="T116" s="219"/>
      <c r="U116" s="219"/>
      <c r="V116" s="132"/>
      <c r="W116" s="133"/>
      <c r="X116" s="132"/>
      <c r="Y116" s="132"/>
      <c r="Z116" s="132"/>
      <c r="AA116" s="132"/>
    </row>
    <row r="117" spans="1:27" ht="20.10000000000000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226">
        <f t="shared" si="35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219"/>
      <c r="P117" s="219"/>
      <c r="Q117" s="219"/>
      <c r="R117" s="219"/>
      <c r="S117" s="219"/>
      <c r="T117" s="219"/>
      <c r="U117" s="219"/>
      <c r="V117" s="132"/>
      <c r="W117" s="133"/>
      <c r="X117" s="132"/>
      <c r="Y117" s="132"/>
      <c r="Z117" s="132"/>
      <c r="AA117" s="132"/>
    </row>
    <row r="118" spans="1:27" ht="20.10000000000000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226">
        <f t="shared" si="35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5">IF(ISERROR(I118-K118),"",I118-K118)</f>
        <v>0</v>
      </c>
      <c r="N118" s="130">
        <f t="shared" ref="N118:N120" si="46">SUM(O118:U118)</f>
        <v>0</v>
      </c>
      <c r="O118" s="219"/>
      <c r="P118" s="219"/>
      <c r="Q118" s="219"/>
      <c r="R118" s="219"/>
      <c r="S118" s="219"/>
      <c r="T118" s="219"/>
      <c r="U118" s="219"/>
      <c r="V118" s="132">
        <f t="shared" ref="V118:V120" si="47">SUM(X118:AA118)</f>
        <v>0</v>
      </c>
      <c r="W118" s="133" t="str">
        <f t="shared" ref="W118:W134" si="48">IF(ISERROR(V118/G118),"",V118/G118)</f>
        <v/>
      </c>
      <c r="X118" s="132"/>
      <c r="Y118" s="132"/>
      <c r="Z118" s="132"/>
      <c r="AA118" s="132"/>
    </row>
    <row r="119" spans="1:27" ht="20.10000000000000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226">
        <f t="shared" si="35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5"/>
        <v>0</v>
      </c>
      <c r="N119" s="130">
        <f t="shared" si="46"/>
        <v>0</v>
      </c>
      <c r="O119" s="219"/>
      <c r="P119" s="219"/>
      <c r="Q119" s="219"/>
      <c r="R119" s="219"/>
      <c r="S119" s="219"/>
      <c r="T119" s="219"/>
      <c r="U119" s="219"/>
      <c r="V119" s="132">
        <f t="shared" si="47"/>
        <v>0</v>
      </c>
      <c r="W119" s="133" t="str">
        <f t="shared" si="48"/>
        <v/>
      </c>
      <c r="X119" s="132"/>
      <c r="Y119" s="132"/>
      <c r="Z119" s="132"/>
      <c r="AA119" s="132"/>
    </row>
    <row r="120" spans="1:27" ht="20.10000000000000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226">
        <f t="shared" si="35"/>
        <v>0</v>
      </c>
      <c r="I120" s="129"/>
      <c r="J120" s="130" t="str">
        <f t="array" ref="J120">IF(ISERROR(G120/I120),"",G120/I120)</f>
        <v/>
      </c>
      <c r="K120" s="226">
        <f t="array" ref="K120">IF(ISERROR(G120/L120),"",G120/L120)</f>
        <v>0</v>
      </c>
      <c r="L120" s="129">
        <v>9</v>
      </c>
      <c r="M120" s="109">
        <f t="shared" si="45"/>
        <v>0</v>
      </c>
      <c r="N120" s="130">
        <f t="shared" si="46"/>
        <v>0</v>
      </c>
      <c r="O120" s="219"/>
      <c r="P120" s="219"/>
      <c r="Q120" s="219"/>
      <c r="R120" s="219"/>
      <c r="S120" s="219"/>
      <c r="T120" s="219"/>
      <c r="U120" s="219"/>
      <c r="V120" s="132">
        <f t="shared" si="47"/>
        <v>0</v>
      </c>
      <c r="W120" s="133" t="str">
        <f t="shared" si="48"/>
        <v/>
      </c>
      <c r="X120" s="132"/>
      <c r="Y120" s="132"/>
      <c r="Z120" s="132"/>
      <c r="AA120" s="132"/>
    </row>
    <row r="121" spans="1:27" ht="20.100000000000001" customHeight="1">
      <c r="A121" s="630" t="s">
        <v>224</v>
      </c>
      <c r="B121" s="631"/>
      <c r="C121" s="224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49">SUM(M87:M120)</f>
        <v>0</v>
      </c>
      <c r="N121" s="146">
        <f t="shared" si="49"/>
        <v>0</v>
      </c>
      <c r="O121" s="148">
        <f t="shared" si="49"/>
        <v>0</v>
      </c>
      <c r="P121" s="148">
        <f t="shared" si="49"/>
        <v>0</v>
      </c>
      <c r="Q121" s="148">
        <f t="shared" si="49"/>
        <v>0</v>
      </c>
      <c r="R121" s="148">
        <f t="shared" si="49"/>
        <v>0</v>
      </c>
      <c r="S121" s="148">
        <f t="shared" si="49"/>
        <v>0</v>
      </c>
      <c r="T121" s="148">
        <f t="shared" si="49"/>
        <v>0</v>
      </c>
      <c r="U121" s="148">
        <f t="shared" si="49"/>
        <v>0</v>
      </c>
      <c r="V121" s="149">
        <f t="shared" si="49"/>
        <v>0</v>
      </c>
      <c r="W121" s="133" t="str">
        <f t="shared" si="48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226">
        <f t="shared" ref="H122:H134" si="50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4" si="51">IF(ISERROR(I122-K122),"",I122-K122)</f>
        <v>0</v>
      </c>
      <c r="N122" s="130">
        <f t="shared" ref="N122:N134" si="52">SUM(O122:U122)</f>
        <v>0</v>
      </c>
      <c r="O122" s="219"/>
      <c r="P122" s="219"/>
      <c r="Q122" s="219"/>
      <c r="R122" s="219"/>
      <c r="S122" s="219"/>
      <c r="T122" s="219"/>
      <c r="U122" s="219"/>
      <c r="V122" s="132">
        <f t="shared" ref="V122:V134" si="53">SUM(X122:AA122)</f>
        <v>0</v>
      </c>
      <c r="W122" s="133" t="str">
        <f t="shared" si="48"/>
        <v/>
      </c>
      <c r="X122" s="132"/>
      <c r="Y122" s="132"/>
      <c r="Z122" s="132"/>
      <c r="AA122" s="132"/>
    </row>
    <row r="123" spans="1:27" ht="20.10000000000000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226">
        <f t="shared" si="50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1"/>
        <v>0</v>
      </c>
      <c r="N123" s="130">
        <f t="shared" si="52"/>
        <v>0</v>
      </c>
      <c r="O123" s="219"/>
      <c r="P123" s="219"/>
      <c r="Q123" s="219"/>
      <c r="R123" s="219"/>
      <c r="S123" s="219"/>
      <c r="T123" s="219"/>
      <c r="U123" s="219"/>
      <c r="V123" s="132">
        <f t="shared" si="53"/>
        <v>0</v>
      </c>
      <c r="W123" s="133" t="str">
        <f t="shared" si="48"/>
        <v/>
      </c>
      <c r="X123" s="132"/>
      <c r="Y123" s="132"/>
      <c r="Z123" s="132"/>
      <c r="AA123" s="132"/>
    </row>
    <row r="124" spans="1:27" ht="20.10000000000000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226">
        <f t="shared" si="50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1"/>
        <v>0</v>
      </c>
      <c r="N124" s="130">
        <f t="shared" si="52"/>
        <v>0</v>
      </c>
      <c r="O124" s="219"/>
      <c r="P124" s="219"/>
      <c r="Q124" s="219"/>
      <c r="R124" s="219"/>
      <c r="S124" s="219"/>
      <c r="T124" s="219"/>
      <c r="U124" s="219"/>
      <c r="V124" s="132">
        <f t="shared" si="53"/>
        <v>0</v>
      </c>
      <c r="W124" s="133" t="str">
        <f t="shared" si="48"/>
        <v/>
      </c>
      <c r="X124" s="132"/>
      <c r="Y124" s="132"/>
      <c r="Z124" s="132"/>
      <c r="AA124" s="132"/>
    </row>
    <row r="125" spans="1:27" ht="20.100000000000001" customHeight="1">
      <c r="A125" s="299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226">
        <f t="shared" si="50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1"/>
        <v>0</v>
      </c>
      <c r="N125" s="130">
        <f t="shared" si="52"/>
        <v>0</v>
      </c>
      <c r="O125" s="219"/>
      <c r="P125" s="219"/>
      <c r="Q125" s="219"/>
      <c r="R125" s="219"/>
      <c r="S125" s="219"/>
      <c r="T125" s="219"/>
      <c r="U125" s="219"/>
      <c r="V125" s="132">
        <f t="shared" si="53"/>
        <v>0</v>
      </c>
      <c r="W125" s="133" t="str">
        <f t="shared" si="48"/>
        <v/>
      </c>
      <c r="X125" s="132"/>
      <c r="Y125" s="132"/>
      <c r="Z125" s="132"/>
      <c r="AA125" s="132"/>
    </row>
    <row r="126" spans="1:27" ht="20.100000000000001" customHeight="1">
      <c r="A126" s="299">
        <v>30100054</v>
      </c>
      <c r="B126" s="140" t="s">
        <v>227</v>
      </c>
      <c r="C126" s="223" t="s">
        <v>203</v>
      </c>
      <c r="D126" s="108">
        <v>5.03</v>
      </c>
      <c r="E126" s="108"/>
      <c r="F126" s="127"/>
      <c r="G126" s="128"/>
      <c r="H126" s="226">
        <f t="shared" si="50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1"/>
        <v>0</v>
      </c>
      <c r="N126" s="130">
        <f t="shared" si="52"/>
        <v>0</v>
      </c>
      <c r="O126" s="219"/>
      <c r="P126" s="219"/>
      <c r="Q126" s="219"/>
      <c r="R126" s="219"/>
      <c r="S126" s="219"/>
      <c r="T126" s="219"/>
      <c r="U126" s="219"/>
      <c r="V126" s="132">
        <f t="shared" si="53"/>
        <v>0</v>
      </c>
      <c r="W126" s="133" t="str">
        <f t="shared" si="48"/>
        <v/>
      </c>
      <c r="X126" s="132"/>
      <c r="Y126" s="132"/>
      <c r="Z126" s="132"/>
      <c r="AA126" s="132"/>
    </row>
    <row r="127" spans="1:27" ht="20.10000000000000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226">
        <f t="shared" si="50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1"/>
        <v>0</v>
      </c>
      <c r="N127" s="130">
        <f t="shared" si="52"/>
        <v>0</v>
      </c>
      <c r="O127" s="219"/>
      <c r="P127" s="219"/>
      <c r="Q127" s="219"/>
      <c r="R127" s="219"/>
      <c r="S127" s="219"/>
      <c r="T127" s="219"/>
      <c r="U127" s="219"/>
      <c r="V127" s="132">
        <f t="shared" si="53"/>
        <v>0</v>
      </c>
      <c r="W127" s="133" t="str">
        <f t="shared" si="48"/>
        <v/>
      </c>
      <c r="X127" s="132"/>
      <c r="Y127" s="132"/>
      <c r="Z127" s="132"/>
      <c r="AA127" s="132"/>
    </row>
    <row r="128" spans="1:27" ht="20.10000000000000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226">
        <f t="shared" si="50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1"/>
        <v>0</v>
      </c>
      <c r="N128" s="130">
        <f t="shared" si="52"/>
        <v>0</v>
      </c>
      <c r="O128" s="219"/>
      <c r="P128" s="219"/>
      <c r="Q128" s="219"/>
      <c r="R128" s="219"/>
      <c r="S128" s="219"/>
      <c r="T128" s="219"/>
      <c r="U128" s="219"/>
      <c r="V128" s="132">
        <f t="shared" si="53"/>
        <v>0</v>
      </c>
      <c r="W128" s="133" t="str">
        <f t="shared" si="48"/>
        <v/>
      </c>
      <c r="X128" s="132"/>
      <c r="Y128" s="132"/>
      <c r="Z128" s="132"/>
      <c r="AA128" s="132"/>
    </row>
    <row r="129" spans="1:27" ht="20.100000000000001" customHeight="1">
      <c r="A129" s="299"/>
      <c r="B129" s="140" t="s">
        <v>227</v>
      </c>
      <c r="C129" s="223" t="s">
        <v>228</v>
      </c>
      <c r="D129" s="108">
        <v>5.03</v>
      </c>
      <c r="E129" s="108"/>
      <c r="F129" s="127"/>
      <c r="G129" s="128"/>
      <c r="H129" s="226">
        <f t="shared" si="50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1"/>
        <v>0</v>
      </c>
      <c r="N129" s="130">
        <f t="shared" si="52"/>
        <v>0</v>
      </c>
      <c r="O129" s="219"/>
      <c r="P129" s="219"/>
      <c r="Q129" s="219"/>
      <c r="R129" s="219"/>
      <c r="S129" s="219"/>
      <c r="T129" s="219"/>
      <c r="U129" s="219"/>
      <c r="V129" s="132">
        <f t="shared" si="53"/>
        <v>0</v>
      </c>
      <c r="W129" s="133" t="str">
        <f t="shared" si="48"/>
        <v/>
      </c>
      <c r="X129" s="132"/>
      <c r="Y129" s="132"/>
      <c r="Z129" s="132"/>
      <c r="AA129" s="132"/>
    </row>
    <row r="130" spans="1:27" ht="20.100000000000001" customHeight="1">
      <c r="A130" s="299">
        <v>30101067</v>
      </c>
      <c r="B130" s="140" t="s">
        <v>496</v>
      </c>
      <c r="C130" s="223" t="s">
        <v>212</v>
      </c>
      <c r="D130" s="108">
        <v>5.03</v>
      </c>
      <c r="E130" s="108"/>
      <c r="F130" s="127"/>
      <c r="G130" s="128"/>
      <c r="H130" s="226">
        <f t="shared" si="50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1"/>
        <v/>
      </c>
      <c r="N130" s="130">
        <f t="shared" si="52"/>
        <v>0</v>
      </c>
      <c r="O130" s="219"/>
      <c r="P130" s="219"/>
      <c r="Q130" s="219"/>
      <c r="R130" s="219"/>
      <c r="S130" s="219"/>
      <c r="T130" s="219"/>
      <c r="U130" s="219"/>
      <c r="V130" s="132">
        <f t="shared" si="53"/>
        <v>0</v>
      </c>
      <c r="W130" s="133" t="str">
        <f t="shared" si="48"/>
        <v/>
      </c>
      <c r="X130" s="132"/>
      <c r="Y130" s="132"/>
      <c r="Z130" s="132"/>
      <c r="AA130" s="132"/>
    </row>
    <row r="131" spans="1:27" ht="20.100000000000001" customHeight="1">
      <c r="A131" s="299">
        <v>30101068</v>
      </c>
      <c r="B131" s="140" t="s">
        <v>229</v>
      </c>
      <c r="C131" s="223" t="s">
        <v>203</v>
      </c>
      <c r="D131" s="108">
        <v>5.03</v>
      </c>
      <c r="E131" s="108"/>
      <c r="F131" s="127"/>
      <c r="G131" s="128"/>
      <c r="H131" s="226">
        <f t="shared" si="50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1"/>
        <v/>
      </c>
      <c r="N131" s="130">
        <f t="shared" si="52"/>
        <v>0</v>
      </c>
      <c r="O131" s="219"/>
      <c r="P131" s="219"/>
      <c r="Q131" s="219"/>
      <c r="R131" s="219"/>
      <c r="S131" s="219"/>
      <c r="T131" s="219"/>
      <c r="U131" s="219"/>
      <c r="V131" s="132">
        <f t="shared" si="53"/>
        <v>0</v>
      </c>
      <c r="W131" s="133" t="str">
        <f t="shared" si="48"/>
        <v/>
      </c>
      <c r="X131" s="132"/>
      <c r="Y131" s="132"/>
      <c r="Z131" s="132"/>
      <c r="AA131" s="132"/>
    </row>
    <row r="132" spans="1:27" ht="20.100000000000001" customHeight="1">
      <c r="A132" s="299">
        <v>30101069</v>
      </c>
      <c r="B132" s="140" t="s">
        <v>229</v>
      </c>
      <c r="C132" s="223" t="s">
        <v>186</v>
      </c>
      <c r="D132" s="108">
        <v>5.03</v>
      </c>
      <c r="E132" s="108"/>
      <c r="F132" s="127"/>
      <c r="G132" s="128"/>
      <c r="H132" s="226">
        <f t="shared" si="50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1"/>
        <v/>
      </c>
      <c r="N132" s="130">
        <f t="shared" si="52"/>
        <v>0</v>
      </c>
      <c r="O132" s="219"/>
      <c r="P132" s="219"/>
      <c r="Q132" s="219"/>
      <c r="R132" s="219"/>
      <c r="S132" s="219"/>
      <c r="T132" s="219"/>
      <c r="U132" s="219"/>
      <c r="V132" s="132">
        <f t="shared" si="53"/>
        <v>0</v>
      </c>
      <c r="W132" s="133" t="str">
        <f t="shared" si="48"/>
        <v/>
      </c>
      <c r="X132" s="132"/>
      <c r="Y132" s="132"/>
      <c r="Z132" s="132"/>
      <c r="AA132" s="132"/>
    </row>
    <row r="133" spans="1:27" ht="20.100000000000001" customHeight="1">
      <c r="A133" s="299">
        <v>30101070</v>
      </c>
      <c r="B133" s="140" t="s">
        <v>229</v>
      </c>
      <c r="C133" s="223" t="s">
        <v>228</v>
      </c>
      <c r="D133" s="108">
        <v>5.03</v>
      </c>
      <c r="E133" s="108"/>
      <c r="F133" s="127"/>
      <c r="G133" s="128"/>
      <c r="H133" s="226">
        <f t="shared" si="50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1"/>
        <v/>
      </c>
      <c r="N133" s="130">
        <f t="shared" si="52"/>
        <v>0</v>
      </c>
      <c r="O133" s="219"/>
      <c r="P133" s="219"/>
      <c r="Q133" s="219"/>
      <c r="R133" s="219"/>
      <c r="S133" s="219"/>
      <c r="T133" s="219"/>
      <c r="U133" s="219"/>
      <c r="V133" s="132">
        <f t="shared" si="53"/>
        <v>0</v>
      </c>
      <c r="W133" s="133" t="str">
        <f t="shared" si="48"/>
        <v/>
      </c>
      <c r="X133" s="132"/>
      <c r="Y133" s="132"/>
      <c r="Z133" s="132"/>
      <c r="AA133" s="132"/>
    </row>
    <row r="134" spans="1:27" ht="20.100000000000001" customHeight="1">
      <c r="A134" s="299">
        <v>30101071</v>
      </c>
      <c r="B134" s="140" t="s">
        <v>229</v>
      </c>
      <c r="C134" s="223" t="s">
        <v>199</v>
      </c>
      <c r="D134" s="108">
        <v>5.03</v>
      </c>
      <c r="E134" s="108"/>
      <c r="F134" s="127"/>
      <c r="G134" s="128"/>
      <c r="H134" s="226">
        <f t="shared" si="50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1"/>
        <v/>
      </c>
      <c r="N134" s="130">
        <f t="shared" si="52"/>
        <v>0</v>
      </c>
      <c r="O134" s="219"/>
      <c r="P134" s="219"/>
      <c r="Q134" s="219"/>
      <c r="R134" s="219"/>
      <c r="S134" s="219"/>
      <c r="T134" s="219"/>
      <c r="U134" s="219"/>
      <c r="V134" s="132">
        <f t="shared" si="53"/>
        <v>0</v>
      </c>
      <c r="W134" s="133" t="str">
        <f t="shared" si="48"/>
        <v/>
      </c>
      <c r="X134" s="132"/>
      <c r="Y134" s="132"/>
      <c r="Z134" s="132"/>
      <c r="AA134" s="132"/>
    </row>
    <row r="135" spans="1:27" ht="20.10000000000000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226">
        <f t="shared" ref="H135:H136" si="54">D135*G135</f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ref="M135:M136" si="55">IF(ISERROR(I135-K135),"",I135-K135)</f>
        <v>0</v>
      </c>
      <c r="N135" s="130">
        <f t="shared" ref="N135:N136" si="56">SUM(O135:U135)</f>
        <v>0</v>
      </c>
      <c r="O135" s="219"/>
      <c r="P135" s="219"/>
      <c r="Q135" s="219"/>
      <c r="R135" s="219"/>
      <c r="S135" s="219"/>
      <c r="T135" s="219"/>
      <c r="U135" s="219"/>
      <c r="V135" s="132">
        <f t="shared" ref="V135:V136" si="57">SUM(X135:AA135)</f>
        <v>0</v>
      </c>
      <c r="W135" s="133" t="str">
        <f t="shared" ref="W135:W151" si="58">IF(ISERROR(V135/G135),"",V135/G135)</f>
        <v/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226">
        <f t="shared" si="54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5"/>
        <v>0</v>
      </c>
      <c r="N136" s="130">
        <f t="shared" si="56"/>
        <v>0</v>
      </c>
      <c r="O136" s="219"/>
      <c r="P136" s="219"/>
      <c r="Q136" s="219"/>
      <c r="R136" s="219"/>
      <c r="S136" s="219"/>
      <c r="T136" s="219"/>
      <c r="U136" s="219"/>
      <c r="V136" s="132">
        <f t="shared" si="57"/>
        <v>0</v>
      </c>
      <c r="W136" s="133" t="str">
        <f t="shared" si="58"/>
        <v/>
      </c>
      <c r="X136" s="132"/>
      <c r="Y136" s="132"/>
      <c r="Z136" s="132"/>
      <c r="AA136" s="132"/>
    </row>
    <row r="137" spans="1:27" ht="20.100000000000001" customHeight="1">
      <c r="A137" s="630" t="s">
        <v>231</v>
      </c>
      <c r="B137" s="631"/>
      <c r="C137" s="224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58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226">
        <f t="shared" ref="H138:H146" si="59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6" si="60">IF(ISERROR(I138-K138),"",I138-K138)</f>
        <v>0</v>
      </c>
      <c r="N138" s="130">
        <f t="shared" ref="N138:N146" si="61">SUM(O138:U138)</f>
        <v>0</v>
      </c>
      <c r="O138" s="219"/>
      <c r="P138" s="219"/>
      <c r="Q138" s="219"/>
      <c r="R138" s="219"/>
      <c r="S138" s="219"/>
      <c r="T138" s="219"/>
      <c r="U138" s="219"/>
      <c r="V138" s="132">
        <f t="shared" ref="V138:V146" si="62">SUM(X138:AA138)</f>
        <v>0</v>
      </c>
      <c r="W138" s="133" t="str">
        <f t="shared" si="58"/>
        <v/>
      </c>
      <c r="X138" s="132"/>
      <c r="Y138" s="132"/>
      <c r="Z138" s="132"/>
      <c r="AA138" s="132"/>
    </row>
    <row r="139" spans="1:27" ht="20.10000000000000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226">
        <f t="shared" si="59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60"/>
        <v>0</v>
      </c>
      <c r="N139" s="130">
        <f t="shared" si="61"/>
        <v>0</v>
      </c>
      <c r="O139" s="219"/>
      <c r="P139" s="219"/>
      <c r="Q139" s="219"/>
      <c r="R139" s="219"/>
      <c r="S139" s="219"/>
      <c r="T139" s="219"/>
      <c r="U139" s="219"/>
      <c r="V139" s="132">
        <f t="shared" si="62"/>
        <v>0</v>
      </c>
      <c r="W139" s="133" t="str">
        <f t="shared" si="58"/>
        <v/>
      </c>
      <c r="X139" s="132"/>
      <c r="Y139" s="132"/>
      <c r="Z139" s="132"/>
      <c r="AA139" s="132"/>
    </row>
    <row r="140" spans="1:27" ht="20.10000000000000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226">
        <f t="shared" si="59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60"/>
        <v>0</v>
      </c>
      <c r="N140" s="130">
        <f t="shared" si="61"/>
        <v>0</v>
      </c>
      <c r="O140" s="219"/>
      <c r="P140" s="219"/>
      <c r="Q140" s="219"/>
      <c r="R140" s="219"/>
      <c r="S140" s="219"/>
      <c r="T140" s="219"/>
      <c r="U140" s="219"/>
      <c r="V140" s="132">
        <f t="shared" si="62"/>
        <v>0</v>
      </c>
      <c r="W140" s="133" t="str">
        <f t="shared" si="58"/>
        <v/>
      </c>
      <c r="X140" s="132"/>
      <c r="Y140" s="132"/>
      <c r="Z140" s="132"/>
      <c r="AA140" s="132"/>
    </row>
    <row r="141" spans="1:27" ht="20.100000000000001" customHeight="1">
      <c r="A141" s="300"/>
      <c r="B141" s="134" t="s">
        <v>497</v>
      </c>
      <c r="C141" s="126" t="s">
        <v>195</v>
      </c>
      <c r="D141" s="108">
        <v>5.04</v>
      </c>
      <c r="E141" s="108"/>
      <c r="F141" s="127"/>
      <c r="G141" s="128"/>
      <c r="H141" s="226">
        <f t="shared" si="59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60"/>
        <v>0</v>
      </c>
      <c r="N141" s="130">
        <f t="shared" si="61"/>
        <v>0</v>
      </c>
      <c r="O141" s="219"/>
      <c r="P141" s="219"/>
      <c r="Q141" s="219"/>
      <c r="R141" s="219"/>
      <c r="S141" s="219"/>
      <c r="T141" s="219"/>
      <c r="U141" s="219"/>
      <c r="V141" s="132">
        <f t="shared" si="62"/>
        <v>0</v>
      </c>
      <c r="W141" s="133" t="str">
        <f t="shared" si="58"/>
        <v/>
      </c>
      <c r="X141" s="132"/>
      <c r="Y141" s="132"/>
      <c r="Z141" s="132"/>
      <c r="AA141" s="132"/>
    </row>
    <row r="142" spans="1:27" ht="20.10000000000000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226">
        <f t="shared" si="59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60"/>
        <v>0</v>
      </c>
      <c r="N142" s="130">
        <f t="shared" si="61"/>
        <v>0</v>
      </c>
      <c r="O142" s="219"/>
      <c r="P142" s="219"/>
      <c r="Q142" s="219"/>
      <c r="R142" s="219"/>
      <c r="S142" s="219"/>
      <c r="T142" s="219"/>
      <c r="U142" s="219"/>
      <c r="V142" s="132">
        <f t="shared" si="62"/>
        <v>0</v>
      </c>
      <c r="W142" s="133" t="str">
        <f t="shared" si="58"/>
        <v/>
      </c>
      <c r="X142" s="132"/>
      <c r="Y142" s="132"/>
      <c r="Z142" s="132"/>
      <c r="AA142" s="132"/>
    </row>
    <row r="143" spans="1:27" ht="20.10000000000000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292">
        <f t="shared" si="59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261"/>
      <c r="P143" s="261"/>
      <c r="Q143" s="261"/>
      <c r="R143" s="261"/>
      <c r="S143" s="261"/>
      <c r="T143" s="261"/>
      <c r="U143" s="261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/>
      <c r="G144" s="128"/>
      <c r="H144" s="479">
        <f t="shared" si="59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0"/>
      <c r="P144" s="470"/>
      <c r="Q144" s="470"/>
      <c r="R144" s="470"/>
      <c r="S144" s="470"/>
      <c r="T144" s="470"/>
      <c r="U144" s="470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9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226">
        <f t="shared" si="59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si="60"/>
        <v>0</v>
      </c>
      <c r="N146" s="130">
        <f t="shared" si="61"/>
        <v>0</v>
      </c>
      <c r="O146" s="219"/>
      <c r="P146" s="219"/>
      <c r="Q146" s="219"/>
      <c r="R146" s="219"/>
      <c r="S146" s="219"/>
      <c r="T146" s="219"/>
      <c r="U146" s="219"/>
      <c r="V146" s="132">
        <f t="shared" si="62"/>
        <v>0</v>
      </c>
      <c r="W146" s="133" t="str">
        <f t="shared" si="58"/>
        <v/>
      </c>
      <c r="X146" s="132"/>
      <c r="Y146" s="132"/>
      <c r="Z146" s="132"/>
      <c r="AA146" s="132"/>
    </row>
    <row r="147" spans="1:27" ht="20.100000000000001" customHeight="1">
      <c r="A147" s="630" t="s">
        <v>234</v>
      </c>
      <c r="B147" s="631"/>
      <c r="C147" s="224" t="s">
        <v>202</v>
      </c>
      <c r="D147" s="143"/>
      <c r="E147" s="143"/>
      <c r="F147" s="144"/>
      <c r="G147" s="145">
        <f>SUM(G138:G146)</f>
        <v>0</v>
      </c>
      <c r="H147" s="146">
        <f>SUM(H138:H146)</f>
        <v>0</v>
      </c>
      <c r="I147" s="146">
        <f>SUM(I138:I146)</f>
        <v>0</v>
      </c>
      <c r="J147" s="130" t="str">
        <f t="array" ref="J147">IF(ISERROR(G147/I147),"",G147/I147)</f>
        <v/>
      </c>
      <c r="K147" s="146">
        <f>SUM(K138:K146)</f>
        <v>0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 t="str">
        <f t="shared" si="58"/>
        <v/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customHeight="1">
      <c r="A148" s="299">
        <v>30700013</v>
      </c>
      <c r="B148" s="298" t="s">
        <v>103</v>
      </c>
      <c r="C148" s="217"/>
      <c r="D148" s="108">
        <v>3.65</v>
      </c>
      <c r="E148" s="108"/>
      <c r="F148" s="153"/>
      <c r="G148" s="128"/>
      <c r="H148" s="226">
        <f t="shared" ref="H148:H161" si="63">D148*G148</f>
        <v>0</v>
      </c>
      <c r="I148" s="129"/>
      <c r="J148" s="130" t="str">
        <f t="array" ref="J148">IF(ISERROR(G148/I148),"",G148/I148)</f>
        <v/>
      </c>
      <c r="K148" s="226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219"/>
      <c r="P148" s="219"/>
      <c r="Q148" s="219"/>
      <c r="R148" s="219"/>
      <c r="S148" s="219"/>
      <c r="T148" s="219"/>
      <c r="U148" s="219"/>
      <c r="V148" s="132">
        <f t="shared" ref="V148:V151" si="66">SUM(X148:AA148)</f>
        <v>0</v>
      </c>
      <c r="W148" s="133" t="str">
        <f t="shared" si="58"/>
        <v/>
      </c>
      <c r="X148" s="132"/>
      <c r="Y148" s="132"/>
      <c r="Z148" s="132"/>
      <c r="AA148" s="132"/>
    </row>
    <row r="149" spans="1:27" ht="20.100000000000001" customHeight="1">
      <c r="A149" s="299">
        <v>30700014</v>
      </c>
      <c r="B149" s="141" t="s">
        <v>236</v>
      </c>
      <c r="C149" s="217"/>
      <c r="D149" s="108">
        <v>6.58</v>
      </c>
      <c r="E149" s="108"/>
      <c r="F149" s="127"/>
      <c r="G149" s="128"/>
      <c r="H149" s="226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219"/>
      <c r="P149" s="219"/>
      <c r="Q149" s="219"/>
      <c r="R149" s="219"/>
      <c r="S149" s="219"/>
      <c r="T149" s="219"/>
      <c r="U149" s="219"/>
      <c r="V149" s="132">
        <f t="shared" si="66"/>
        <v>0</v>
      </c>
      <c r="W149" s="133" t="str">
        <f t="shared" si="58"/>
        <v/>
      </c>
      <c r="X149" s="132"/>
      <c r="Y149" s="132"/>
      <c r="Z149" s="132"/>
      <c r="AA149" s="132"/>
    </row>
    <row r="150" spans="1:27" ht="20.100000000000001" customHeight="1">
      <c r="A150" s="299">
        <v>30700016</v>
      </c>
      <c r="B150" s="141" t="s">
        <v>237</v>
      </c>
      <c r="C150" s="217"/>
      <c r="D150" s="108">
        <v>7.8</v>
      </c>
      <c r="E150" s="108"/>
      <c r="F150" s="127"/>
      <c r="G150" s="128"/>
      <c r="H150" s="226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219"/>
      <c r="P150" s="219"/>
      <c r="Q150" s="219"/>
      <c r="R150" s="219"/>
      <c r="S150" s="219"/>
      <c r="T150" s="219"/>
      <c r="U150" s="219"/>
      <c r="V150" s="132">
        <f t="shared" si="66"/>
        <v>0</v>
      </c>
      <c r="W150" s="133" t="str">
        <f t="shared" si="58"/>
        <v/>
      </c>
      <c r="X150" s="132"/>
      <c r="Y150" s="132"/>
      <c r="Z150" s="132"/>
      <c r="AA150" s="132"/>
    </row>
    <row r="151" spans="1:27" ht="20.100000000000001" customHeight="1">
      <c r="A151" s="299">
        <v>30700017</v>
      </c>
      <c r="B151" s="141" t="s">
        <v>238</v>
      </c>
      <c r="C151" s="217"/>
      <c r="D151" s="108">
        <v>4.4000000000000004</v>
      </c>
      <c r="E151" s="108"/>
      <c r="F151" s="127"/>
      <c r="G151" s="128"/>
      <c r="H151" s="292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219"/>
      <c r="P151" s="219"/>
      <c r="Q151" s="219"/>
      <c r="R151" s="219"/>
      <c r="S151" s="219"/>
      <c r="T151" s="219"/>
      <c r="U151" s="219"/>
      <c r="V151" s="132">
        <f t="shared" si="66"/>
        <v>0</v>
      </c>
      <c r="W151" s="133" t="str">
        <f t="shared" si="58"/>
        <v/>
      </c>
      <c r="X151" s="132"/>
      <c r="Y151" s="132"/>
      <c r="Z151" s="132"/>
      <c r="AA151" s="132"/>
    </row>
    <row r="152" spans="1:27" ht="20.10000000000000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292">
        <f t="shared" si="63"/>
        <v>0</v>
      </c>
      <c r="I152" s="129"/>
      <c r="J152" s="130"/>
      <c r="K152" s="131"/>
      <c r="L152" s="129">
        <v>6</v>
      </c>
      <c r="M152" s="109"/>
      <c r="N152" s="130"/>
      <c r="O152" s="219"/>
      <c r="P152" s="219"/>
      <c r="Q152" s="219"/>
      <c r="R152" s="219"/>
      <c r="S152" s="219"/>
      <c r="T152" s="219"/>
      <c r="U152" s="219"/>
      <c r="V152" s="132"/>
      <c r="W152" s="133"/>
      <c r="X152" s="132"/>
      <c r="Y152" s="132"/>
      <c r="Z152" s="132"/>
      <c r="AA152" s="132"/>
    </row>
    <row r="153" spans="1:27" ht="20.100000000000001" customHeight="1">
      <c r="A153" s="305"/>
      <c r="B153" s="217" t="s">
        <v>499</v>
      </c>
      <c r="C153" s="217" t="s">
        <v>179</v>
      </c>
      <c r="D153" s="108">
        <v>6.04</v>
      </c>
      <c r="E153" s="108"/>
      <c r="F153" s="127"/>
      <c r="G153" s="128"/>
      <c r="H153" s="292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219"/>
      <c r="P153" s="219"/>
      <c r="Q153" s="219"/>
      <c r="R153" s="219"/>
      <c r="S153" s="219"/>
      <c r="T153" s="219"/>
      <c r="U153" s="219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customHeight="1">
      <c r="A154" s="305">
        <v>30700019</v>
      </c>
      <c r="B154" s="217" t="s">
        <v>239</v>
      </c>
      <c r="C154" s="217" t="s">
        <v>186</v>
      </c>
      <c r="D154" s="108">
        <v>6.04</v>
      </c>
      <c r="E154" s="108"/>
      <c r="F154" s="127"/>
      <c r="G154" s="128"/>
      <c r="H154" s="292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219"/>
      <c r="P154" s="219"/>
      <c r="Q154" s="219"/>
      <c r="R154" s="219"/>
      <c r="S154" s="219"/>
      <c r="T154" s="219"/>
      <c r="U154" s="219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customHeight="1">
      <c r="A155" s="305">
        <v>30601015</v>
      </c>
      <c r="B155" s="277" t="s">
        <v>444</v>
      </c>
      <c r="C155" s="277" t="s">
        <v>179</v>
      </c>
      <c r="D155" s="108">
        <v>6</v>
      </c>
      <c r="E155" s="108"/>
      <c r="F155" s="127"/>
      <c r="G155" s="128"/>
      <c r="H155" s="292">
        <f t="shared" si="63"/>
        <v>0</v>
      </c>
      <c r="I155" s="129"/>
      <c r="J155" s="130"/>
      <c r="K155" s="131"/>
      <c r="L155" s="129"/>
      <c r="M155" s="109"/>
      <c r="N155" s="130"/>
      <c r="O155" s="278"/>
      <c r="P155" s="278"/>
      <c r="Q155" s="278"/>
      <c r="R155" s="278"/>
      <c r="S155" s="278"/>
      <c r="T155" s="278"/>
      <c r="U155" s="278"/>
      <c r="V155" s="132"/>
      <c r="W155" s="133"/>
      <c r="X155" s="132"/>
      <c r="Y155" s="132"/>
      <c r="Z155" s="132"/>
      <c r="AA155" s="132"/>
    </row>
    <row r="156" spans="1:27" ht="20.100000000000001" customHeight="1">
      <c r="A156" s="305">
        <v>30101016</v>
      </c>
      <c r="B156" s="284" t="s">
        <v>443</v>
      </c>
      <c r="C156" s="284" t="s">
        <v>446</v>
      </c>
      <c r="D156" s="108">
        <v>6</v>
      </c>
      <c r="E156" s="108"/>
      <c r="F156" s="127"/>
      <c r="G156" s="128"/>
      <c r="H156" s="292">
        <f t="shared" si="63"/>
        <v>0</v>
      </c>
      <c r="I156" s="129"/>
      <c r="J156" s="130"/>
      <c r="K156" s="131"/>
      <c r="L156" s="129">
        <v>6</v>
      </c>
      <c r="M156" s="109"/>
      <c r="N156" s="130"/>
      <c r="O156" s="285"/>
      <c r="P156" s="285"/>
      <c r="Q156" s="285"/>
      <c r="R156" s="285"/>
      <c r="S156" s="285"/>
      <c r="T156" s="285"/>
      <c r="U156" s="285"/>
      <c r="V156" s="132"/>
      <c r="W156" s="133"/>
      <c r="X156" s="132"/>
      <c r="Y156" s="132"/>
      <c r="Z156" s="132"/>
      <c r="AA156" s="132"/>
    </row>
    <row r="157" spans="1:27" ht="20.100000000000001" customHeight="1">
      <c r="A157" s="299">
        <v>30700018</v>
      </c>
      <c r="B157" s="218" t="s">
        <v>240</v>
      </c>
      <c r="C157" s="126"/>
      <c r="D157" s="108">
        <v>7.3</v>
      </c>
      <c r="E157" s="108"/>
      <c r="F157" s="127"/>
      <c r="G157" s="128"/>
      <c r="H157" s="292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219"/>
      <c r="P157" s="219"/>
      <c r="Q157" s="219"/>
      <c r="R157" s="219"/>
      <c r="S157" s="219"/>
      <c r="T157" s="219"/>
      <c r="U157" s="219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customHeight="1">
      <c r="A158" s="299">
        <v>30700010</v>
      </c>
      <c r="B158" s="218" t="s">
        <v>241</v>
      </c>
      <c r="C158" s="126"/>
      <c r="D158" s="108">
        <f>78*120/1000</f>
        <v>9.36</v>
      </c>
      <c r="E158" s="108"/>
      <c r="F158" s="127"/>
      <c r="G158" s="128"/>
      <c r="H158" s="292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219"/>
      <c r="P158" s="219"/>
      <c r="Q158" s="219"/>
      <c r="R158" s="219"/>
      <c r="S158" s="219"/>
      <c r="T158" s="219"/>
      <c r="U158" s="219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customHeight="1">
      <c r="A159" s="299">
        <v>30700015</v>
      </c>
      <c r="B159" s="218" t="s">
        <v>242</v>
      </c>
      <c r="C159" s="126"/>
      <c r="D159" s="108">
        <v>4.5</v>
      </c>
      <c r="E159" s="108"/>
      <c r="F159" s="127"/>
      <c r="G159" s="128"/>
      <c r="H159" s="292">
        <f t="shared" si="63"/>
        <v>0</v>
      </c>
      <c r="I159" s="129"/>
      <c r="J159" s="130"/>
      <c r="K159" s="131"/>
      <c r="L159" s="129"/>
      <c r="M159" s="109"/>
      <c r="N159" s="130"/>
      <c r="O159" s="219"/>
      <c r="P159" s="219"/>
      <c r="Q159" s="219"/>
      <c r="R159" s="219"/>
      <c r="S159" s="219"/>
      <c r="T159" s="219"/>
      <c r="U159" s="219"/>
      <c r="V159" s="132"/>
      <c r="W159" s="133"/>
      <c r="X159" s="132"/>
      <c r="Y159" s="132"/>
      <c r="Z159" s="132"/>
      <c r="AA159" s="132"/>
    </row>
    <row r="160" spans="1:27" ht="20.100000000000001" customHeight="1">
      <c r="A160" s="299">
        <v>30700012</v>
      </c>
      <c r="B160" s="218" t="s">
        <v>243</v>
      </c>
      <c r="C160" s="126"/>
      <c r="D160" s="108">
        <v>4.5</v>
      </c>
      <c r="E160" s="108"/>
      <c r="F160" s="127"/>
      <c r="G160" s="128"/>
      <c r="H160" s="292">
        <f t="shared" si="63"/>
        <v>0</v>
      </c>
      <c r="I160" s="129"/>
      <c r="J160" s="130"/>
      <c r="K160" s="131"/>
      <c r="L160" s="129"/>
      <c r="M160" s="109"/>
      <c r="N160" s="130"/>
      <c r="O160" s="219"/>
      <c r="P160" s="219"/>
      <c r="Q160" s="219"/>
      <c r="R160" s="219"/>
      <c r="S160" s="219"/>
      <c r="T160" s="219"/>
      <c r="U160" s="219"/>
      <c r="V160" s="132"/>
      <c r="W160" s="133"/>
      <c r="X160" s="132"/>
      <c r="Y160" s="132"/>
      <c r="Z160" s="132"/>
      <c r="AA160" s="132"/>
    </row>
    <row r="161" spans="1:27" ht="20.100000000000001" customHeight="1">
      <c r="A161" s="306">
        <v>30101063</v>
      </c>
      <c r="B161" s="254" t="s">
        <v>437</v>
      </c>
      <c r="C161" s="126"/>
      <c r="D161" s="108">
        <v>5.03</v>
      </c>
      <c r="E161" s="108"/>
      <c r="F161" s="127"/>
      <c r="G161" s="128"/>
      <c r="H161" s="292">
        <f t="shared" si="63"/>
        <v>0</v>
      </c>
      <c r="I161" s="129"/>
      <c r="J161" s="130"/>
      <c r="K161" s="131"/>
      <c r="L161" s="129"/>
      <c r="M161" s="109"/>
      <c r="N161" s="130"/>
      <c r="O161" s="253"/>
      <c r="P161" s="253"/>
      <c r="Q161" s="253"/>
      <c r="R161" s="253"/>
      <c r="S161" s="253"/>
      <c r="T161" s="253"/>
      <c r="U161" s="253"/>
      <c r="V161" s="132"/>
      <c r="W161" s="133"/>
      <c r="X161" s="132"/>
      <c r="Y161" s="132"/>
      <c r="Z161" s="132"/>
      <c r="AA161" s="132"/>
    </row>
    <row r="162" spans="1:27" ht="20.100000000000001" customHeight="1">
      <c r="A162" s="630" t="s">
        <v>244</v>
      </c>
      <c r="B162" s="631"/>
      <c r="C162" s="224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32" t="s">
        <v>246</v>
      </c>
      <c r="B163" s="633"/>
      <c r="C163" s="633"/>
      <c r="D163" s="633"/>
      <c r="E163" s="633"/>
      <c r="F163" s="634"/>
      <c r="G163" s="154">
        <f>SUM(G28,G86,G121,G137,G147,G162)</f>
        <v>0</v>
      </c>
      <c r="H163" s="154">
        <f>SUM(H28,H86,H121,H137,H147,H162)</f>
        <v>0</v>
      </c>
      <c r="I163" s="154">
        <f>SUM(I28,I86,I121,I137,I147,I162)</f>
        <v>0</v>
      </c>
      <c r="J163" s="155" t="str">
        <f t="array" ref="J163">IF(ISERROR(G163/I163),"",G163/I163)</f>
        <v/>
      </c>
      <c r="K163" s="154">
        <f>SUM(K28,K86,K121,K137,K147,K162)</f>
        <v>0</v>
      </c>
      <c r="L163" s="155" t="str">
        <f>IF(ISERROR(G163/K163),"",G163/K163)</f>
        <v/>
      </c>
      <c r="M163" s="154">
        <f t="shared" ref="M163:AA163" si="76">SUM(M28,M86,M121,M137,M147,M162)</f>
        <v>0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635" t="s">
        <v>476</v>
      </c>
      <c r="B164" s="222" t="s">
        <v>247</v>
      </c>
      <c r="C164" s="638" t="s">
        <v>248</v>
      </c>
      <c r="D164" s="639"/>
      <c r="E164" s="640" t="s">
        <v>249</v>
      </c>
      <c r="F164" s="640"/>
      <c r="G164" s="643" t="s">
        <v>250</v>
      </c>
      <c r="H164" s="643"/>
      <c r="I164" s="640" t="s">
        <v>251</v>
      </c>
      <c r="J164" s="640"/>
      <c r="K164" s="640" t="s">
        <v>252</v>
      </c>
      <c r="L164" s="640"/>
      <c r="M164" s="640" t="s">
        <v>253</v>
      </c>
      <c r="N164" s="640"/>
      <c r="O164" s="640" t="s">
        <v>254</v>
      </c>
      <c r="P164" s="643" t="s">
        <v>255</v>
      </c>
      <c r="Q164" s="643"/>
      <c r="R164" s="643" t="s">
        <v>252</v>
      </c>
      <c r="S164" s="643"/>
      <c r="T164" s="643" t="s">
        <v>256</v>
      </c>
      <c r="U164" s="643"/>
      <c r="V164" s="643" t="s">
        <v>257</v>
      </c>
      <c r="W164" s="643"/>
      <c r="X164" s="643" t="s">
        <v>252</v>
      </c>
      <c r="Y164" s="643"/>
      <c r="Z164" s="643" t="s">
        <v>256</v>
      </c>
      <c r="AA164" s="643"/>
    </row>
    <row r="165" spans="1:27" ht="20.100000000000001" customHeight="1">
      <c r="A165" s="636"/>
      <c r="B165" s="222" t="s">
        <v>258</v>
      </c>
      <c r="C165" s="638">
        <v>1</v>
      </c>
      <c r="D165" s="639"/>
      <c r="E165" s="642">
        <f>C165*11</f>
        <v>11</v>
      </c>
      <c r="F165" s="642"/>
      <c r="G165" s="643">
        <v>1</v>
      </c>
      <c r="H165" s="643"/>
      <c r="I165" s="642">
        <f>G165*11</f>
        <v>11</v>
      </c>
      <c r="J165" s="642"/>
      <c r="K165" s="642">
        <f>E165-I165</f>
        <v>0</v>
      </c>
      <c r="L165" s="642"/>
      <c r="M165" s="644">
        <f>IF(ISERROR(K165/E165),"",K165/E165)</f>
        <v>0</v>
      </c>
      <c r="N165" s="644"/>
      <c r="O165" s="640"/>
      <c r="P165" s="643" t="s">
        <v>201</v>
      </c>
      <c r="Q165" s="643"/>
      <c r="R165" s="645">
        <f>SUM(O28:U28)</f>
        <v>0</v>
      </c>
      <c r="S165" s="645"/>
      <c r="T165" s="646" t="str">
        <f t="array" ref="T165">IF(ISERROR(R165/R172),"",R165/R172)</f>
        <v/>
      </c>
      <c r="U165" s="646"/>
      <c r="V165" s="643" t="s">
        <v>259</v>
      </c>
      <c r="W165" s="643"/>
      <c r="X165" s="647">
        <f>SUM(P27,P85,P120,P136,P146,P160)</f>
        <v>0</v>
      </c>
      <c r="Y165" s="647"/>
      <c r="Z165" s="646" t="str">
        <f t="array" ref="Z165">IF(ISERROR(X165/X172),"",X165/X172)</f>
        <v/>
      </c>
      <c r="AA165" s="646"/>
    </row>
    <row r="166" spans="1:27" ht="20.100000000000001" customHeight="1">
      <c r="A166" s="636"/>
      <c r="B166" s="222" t="s">
        <v>260</v>
      </c>
      <c r="C166" s="638">
        <v>1</v>
      </c>
      <c r="D166" s="639"/>
      <c r="E166" s="642">
        <f>C166*11</f>
        <v>11</v>
      </c>
      <c r="F166" s="642"/>
      <c r="G166" s="643">
        <v>1</v>
      </c>
      <c r="H166" s="643"/>
      <c r="I166" s="642">
        <f>G166*11</f>
        <v>11</v>
      </c>
      <c r="J166" s="642"/>
      <c r="K166" s="642">
        <f>E166-I166</f>
        <v>0</v>
      </c>
      <c r="L166" s="642"/>
      <c r="M166" s="644">
        <f>IF(ISERROR(K166/E166),"",K166/E166)</f>
        <v>0</v>
      </c>
      <c r="N166" s="644"/>
      <c r="O166" s="640"/>
      <c r="P166" s="643" t="s">
        <v>216</v>
      </c>
      <c r="Q166" s="643"/>
      <c r="R166" s="645">
        <f>SUM(O86:U86)</f>
        <v>0</v>
      </c>
      <c r="S166" s="645"/>
      <c r="T166" s="646" t="str">
        <f>IF(ISERROR(R166/R172),"",R166/R172)</f>
        <v/>
      </c>
      <c r="U166" s="646"/>
      <c r="V166" s="643" t="s">
        <v>261</v>
      </c>
      <c r="W166" s="643"/>
      <c r="X166" s="647">
        <f>SUM(P28,P86,P121,P137,P147,P162)</f>
        <v>0</v>
      </c>
      <c r="Y166" s="647"/>
      <c r="Z166" s="646" t="str">
        <f>IF(ISERROR(X166/X172),"",X166/X172)</f>
        <v/>
      </c>
      <c r="AA166" s="646"/>
    </row>
    <row r="167" spans="1:27" ht="20.100000000000001" customHeight="1">
      <c r="A167" s="636"/>
      <c r="B167" s="222" t="s">
        <v>262</v>
      </c>
      <c r="C167" s="638">
        <v>1</v>
      </c>
      <c r="D167" s="639"/>
      <c r="E167" s="642">
        <f>C167*8</f>
        <v>8</v>
      </c>
      <c r="F167" s="642"/>
      <c r="G167" s="643">
        <v>1</v>
      </c>
      <c r="H167" s="643"/>
      <c r="I167" s="642">
        <f>G167*8</f>
        <v>8</v>
      </c>
      <c r="J167" s="642"/>
      <c r="K167" s="642">
        <f>E167-I167</f>
        <v>0</v>
      </c>
      <c r="L167" s="642"/>
      <c r="M167" s="644">
        <f>IF(ISERROR(K167/E167),"",K167/E167)</f>
        <v>0</v>
      </c>
      <c r="N167" s="644"/>
      <c r="O167" s="640"/>
      <c r="P167" s="643" t="s">
        <v>224</v>
      </c>
      <c r="Q167" s="643"/>
      <c r="R167" s="645">
        <f>SUM(O121:U121)</f>
        <v>0</v>
      </c>
      <c r="S167" s="645"/>
      <c r="T167" s="646" t="str">
        <f>IF(ISERROR(R167/R172),"",R167/R172)</f>
        <v/>
      </c>
      <c r="U167" s="646"/>
      <c r="V167" s="643" t="s">
        <v>263</v>
      </c>
      <c r="W167" s="643"/>
      <c r="X167" s="647">
        <f>SUM(P29,P87,P122,P138,P148,P163)</f>
        <v>0</v>
      </c>
      <c r="Y167" s="647"/>
      <c r="Z167" s="646" t="str">
        <f>IF(ISERROR(X167/X172),"",X167/X172)</f>
        <v/>
      </c>
      <c r="AA167" s="646"/>
    </row>
    <row r="168" spans="1:27" ht="20.100000000000001" customHeight="1">
      <c r="A168" s="636"/>
      <c r="B168" s="222" t="s">
        <v>264</v>
      </c>
      <c r="C168" s="638">
        <v>1</v>
      </c>
      <c r="D168" s="639"/>
      <c r="E168" s="642">
        <f>C168*11</f>
        <v>11</v>
      </c>
      <c r="F168" s="642"/>
      <c r="G168" s="643">
        <v>1</v>
      </c>
      <c r="H168" s="643"/>
      <c r="I168" s="642">
        <f>G168*11</f>
        <v>11</v>
      </c>
      <c r="J168" s="642"/>
      <c r="K168" s="642">
        <f>E168-I168</f>
        <v>0</v>
      </c>
      <c r="L168" s="642"/>
      <c r="M168" s="644">
        <f>IF(ISERROR(K168/E168),"",K168/E168)</f>
        <v>0</v>
      </c>
      <c r="N168" s="644"/>
      <c r="O168" s="640"/>
      <c r="P168" s="643" t="s">
        <v>231</v>
      </c>
      <c r="Q168" s="643"/>
      <c r="R168" s="645">
        <f>SUM(O137:U137)</f>
        <v>0</v>
      </c>
      <c r="S168" s="645"/>
      <c r="T168" s="646" t="str">
        <f>IF(ISERROR(R168/R172),"",R168/R172)</f>
        <v/>
      </c>
      <c r="U168" s="646"/>
      <c r="V168" s="643" t="s">
        <v>265</v>
      </c>
      <c r="W168" s="643"/>
      <c r="X168" s="647">
        <f>SUM(P31,P88,P123,P139,P149,P164)</f>
        <v>0</v>
      </c>
      <c r="Y168" s="647"/>
      <c r="Z168" s="646" t="str">
        <f>IF(ISERROR(X168/X172),"",X168/X172)</f>
        <v/>
      </c>
      <c r="AA168" s="646"/>
    </row>
    <row r="169" spans="1:27" ht="20.100000000000001" customHeight="1">
      <c r="A169" s="637"/>
      <c r="B169" s="222" t="s">
        <v>266</v>
      </c>
      <c r="C169" s="648">
        <f>SUM(C165:D168)</f>
        <v>4</v>
      </c>
      <c r="D169" s="649"/>
      <c r="E169" s="642">
        <f>SUM(E165:F168)</f>
        <v>41</v>
      </c>
      <c r="F169" s="642"/>
      <c r="G169" s="643">
        <f>SUM(G165:H168)</f>
        <v>4</v>
      </c>
      <c r="H169" s="643"/>
      <c r="I169" s="642">
        <f>SUM(I165:J168)</f>
        <v>41</v>
      </c>
      <c r="J169" s="642"/>
      <c r="K169" s="642">
        <f>SUM(K165:L168)</f>
        <v>0</v>
      </c>
      <c r="L169" s="642"/>
      <c r="M169" s="644">
        <f>IF(ISERROR(K169/E169),"",K169/E169)</f>
        <v>0</v>
      </c>
      <c r="N169" s="644"/>
      <c r="O169" s="640"/>
      <c r="P169" s="643" t="s">
        <v>234</v>
      </c>
      <c r="Q169" s="643"/>
      <c r="R169" s="645">
        <f>SUM(O147:U147)</f>
        <v>0</v>
      </c>
      <c r="S169" s="645"/>
      <c r="T169" s="646" t="str">
        <f>IF(ISERROR(R169/R172),"",R169/R172)</f>
        <v/>
      </c>
      <c r="U169" s="646"/>
      <c r="V169" s="643" t="s">
        <v>267</v>
      </c>
      <c r="W169" s="643"/>
      <c r="X169" s="647">
        <f>SUM(P32,P89,P124,P140,P150,P165)</f>
        <v>0</v>
      </c>
      <c r="Y169" s="647"/>
      <c r="Z169" s="646" t="str">
        <f>IF(ISERROR(X169/X172),"",X169/X172)</f>
        <v/>
      </c>
      <c r="AA169" s="646"/>
    </row>
    <row r="170" spans="1:27" ht="20.100000000000001" customHeight="1">
      <c r="A170" s="307" t="s">
        <v>477</v>
      </c>
      <c r="B170" s="222">
        <f>G163</f>
        <v>0</v>
      </c>
      <c r="C170" s="650" t="s">
        <v>269</v>
      </c>
      <c r="D170" s="651"/>
      <c r="E170" s="643">
        <f>H163</f>
        <v>0</v>
      </c>
      <c r="F170" s="643"/>
      <c r="G170" s="643" t="s">
        <v>270</v>
      </c>
      <c r="H170" s="643"/>
      <c r="I170" s="652" t="str">
        <f>L163</f>
        <v/>
      </c>
      <c r="J170" s="652"/>
      <c r="K170" s="640" t="s">
        <v>271</v>
      </c>
      <c r="L170" s="640"/>
      <c r="M170" s="652" t="str">
        <f>J163</f>
        <v/>
      </c>
      <c r="N170" s="652"/>
      <c r="O170" s="640"/>
      <c r="P170" s="643" t="s">
        <v>244</v>
      </c>
      <c r="Q170" s="643"/>
      <c r="R170" s="645">
        <f>SUM(O162:U162)</f>
        <v>0</v>
      </c>
      <c r="S170" s="645"/>
      <c r="T170" s="646" t="str">
        <f>IF(ISERROR(R170/R172),"",R170/R172)</f>
        <v/>
      </c>
      <c r="U170" s="646"/>
      <c r="V170" s="643" t="s">
        <v>272</v>
      </c>
      <c r="W170" s="643"/>
      <c r="X170" s="647">
        <f>SUM(P33,P90,P125,P141,P151,P166)</f>
        <v>0</v>
      </c>
      <c r="Y170" s="647"/>
      <c r="Z170" s="646" t="str">
        <f>IF(ISERROR(X170/X172),"",X170/X172)</f>
        <v/>
      </c>
      <c r="AA170" s="646"/>
    </row>
    <row r="171" spans="1:27" ht="20.100000000000001" customHeight="1">
      <c r="A171" s="308" t="s">
        <v>478</v>
      </c>
      <c r="B171" s="222">
        <f>I163+C169</f>
        <v>4</v>
      </c>
      <c r="C171" s="653" t="s">
        <v>251</v>
      </c>
      <c r="D171" s="654"/>
      <c r="E171" s="655">
        <f>K163+I169</f>
        <v>41</v>
      </c>
      <c r="F171" s="655"/>
      <c r="G171" s="643" t="s">
        <v>274</v>
      </c>
      <c r="H171" s="643"/>
      <c r="I171" s="652">
        <f>B171-E171</f>
        <v>-37</v>
      </c>
      <c r="J171" s="652"/>
      <c r="K171" s="640" t="s">
        <v>275</v>
      </c>
      <c r="L171" s="640"/>
      <c r="M171" s="644">
        <f>IF(ISERROR(I171/E171),"",I171/E171)</f>
        <v>-0.90243902439024393</v>
      </c>
      <c r="N171" s="644"/>
      <c r="O171" s="640"/>
      <c r="P171" s="643" t="s">
        <v>245</v>
      </c>
      <c r="Q171" s="643"/>
      <c r="R171" s="645"/>
      <c r="S171" s="645"/>
      <c r="T171" s="646" t="str">
        <f>IF(ISERROR(R171/R172),"",R171/R172)</f>
        <v/>
      </c>
      <c r="U171" s="646"/>
      <c r="V171" s="643" t="s">
        <v>264</v>
      </c>
      <c r="W171" s="643"/>
      <c r="X171" s="647"/>
      <c r="Y171" s="647"/>
      <c r="Z171" s="646" t="str">
        <f>IF(ISERROR(X171/X172),"",X171/X172)</f>
        <v/>
      </c>
      <c r="AA171" s="646"/>
    </row>
    <row r="172" spans="1:27" ht="20.100000000000001" customHeight="1">
      <c r="A172" s="308" t="s">
        <v>479</v>
      </c>
      <c r="B172" s="222">
        <f>N163</f>
        <v>0</v>
      </c>
      <c r="C172" s="653" t="s">
        <v>277</v>
      </c>
      <c r="D172" s="654"/>
      <c r="E172" s="646">
        <f>IF(ISERROR(B172/B171),"",B172/B171)</f>
        <v>0</v>
      </c>
      <c r="F172" s="646"/>
      <c r="G172" s="643" t="s">
        <v>278</v>
      </c>
      <c r="H172" s="643"/>
      <c r="I172" s="640">
        <f>V163</f>
        <v>0</v>
      </c>
      <c r="J172" s="640"/>
      <c r="K172" s="640" t="s">
        <v>279</v>
      </c>
      <c r="L172" s="640"/>
      <c r="M172" s="644" t="str">
        <f t="array" ref="M172">IF(ISERROR(I172/B170),"",I172/B170)</f>
        <v/>
      </c>
      <c r="N172" s="644"/>
      <c r="O172" s="640"/>
      <c r="P172" s="643" t="s">
        <v>266</v>
      </c>
      <c r="Q172" s="643"/>
      <c r="R172" s="645">
        <f>SUM(R165:S171)</f>
        <v>0</v>
      </c>
      <c r="S172" s="645"/>
      <c r="T172" s="646"/>
      <c r="U172" s="646"/>
      <c r="V172" s="643" t="s">
        <v>266</v>
      </c>
      <c r="W172" s="643"/>
      <c r="X172" s="647">
        <f>SUM(X165:Y171)</f>
        <v>0</v>
      </c>
      <c r="Y172" s="647"/>
      <c r="Z172" s="646"/>
      <c r="AA172" s="646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56" t="s">
        <v>480</v>
      </c>
      <c r="B174" s="659" t="s">
        <v>280</v>
      </c>
      <c r="C174" s="659" t="s">
        <v>281</v>
      </c>
      <c r="D174" s="659" t="s">
        <v>282</v>
      </c>
      <c r="E174" s="662" t="s">
        <v>283</v>
      </c>
      <c r="F174" s="675" t="s">
        <v>284</v>
      </c>
      <c r="G174" s="640" t="s">
        <v>285</v>
      </c>
      <c r="H174" s="640"/>
      <c r="I174" s="659" t="s">
        <v>286</v>
      </c>
      <c r="J174" s="665" t="s">
        <v>271</v>
      </c>
      <c r="K174" s="668" t="s">
        <v>287</v>
      </c>
      <c r="L174" s="659" t="s">
        <v>270</v>
      </c>
      <c r="M174" s="671" t="s">
        <v>288</v>
      </c>
      <c r="N174" s="673" t="s">
        <v>252</v>
      </c>
      <c r="O174" s="640" t="s">
        <v>289</v>
      </c>
      <c r="P174" s="640"/>
      <c r="Q174" s="640"/>
      <c r="R174" s="640"/>
      <c r="S174" s="640"/>
      <c r="T174" s="640"/>
      <c r="U174" s="640"/>
      <c r="V174" s="640" t="s">
        <v>290</v>
      </c>
      <c r="W174" s="673" t="s">
        <v>291</v>
      </c>
      <c r="X174" s="640" t="s">
        <v>292</v>
      </c>
      <c r="Y174" s="640"/>
      <c r="Z174" s="640"/>
      <c r="AA174" s="640"/>
    </row>
    <row r="175" spans="1:27" ht="21.95" customHeight="1">
      <c r="A175" s="657"/>
      <c r="B175" s="660"/>
      <c r="C175" s="660"/>
      <c r="D175" s="660"/>
      <c r="E175" s="663"/>
      <c r="F175" s="676"/>
      <c r="G175" s="640"/>
      <c r="H175" s="640"/>
      <c r="I175" s="660"/>
      <c r="J175" s="666"/>
      <c r="K175" s="669"/>
      <c r="L175" s="660"/>
      <c r="M175" s="672"/>
      <c r="N175" s="673"/>
      <c r="O175" s="640" t="s">
        <v>259</v>
      </c>
      <c r="P175" s="640" t="s">
        <v>261</v>
      </c>
      <c r="Q175" s="640" t="s">
        <v>263</v>
      </c>
      <c r="R175" s="674" t="s">
        <v>265</v>
      </c>
      <c r="S175" s="643" t="s">
        <v>267</v>
      </c>
      <c r="T175" s="640" t="s">
        <v>272</v>
      </c>
      <c r="U175" s="640" t="s">
        <v>264</v>
      </c>
      <c r="V175" s="640"/>
      <c r="W175" s="673"/>
      <c r="X175" s="640" t="s">
        <v>293</v>
      </c>
      <c r="Y175" s="640" t="s">
        <v>294</v>
      </c>
      <c r="Z175" s="640" t="s">
        <v>295</v>
      </c>
      <c r="AA175" s="640" t="s">
        <v>264</v>
      </c>
    </row>
    <row r="176" spans="1:27" ht="21.95" customHeight="1">
      <c r="A176" s="658"/>
      <c r="B176" s="661"/>
      <c r="C176" s="661"/>
      <c r="D176" s="661"/>
      <c r="E176" s="664"/>
      <c r="F176" s="677"/>
      <c r="G176" s="157" t="s">
        <v>296</v>
      </c>
      <c r="H176" s="217" t="s">
        <v>297</v>
      </c>
      <c r="I176" s="661"/>
      <c r="J176" s="667"/>
      <c r="K176" s="670"/>
      <c r="L176" s="661"/>
      <c r="M176" s="672"/>
      <c r="N176" s="673"/>
      <c r="O176" s="640"/>
      <c r="P176" s="640"/>
      <c r="Q176" s="640"/>
      <c r="R176" s="674"/>
      <c r="S176" s="643"/>
      <c r="T176" s="640"/>
      <c r="U176" s="640"/>
      <c r="V176" s="640"/>
      <c r="W176" s="673"/>
      <c r="X176" s="640"/>
      <c r="Y176" s="640"/>
      <c r="Z176" s="640"/>
      <c r="AA176" s="640"/>
    </row>
    <row r="177" spans="1:27" ht="20.100000000000001" customHeight="1">
      <c r="A177" s="299">
        <v>30100030</v>
      </c>
      <c r="B177" s="218" t="s">
        <v>178</v>
      </c>
      <c r="C177" s="126" t="s">
        <v>179</v>
      </c>
      <c r="D177" s="108">
        <v>5.03</v>
      </c>
      <c r="E177" s="108"/>
      <c r="F177" s="127"/>
      <c r="G177" s="152"/>
      <c r="H177" s="226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219"/>
      <c r="P177" s="219"/>
      <c r="Q177" s="219"/>
      <c r="R177" s="219"/>
      <c r="S177" s="219"/>
      <c r="T177" s="219"/>
      <c r="U177" s="219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226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219"/>
      <c r="P178" s="219"/>
      <c r="Q178" s="219"/>
      <c r="R178" s="219"/>
      <c r="S178" s="219"/>
      <c r="T178" s="219"/>
      <c r="U178" s="219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226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219"/>
      <c r="P179" s="219"/>
      <c r="Q179" s="219"/>
      <c r="R179" s="219"/>
      <c r="S179" s="219"/>
      <c r="T179" s="219"/>
      <c r="U179" s="21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226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219"/>
      <c r="P180" s="219"/>
      <c r="Q180" s="219"/>
      <c r="R180" s="219"/>
      <c r="S180" s="219"/>
      <c r="T180" s="219"/>
      <c r="U180" s="21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226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219"/>
      <c r="P181" s="219"/>
      <c r="Q181" s="219"/>
      <c r="R181" s="219"/>
      <c r="S181" s="219"/>
      <c r="T181" s="219"/>
      <c r="U181" s="219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226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219"/>
      <c r="P182" s="219"/>
      <c r="Q182" s="219"/>
      <c r="R182" s="219"/>
      <c r="S182" s="219"/>
      <c r="T182" s="219"/>
      <c r="U182" s="219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226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219"/>
      <c r="P183" s="219"/>
      <c r="Q183" s="219"/>
      <c r="R183" s="219"/>
      <c r="S183" s="219"/>
      <c r="T183" s="219"/>
      <c r="U183" s="219"/>
      <c r="V183" s="132"/>
      <c r="W183" s="133"/>
      <c r="X183" s="132"/>
      <c r="Y183" s="132"/>
      <c r="Z183" s="132"/>
      <c r="AA183" s="132"/>
    </row>
    <row r="184" spans="1:27" ht="20.10000000000000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226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219"/>
      <c r="P184" s="219"/>
      <c r="Q184" s="219"/>
      <c r="R184" s="219"/>
      <c r="S184" s="219"/>
      <c r="T184" s="219"/>
      <c r="U184" s="219"/>
      <c r="V184" s="132"/>
      <c r="W184" s="133"/>
      <c r="X184" s="132"/>
      <c r="Y184" s="132"/>
      <c r="Z184" s="132"/>
      <c r="AA184" s="132"/>
    </row>
    <row r="185" spans="1:27" ht="20.10000000000000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226">
        <f t="shared" si="77"/>
        <v>0</v>
      </c>
      <c r="I185" s="226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219"/>
      <c r="P185" s="219"/>
      <c r="Q185" s="219"/>
      <c r="R185" s="219"/>
      <c r="S185" s="219"/>
      <c r="T185" s="219"/>
      <c r="U185" s="219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226">
        <f t="shared" si="77"/>
        <v>0</v>
      </c>
      <c r="I186" s="226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219"/>
      <c r="P186" s="219"/>
      <c r="Q186" s="219"/>
      <c r="R186" s="219"/>
      <c r="S186" s="219"/>
      <c r="T186" s="219"/>
      <c r="U186" s="21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226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219"/>
      <c r="P187" s="219"/>
      <c r="Q187" s="219"/>
      <c r="R187" s="219"/>
      <c r="S187" s="219"/>
      <c r="T187" s="219"/>
      <c r="U187" s="219"/>
      <c r="V187" s="132"/>
      <c r="W187" s="133"/>
      <c r="X187" s="132"/>
      <c r="Y187" s="132"/>
      <c r="Z187" s="132"/>
      <c r="AA187" s="132"/>
    </row>
    <row r="188" spans="1:27" ht="20.10000000000000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226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219"/>
      <c r="P188" s="219"/>
      <c r="Q188" s="219"/>
      <c r="R188" s="219"/>
      <c r="S188" s="219"/>
      <c r="T188" s="219"/>
      <c r="U188" s="219"/>
      <c r="V188" s="132"/>
      <c r="W188" s="133"/>
      <c r="X188" s="132"/>
      <c r="Y188" s="132"/>
      <c r="Z188" s="132"/>
      <c r="AA188" s="132"/>
    </row>
    <row r="189" spans="1:27" ht="20.10000000000000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226">
        <f t="shared" ref="H189:H197" si="82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3">IF(ISERROR(I189-K189),"",I189-K189)</f>
        <v>0</v>
      </c>
      <c r="N189" s="130">
        <f t="shared" ref="N189:N191" si="84">SUM(O189:U189)</f>
        <v>0</v>
      </c>
      <c r="O189" s="219"/>
      <c r="P189" s="219"/>
      <c r="Q189" s="219"/>
      <c r="R189" s="219"/>
      <c r="S189" s="219"/>
      <c r="T189" s="219"/>
      <c r="U189" s="219"/>
      <c r="V189" s="132">
        <f t="shared" ref="V189:V191" si="85">SUM(X189:AA189)</f>
        <v>0</v>
      </c>
      <c r="W189" s="133" t="str">
        <f t="shared" ref="W189:W191" si="86">IF(ISERROR(V189/G189),"",V189/G189)</f>
        <v/>
      </c>
      <c r="X189" s="132"/>
      <c r="Y189" s="132"/>
      <c r="Z189" s="132"/>
      <c r="AA189" s="132"/>
    </row>
    <row r="190" spans="1:27" ht="20.10000000000000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226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219"/>
      <c r="P190" s="219"/>
      <c r="Q190" s="219"/>
      <c r="R190" s="219"/>
      <c r="S190" s="219"/>
      <c r="T190" s="219"/>
      <c r="U190" s="219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226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219"/>
      <c r="P191" s="219"/>
      <c r="Q191" s="219"/>
      <c r="R191" s="219"/>
      <c r="S191" s="219"/>
      <c r="T191" s="219"/>
      <c r="U191" s="219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customHeight="1">
      <c r="A192" s="300">
        <v>30100003</v>
      </c>
      <c r="B192" s="141" t="s">
        <v>198</v>
      </c>
      <c r="C192" s="217" t="s">
        <v>190</v>
      </c>
      <c r="D192" s="108">
        <v>4.8</v>
      </c>
      <c r="E192" s="108"/>
      <c r="F192" s="127"/>
      <c r="G192" s="128"/>
      <c r="H192" s="226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219"/>
      <c r="P192" s="219"/>
      <c r="Q192" s="219"/>
      <c r="R192" s="219"/>
      <c r="S192" s="219"/>
      <c r="T192" s="219"/>
      <c r="U192" s="219"/>
      <c r="V192" s="132"/>
      <c r="W192" s="133"/>
      <c r="X192" s="132"/>
      <c r="Y192" s="132"/>
      <c r="Z192" s="132"/>
      <c r="AA192" s="132"/>
    </row>
    <row r="193" spans="1:27" ht="20.100000000000001" customHeight="1">
      <c r="A193" s="300">
        <v>30100004</v>
      </c>
      <c r="B193" s="141" t="s">
        <v>198</v>
      </c>
      <c r="C193" s="217" t="s">
        <v>187</v>
      </c>
      <c r="D193" s="108">
        <v>4.8</v>
      </c>
      <c r="E193" s="108"/>
      <c r="F193" s="127"/>
      <c r="G193" s="128"/>
      <c r="H193" s="226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219"/>
      <c r="P193" s="219"/>
      <c r="Q193" s="219"/>
      <c r="R193" s="219"/>
      <c r="S193" s="219"/>
      <c r="T193" s="219"/>
      <c r="U193" s="219"/>
      <c r="V193" s="132"/>
      <c r="W193" s="133"/>
      <c r="X193" s="132"/>
      <c r="Y193" s="132"/>
      <c r="Z193" s="132"/>
      <c r="AA193" s="132"/>
    </row>
    <row r="194" spans="1:27" ht="20.100000000000001" customHeight="1">
      <c r="A194" s="300">
        <v>30100006</v>
      </c>
      <c r="B194" s="141" t="s">
        <v>198</v>
      </c>
      <c r="C194" s="217" t="s">
        <v>179</v>
      </c>
      <c r="D194" s="108">
        <v>4.8</v>
      </c>
      <c r="E194" s="108"/>
      <c r="F194" s="127"/>
      <c r="G194" s="128"/>
      <c r="H194" s="226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219"/>
      <c r="P194" s="219"/>
      <c r="Q194" s="219"/>
      <c r="R194" s="219"/>
      <c r="S194" s="219"/>
      <c r="T194" s="219"/>
      <c r="U194" s="219"/>
      <c r="V194" s="132"/>
      <c r="W194" s="133"/>
      <c r="X194" s="132"/>
      <c r="Y194" s="132"/>
      <c r="Z194" s="132"/>
      <c r="AA194" s="132"/>
    </row>
    <row r="195" spans="1:27" ht="20.100000000000001" customHeight="1">
      <c r="A195" s="300">
        <v>30100005</v>
      </c>
      <c r="B195" s="141" t="s">
        <v>198</v>
      </c>
      <c r="C195" s="217" t="s">
        <v>199</v>
      </c>
      <c r="D195" s="108">
        <v>4.8</v>
      </c>
      <c r="E195" s="108"/>
      <c r="F195" s="127"/>
      <c r="G195" s="128"/>
      <c r="H195" s="226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219"/>
      <c r="P195" s="219"/>
      <c r="Q195" s="219"/>
      <c r="R195" s="219"/>
      <c r="S195" s="219"/>
      <c r="T195" s="219"/>
      <c r="U195" s="219"/>
      <c r="V195" s="132"/>
      <c r="W195" s="133"/>
      <c r="X195" s="132"/>
      <c r="Y195" s="132"/>
      <c r="Z195" s="132"/>
      <c r="AA195" s="132"/>
    </row>
    <row r="196" spans="1:27" ht="20.10000000000000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226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219"/>
      <c r="P196" s="219"/>
      <c r="Q196" s="219"/>
      <c r="R196" s="219"/>
      <c r="S196" s="219"/>
      <c r="T196" s="219"/>
      <c r="U196" s="219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226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219"/>
      <c r="P197" s="219"/>
      <c r="Q197" s="219"/>
      <c r="R197" s="219"/>
      <c r="S197" s="219"/>
      <c r="T197" s="219"/>
      <c r="U197" s="219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customHeight="1">
      <c r="A198" s="630" t="s">
        <v>201</v>
      </c>
      <c r="B198" s="631"/>
      <c r="C198" s="224" t="s">
        <v>202</v>
      </c>
      <c r="D198" s="143"/>
      <c r="E198" s="143"/>
      <c r="F198" s="144"/>
      <c r="G198" s="145">
        <f>SUM(G177:G197)</f>
        <v>0</v>
      </c>
      <c r="H198" s="146">
        <f>SUM(H177:H197)</f>
        <v>0</v>
      </c>
      <c r="I198" s="146">
        <f>SUM(I177:I197)</f>
        <v>0</v>
      </c>
      <c r="J198" s="130" t="str">
        <f t="array" ref="J198">IF(ISERROR(G198/I198),"",G198/I198)</f>
        <v/>
      </c>
      <c r="K198" s="146">
        <f>SUM(K177:K197)</f>
        <v>0</v>
      </c>
      <c r="L198" s="147"/>
      <c r="M198" s="150">
        <f t="shared" ref="M198:AA198" si="90">SUM(M177:M197)</f>
        <v>0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customHeight="1">
      <c r="A199" s="300">
        <v>30100012</v>
      </c>
      <c r="B199" s="218" t="s">
        <v>206</v>
      </c>
      <c r="C199" s="126" t="s">
        <v>199</v>
      </c>
      <c r="D199" s="108">
        <v>5.03</v>
      </c>
      <c r="E199" s="108"/>
      <c r="F199" s="127"/>
      <c r="G199" s="128"/>
      <c r="H199" s="226">
        <f t="shared" ref="H199:H209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:M203" si="92">IF(ISERROR(I199-K199),"",I199-K199)</f>
        <v>0</v>
      </c>
      <c r="N199" s="130">
        <f t="shared" ref="N199:N203" si="93">SUM(O199:U199)</f>
        <v>0</v>
      </c>
      <c r="O199" s="221"/>
      <c r="P199" s="221"/>
      <c r="Q199" s="221"/>
      <c r="R199" s="221"/>
      <c r="S199" s="221"/>
      <c r="T199" s="221"/>
      <c r="U199" s="221"/>
      <c r="V199" s="132">
        <f t="shared" ref="V199:V203" si="94">SUM(X199:AA199)</f>
        <v>0</v>
      </c>
      <c r="W199" s="133" t="str">
        <f t="shared" ref="W199:W203" si="95">IF(ISERROR(V199/G199),"",V199/G199)</f>
        <v/>
      </c>
      <c r="X199" s="132"/>
      <c r="Y199" s="132"/>
      <c r="Z199" s="132"/>
      <c r="AA199" s="132"/>
    </row>
    <row r="200" spans="1:27" ht="20.100000000000001" customHeight="1">
      <c r="A200" s="300">
        <v>30100011</v>
      </c>
      <c r="B200" s="232" t="s">
        <v>426</v>
      </c>
      <c r="C200" s="187" t="s">
        <v>428</v>
      </c>
      <c r="D200" s="108">
        <v>5.03</v>
      </c>
      <c r="E200" s="108"/>
      <c r="F200" s="127"/>
      <c r="G200" s="128"/>
      <c r="H200" s="235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234"/>
      <c r="P200" s="234"/>
      <c r="Q200" s="234"/>
      <c r="R200" s="234"/>
      <c r="S200" s="234"/>
      <c r="T200" s="234"/>
      <c r="U200" s="234"/>
      <c r="V200" s="132"/>
      <c r="W200" s="133"/>
      <c r="X200" s="132"/>
      <c r="Y200" s="132"/>
      <c r="Z200" s="132"/>
      <c r="AA200" s="132"/>
    </row>
    <row r="201" spans="1:27" ht="20.100000000000001" customHeight="1">
      <c r="A201" s="300">
        <v>30100010</v>
      </c>
      <c r="B201" s="218" t="s">
        <v>206</v>
      </c>
      <c r="C201" s="126" t="s">
        <v>186</v>
      </c>
      <c r="D201" s="108">
        <v>5.03</v>
      </c>
      <c r="E201" s="108"/>
      <c r="F201" s="127"/>
      <c r="G201" s="128"/>
      <c r="H201" s="226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si="92"/>
        <v>0</v>
      </c>
      <c r="N201" s="130">
        <f t="shared" si="93"/>
        <v>0</v>
      </c>
      <c r="O201" s="221"/>
      <c r="P201" s="221"/>
      <c r="Q201" s="221"/>
      <c r="R201" s="221"/>
      <c r="S201" s="221"/>
      <c r="T201" s="221"/>
      <c r="U201" s="221"/>
      <c r="V201" s="132">
        <f t="shared" si="94"/>
        <v>0</v>
      </c>
      <c r="W201" s="133" t="str">
        <f t="shared" si="95"/>
        <v/>
      </c>
      <c r="X201" s="132"/>
      <c r="Y201" s="132"/>
      <c r="Z201" s="132"/>
      <c r="AA201" s="132"/>
    </row>
    <row r="202" spans="1:27" ht="20.100000000000001" customHeight="1">
      <c r="A202" s="300">
        <v>30100014</v>
      </c>
      <c r="B202" s="218" t="s">
        <v>206</v>
      </c>
      <c r="C202" s="126" t="s">
        <v>203</v>
      </c>
      <c r="D202" s="108">
        <v>5.03</v>
      </c>
      <c r="E202" s="108"/>
      <c r="F202" s="127"/>
      <c r="G202" s="128"/>
      <c r="H202" s="226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3"/>
        <v>0</v>
      </c>
      <c r="O202" s="221"/>
      <c r="P202" s="221"/>
      <c r="Q202" s="221"/>
      <c r="R202" s="221"/>
      <c r="S202" s="221"/>
      <c r="T202" s="221"/>
      <c r="U202" s="221"/>
      <c r="V202" s="132">
        <f t="shared" si="94"/>
        <v>0</v>
      </c>
      <c r="W202" s="133" t="str">
        <f t="shared" si="95"/>
        <v/>
      </c>
      <c r="X202" s="132"/>
      <c r="Y202" s="132"/>
      <c r="Z202" s="132"/>
      <c r="AA202" s="132"/>
    </row>
    <row r="203" spans="1:27" ht="20.100000000000001" customHeight="1">
      <c r="A203" s="300">
        <v>30100013</v>
      </c>
      <c r="B203" s="218" t="s">
        <v>206</v>
      </c>
      <c r="C203" s="126" t="s">
        <v>207</v>
      </c>
      <c r="D203" s="108">
        <v>5.03</v>
      </c>
      <c r="E203" s="108"/>
      <c r="F203" s="127"/>
      <c r="G203" s="128"/>
      <c r="H203" s="292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si="92"/>
        <v>0</v>
      </c>
      <c r="N203" s="130">
        <f t="shared" si="93"/>
        <v>0</v>
      </c>
      <c r="O203" s="221"/>
      <c r="P203" s="221"/>
      <c r="Q203" s="221"/>
      <c r="R203" s="221"/>
      <c r="S203" s="221"/>
      <c r="T203" s="221"/>
      <c r="U203" s="221"/>
      <c r="V203" s="132">
        <f t="shared" si="94"/>
        <v>0</v>
      </c>
      <c r="W203" s="133" t="str">
        <f t="shared" si="95"/>
        <v/>
      </c>
      <c r="X203" s="132"/>
      <c r="Y203" s="132"/>
      <c r="Z203" s="132"/>
      <c r="AA203" s="132"/>
    </row>
    <row r="204" spans="1:27" ht="20.100000000000001" customHeight="1">
      <c r="A204" s="300">
        <v>30100016</v>
      </c>
      <c r="B204" s="218" t="s">
        <v>414</v>
      </c>
      <c r="C204" s="187" t="s">
        <v>415</v>
      </c>
      <c r="D204" s="108">
        <v>5.03</v>
      </c>
      <c r="E204" s="108"/>
      <c r="F204" s="127"/>
      <c r="G204" s="128"/>
      <c r="H204" s="292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221"/>
      <c r="P204" s="221"/>
      <c r="Q204" s="221"/>
      <c r="R204" s="221"/>
      <c r="S204" s="221"/>
      <c r="T204" s="221"/>
      <c r="U204" s="221"/>
      <c r="V204" s="132"/>
      <c r="W204" s="133"/>
      <c r="X204" s="132"/>
      <c r="Y204" s="132"/>
      <c r="Z204" s="132"/>
      <c r="AA204" s="132"/>
    </row>
    <row r="205" spans="1:27" ht="20.100000000000001" customHeight="1">
      <c r="A205" s="300">
        <v>30100017</v>
      </c>
      <c r="B205" s="218" t="s">
        <v>414</v>
      </c>
      <c r="C205" s="187" t="s">
        <v>416</v>
      </c>
      <c r="D205" s="108">
        <v>5.03</v>
      </c>
      <c r="E205" s="108"/>
      <c r="F205" s="127"/>
      <c r="G205" s="128"/>
      <c r="H205" s="292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221"/>
      <c r="P205" s="221"/>
      <c r="Q205" s="221"/>
      <c r="R205" s="221"/>
      <c r="S205" s="221"/>
      <c r="T205" s="221"/>
      <c r="U205" s="221"/>
      <c r="V205" s="132"/>
      <c r="W205" s="133"/>
      <c r="X205" s="132"/>
      <c r="Y205" s="132"/>
      <c r="Z205" s="132"/>
      <c r="AA205" s="132"/>
    </row>
    <row r="206" spans="1:27" ht="20.100000000000001" customHeight="1">
      <c r="A206" s="300">
        <v>30100015</v>
      </c>
      <c r="B206" s="218" t="s">
        <v>414</v>
      </c>
      <c r="C206" s="187" t="s">
        <v>61</v>
      </c>
      <c r="D206" s="108">
        <v>5.03</v>
      </c>
      <c r="E206" s="108"/>
      <c r="F206" s="127"/>
      <c r="G206" s="128"/>
      <c r="H206" s="292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221"/>
      <c r="P206" s="221"/>
      <c r="Q206" s="221"/>
      <c r="R206" s="221"/>
      <c r="S206" s="221"/>
      <c r="T206" s="221"/>
      <c r="U206" s="221"/>
      <c r="V206" s="132"/>
      <c r="W206" s="133"/>
      <c r="X206" s="132"/>
      <c r="Y206" s="132"/>
      <c r="Z206" s="132"/>
      <c r="AA206" s="132"/>
    </row>
    <row r="207" spans="1:27" ht="20.100000000000001" customHeight="1">
      <c r="A207" s="300">
        <v>30100027</v>
      </c>
      <c r="B207" s="218" t="s">
        <v>208</v>
      </c>
      <c r="C207" s="126" t="s">
        <v>179</v>
      </c>
      <c r="D207" s="108">
        <v>5.08</v>
      </c>
      <c r="E207" s="108"/>
      <c r="F207" s="127"/>
      <c r="G207" s="128"/>
      <c r="H207" s="292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26" si="96">IF(ISERROR(I207-K207),"",I207-K207)</f>
        <v>0</v>
      </c>
      <c r="N207" s="130">
        <f t="shared" ref="N207:N227" si="97">SUM(O207:U207)</f>
        <v>0</v>
      </c>
      <c r="O207" s="221"/>
      <c r="P207" s="221"/>
      <c r="Q207" s="221"/>
      <c r="R207" s="221"/>
      <c r="S207" s="221"/>
      <c r="T207" s="221"/>
      <c r="U207" s="221"/>
      <c r="V207" s="132">
        <f t="shared" ref="V207:V218" si="98">SUM(X207:AA207)</f>
        <v>0</v>
      </c>
      <c r="W207" s="133" t="str">
        <f t="shared" ref="W207:W218" si="99">IF(ISERROR(V207/G207),"",V207/G207)</f>
        <v/>
      </c>
      <c r="X207" s="132"/>
      <c r="Y207" s="132"/>
      <c r="Z207" s="132"/>
      <c r="AA207" s="132"/>
    </row>
    <row r="208" spans="1:27" ht="20.100000000000001" customHeight="1">
      <c r="A208" s="300">
        <v>30100023</v>
      </c>
      <c r="B208" s="218" t="s">
        <v>208</v>
      </c>
      <c r="C208" s="126" t="s">
        <v>204</v>
      </c>
      <c r="D208" s="108">
        <v>5.08</v>
      </c>
      <c r="E208" s="108"/>
      <c r="F208" s="127"/>
      <c r="G208" s="128"/>
      <c r="H208" s="292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96"/>
        <v>0</v>
      </c>
      <c r="N208" s="130">
        <f t="shared" si="97"/>
        <v>0</v>
      </c>
      <c r="O208" s="221"/>
      <c r="P208" s="221"/>
      <c r="Q208" s="221"/>
      <c r="R208" s="221"/>
      <c r="S208" s="221"/>
      <c r="T208" s="221"/>
      <c r="U208" s="221"/>
      <c r="V208" s="132">
        <f t="shared" si="98"/>
        <v>0</v>
      </c>
      <c r="W208" s="133" t="str">
        <f t="shared" si="99"/>
        <v/>
      </c>
      <c r="X208" s="132"/>
      <c r="Y208" s="132"/>
      <c r="Z208" s="132"/>
      <c r="AA208" s="132"/>
    </row>
    <row r="209" spans="1:27" ht="20.100000000000001" customHeight="1">
      <c r="A209" s="300">
        <v>30100024</v>
      </c>
      <c r="B209" s="218" t="s">
        <v>208</v>
      </c>
      <c r="C209" s="126" t="s">
        <v>205</v>
      </c>
      <c r="D209" s="108">
        <v>5.08</v>
      </c>
      <c r="E209" s="108"/>
      <c r="F209" s="127"/>
      <c r="G209" s="128"/>
      <c r="H209" s="292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96"/>
        <v>0</v>
      </c>
      <c r="N209" s="130">
        <f t="shared" si="97"/>
        <v>0</v>
      </c>
      <c r="O209" s="221"/>
      <c r="P209" s="221"/>
      <c r="Q209" s="221"/>
      <c r="R209" s="221"/>
      <c r="S209" s="221"/>
      <c r="T209" s="221"/>
      <c r="U209" s="221"/>
      <c r="V209" s="132">
        <f t="shared" si="98"/>
        <v>0</v>
      </c>
      <c r="W209" s="133" t="str">
        <f t="shared" si="99"/>
        <v/>
      </c>
      <c r="X209" s="132"/>
      <c r="Y209" s="132"/>
      <c r="Z209" s="132"/>
      <c r="AA209" s="132"/>
    </row>
    <row r="210" spans="1:27" ht="20.100000000000001" customHeight="1">
      <c r="A210" s="300">
        <v>30100022</v>
      </c>
      <c r="B210" s="218" t="s">
        <v>208</v>
      </c>
      <c r="C210" s="126" t="s">
        <v>186</v>
      </c>
      <c r="D210" s="108">
        <v>5.08</v>
      </c>
      <c r="E210" s="108"/>
      <c r="F210" s="127"/>
      <c r="G210" s="128"/>
      <c r="H210" s="226">
        <f t="shared" ref="H210:H228" si="100">D210*G210</f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96"/>
        <v>0</v>
      </c>
      <c r="N210" s="130">
        <f t="shared" si="97"/>
        <v>0</v>
      </c>
      <c r="O210" s="221"/>
      <c r="P210" s="221"/>
      <c r="Q210" s="221"/>
      <c r="R210" s="221"/>
      <c r="S210" s="221"/>
      <c r="T210" s="221"/>
      <c r="U210" s="221"/>
      <c r="V210" s="132">
        <f t="shared" si="98"/>
        <v>0</v>
      </c>
      <c r="W210" s="133" t="str">
        <f t="shared" si="99"/>
        <v/>
      </c>
      <c r="X210" s="132"/>
      <c r="Y210" s="132"/>
      <c r="Z210" s="132"/>
      <c r="AA210" s="132"/>
    </row>
    <row r="211" spans="1:27" ht="20.100000000000001" customHeight="1">
      <c r="A211" s="300">
        <v>30100029</v>
      </c>
      <c r="B211" s="218" t="s">
        <v>208</v>
      </c>
      <c r="C211" s="126" t="s">
        <v>203</v>
      </c>
      <c r="D211" s="108">
        <v>5.08</v>
      </c>
      <c r="E211" s="108"/>
      <c r="F211" s="127"/>
      <c r="G211" s="128"/>
      <c r="H211" s="226">
        <f t="shared" si="100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96"/>
        <v>0</v>
      </c>
      <c r="N211" s="130">
        <f t="shared" si="97"/>
        <v>0</v>
      </c>
      <c r="O211" s="221"/>
      <c r="P211" s="221"/>
      <c r="Q211" s="221"/>
      <c r="R211" s="221"/>
      <c r="S211" s="221"/>
      <c r="T211" s="221"/>
      <c r="U211" s="221"/>
      <c r="V211" s="132">
        <f t="shared" si="98"/>
        <v>0</v>
      </c>
      <c r="W211" s="133" t="str">
        <f t="shared" si="99"/>
        <v/>
      </c>
      <c r="X211" s="132"/>
      <c r="Y211" s="132"/>
      <c r="Z211" s="132"/>
      <c r="AA211" s="132"/>
    </row>
    <row r="212" spans="1:27" ht="20.100000000000001" customHeight="1">
      <c r="A212" s="300">
        <v>30100026</v>
      </c>
      <c r="B212" s="218" t="s">
        <v>208</v>
      </c>
      <c r="C212" s="126" t="s">
        <v>199</v>
      </c>
      <c r="D212" s="108">
        <v>5.08</v>
      </c>
      <c r="E212" s="108"/>
      <c r="F212" s="127"/>
      <c r="G212" s="128"/>
      <c r="H212" s="226">
        <f t="shared" si="100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96"/>
        <v>0</v>
      </c>
      <c r="N212" s="130">
        <f t="shared" si="97"/>
        <v>0</v>
      </c>
      <c r="O212" s="219"/>
      <c r="P212" s="219"/>
      <c r="Q212" s="219"/>
      <c r="R212" s="219"/>
      <c r="S212" s="219"/>
      <c r="T212" s="219"/>
      <c r="U212" s="219"/>
      <c r="V212" s="132">
        <f t="shared" si="98"/>
        <v>0</v>
      </c>
      <c r="W212" s="133" t="str">
        <f t="shared" si="99"/>
        <v/>
      </c>
      <c r="X212" s="132"/>
      <c r="Y212" s="132"/>
      <c r="Z212" s="132"/>
      <c r="AA212" s="132"/>
    </row>
    <row r="213" spans="1:27" ht="20.100000000000001" customHeight="1">
      <c r="A213" s="300">
        <v>30100025</v>
      </c>
      <c r="B213" s="218" t="s">
        <v>208</v>
      </c>
      <c r="C213" s="126" t="s">
        <v>187</v>
      </c>
      <c r="D213" s="108">
        <v>5.08</v>
      </c>
      <c r="E213" s="108"/>
      <c r="F213" s="127"/>
      <c r="G213" s="128"/>
      <c r="H213" s="226">
        <f t="shared" si="100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96"/>
        <v>0</v>
      </c>
      <c r="N213" s="130">
        <f t="shared" si="97"/>
        <v>0</v>
      </c>
      <c r="O213" s="221"/>
      <c r="P213" s="221"/>
      <c r="Q213" s="221"/>
      <c r="R213" s="221"/>
      <c r="S213" s="221"/>
      <c r="T213" s="221"/>
      <c r="U213" s="221"/>
      <c r="V213" s="132">
        <f t="shared" si="98"/>
        <v>0</v>
      </c>
      <c r="W213" s="133" t="str">
        <f t="shared" si="99"/>
        <v/>
      </c>
      <c r="X213" s="132"/>
      <c r="Y213" s="132"/>
      <c r="Z213" s="132"/>
      <c r="AA213" s="132"/>
    </row>
    <row r="214" spans="1:27" ht="20.100000000000001" customHeight="1">
      <c r="A214" s="300">
        <v>30100028</v>
      </c>
      <c r="B214" s="218" t="s">
        <v>208</v>
      </c>
      <c r="C214" s="126" t="s">
        <v>207</v>
      </c>
      <c r="D214" s="108">
        <v>5.08</v>
      </c>
      <c r="E214" s="108"/>
      <c r="F214" s="127"/>
      <c r="G214" s="128"/>
      <c r="H214" s="226">
        <f t="shared" si="100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96"/>
        <v>0</v>
      </c>
      <c r="N214" s="130">
        <f t="shared" si="97"/>
        <v>0</v>
      </c>
      <c r="O214" s="219"/>
      <c r="P214" s="219"/>
      <c r="Q214" s="219"/>
      <c r="R214" s="219"/>
      <c r="S214" s="219"/>
      <c r="T214" s="219"/>
      <c r="U214" s="219"/>
      <c r="V214" s="132">
        <f t="shared" si="98"/>
        <v>0</v>
      </c>
      <c r="W214" s="133" t="str">
        <f t="shared" si="99"/>
        <v/>
      </c>
      <c r="X214" s="132"/>
      <c r="Y214" s="132"/>
      <c r="Z214" s="132"/>
      <c r="AA214" s="132"/>
    </row>
    <row r="215" spans="1:27" ht="20.100000000000001" customHeight="1">
      <c r="A215" s="300">
        <v>30100032</v>
      </c>
      <c r="B215" s="218" t="s">
        <v>209</v>
      </c>
      <c r="C215" s="126" t="s">
        <v>194</v>
      </c>
      <c r="D215" s="108">
        <v>5.03</v>
      </c>
      <c r="E215" s="108"/>
      <c r="F215" s="127"/>
      <c r="G215" s="128"/>
      <c r="H215" s="226">
        <f t="shared" si="100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96"/>
        <v>0</v>
      </c>
      <c r="N215" s="130">
        <f t="shared" si="97"/>
        <v>0</v>
      </c>
      <c r="O215" s="221"/>
      <c r="P215" s="221"/>
      <c r="Q215" s="221"/>
      <c r="R215" s="221"/>
      <c r="S215" s="221"/>
      <c r="T215" s="221"/>
      <c r="U215" s="221"/>
      <c r="V215" s="132">
        <f t="shared" si="98"/>
        <v>0</v>
      </c>
      <c r="W215" s="133" t="str">
        <f t="shared" si="99"/>
        <v/>
      </c>
      <c r="X215" s="132"/>
      <c r="Y215" s="132"/>
      <c r="Z215" s="132"/>
      <c r="AA215" s="132"/>
    </row>
    <row r="216" spans="1:27" ht="20.100000000000001" customHeight="1">
      <c r="A216" s="300">
        <v>30100033</v>
      </c>
      <c r="B216" s="218" t="s">
        <v>209</v>
      </c>
      <c r="C216" s="126" t="s">
        <v>179</v>
      </c>
      <c r="D216" s="108">
        <v>5.03</v>
      </c>
      <c r="E216" s="108"/>
      <c r="F216" s="127"/>
      <c r="G216" s="128"/>
      <c r="H216" s="226">
        <f t="shared" si="100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96"/>
        <v>0</v>
      </c>
      <c r="N216" s="130">
        <f t="shared" si="97"/>
        <v>0</v>
      </c>
      <c r="O216" s="221"/>
      <c r="P216" s="221"/>
      <c r="Q216" s="221"/>
      <c r="R216" s="221"/>
      <c r="S216" s="221"/>
      <c r="T216" s="221"/>
      <c r="U216" s="221"/>
      <c r="V216" s="132">
        <f t="shared" si="98"/>
        <v>0</v>
      </c>
      <c r="W216" s="133" t="str">
        <f t="shared" si="99"/>
        <v/>
      </c>
      <c r="X216" s="132"/>
      <c r="Y216" s="132"/>
      <c r="Z216" s="132"/>
      <c r="AA216" s="132"/>
    </row>
    <row r="217" spans="1:27" ht="20.100000000000001" customHeight="1">
      <c r="A217" s="300">
        <v>30100062</v>
      </c>
      <c r="B217" s="218" t="s">
        <v>209</v>
      </c>
      <c r="C217" s="126" t="s">
        <v>195</v>
      </c>
      <c r="D217" s="108">
        <v>5.03</v>
      </c>
      <c r="E217" s="108"/>
      <c r="F217" s="127"/>
      <c r="G217" s="128"/>
      <c r="H217" s="226">
        <f t="shared" si="100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96"/>
        <v>0</v>
      </c>
      <c r="N217" s="130">
        <f t="shared" si="97"/>
        <v>0</v>
      </c>
      <c r="O217" s="221"/>
      <c r="P217" s="221"/>
      <c r="Q217" s="221"/>
      <c r="R217" s="221"/>
      <c r="S217" s="221"/>
      <c r="T217" s="221"/>
      <c r="U217" s="221"/>
      <c r="V217" s="132">
        <f t="shared" si="98"/>
        <v>0</v>
      </c>
      <c r="W217" s="133" t="str">
        <f t="shared" si="99"/>
        <v/>
      </c>
      <c r="X217" s="132"/>
      <c r="Y217" s="132"/>
      <c r="Z217" s="132"/>
      <c r="AA217" s="132"/>
    </row>
    <row r="218" spans="1:27" ht="20.100000000000001" customHeight="1">
      <c r="A218" s="300">
        <v>30100031</v>
      </c>
      <c r="B218" s="218" t="s">
        <v>209</v>
      </c>
      <c r="C218" s="126" t="s">
        <v>204</v>
      </c>
      <c r="D218" s="108">
        <v>5.03</v>
      </c>
      <c r="E218" s="108"/>
      <c r="F218" s="127"/>
      <c r="G218" s="128"/>
      <c r="H218" s="226">
        <f t="shared" si="100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96"/>
        <v>0</v>
      </c>
      <c r="N218" s="130">
        <f t="shared" si="97"/>
        <v>0</v>
      </c>
      <c r="O218" s="221"/>
      <c r="P218" s="221"/>
      <c r="Q218" s="221"/>
      <c r="R218" s="221"/>
      <c r="S218" s="221"/>
      <c r="T218" s="221"/>
      <c r="U218" s="221"/>
      <c r="V218" s="132">
        <f t="shared" si="98"/>
        <v>0</v>
      </c>
      <c r="W218" s="133" t="str">
        <f t="shared" si="99"/>
        <v/>
      </c>
      <c r="X218" s="132"/>
      <c r="Y218" s="132"/>
      <c r="Z218" s="132"/>
      <c r="AA218" s="132"/>
    </row>
    <row r="219" spans="1:27" ht="20.100000000000001" customHeight="1">
      <c r="A219" s="300">
        <v>30100019</v>
      </c>
      <c r="B219" s="218" t="s">
        <v>382</v>
      </c>
      <c r="C219" s="187" t="s">
        <v>383</v>
      </c>
      <c r="D219" s="108">
        <v>5.03</v>
      </c>
      <c r="E219" s="108"/>
      <c r="F219" s="127"/>
      <c r="G219" s="128"/>
      <c r="H219" s="226">
        <f t="shared" si="100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96"/>
        <v>0</v>
      </c>
      <c r="N219" s="130">
        <f t="shared" si="97"/>
        <v>0</v>
      </c>
      <c r="O219" s="221"/>
      <c r="P219" s="221"/>
      <c r="Q219" s="221"/>
      <c r="R219" s="221"/>
      <c r="S219" s="221"/>
      <c r="T219" s="221"/>
      <c r="U219" s="221"/>
      <c r="V219" s="132"/>
      <c r="W219" s="133"/>
      <c r="X219" s="132"/>
      <c r="Y219" s="132"/>
      <c r="Z219" s="132"/>
      <c r="AA219" s="132"/>
    </row>
    <row r="220" spans="1:27" ht="20.100000000000001" customHeight="1">
      <c r="A220" s="300">
        <v>30100020</v>
      </c>
      <c r="B220" s="218" t="s">
        <v>382</v>
      </c>
      <c r="C220" s="187" t="s">
        <v>384</v>
      </c>
      <c r="D220" s="108">
        <v>5.03</v>
      </c>
      <c r="E220" s="108"/>
      <c r="F220" s="127"/>
      <c r="G220" s="128"/>
      <c r="H220" s="226">
        <f t="shared" si="100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96"/>
        <v>0</v>
      </c>
      <c r="N220" s="130">
        <f t="shared" si="97"/>
        <v>0</v>
      </c>
      <c r="O220" s="221"/>
      <c r="P220" s="221"/>
      <c r="Q220" s="221"/>
      <c r="R220" s="221"/>
      <c r="S220" s="221"/>
      <c r="T220" s="221"/>
      <c r="U220" s="221"/>
      <c r="V220" s="132"/>
      <c r="W220" s="133"/>
      <c r="X220" s="132"/>
      <c r="Y220" s="132"/>
      <c r="Z220" s="132"/>
      <c r="AA220" s="132"/>
    </row>
    <row r="221" spans="1:27" ht="20.100000000000001" customHeight="1">
      <c r="A221" s="300">
        <v>30100021</v>
      </c>
      <c r="B221" s="218" t="s">
        <v>382</v>
      </c>
      <c r="C221" s="187" t="s">
        <v>389</v>
      </c>
      <c r="D221" s="108">
        <v>5.03</v>
      </c>
      <c r="E221" s="108"/>
      <c r="F221" s="127"/>
      <c r="G221" s="128"/>
      <c r="H221" s="226">
        <f t="shared" si="100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96"/>
        <v>0</v>
      </c>
      <c r="N221" s="130">
        <f t="shared" si="97"/>
        <v>0</v>
      </c>
      <c r="O221" s="221"/>
      <c r="P221" s="221"/>
      <c r="Q221" s="221"/>
      <c r="R221" s="221"/>
      <c r="S221" s="221"/>
      <c r="T221" s="221"/>
      <c r="U221" s="221"/>
      <c r="V221" s="132"/>
      <c r="W221" s="133"/>
      <c r="X221" s="132"/>
      <c r="Y221" s="132"/>
      <c r="Z221" s="132"/>
      <c r="AA221" s="132"/>
    </row>
    <row r="222" spans="1:27" ht="20.100000000000001" customHeight="1">
      <c r="A222" s="300">
        <v>30100018</v>
      </c>
      <c r="B222" s="218" t="s">
        <v>382</v>
      </c>
      <c r="C222" s="187" t="s">
        <v>391</v>
      </c>
      <c r="D222" s="108">
        <v>5.03</v>
      </c>
      <c r="E222" s="108"/>
      <c r="F222" s="127"/>
      <c r="G222" s="128"/>
      <c r="H222" s="226">
        <f t="shared" si="100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96"/>
        <v>0</v>
      </c>
      <c r="N222" s="130">
        <f t="shared" si="97"/>
        <v>0</v>
      </c>
      <c r="O222" s="221"/>
      <c r="P222" s="221"/>
      <c r="Q222" s="221"/>
      <c r="R222" s="221"/>
      <c r="S222" s="221"/>
      <c r="T222" s="221"/>
      <c r="U222" s="221"/>
      <c r="V222" s="132"/>
      <c r="W222" s="133"/>
      <c r="X222" s="132"/>
      <c r="Y222" s="132"/>
      <c r="Z222" s="132"/>
      <c r="AA222" s="132"/>
    </row>
    <row r="223" spans="1:27" ht="20.100000000000001" customHeight="1">
      <c r="A223" s="303">
        <v>30700007</v>
      </c>
      <c r="B223" s="230" t="s">
        <v>418</v>
      </c>
      <c r="C223" s="187" t="s">
        <v>364</v>
      </c>
      <c r="D223" s="108">
        <v>5.03</v>
      </c>
      <c r="E223" s="108"/>
      <c r="F223" s="127"/>
      <c r="G223" s="128"/>
      <c r="H223" s="292">
        <f t="shared" si="100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96"/>
        <v>0</v>
      </c>
      <c r="N223" s="130">
        <f t="shared" si="97"/>
        <v>0</v>
      </c>
      <c r="O223" s="221"/>
      <c r="P223" s="221"/>
      <c r="Q223" s="221"/>
      <c r="R223" s="221"/>
      <c r="S223" s="221"/>
      <c r="T223" s="221"/>
      <c r="U223" s="221"/>
      <c r="V223" s="132"/>
      <c r="W223" s="133"/>
      <c r="X223" s="132"/>
      <c r="Y223" s="132"/>
      <c r="Z223" s="132"/>
      <c r="AA223" s="132"/>
    </row>
    <row r="224" spans="1:27" ht="20.100000000000001" customHeight="1">
      <c r="A224" s="303">
        <v>30700006</v>
      </c>
      <c r="B224" s="230" t="s">
        <v>418</v>
      </c>
      <c r="C224" s="187" t="s">
        <v>365</v>
      </c>
      <c r="D224" s="108">
        <v>5.03</v>
      </c>
      <c r="E224" s="108"/>
      <c r="F224" s="127"/>
      <c r="G224" s="128"/>
      <c r="H224" s="292">
        <f t="shared" si="100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96"/>
        <v>0</v>
      </c>
      <c r="N224" s="130">
        <f t="shared" si="97"/>
        <v>0</v>
      </c>
      <c r="O224" s="221"/>
      <c r="P224" s="221"/>
      <c r="Q224" s="221"/>
      <c r="R224" s="221"/>
      <c r="S224" s="221"/>
      <c r="T224" s="221"/>
      <c r="U224" s="221"/>
      <c r="V224" s="132"/>
      <c r="W224" s="133"/>
      <c r="X224" s="132"/>
      <c r="Y224" s="132"/>
      <c r="Z224" s="132"/>
      <c r="AA224" s="132"/>
    </row>
    <row r="225" spans="1:27" ht="20.100000000000001" customHeight="1">
      <c r="A225" s="303">
        <v>30700008</v>
      </c>
      <c r="B225" s="230" t="s">
        <v>418</v>
      </c>
      <c r="C225" s="187" t="s">
        <v>366</v>
      </c>
      <c r="D225" s="108">
        <v>5.03</v>
      </c>
      <c r="E225" s="108"/>
      <c r="F225" s="127"/>
      <c r="G225" s="128"/>
      <c r="H225" s="292">
        <f t="shared" si="100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96"/>
        <v>0</v>
      </c>
      <c r="N225" s="130">
        <f t="shared" si="97"/>
        <v>0</v>
      </c>
      <c r="O225" s="221"/>
      <c r="P225" s="221"/>
      <c r="Q225" s="221"/>
      <c r="R225" s="221"/>
      <c r="S225" s="221"/>
      <c r="T225" s="221"/>
      <c r="U225" s="221"/>
      <c r="V225" s="132"/>
      <c r="W225" s="133"/>
      <c r="X225" s="132"/>
      <c r="Y225" s="132"/>
      <c r="Z225" s="132"/>
      <c r="AA225" s="132"/>
    </row>
    <row r="226" spans="1:27" ht="20.100000000000001" customHeight="1">
      <c r="A226" s="303">
        <v>30700009</v>
      </c>
      <c r="B226" s="230" t="s">
        <v>418</v>
      </c>
      <c r="C226" s="187" t="s">
        <v>367</v>
      </c>
      <c r="D226" s="108">
        <v>5.03</v>
      </c>
      <c r="E226" s="108"/>
      <c r="F226" s="127"/>
      <c r="G226" s="128"/>
      <c r="H226" s="292">
        <f t="shared" si="100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96"/>
        <v>0</v>
      </c>
      <c r="N226" s="130">
        <f t="shared" si="97"/>
        <v>0</v>
      </c>
      <c r="O226" s="221"/>
      <c r="P226" s="221"/>
      <c r="Q226" s="221"/>
      <c r="R226" s="221"/>
      <c r="S226" s="221"/>
      <c r="T226" s="221"/>
      <c r="U226" s="221"/>
      <c r="V226" s="132"/>
      <c r="W226" s="133"/>
      <c r="X226" s="132"/>
      <c r="Y226" s="132"/>
      <c r="Z226" s="132"/>
      <c r="AA226" s="132"/>
    </row>
    <row r="227" spans="1:27" ht="20.10000000000000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52"/>
      <c r="H227" s="292">
        <f t="shared" si="100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ref="M227:M241" si="101">IF(ISERROR(I227-K227),"",I227-K227)</f>
        <v>0</v>
      </c>
      <c r="N227" s="130">
        <f t="shared" si="97"/>
        <v>0</v>
      </c>
      <c r="O227" s="219"/>
      <c r="P227" s="219"/>
      <c r="Q227" s="219"/>
      <c r="R227" s="219"/>
      <c r="S227" s="219"/>
      <c r="T227" s="219"/>
      <c r="U227" s="219"/>
      <c r="V227" s="132">
        <f t="shared" ref="V227:V236" si="102">SUM(X227:AA227)</f>
        <v>0</v>
      </c>
      <c r="W227" s="133" t="str">
        <f t="shared" ref="W227:W236" si="103">IF(ISERROR(V227/G227),"",V227/G227)</f>
        <v/>
      </c>
      <c r="X227" s="132"/>
      <c r="Y227" s="132"/>
      <c r="Z227" s="132"/>
      <c r="AA227" s="132"/>
    </row>
    <row r="228" spans="1:27" ht="20.10000000000000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52"/>
      <c r="H228" s="292">
        <f t="shared" si="100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ref="N228:N236" si="104">SUM(O228:U228)</f>
        <v>0</v>
      </c>
      <c r="O228" s="219"/>
      <c r="P228" s="219"/>
      <c r="Q228" s="219"/>
      <c r="R228" s="219"/>
      <c r="S228" s="219"/>
      <c r="T228" s="219"/>
      <c r="U228" s="219"/>
      <c r="V228" s="132">
        <f t="shared" si="102"/>
        <v>0</v>
      </c>
      <c r="W228" s="133" t="str">
        <f t="shared" si="103"/>
        <v/>
      </c>
      <c r="X228" s="132"/>
      <c r="Y228" s="132"/>
      <c r="Z228" s="132"/>
      <c r="AA228" s="132"/>
    </row>
    <row r="229" spans="1:27" ht="20.10000000000000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52"/>
      <c r="H229" s="226">
        <f t="shared" ref="H229:H255" si="105">D229*G229</f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4"/>
        <v>0</v>
      </c>
      <c r="O229" s="219"/>
      <c r="P229" s="219"/>
      <c r="Q229" s="219"/>
      <c r="R229" s="219"/>
      <c r="S229" s="219"/>
      <c r="T229" s="219"/>
      <c r="U229" s="219"/>
      <c r="V229" s="132">
        <f t="shared" si="102"/>
        <v>0</v>
      </c>
      <c r="W229" s="133" t="str">
        <f t="shared" si="103"/>
        <v/>
      </c>
      <c r="X229" s="132"/>
      <c r="Y229" s="132"/>
      <c r="Z229" s="132"/>
      <c r="AA229" s="132"/>
    </row>
    <row r="230" spans="1:27" ht="20.10000000000000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226">
        <f t="shared" si="105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4"/>
        <v>0</v>
      </c>
      <c r="O230" s="219"/>
      <c r="P230" s="219"/>
      <c r="Q230" s="219"/>
      <c r="R230" s="219"/>
      <c r="S230" s="219"/>
      <c r="T230" s="219"/>
      <c r="U230" s="219"/>
      <c r="V230" s="132">
        <f t="shared" si="102"/>
        <v>0</v>
      </c>
      <c r="W230" s="133" t="str">
        <f t="shared" si="103"/>
        <v/>
      </c>
      <c r="X230" s="132"/>
      <c r="Y230" s="132"/>
      <c r="Z230" s="132"/>
      <c r="AA230" s="132"/>
    </row>
    <row r="231" spans="1:27" ht="20.10000000000000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226">
        <f t="shared" si="105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4"/>
        <v>0</v>
      </c>
      <c r="O231" s="219"/>
      <c r="P231" s="219"/>
      <c r="Q231" s="219"/>
      <c r="R231" s="219"/>
      <c r="S231" s="219"/>
      <c r="T231" s="219"/>
      <c r="U231" s="219"/>
      <c r="V231" s="132">
        <f t="shared" si="102"/>
        <v>0</v>
      </c>
      <c r="W231" s="133" t="str">
        <f t="shared" si="103"/>
        <v/>
      </c>
      <c r="X231" s="132"/>
      <c r="Y231" s="132"/>
      <c r="Z231" s="132"/>
      <c r="AA231" s="132"/>
    </row>
    <row r="232" spans="1:27" ht="20.10000000000000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226">
        <f t="shared" si="105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4"/>
        <v>0</v>
      </c>
      <c r="O232" s="219"/>
      <c r="P232" s="219"/>
      <c r="Q232" s="219"/>
      <c r="R232" s="219"/>
      <c r="S232" s="219"/>
      <c r="T232" s="219"/>
      <c r="U232" s="219"/>
      <c r="V232" s="132">
        <f t="shared" si="102"/>
        <v>0</v>
      </c>
      <c r="W232" s="133" t="str">
        <f t="shared" si="103"/>
        <v/>
      </c>
      <c r="X232" s="132"/>
      <c r="Y232" s="132"/>
      <c r="Z232" s="132"/>
      <c r="AA232" s="132"/>
    </row>
    <row r="233" spans="1:27" ht="20.10000000000000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226">
        <f t="shared" si="105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4"/>
        <v>0</v>
      </c>
      <c r="O233" s="219"/>
      <c r="P233" s="219"/>
      <c r="Q233" s="219"/>
      <c r="R233" s="219"/>
      <c r="S233" s="219"/>
      <c r="T233" s="219"/>
      <c r="U233" s="219"/>
      <c r="V233" s="132">
        <f t="shared" si="102"/>
        <v>0</v>
      </c>
      <c r="W233" s="133" t="str">
        <f t="shared" si="103"/>
        <v/>
      </c>
      <c r="X233" s="132"/>
      <c r="Y233" s="132"/>
      <c r="Z233" s="132"/>
      <c r="AA233" s="132"/>
    </row>
    <row r="234" spans="1:27" ht="20.10000000000000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226">
        <f t="shared" si="105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4"/>
        <v>0</v>
      </c>
      <c r="O234" s="219"/>
      <c r="P234" s="219"/>
      <c r="Q234" s="219"/>
      <c r="R234" s="219"/>
      <c r="S234" s="219"/>
      <c r="T234" s="219"/>
      <c r="U234" s="219"/>
      <c r="V234" s="132">
        <f t="shared" si="102"/>
        <v>0</v>
      </c>
      <c r="W234" s="133" t="str">
        <f t="shared" si="103"/>
        <v/>
      </c>
      <c r="X234" s="132"/>
      <c r="Y234" s="132"/>
      <c r="Z234" s="132"/>
      <c r="AA234" s="132"/>
    </row>
    <row r="235" spans="1:27" ht="20.10000000000000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226">
        <f t="shared" si="105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4"/>
        <v>0</v>
      </c>
      <c r="O235" s="219"/>
      <c r="P235" s="219"/>
      <c r="Q235" s="219"/>
      <c r="R235" s="219"/>
      <c r="S235" s="219"/>
      <c r="T235" s="219"/>
      <c r="U235" s="219"/>
      <c r="V235" s="132">
        <f t="shared" si="102"/>
        <v>0</v>
      </c>
      <c r="W235" s="133" t="str">
        <f t="shared" si="103"/>
        <v/>
      </c>
      <c r="X235" s="132"/>
      <c r="Y235" s="132"/>
      <c r="Z235" s="132"/>
      <c r="AA235" s="132"/>
    </row>
    <row r="236" spans="1:27" ht="20.10000000000000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226">
        <f t="shared" si="105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4"/>
        <v>0</v>
      </c>
      <c r="O236" s="219"/>
      <c r="P236" s="219"/>
      <c r="Q236" s="219"/>
      <c r="R236" s="219"/>
      <c r="S236" s="219"/>
      <c r="T236" s="219"/>
      <c r="U236" s="219"/>
      <c r="V236" s="132">
        <f t="shared" si="102"/>
        <v>0</v>
      </c>
      <c r="W236" s="133" t="str">
        <f t="shared" si="103"/>
        <v/>
      </c>
      <c r="X236" s="132"/>
      <c r="Y236" s="132"/>
      <c r="Z236" s="132"/>
      <c r="AA236" s="132"/>
    </row>
    <row r="237" spans="1:27" ht="20.100000000000001" customHeight="1">
      <c r="A237" s="300">
        <v>30100043</v>
      </c>
      <c r="B237" s="134" t="s">
        <v>430</v>
      </c>
      <c r="C237" s="187" t="s">
        <v>428</v>
      </c>
      <c r="D237" s="108">
        <v>5.03</v>
      </c>
      <c r="E237" s="108"/>
      <c r="F237" s="127"/>
      <c r="G237" s="128"/>
      <c r="H237" s="235">
        <f t="shared" si="105"/>
        <v>0</v>
      </c>
      <c r="I237" s="129"/>
      <c r="J237" s="130"/>
      <c r="K237" s="131"/>
      <c r="L237" s="129">
        <v>50</v>
      </c>
      <c r="M237" s="109"/>
      <c r="N237" s="130"/>
      <c r="O237" s="233"/>
      <c r="P237" s="233"/>
      <c r="Q237" s="233"/>
      <c r="R237" s="233"/>
      <c r="S237" s="233"/>
      <c r="T237" s="233"/>
      <c r="U237" s="233"/>
      <c r="V237" s="132"/>
      <c r="W237" s="133"/>
      <c r="X237" s="132"/>
      <c r="Y237" s="132"/>
      <c r="Z237" s="132"/>
      <c r="AA237" s="132"/>
    </row>
    <row r="238" spans="1:27" ht="20.10000000000000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226">
        <f t="shared" si="105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si="101"/>
        <v>0</v>
      </c>
      <c r="N238" s="130"/>
      <c r="O238" s="219"/>
      <c r="P238" s="219"/>
      <c r="Q238" s="219"/>
      <c r="R238" s="219"/>
      <c r="S238" s="219"/>
      <c r="T238" s="219"/>
      <c r="U238" s="219"/>
      <c r="V238" s="132"/>
      <c r="W238" s="133"/>
      <c r="X238" s="132"/>
      <c r="Y238" s="132"/>
      <c r="Z238" s="132"/>
      <c r="AA238" s="132"/>
    </row>
    <row r="239" spans="1:27" ht="20.10000000000000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292">
        <f t="shared" si="105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1"/>
        <v>0</v>
      </c>
      <c r="N239" s="130">
        <f t="shared" ref="N239:N240" si="106">SUM(O239:U239)</f>
        <v>0</v>
      </c>
      <c r="O239" s="219"/>
      <c r="P239" s="219"/>
      <c r="Q239" s="219"/>
      <c r="R239" s="219"/>
      <c r="S239" s="219"/>
      <c r="T239" s="219"/>
      <c r="U239" s="219"/>
      <c r="V239" s="132">
        <f t="shared" ref="V239:V240" si="107">SUM(X239:AA239)</f>
        <v>0</v>
      </c>
      <c r="W239" s="133" t="str">
        <f t="shared" ref="W239:W240" si="108">IF(ISERROR(V239/G239),"",V239/G239)</f>
        <v/>
      </c>
      <c r="X239" s="132"/>
      <c r="Y239" s="132"/>
      <c r="Z239" s="132"/>
      <c r="AA239" s="132"/>
    </row>
    <row r="240" spans="1:27" ht="20.10000000000000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292">
        <f t="shared" si="105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1"/>
        <v>0</v>
      </c>
      <c r="N240" s="130">
        <f t="shared" si="106"/>
        <v>0</v>
      </c>
      <c r="O240" s="219"/>
      <c r="P240" s="219"/>
      <c r="Q240" s="219"/>
      <c r="R240" s="219"/>
      <c r="S240" s="219"/>
      <c r="T240" s="219"/>
      <c r="U240" s="219"/>
      <c r="V240" s="132">
        <f t="shared" si="107"/>
        <v>0</v>
      </c>
      <c r="W240" s="133" t="str">
        <f t="shared" si="108"/>
        <v/>
      </c>
      <c r="X240" s="132"/>
      <c r="Y240" s="132"/>
      <c r="Z240" s="132"/>
      <c r="AA240" s="132"/>
    </row>
    <row r="241" spans="1:27" ht="20.10000000000000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292">
        <f t="shared" si="105"/>
        <v>0</v>
      </c>
      <c r="I241" s="129"/>
      <c r="J241" s="130"/>
      <c r="K241" s="131"/>
      <c r="L241" s="129"/>
      <c r="M241" s="109">
        <f t="shared" si="101"/>
        <v>0</v>
      </c>
      <c r="N241" s="130"/>
      <c r="O241" s="219"/>
      <c r="P241" s="219"/>
      <c r="Q241" s="219"/>
      <c r="R241" s="219"/>
      <c r="S241" s="219"/>
      <c r="T241" s="219"/>
      <c r="U241" s="219"/>
      <c r="V241" s="132"/>
      <c r="W241" s="133"/>
      <c r="X241" s="132"/>
      <c r="Y241" s="132"/>
      <c r="Z241" s="132"/>
      <c r="AA241" s="132"/>
    </row>
    <row r="242" spans="1:27" ht="20.10000000000000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292">
        <f t="shared" si="105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ref="M242:M249" si="109">IF(ISERROR(I242-K242),"",I242-K242)</f>
        <v/>
      </c>
      <c r="N242" s="130">
        <f t="shared" ref="N242:N245" si="110">SUM(O242:U242)</f>
        <v>0</v>
      </c>
      <c r="O242" s="219"/>
      <c r="P242" s="219"/>
      <c r="Q242" s="219"/>
      <c r="R242" s="219"/>
      <c r="S242" s="219"/>
      <c r="T242" s="219"/>
      <c r="U242" s="219"/>
      <c r="V242" s="132">
        <f t="shared" ref="V242:V245" si="111">SUM(X242:AA242)</f>
        <v>0</v>
      </c>
      <c r="W242" s="133" t="str">
        <f t="shared" ref="W242:W245" si="112">IF(ISERROR(V242/G242),"",V242/G242)</f>
        <v/>
      </c>
      <c r="X242" s="132"/>
      <c r="Y242" s="132"/>
      <c r="Z242" s="132"/>
      <c r="AA242" s="132"/>
    </row>
    <row r="243" spans="1:27" ht="20.10000000000000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292">
        <f t="shared" si="105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9"/>
        <v/>
      </c>
      <c r="N243" s="130">
        <f t="shared" si="110"/>
        <v>0</v>
      </c>
      <c r="O243" s="219"/>
      <c r="P243" s="219"/>
      <c r="Q243" s="219"/>
      <c r="R243" s="219"/>
      <c r="S243" s="219"/>
      <c r="T243" s="219"/>
      <c r="U243" s="219"/>
      <c r="V243" s="132">
        <f t="shared" si="111"/>
        <v>0</v>
      </c>
      <c r="W243" s="133" t="str">
        <f t="shared" si="112"/>
        <v/>
      </c>
      <c r="X243" s="132"/>
      <c r="Y243" s="132"/>
      <c r="Z243" s="132"/>
      <c r="AA243" s="132"/>
    </row>
    <row r="244" spans="1:27" ht="20.10000000000000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292">
        <f t="shared" si="105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9"/>
        <v/>
      </c>
      <c r="N244" s="130">
        <f t="shared" si="110"/>
        <v>0</v>
      </c>
      <c r="O244" s="219"/>
      <c r="P244" s="219"/>
      <c r="Q244" s="219"/>
      <c r="R244" s="219"/>
      <c r="S244" s="219"/>
      <c r="T244" s="219"/>
      <c r="U244" s="219"/>
      <c r="V244" s="132">
        <f t="shared" si="111"/>
        <v>0</v>
      </c>
      <c r="W244" s="133" t="str">
        <f t="shared" si="112"/>
        <v/>
      </c>
      <c r="X244" s="132"/>
      <c r="Y244" s="132"/>
      <c r="Z244" s="132"/>
      <c r="AA244" s="132"/>
    </row>
    <row r="245" spans="1:27" ht="20.10000000000000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292">
        <f t="shared" si="105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9"/>
        <v/>
      </c>
      <c r="N245" s="130">
        <f t="shared" si="110"/>
        <v>0</v>
      </c>
      <c r="O245" s="219"/>
      <c r="P245" s="219"/>
      <c r="Q245" s="219"/>
      <c r="R245" s="219"/>
      <c r="S245" s="219"/>
      <c r="T245" s="219"/>
      <c r="U245" s="219"/>
      <c r="V245" s="132">
        <f t="shared" si="111"/>
        <v>0</v>
      </c>
      <c r="W245" s="133" t="str">
        <f t="shared" si="112"/>
        <v/>
      </c>
      <c r="X245" s="132"/>
      <c r="Y245" s="132"/>
      <c r="Z245" s="132"/>
      <c r="AA245" s="132"/>
    </row>
    <row r="246" spans="1:27" ht="20.10000000000000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292">
        <f t="shared" si="105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9"/>
        <v>0</v>
      </c>
      <c r="N246" s="130"/>
      <c r="O246" s="219"/>
      <c r="P246" s="219"/>
      <c r="Q246" s="219"/>
      <c r="R246" s="219"/>
      <c r="S246" s="219"/>
      <c r="T246" s="219"/>
      <c r="U246" s="219"/>
      <c r="V246" s="132"/>
      <c r="W246" s="133"/>
      <c r="X246" s="132"/>
      <c r="Y246" s="132"/>
      <c r="Z246" s="132"/>
      <c r="AA246" s="132"/>
    </row>
    <row r="247" spans="1:27" ht="20.10000000000000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292">
        <f t="shared" si="105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9"/>
        <v>0</v>
      </c>
      <c r="N247" s="130"/>
      <c r="O247" s="219"/>
      <c r="P247" s="219"/>
      <c r="Q247" s="219"/>
      <c r="R247" s="219"/>
      <c r="S247" s="219"/>
      <c r="T247" s="219"/>
      <c r="U247" s="219"/>
      <c r="V247" s="132"/>
      <c r="W247" s="133"/>
      <c r="X247" s="132"/>
      <c r="Y247" s="132"/>
      <c r="Z247" s="132"/>
      <c r="AA247" s="132"/>
    </row>
    <row r="248" spans="1:27" ht="20.10000000000000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292">
        <f t="shared" si="105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9"/>
        <v>0</v>
      </c>
      <c r="N248" s="130"/>
      <c r="O248" s="219"/>
      <c r="P248" s="219"/>
      <c r="Q248" s="219"/>
      <c r="R248" s="219"/>
      <c r="S248" s="219"/>
      <c r="T248" s="219"/>
      <c r="U248" s="219"/>
      <c r="V248" s="132"/>
      <c r="W248" s="133"/>
      <c r="X248" s="132"/>
      <c r="Y248" s="132"/>
      <c r="Z248" s="132"/>
      <c r="AA248" s="132"/>
    </row>
    <row r="249" spans="1:27" ht="20.10000000000000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292">
        <f t="shared" si="105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9"/>
        <v>0</v>
      </c>
      <c r="N249" s="130"/>
      <c r="O249" s="219"/>
      <c r="P249" s="219"/>
      <c r="Q249" s="219"/>
      <c r="R249" s="219"/>
      <c r="S249" s="219"/>
      <c r="T249" s="219"/>
      <c r="U249" s="219"/>
      <c r="V249" s="132"/>
      <c r="W249" s="133"/>
      <c r="X249" s="132"/>
      <c r="Y249" s="132"/>
      <c r="Z249" s="132"/>
      <c r="AA249" s="132"/>
    </row>
    <row r="250" spans="1:27" ht="20.10000000000000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292">
        <f t="shared" si="105"/>
        <v>0</v>
      </c>
      <c r="I250" s="129"/>
      <c r="J250" s="130"/>
      <c r="K250" s="131"/>
      <c r="L250" s="129">
        <v>4</v>
      </c>
      <c r="M250" s="109"/>
      <c r="N250" s="130"/>
      <c r="O250" s="219"/>
      <c r="P250" s="219"/>
      <c r="Q250" s="219"/>
      <c r="R250" s="219"/>
      <c r="S250" s="219"/>
      <c r="T250" s="219"/>
      <c r="U250" s="219"/>
      <c r="V250" s="132"/>
      <c r="W250" s="133"/>
      <c r="X250" s="132"/>
      <c r="Y250" s="132"/>
      <c r="Z250" s="132"/>
      <c r="AA250" s="132"/>
    </row>
    <row r="251" spans="1:27" ht="20.10000000000000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292">
        <f t="shared" si="105"/>
        <v>0</v>
      </c>
      <c r="I251" s="129"/>
      <c r="J251" s="130"/>
      <c r="K251" s="131"/>
      <c r="L251" s="129">
        <v>4</v>
      </c>
      <c r="M251" s="109"/>
      <c r="N251" s="130"/>
      <c r="O251" s="219"/>
      <c r="P251" s="219"/>
      <c r="Q251" s="219"/>
      <c r="R251" s="219"/>
      <c r="S251" s="219"/>
      <c r="T251" s="219"/>
      <c r="U251" s="219"/>
      <c r="V251" s="132"/>
      <c r="W251" s="133"/>
      <c r="X251" s="132"/>
      <c r="Y251" s="132"/>
      <c r="Z251" s="132"/>
      <c r="AA251" s="132"/>
    </row>
    <row r="252" spans="1:27" ht="20.10000000000000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292">
        <f t="shared" si="105"/>
        <v>0</v>
      </c>
      <c r="I252" s="129"/>
      <c r="J252" s="130"/>
      <c r="K252" s="131"/>
      <c r="L252" s="129">
        <v>4</v>
      </c>
      <c r="M252" s="109"/>
      <c r="N252" s="130"/>
      <c r="O252" s="219"/>
      <c r="P252" s="219"/>
      <c r="Q252" s="219"/>
      <c r="R252" s="219"/>
      <c r="S252" s="219"/>
      <c r="T252" s="219"/>
      <c r="U252" s="219"/>
      <c r="V252" s="132"/>
      <c r="W252" s="133"/>
      <c r="X252" s="132"/>
      <c r="Y252" s="132"/>
      <c r="Z252" s="132"/>
      <c r="AA252" s="132"/>
    </row>
    <row r="253" spans="1:27" ht="20.10000000000000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292">
        <f t="shared" si="105"/>
        <v>0</v>
      </c>
      <c r="I253" s="129"/>
      <c r="J253" s="130"/>
      <c r="K253" s="131"/>
      <c r="L253" s="129">
        <v>4</v>
      </c>
      <c r="M253" s="109"/>
      <c r="N253" s="130"/>
      <c r="O253" s="219"/>
      <c r="P253" s="219"/>
      <c r="Q253" s="219"/>
      <c r="R253" s="219"/>
      <c r="S253" s="219"/>
      <c r="T253" s="219"/>
      <c r="U253" s="219"/>
      <c r="V253" s="132"/>
      <c r="W253" s="133"/>
      <c r="X253" s="132"/>
      <c r="Y253" s="132"/>
      <c r="Z253" s="132"/>
      <c r="AA253" s="132"/>
    </row>
    <row r="254" spans="1:27" ht="20.10000000000000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292">
        <f t="shared" si="105"/>
        <v>0</v>
      </c>
      <c r="I254" s="129"/>
      <c r="J254" s="130"/>
      <c r="K254" s="131"/>
      <c r="L254" s="129">
        <v>4</v>
      </c>
      <c r="M254" s="109"/>
      <c r="N254" s="130"/>
      <c r="O254" s="219"/>
      <c r="P254" s="219"/>
      <c r="Q254" s="219"/>
      <c r="R254" s="219"/>
      <c r="S254" s="219"/>
      <c r="T254" s="219"/>
      <c r="U254" s="219"/>
      <c r="V254" s="132"/>
      <c r="W254" s="133"/>
      <c r="X254" s="132"/>
      <c r="Y254" s="132"/>
      <c r="Z254" s="132"/>
      <c r="AA254" s="132"/>
    </row>
    <row r="255" spans="1:27" ht="20.10000000000000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292">
        <f t="shared" si="105"/>
        <v>0</v>
      </c>
      <c r="I255" s="129"/>
      <c r="J255" s="130"/>
      <c r="K255" s="131"/>
      <c r="L255" s="129">
        <v>4</v>
      </c>
      <c r="M255" s="109"/>
      <c r="N255" s="130"/>
      <c r="O255" s="219"/>
      <c r="P255" s="219"/>
      <c r="Q255" s="219"/>
      <c r="R255" s="219"/>
      <c r="S255" s="219"/>
      <c r="T255" s="219"/>
      <c r="U255" s="219"/>
      <c r="V255" s="132"/>
      <c r="W255" s="133"/>
      <c r="X255" s="132"/>
      <c r="Y255" s="132"/>
      <c r="Z255" s="132"/>
      <c r="AA255" s="132"/>
    </row>
    <row r="256" spans="1:27" ht="20.100000000000001" customHeight="1">
      <c r="A256" s="641" t="s">
        <v>216</v>
      </c>
      <c r="B256" s="641"/>
      <c r="C256" s="224" t="s">
        <v>202</v>
      </c>
      <c r="D256" s="143"/>
      <c r="E256" s="143"/>
      <c r="F256" s="144"/>
      <c r="G256" s="145">
        <f>SUM(G199:G255)</f>
        <v>0</v>
      </c>
      <c r="H256" s="146">
        <f>SUM(H199:H255)</f>
        <v>0</v>
      </c>
      <c r="I256" s="146">
        <f>SUM(I199:I255)</f>
        <v>0</v>
      </c>
      <c r="J256" s="130" t="str">
        <f t="array" ref="J256">IF(ISERROR(G256/I256),"",G256/I256)</f>
        <v/>
      </c>
      <c r="K256" s="146">
        <f>SUM(K199:K255)</f>
        <v>0</v>
      </c>
      <c r="L256" s="147"/>
      <c r="M256" s="150">
        <f t="shared" ref="M256:V256" si="113">SUM(M199:M255)</f>
        <v>0</v>
      </c>
      <c r="N256" s="146">
        <f t="shared" si="113"/>
        <v>0</v>
      </c>
      <c r="O256" s="148">
        <f t="shared" si="113"/>
        <v>0</v>
      </c>
      <c r="P256" s="148">
        <f t="shared" si="113"/>
        <v>0</v>
      </c>
      <c r="Q256" s="148">
        <f t="shared" si="113"/>
        <v>0</v>
      </c>
      <c r="R256" s="148">
        <f t="shared" si="113"/>
        <v>0</v>
      </c>
      <c r="S256" s="148">
        <f t="shared" si="113"/>
        <v>0</v>
      </c>
      <c r="T256" s="148">
        <f t="shared" si="113"/>
        <v>0</v>
      </c>
      <c r="U256" s="148">
        <f t="shared" si="113"/>
        <v>0</v>
      </c>
      <c r="V256" s="149">
        <f t="shared" si="113"/>
        <v>0</v>
      </c>
      <c r="W256" s="133" t="str">
        <f t="shared" ref="W256:W263" si="114">IF(ISERROR(V256/G256),"",V256/G256)</f>
        <v/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customHeight="1">
      <c r="A257" s="299">
        <v>30400012</v>
      </c>
      <c r="B257" s="218" t="s">
        <v>217</v>
      </c>
      <c r="C257" s="126" t="s">
        <v>179</v>
      </c>
      <c r="D257" s="108">
        <v>5.03</v>
      </c>
      <c r="E257" s="108"/>
      <c r="F257" s="127"/>
      <c r="G257" s="128"/>
      <c r="H257" s="226">
        <f t="shared" ref="H257:H287" si="115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6">IF(ISERROR(I257-K257),"",I257-K257)</f>
        <v>0</v>
      </c>
      <c r="N257" s="130">
        <f t="shared" ref="N257:N264" si="117">SUM(O257:U257)</f>
        <v>0</v>
      </c>
      <c r="O257" s="219"/>
      <c r="P257" s="219"/>
      <c r="Q257" s="219"/>
      <c r="R257" s="219"/>
      <c r="S257" s="219"/>
      <c r="T257" s="219"/>
      <c r="U257" s="219"/>
      <c r="V257" s="132">
        <f t="shared" ref="V257:V263" si="118">SUM(X257:AA257)</f>
        <v>0</v>
      </c>
      <c r="W257" s="133" t="str">
        <f t="shared" si="114"/>
        <v/>
      </c>
      <c r="X257" s="132"/>
      <c r="Y257" s="132"/>
      <c r="Z257" s="132"/>
      <c r="AA257" s="132"/>
    </row>
    <row r="258" spans="1:27" ht="20.100000000000001" customHeight="1">
      <c r="A258" s="299">
        <v>30400010</v>
      </c>
      <c r="B258" s="218" t="s">
        <v>217</v>
      </c>
      <c r="C258" s="126" t="s">
        <v>186</v>
      </c>
      <c r="D258" s="108">
        <v>5.03</v>
      </c>
      <c r="E258" s="108"/>
      <c r="F258" s="127"/>
      <c r="G258" s="128"/>
      <c r="H258" s="226">
        <f t="shared" si="115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6"/>
        <v>0</v>
      </c>
      <c r="N258" s="130">
        <f t="shared" si="117"/>
        <v>0</v>
      </c>
      <c r="O258" s="219"/>
      <c r="P258" s="219"/>
      <c r="Q258" s="219"/>
      <c r="R258" s="219"/>
      <c r="S258" s="219"/>
      <c r="T258" s="219"/>
      <c r="U258" s="219"/>
      <c r="V258" s="132">
        <f t="shared" si="118"/>
        <v>0</v>
      </c>
      <c r="W258" s="133" t="str">
        <f t="shared" si="114"/>
        <v/>
      </c>
      <c r="X258" s="132"/>
      <c r="Y258" s="132"/>
      <c r="Z258" s="132"/>
      <c r="AA258" s="132"/>
    </row>
    <row r="259" spans="1:27" ht="20.100000000000001" customHeight="1">
      <c r="A259" s="299">
        <v>30400011</v>
      </c>
      <c r="B259" s="218" t="s">
        <v>217</v>
      </c>
      <c r="C259" s="126" t="s">
        <v>204</v>
      </c>
      <c r="D259" s="108">
        <v>5.03</v>
      </c>
      <c r="E259" s="108"/>
      <c r="F259" s="127"/>
      <c r="G259" s="128"/>
      <c r="H259" s="226">
        <f t="shared" si="115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6"/>
        <v>0</v>
      </c>
      <c r="N259" s="130">
        <f t="shared" si="117"/>
        <v>0</v>
      </c>
      <c r="O259" s="219"/>
      <c r="P259" s="219"/>
      <c r="Q259" s="219"/>
      <c r="R259" s="219"/>
      <c r="S259" s="219"/>
      <c r="T259" s="219"/>
      <c r="U259" s="219"/>
      <c r="V259" s="132">
        <f t="shared" si="118"/>
        <v>0</v>
      </c>
      <c r="W259" s="133" t="str">
        <f t="shared" si="114"/>
        <v/>
      </c>
      <c r="X259" s="132"/>
      <c r="Y259" s="132"/>
      <c r="Z259" s="132"/>
      <c r="AA259" s="132"/>
    </row>
    <row r="260" spans="1:27" ht="20.10000000000000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226">
        <f t="shared" si="115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6"/>
        <v>0</v>
      </c>
      <c r="N260" s="130">
        <f t="shared" si="117"/>
        <v>0</v>
      </c>
      <c r="O260" s="219"/>
      <c r="P260" s="219"/>
      <c r="Q260" s="219"/>
      <c r="R260" s="219"/>
      <c r="S260" s="219"/>
      <c r="T260" s="219"/>
      <c r="U260" s="219"/>
      <c r="V260" s="132">
        <f t="shared" si="118"/>
        <v>0</v>
      </c>
      <c r="W260" s="133" t="str">
        <f t="shared" si="114"/>
        <v/>
      </c>
      <c r="X260" s="132"/>
      <c r="Y260" s="132"/>
      <c r="Z260" s="132"/>
      <c r="AA260" s="132"/>
    </row>
    <row r="261" spans="1:27" ht="20.10000000000000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226">
        <f t="shared" si="115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6"/>
        <v>0</v>
      </c>
      <c r="N261" s="130">
        <f t="shared" si="117"/>
        <v>0</v>
      </c>
      <c r="O261" s="219"/>
      <c r="P261" s="219"/>
      <c r="Q261" s="219"/>
      <c r="R261" s="219"/>
      <c r="S261" s="219"/>
      <c r="T261" s="219"/>
      <c r="U261" s="219"/>
      <c r="V261" s="132">
        <f t="shared" si="118"/>
        <v>0</v>
      </c>
      <c r="W261" s="133" t="str">
        <f t="shared" si="114"/>
        <v/>
      </c>
      <c r="X261" s="132"/>
      <c r="Y261" s="132"/>
      <c r="Z261" s="132"/>
      <c r="AA261" s="132"/>
    </row>
    <row r="262" spans="1:27" ht="20.10000000000000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226">
        <f t="shared" si="115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6"/>
        <v>0</v>
      </c>
      <c r="N262" s="130">
        <f t="shared" si="117"/>
        <v>0</v>
      </c>
      <c r="O262" s="219"/>
      <c r="P262" s="219"/>
      <c r="Q262" s="219"/>
      <c r="R262" s="219"/>
      <c r="S262" s="219"/>
      <c r="T262" s="219"/>
      <c r="U262" s="219"/>
      <c r="V262" s="132">
        <f t="shared" si="118"/>
        <v>0</v>
      </c>
      <c r="W262" s="133" t="str">
        <f t="shared" si="114"/>
        <v/>
      </c>
      <c r="X262" s="132"/>
      <c r="Y262" s="132"/>
      <c r="Z262" s="132"/>
      <c r="AA262" s="132"/>
    </row>
    <row r="263" spans="1:27" ht="20.10000000000000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226">
        <f t="shared" si="115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6"/>
        <v>0</v>
      </c>
      <c r="N263" s="130">
        <f t="shared" si="117"/>
        <v>0</v>
      </c>
      <c r="O263" s="219"/>
      <c r="P263" s="219"/>
      <c r="Q263" s="219"/>
      <c r="R263" s="219"/>
      <c r="S263" s="219"/>
      <c r="T263" s="219"/>
      <c r="U263" s="219"/>
      <c r="V263" s="132">
        <f t="shared" si="118"/>
        <v>0</v>
      </c>
      <c r="W263" s="133" t="str">
        <f t="shared" si="114"/>
        <v/>
      </c>
      <c r="X263" s="132"/>
      <c r="Y263" s="132"/>
      <c r="Z263" s="132"/>
      <c r="AA263" s="132"/>
    </row>
    <row r="264" spans="1:27" ht="20.10000000000000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226">
        <f t="shared" si="115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6"/>
        <v>0</v>
      </c>
      <c r="N264" s="130">
        <f t="shared" si="117"/>
        <v>0</v>
      </c>
      <c r="O264" s="219"/>
      <c r="P264" s="219"/>
      <c r="Q264" s="219"/>
      <c r="R264" s="219"/>
      <c r="S264" s="219"/>
      <c r="T264" s="219"/>
      <c r="U264" s="219"/>
      <c r="V264" s="132"/>
      <c r="W264" s="133"/>
      <c r="X264" s="132"/>
      <c r="Y264" s="132"/>
      <c r="Z264" s="132"/>
      <c r="AA264" s="132"/>
    </row>
    <row r="265" spans="1:27" ht="20.10000000000000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52"/>
      <c r="H265" s="226">
        <f t="shared" si="115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219"/>
      <c r="P265" s="219"/>
      <c r="Q265" s="219"/>
      <c r="R265" s="219"/>
      <c r="S265" s="219"/>
      <c r="T265" s="219"/>
      <c r="U265" s="219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226">
        <f t="shared" si="115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219"/>
      <c r="P266" s="219"/>
      <c r="Q266" s="219"/>
      <c r="R266" s="219"/>
      <c r="S266" s="219"/>
      <c r="T266" s="219"/>
      <c r="U266" s="21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226">
        <f t="shared" si="115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219"/>
      <c r="P267" s="219"/>
      <c r="Q267" s="219"/>
      <c r="R267" s="219"/>
      <c r="S267" s="219"/>
      <c r="T267" s="219"/>
      <c r="U267" s="21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226">
        <f t="shared" si="115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219"/>
      <c r="P268" s="219"/>
      <c r="Q268" s="219"/>
      <c r="R268" s="219"/>
      <c r="S268" s="219"/>
      <c r="T268" s="219"/>
      <c r="U268" s="21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226">
        <f t="shared" si="115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19">IF(ISERROR(I269-K269),"",I269-K269)</f>
        <v>0</v>
      </c>
      <c r="N269" s="130">
        <f t="shared" ref="N269:N284" si="120">SUM(O269:U269)</f>
        <v>0</v>
      </c>
      <c r="O269" s="219"/>
      <c r="P269" s="219"/>
      <c r="Q269" s="219"/>
      <c r="R269" s="219"/>
      <c r="S269" s="219"/>
      <c r="T269" s="219"/>
      <c r="U269" s="219"/>
      <c r="V269" s="132">
        <f t="shared" ref="V269:V272" si="121">SUM(X269:AA269)</f>
        <v>0</v>
      </c>
      <c r="W269" s="133" t="str">
        <f t="shared" ref="W269:W276" si="122">IF(ISERROR(V269/G269),"",V269/G269)</f>
        <v/>
      </c>
      <c r="X269" s="132"/>
      <c r="Y269" s="132"/>
      <c r="Z269" s="132"/>
      <c r="AA269" s="132"/>
    </row>
    <row r="270" spans="1:27" ht="20.10000000000000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226">
        <f t="shared" si="115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19"/>
        <v/>
      </c>
      <c r="N270" s="130">
        <f t="shared" si="120"/>
        <v>0</v>
      </c>
      <c r="O270" s="219"/>
      <c r="P270" s="219"/>
      <c r="Q270" s="219"/>
      <c r="R270" s="219"/>
      <c r="S270" s="219"/>
      <c r="T270" s="219"/>
      <c r="U270" s="219"/>
      <c r="V270" s="132">
        <f t="shared" si="121"/>
        <v>0</v>
      </c>
      <c r="W270" s="133" t="str">
        <f t="shared" si="122"/>
        <v/>
      </c>
      <c r="X270" s="132"/>
      <c r="Y270" s="132"/>
      <c r="Z270" s="132"/>
      <c r="AA270" s="132"/>
    </row>
    <row r="271" spans="1:27" ht="20.10000000000000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226">
        <f t="shared" si="115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19"/>
        <v/>
      </c>
      <c r="N271" s="130">
        <f t="shared" si="120"/>
        <v>0</v>
      </c>
      <c r="O271" s="219"/>
      <c r="P271" s="219"/>
      <c r="Q271" s="219"/>
      <c r="R271" s="219"/>
      <c r="S271" s="219"/>
      <c r="T271" s="219"/>
      <c r="U271" s="219"/>
      <c r="V271" s="132">
        <f t="shared" si="121"/>
        <v>0</v>
      </c>
      <c r="W271" s="133" t="str">
        <f t="shared" si="122"/>
        <v/>
      </c>
      <c r="X271" s="132"/>
      <c r="Y271" s="132"/>
      <c r="Z271" s="132"/>
      <c r="AA271" s="132"/>
    </row>
    <row r="272" spans="1:27" ht="20.10000000000000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226">
        <f t="shared" si="115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19"/>
        <v/>
      </c>
      <c r="N272" s="130">
        <f t="shared" si="120"/>
        <v>0</v>
      </c>
      <c r="O272" s="219"/>
      <c r="P272" s="219"/>
      <c r="Q272" s="219"/>
      <c r="R272" s="219"/>
      <c r="S272" s="219"/>
      <c r="T272" s="219"/>
      <c r="U272" s="219"/>
      <c r="V272" s="132">
        <f t="shared" si="121"/>
        <v>0</v>
      </c>
      <c r="W272" s="133" t="str">
        <f t="shared" si="122"/>
        <v/>
      </c>
      <c r="X272" s="132"/>
      <c r="Y272" s="132"/>
      <c r="Z272" s="132"/>
      <c r="AA272" s="132"/>
    </row>
    <row r="273" spans="1:27" ht="20.100000000000001" customHeight="1">
      <c r="A273" s="304">
        <v>30600005</v>
      </c>
      <c r="B273" s="218" t="s">
        <v>222</v>
      </c>
      <c r="C273" s="126" t="s">
        <v>181</v>
      </c>
      <c r="D273" s="108">
        <v>9.36</v>
      </c>
      <c r="E273" s="108"/>
      <c r="F273" s="127"/>
      <c r="G273" s="128"/>
      <c r="H273" s="226">
        <f t="shared" si="115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19"/>
        <v>0</v>
      </c>
      <c r="N273" s="130">
        <f t="shared" si="120"/>
        <v>0</v>
      </c>
      <c r="O273" s="219"/>
      <c r="P273" s="219"/>
      <c r="Q273" s="219"/>
      <c r="R273" s="219"/>
      <c r="S273" s="219"/>
      <c r="T273" s="219"/>
      <c r="U273" s="219"/>
      <c r="V273" s="132">
        <f t="shared" ref="V273:V276" si="123">SUM(X273:AA273)</f>
        <v>0</v>
      </c>
      <c r="W273" s="133" t="str">
        <f t="shared" si="122"/>
        <v/>
      </c>
      <c r="X273" s="132"/>
      <c r="Y273" s="132"/>
      <c r="Z273" s="132"/>
      <c r="AA273" s="132"/>
    </row>
    <row r="274" spans="1:27" ht="20.100000000000001" customHeight="1">
      <c r="A274" s="304">
        <v>30600008</v>
      </c>
      <c r="B274" s="218" t="s">
        <v>222</v>
      </c>
      <c r="C274" s="126" t="s">
        <v>179</v>
      </c>
      <c r="D274" s="108">
        <v>9.36</v>
      </c>
      <c r="E274" s="108"/>
      <c r="F274" s="127"/>
      <c r="G274" s="128"/>
      <c r="H274" s="226">
        <f t="shared" si="115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19"/>
        <v>0</v>
      </c>
      <c r="N274" s="130">
        <f t="shared" si="120"/>
        <v>0</v>
      </c>
      <c r="O274" s="219"/>
      <c r="P274" s="219"/>
      <c r="Q274" s="219"/>
      <c r="R274" s="219"/>
      <c r="S274" s="219"/>
      <c r="T274" s="219"/>
      <c r="U274" s="219"/>
      <c r="V274" s="132">
        <f t="shared" si="123"/>
        <v>0</v>
      </c>
      <c r="W274" s="133" t="str">
        <f t="shared" si="122"/>
        <v/>
      </c>
      <c r="X274" s="132"/>
      <c r="Y274" s="132"/>
      <c r="Z274" s="132"/>
      <c r="AA274" s="132"/>
    </row>
    <row r="275" spans="1:27" ht="20.100000000000001" customHeight="1">
      <c r="A275" s="304">
        <v>30600007</v>
      </c>
      <c r="B275" s="218" t="s">
        <v>222</v>
      </c>
      <c r="C275" s="126" t="s">
        <v>221</v>
      </c>
      <c r="D275" s="108">
        <v>9.36</v>
      </c>
      <c r="E275" s="108"/>
      <c r="F275" s="127"/>
      <c r="G275" s="128"/>
      <c r="H275" s="226">
        <f t="shared" si="115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19"/>
        <v>0</v>
      </c>
      <c r="N275" s="130">
        <f t="shared" si="120"/>
        <v>0</v>
      </c>
      <c r="O275" s="219"/>
      <c r="P275" s="219"/>
      <c r="Q275" s="219"/>
      <c r="R275" s="219"/>
      <c r="S275" s="219"/>
      <c r="T275" s="219"/>
      <c r="U275" s="219"/>
      <c r="V275" s="132">
        <f t="shared" si="123"/>
        <v>0</v>
      </c>
      <c r="W275" s="133" t="str">
        <f t="shared" si="122"/>
        <v/>
      </c>
      <c r="X275" s="132"/>
      <c r="Y275" s="132"/>
      <c r="Z275" s="132"/>
      <c r="AA275" s="132"/>
    </row>
    <row r="276" spans="1:27" ht="20.100000000000001" customHeight="1">
      <c r="A276" s="304">
        <v>30600006</v>
      </c>
      <c r="B276" s="218" t="s">
        <v>222</v>
      </c>
      <c r="C276" s="126" t="s">
        <v>186</v>
      </c>
      <c r="D276" s="108">
        <v>9.36</v>
      </c>
      <c r="E276" s="108"/>
      <c r="F276" s="127"/>
      <c r="G276" s="128"/>
      <c r="H276" s="226">
        <f t="shared" si="115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19"/>
        <v>0</v>
      </c>
      <c r="N276" s="130">
        <f t="shared" si="120"/>
        <v>0</v>
      </c>
      <c r="O276" s="219"/>
      <c r="P276" s="219"/>
      <c r="Q276" s="219"/>
      <c r="R276" s="219"/>
      <c r="S276" s="219"/>
      <c r="T276" s="219"/>
      <c r="U276" s="219"/>
      <c r="V276" s="132">
        <f t="shared" si="123"/>
        <v>0</v>
      </c>
      <c r="W276" s="133" t="str">
        <f t="shared" si="122"/>
        <v/>
      </c>
      <c r="X276" s="132"/>
      <c r="Y276" s="132"/>
      <c r="Z276" s="132"/>
      <c r="AA276" s="132"/>
    </row>
    <row r="277" spans="1:27" ht="20.100000000000001" customHeight="1">
      <c r="A277" s="299">
        <v>30400026</v>
      </c>
      <c r="B277" s="218" t="s">
        <v>393</v>
      </c>
      <c r="C277" s="187" t="s">
        <v>395</v>
      </c>
      <c r="D277" s="108">
        <v>5</v>
      </c>
      <c r="E277" s="108"/>
      <c r="F277" s="127"/>
      <c r="G277" s="128"/>
      <c r="H277" s="226">
        <f t="shared" si="115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19"/>
        <v>0</v>
      </c>
      <c r="N277" s="130">
        <f t="shared" si="120"/>
        <v>0</v>
      </c>
      <c r="O277" s="219"/>
      <c r="P277" s="219"/>
      <c r="Q277" s="219"/>
      <c r="R277" s="219"/>
      <c r="S277" s="219"/>
      <c r="T277" s="219"/>
      <c r="U277" s="219"/>
      <c r="V277" s="132"/>
      <c r="W277" s="133"/>
      <c r="X277" s="132"/>
      <c r="Y277" s="132"/>
      <c r="Z277" s="132"/>
      <c r="AA277" s="132"/>
    </row>
    <row r="278" spans="1:27" ht="20.100000000000001" customHeight="1">
      <c r="A278" s="299">
        <v>30400028</v>
      </c>
      <c r="B278" s="218" t="s">
        <v>393</v>
      </c>
      <c r="C278" s="187" t="s">
        <v>402</v>
      </c>
      <c r="D278" s="108">
        <v>5</v>
      </c>
      <c r="E278" s="108"/>
      <c r="F278" s="127"/>
      <c r="G278" s="128"/>
      <c r="H278" s="226">
        <f t="shared" si="115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19"/>
        <v>0</v>
      </c>
      <c r="N278" s="130">
        <f t="shared" si="120"/>
        <v>0</v>
      </c>
      <c r="O278" s="219"/>
      <c r="P278" s="219"/>
      <c r="Q278" s="219"/>
      <c r="R278" s="219"/>
      <c r="S278" s="219"/>
      <c r="T278" s="219"/>
      <c r="U278" s="219"/>
      <c r="V278" s="132"/>
      <c r="W278" s="133"/>
      <c r="X278" s="132"/>
      <c r="Y278" s="132"/>
      <c r="Z278" s="132"/>
      <c r="AA278" s="132"/>
    </row>
    <row r="279" spans="1:27" ht="20.100000000000001" customHeight="1">
      <c r="A279" s="299">
        <v>30400027</v>
      </c>
      <c r="B279" s="218" t="s">
        <v>404</v>
      </c>
      <c r="C279" s="187" t="s">
        <v>405</v>
      </c>
      <c r="D279" s="108">
        <v>5</v>
      </c>
      <c r="E279" s="108"/>
      <c r="F279" s="127"/>
      <c r="G279" s="128"/>
      <c r="H279" s="226">
        <f t="shared" si="115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19"/>
        <v>0</v>
      </c>
      <c r="N279" s="130">
        <f t="shared" si="120"/>
        <v>0</v>
      </c>
      <c r="O279" s="219"/>
      <c r="P279" s="219"/>
      <c r="Q279" s="219"/>
      <c r="R279" s="219"/>
      <c r="S279" s="219"/>
      <c r="T279" s="219"/>
      <c r="U279" s="219"/>
      <c r="V279" s="132"/>
      <c r="W279" s="133"/>
      <c r="X279" s="132"/>
      <c r="Y279" s="132"/>
      <c r="Z279" s="132"/>
      <c r="AA279" s="132"/>
    </row>
    <row r="280" spans="1:27" ht="20.100000000000001" customHeight="1">
      <c r="A280" s="299"/>
      <c r="B280" s="218" t="s">
        <v>342</v>
      </c>
      <c r="C280" s="187" t="s">
        <v>372</v>
      </c>
      <c r="D280" s="108">
        <v>5</v>
      </c>
      <c r="E280" s="108"/>
      <c r="F280" s="127"/>
      <c r="G280" s="128"/>
      <c r="H280" s="226">
        <f t="shared" si="115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19"/>
        <v>0</v>
      </c>
      <c r="N280" s="130">
        <f t="shared" si="120"/>
        <v>0</v>
      </c>
      <c r="O280" s="219"/>
      <c r="P280" s="219"/>
      <c r="Q280" s="219"/>
      <c r="R280" s="219"/>
      <c r="S280" s="219"/>
      <c r="T280" s="219"/>
      <c r="U280" s="219"/>
      <c r="V280" s="132"/>
      <c r="W280" s="133"/>
      <c r="X280" s="132"/>
      <c r="Y280" s="132"/>
      <c r="Z280" s="132"/>
      <c r="AA280" s="132"/>
    </row>
    <row r="281" spans="1:27" ht="20.100000000000001" customHeight="1">
      <c r="A281" s="299">
        <v>30600009</v>
      </c>
      <c r="B281" s="218" t="s">
        <v>343</v>
      </c>
      <c r="C281" s="126" t="s">
        <v>345</v>
      </c>
      <c r="D281" s="108">
        <v>5</v>
      </c>
      <c r="E281" s="108"/>
      <c r="F281" s="127"/>
      <c r="G281" s="128"/>
      <c r="H281" s="226">
        <f t="shared" si="115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19"/>
        <v>0</v>
      </c>
      <c r="N281" s="130">
        <f t="shared" si="120"/>
        <v>0</v>
      </c>
      <c r="O281" s="219"/>
      <c r="P281" s="219"/>
      <c r="Q281" s="219"/>
      <c r="R281" s="219"/>
      <c r="S281" s="219"/>
      <c r="T281" s="219"/>
      <c r="U281" s="219"/>
      <c r="V281" s="132"/>
      <c r="W281" s="133"/>
      <c r="X281" s="132"/>
      <c r="Y281" s="132"/>
      <c r="Z281" s="132"/>
      <c r="AA281" s="132"/>
    </row>
    <row r="282" spans="1:27" ht="20.100000000000001" customHeight="1">
      <c r="A282" s="299">
        <v>30600010</v>
      </c>
      <c r="B282" s="218" t="s">
        <v>343</v>
      </c>
      <c r="C282" s="126" t="s">
        <v>347</v>
      </c>
      <c r="D282" s="108">
        <v>5</v>
      </c>
      <c r="E282" s="108"/>
      <c r="F282" s="127"/>
      <c r="G282" s="128"/>
      <c r="H282" s="226">
        <f t="shared" si="115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19"/>
        <v>0</v>
      </c>
      <c r="N282" s="130">
        <f t="shared" si="120"/>
        <v>0</v>
      </c>
      <c r="O282" s="219"/>
      <c r="P282" s="219"/>
      <c r="Q282" s="219"/>
      <c r="R282" s="219"/>
      <c r="S282" s="219"/>
      <c r="T282" s="219"/>
      <c r="U282" s="219"/>
      <c r="V282" s="132"/>
      <c r="W282" s="133"/>
      <c r="X282" s="132"/>
      <c r="Y282" s="132"/>
      <c r="Z282" s="132"/>
      <c r="AA282" s="132"/>
    </row>
    <row r="283" spans="1:27" ht="20.10000000000000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226">
        <f t="shared" si="115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19"/>
        <v>0</v>
      </c>
      <c r="N283" s="130">
        <f t="shared" si="120"/>
        <v>0</v>
      </c>
      <c r="O283" s="219"/>
      <c r="P283" s="219"/>
      <c r="Q283" s="219"/>
      <c r="R283" s="219"/>
      <c r="S283" s="219"/>
      <c r="T283" s="219"/>
      <c r="U283" s="219"/>
      <c r="V283" s="132">
        <f t="shared" ref="V283:V284" si="124">SUM(X283:AA283)</f>
        <v>0</v>
      </c>
      <c r="W283" s="133" t="str">
        <f t="shared" ref="W283:W284" si="125">IF(ISERROR(V283/G283),"",V283/G283)</f>
        <v/>
      </c>
      <c r="X283" s="132"/>
      <c r="Y283" s="132"/>
      <c r="Z283" s="132"/>
      <c r="AA283" s="132"/>
    </row>
    <row r="284" spans="1:27" ht="20.10000000000000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226">
        <f t="shared" si="115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19"/>
        <v>0</v>
      </c>
      <c r="N284" s="130">
        <f t="shared" si="120"/>
        <v>0</v>
      </c>
      <c r="O284" s="219"/>
      <c r="P284" s="219"/>
      <c r="Q284" s="219"/>
      <c r="R284" s="219"/>
      <c r="S284" s="219"/>
      <c r="T284" s="219"/>
      <c r="U284" s="219"/>
      <c r="V284" s="132">
        <f t="shared" si="124"/>
        <v>0</v>
      </c>
      <c r="W284" s="133" t="str">
        <f t="shared" si="125"/>
        <v/>
      </c>
      <c r="X284" s="132"/>
      <c r="Y284" s="132"/>
      <c r="Z284" s="132"/>
      <c r="AA284" s="132"/>
    </row>
    <row r="285" spans="1:27" ht="20.100000000000001" customHeight="1">
      <c r="A285" s="299">
        <v>30400004</v>
      </c>
      <c r="B285" s="151" t="s">
        <v>419</v>
      </c>
      <c r="C285" s="187" t="s">
        <v>420</v>
      </c>
      <c r="D285" s="108">
        <v>5.03</v>
      </c>
      <c r="E285" s="108"/>
      <c r="F285" s="127"/>
      <c r="G285" s="128"/>
      <c r="H285" s="231">
        <f t="shared" si="115"/>
        <v>0</v>
      </c>
      <c r="I285" s="129"/>
      <c r="J285" s="130"/>
      <c r="K285" s="131"/>
      <c r="L285" s="129">
        <v>24</v>
      </c>
      <c r="M285" s="109"/>
      <c r="N285" s="130"/>
      <c r="O285" s="219"/>
      <c r="P285" s="219"/>
      <c r="Q285" s="219"/>
      <c r="R285" s="219"/>
      <c r="S285" s="219"/>
      <c r="T285" s="219"/>
      <c r="U285" s="219"/>
      <c r="V285" s="132"/>
      <c r="W285" s="133"/>
      <c r="X285" s="132"/>
      <c r="Y285" s="132"/>
      <c r="Z285" s="132"/>
      <c r="AA285" s="132"/>
    </row>
    <row r="286" spans="1:27" ht="20.10000000000000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231">
        <f t="shared" si="115"/>
        <v>0</v>
      </c>
      <c r="I286" s="129"/>
      <c r="J286" s="130"/>
      <c r="K286" s="131"/>
      <c r="L286" s="129">
        <v>24</v>
      </c>
      <c r="M286" s="109"/>
      <c r="N286" s="130"/>
      <c r="O286" s="219"/>
      <c r="P286" s="219"/>
      <c r="Q286" s="219"/>
      <c r="R286" s="219"/>
      <c r="S286" s="219"/>
      <c r="T286" s="219"/>
      <c r="U286" s="219"/>
      <c r="V286" s="132"/>
      <c r="W286" s="133"/>
      <c r="X286" s="132"/>
      <c r="Y286" s="132"/>
      <c r="Z286" s="132"/>
      <c r="AA286" s="132"/>
    </row>
    <row r="287" spans="1:27" ht="20.10000000000000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231">
        <f t="shared" si="115"/>
        <v>0</v>
      </c>
      <c r="I287" s="129"/>
      <c r="J287" s="130"/>
      <c r="K287" s="131"/>
      <c r="L287" s="129">
        <v>24</v>
      </c>
      <c r="M287" s="109"/>
      <c r="N287" s="130"/>
      <c r="O287" s="219"/>
      <c r="P287" s="219"/>
      <c r="Q287" s="219"/>
      <c r="R287" s="219"/>
      <c r="S287" s="219"/>
      <c r="T287" s="219"/>
      <c r="U287" s="219"/>
      <c r="V287" s="132"/>
      <c r="W287" s="133"/>
      <c r="X287" s="132"/>
      <c r="Y287" s="132"/>
      <c r="Z287" s="132"/>
      <c r="AA287" s="132"/>
    </row>
    <row r="288" spans="1:27" ht="20.10000000000000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226">
        <f t="shared" ref="H288:H290" si="126">D288*G288</f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7">IF(ISERROR(I288-K288),"",I288-K288)</f>
        <v>0</v>
      </c>
      <c r="N288" s="130">
        <f t="shared" ref="N288:N290" si="128">SUM(O288:U288)</f>
        <v>0</v>
      </c>
      <c r="O288" s="219"/>
      <c r="P288" s="219"/>
      <c r="Q288" s="219"/>
      <c r="R288" s="219"/>
      <c r="S288" s="219"/>
      <c r="T288" s="219"/>
      <c r="U288" s="219"/>
      <c r="V288" s="132">
        <f t="shared" ref="V288:V290" si="129">SUM(X288:AA288)</f>
        <v>0</v>
      </c>
      <c r="W288" s="133" t="str">
        <f t="shared" ref="W288:W304" si="130">IF(ISERROR(V288/G288),"",V288/G288)</f>
        <v/>
      </c>
      <c r="X288" s="132"/>
      <c r="Y288" s="132"/>
      <c r="Z288" s="132"/>
      <c r="AA288" s="132"/>
    </row>
    <row r="289" spans="1:27" ht="20.10000000000000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226">
        <f t="shared" si="12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219"/>
      <c r="P289" s="219"/>
      <c r="Q289" s="219"/>
      <c r="R289" s="219"/>
      <c r="S289" s="219"/>
      <c r="T289" s="219"/>
      <c r="U289" s="219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226">
        <f t="shared" si="126"/>
        <v>0</v>
      </c>
      <c r="I290" s="129"/>
      <c r="J290" s="130" t="str">
        <f t="array" ref="J290">IF(ISERROR(G290/I290),"",G290/I290)</f>
        <v/>
      </c>
      <c r="K290" s="226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219"/>
      <c r="P290" s="219"/>
      <c r="Q290" s="219"/>
      <c r="R290" s="219"/>
      <c r="S290" s="219"/>
      <c r="T290" s="219"/>
      <c r="U290" s="219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630" t="s">
        <v>224</v>
      </c>
      <c r="B291" s="631"/>
      <c r="C291" s="224" t="s">
        <v>202</v>
      </c>
      <c r="D291" s="143"/>
      <c r="E291" s="143"/>
      <c r="F291" s="144"/>
      <c r="G291" s="145">
        <f>SUM(G257:G290)</f>
        <v>0</v>
      </c>
      <c r="H291" s="146">
        <f>SUM(H257:H290)</f>
        <v>0</v>
      </c>
      <c r="I291" s="146">
        <f>SUM(I257:I290)</f>
        <v>0</v>
      </c>
      <c r="J291" s="130" t="str">
        <f t="array" ref="J291">IF(ISERROR(G291/I291),"",G291/I291)</f>
        <v/>
      </c>
      <c r="K291" s="146">
        <f>SUM(K257:K290)</f>
        <v>0</v>
      </c>
      <c r="L291" s="147"/>
      <c r="M291" s="150">
        <f t="shared" ref="M291:V291" si="131">SUM(M257:M290)</f>
        <v>0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 t="str">
        <f t="shared" si="130"/>
        <v/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52"/>
      <c r="H292" s="226">
        <f t="shared" ref="H292:H304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4" si="133">IF(ISERROR(I292-K292),"",I292-K292)</f>
        <v>0</v>
      </c>
      <c r="N292" s="130">
        <f t="shared" ref="N292:N304" si="134">SUM(O292:U292)</f>
        <v>0</v>
      </c>
      <c r="O292" s="219"/>
      <c r="P292" s="219"/>
      <c r="Q292" s="219"/>
      <c r="R292" s="219"/>
      <c r="S292" s="219"/>
      <c r="T292" s="219"/>
      <c r="U292" s="219"/>
      <c r="V292" s="132">
        <f t="shared" ref="V292:V304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226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219"/>
      <c r="P293" s="219"/>
      <c r="Q293" s="219"/>
      <c r="R293" s="219"/>
      <c r="S293" s="219"/>
      <c r="T293" s="219"/>
      <c r="U293" s="219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226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3"/>
        <v>0</v>
      </c>
      <c r="N294" s="130">
        <f t="shared" si="134"/>
        <v>0</v>
      </c>
      <c r="O294" s="219"/>
      <c r="P294" s="219"/>
      <c r="Q294" s="219"/>
      <c r="R294" s="219"/>
      <c r="S294" s="219"/>
      <c r="T294" s="219"/>
      <c r="U294" s="21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226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219"/>
      <c r="P295" s="219"/>
      <c r="Q295" s="219"/>
      <c r="R295" s="219"/>
      <c r="S295" s="219"/>
      <c r="T295" s="219"/>
      <c r="U295" s="21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customHeight="1">
      <c r="A296" s="299">
        <v>30100054</v>
      </c>
      <c r="B296" s="140" t="s">
        <v>227</v>
      </c>
      <c r="C296" s="223" t="s">
        <v>203</v>
      </c>
      <c r="D296" s="108">
        <v>5.03</v>
      </c>
      <c r="E296" s="108"/>
      <c r="F296" s="127"/>
      <c r="G296" s="152"/>
      <c r="H296" s="226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219"/>
      <c r="P296" s="219"/>
      <c r="Q296" s="219"/>
      <c r="R296" s="219"/>
      <c r="S296" s="219"/>
      <c r="T296" s="219"/>
      <c r="U296" s="21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226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219"/>
      <c r="P297" s="219"/>
      <c r="Q297" s="219"/>
      <c r="R297" s="219"/>
      <c r="S297" s="219"/>
      <c r="T297" s="219"/>
      <c r="U297" s="21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226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219"/>
      <c r="P298" s="219"/>
      <c r="Q298" s="219"/>
      <c r="R298" s="219"/>
      <c r="S298" s="219"/>
      <c r="T298" s="219"/>
      <c r="U298" s="21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customHeight="1">
      <c r="A299" s="299"/>
      <c r="B299" s="140" t="s">
        <v>227</v>
      </c>
      <c r="C299" s="223" t="s">
        <v>228</v>
      </c>
      <c r="D299" s="108">
        <v>5.03</v>
      </c>
      <c r="E299" s="108"/>
      <c r="F299" s="127"/>
      <c r="G299" s="128"/>
      <c r="H299" s="226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219"/>
      <c r="P299" s="219"/>
      <c r="Q299" s="219"/>
      <c r="R299" s="219"/>
      <c r="S299" s="219"/>
      <c r="T299" s="219"/>
      <c r="U299" s="21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customHeight="1">
      <c r="A300" s="299">
        <v>30101067</v>
      </c>
      <c r="B300" s="140" t="s">
        <v>229</v>
      </c>
      <c r="C300" s="223" t="s">
        <v>212</v>
      </c>
      <c r="D300" s="108">
        <v>5.03</v>
      </c>
      <c r="E300" s="108"/>
      <c r="F300" s="127"/>
      <c r="G300" s="128"/>
      <c r="H300" s="226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219"/>
      <c r="P300" s="219"/>
      <c r="Q300" s="219"/>
      <c r="R300" s="219"/>
      <c r="S300" s="219"/>
      <c r="T300" s="219"/>
      <c r="U300" s="21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customHeight="1">
      <c r="A301" s="299">
        <v>30101068</v>
      </c>
      <c r="B301" s="140" t="s">
        <v>229</v>
      </c>
      <c r="C301" s="223" t="s">
        <v>203</v>
      </c>
      <c r="D301" s="108">
        <v>5.03</v>
      </c>
      <c r="E301" s="108"/>
      <c r="F301" s="127"/>
      <c r="G301" s="128"/>
      <c r="H301" s="226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219"/>
      <c r="P301" s="219"/>
      <c r="Q301" s="219"/>
      <c r="R301" s="219"/>
      <c r="S301" s="219"/>
      <c r="T301" s="219"/>
      <c r="U301" s="21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customHeight="1">
      <c r="A302" s="299">
        <v>30101069</v>
      </c>
      <c r="B302" s="140" t="s">
        <v>229</v>
      </c>
      <c r="C302" s="223" t="s">
        <v>186</v>
      </c>
      <c r="D302" s="108">
        <v>5.03</v>
      </c>
      <c r="E302" s="108"/>
      <c r="F302" s="127"/>
      <c r="G302" s="128"/>
      <c r="H302" s="226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219"/>
      <c r="P302" s="219"/>
      <c r="Q302" s="219"/>
      <c r="R302" s="219"/>
      <c r="S302" s="219"/>
      <c r="T302" s="219"/>
      <c r="U302" s="21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customHeight="1">
      <c r="A303" s="299">
        <v>30101070</v>
      </c>
      <c r="B303" s="140" t="s">
        <v>229</v>
      </c>
      <c r="C303" s="223" t="s">
        <v>228</v>
      </c>
      <c r="D303" s="108">
        <v>5.03</v>
      </c>
      <c r="E303" s="108"/>
      <c r="F303" s="127"/>
      <c r="G303" s="128"/>
      <c r="H303" s="226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219"/>
      <c r="P303" s="219"/>
      <c r="Q303" s="219"/>
      <c r="R303" s="219"/>
      <c r="S303" s="219"/>
      <c r="T303" s="219"/>
      <c r="U303" s="21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customHeight="1">
      <c r="A304" s="299">
        <v>30101071</v>
      </c>
      <c r="B304" s="140" t="s">
        <v>229</v>
      </c>
      <c r="C304" s="223" t="s">
        <v>199</v>
      </c>
      <c r="D304" s="108">
        <v>5.03</v>
      </c>
      <c r="E304" s="108"/>
      <c r="F304" s="127"/>
      <c r="G304" s="128"/>
      <c r="H304" s="226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219"/>
      <c r="P304" s="219"/>
      <c r="Q304" s="219"/>
      <c r="R304" s="219"/>
      <c r="S304" s="219"/>
      <c r="T304" s="219"/>
      <c r="U304" s="21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226">
        <f t="shared" ref="H305:H306" si="136">D305*G305</f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ref="M305:M306" si="137">IF(ISERROR(I305-K305),"",I305-K305)</f>
        <v>0</v>
      </c>
      <c r="N305" s="130">
        <f t="shared" ref="N305:N306" si="138">SUM(O305:U305)</f>
        <v>0</v>
      </c>
      <c r="O305" s="219"/>
      <c r="P305" s="219"/>
      <c r="Q305" s="219"/>
      <c r="R305" s="219"/>
      <c r="S305" s="219"/>
      <c r="T305" s="219"/>
      <c r="U305" s="219"/>
      <c r="V305" s="132">
        <f t="shared" ref="V305:V306" si="139">SUM(X305:AA305)</f>
        <v>0</v>
      </c>
      <c r="W305" s="133" t="str">
        <f t="shared" ref="W305:W321" si="140">IF(ISERROR(V305/G305),"",V305/G305)</f>
        <v/>
      </c>
      <c r="X305" s="132"/>
      <c r="Y305" s="132"/>
      <c r="Z305" s="132"/>
      <c r="AA305" s="132"/>
    </row>
    <row r="306" spans="1:27" ht="20.10000000000000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226">
        <f t="shared" si="136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7"/>
        <v>0</v>
      </c>
      <c r="N306" s="130">
        <f t="shared" si="138"/>
        <v>0</v>
      </c>
      <c r="O306" s="219"/>
      <c r="P306" s="219"/>
      <c r="Q306" s="219"/>
      <c r="R306" s="219"/>
      <c r="S306" s="219"/>
      <c r="T306" s="219"/>
      <c r="U306" s="219"/>
      <c r="V306" s="132">
        <f t="shared" si="139"/>
        <v>0</v>
      </c>
      <c r="W306" s="133" t="str">
        <f t="shared" si="140"/>
        <v/>
      </c>
      <c r="X306" s="132"/>
      <c r="Y306" s="132"/>
      <c r="Z306" s="132"/>
      <c r="AA306" s="132"/>
    </row>
    <row r="307" spans="1:27" ht="20.100000000000001" customHeight="1">
      <c r="A307" s="630" t="s">
        <v>231</v>
      </c>
      <c r="B307" s="631"/>
      <c r="C307" s="224" t="s">
        <v>202</v>
      </c>
      <c r="D307" s="143"/>
      <c r="E307" s="143"/>
      <c r="F307" s="144"/>
      <c r="G307" s="145">
        <f>SUM(G292:G306)</f>
        <v>0</v>
      </c>
      <c r="H307" s="146">
        <f>SUM(H292:H306)</f>
        <v>0</v>
      </c>
      <c r="I307" s="146">
        <f>SUM(I292:I306)</f>
        <v>0</v>
      </c>
      <c r="J307" s="130" t="str">
        <f t="array" ref="J307">IF(ISERROR(G307/I307),"",G307/I307)</f>
        <v/>
      </c>
      <c r="K307" s="146">
        <f>SUM(K292:K306)</f>
        <v>0</v>
      </c>
      <c r="L307" s="146"/>
      <c r="M307" s="150">
        <f>SUM(M292:M306)</f>
        <v>0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 t="str">
        <f t="shared" si="140"/>
        <v/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226">
        <f t="shared" ref="H308:H316" si="141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6" si="142">IF(ISERROR(I308-K308),"",I308-K308)</f>
        <v>0</v>
      </c>
      <c r="N308" s="130">
        <f t="shared" ref="N308:N316" si="143">SUM(O308:U308)</f>
        <v>0</v>
      </c>
      <c r="O308" s="219"/>
      <c r="P308" s="219"/>
      <c r="Q308" s="219"/>
      <c r="R308" s="219"/>
      <c r="S308" s="219"/>
      <c r="T308" s="219"/>
      <c r="U308" s="219"/>
      <c r="V308" s="132">
        <f t="shared" ref="V308:V316" si="144">SUM(X308:AA308)</f>
        <v>0</v>
      </c>
      <c r="W308" s="133" t="str">
        <f t="shared" si="140"/>
        <v/>
      </c>
      <c r="X308" s="132"/>
      <c r="Y308" s="132"/>
      <c r="Z308" s="132"/>
      <c r="AA308" s="132"/>
    </row>
    <row r="309" spans="1:27" ht="20.10000000000000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226">
        <f t="shared" si="141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42"/>
        <v>0</v>
      </c>
      <c r="N309" s="130">
        <f t="shared" si="143"/>
        <v>0</v>
      </c>
      <c r="O309" s="219"/>
      <c r="P309" s="219"/>
      <c r="Q309" s="219"/>
      <c r="R309" s="219"/>
      <c r="S309" s="219"/>
      <c r="T309" s="219"/>
      <c r="U309" s="219"/>
      <c r="V309" s="132">
        <f t="shared" si="144"/>
        <v>0</v>
      </c>
      <c r="W309" s="133" t="str">
        <f t="shared" si="140"/>
        <v/>
      </c>
      <c r="X309" s="132"/>
      <c r="Y309" s="132"/>
      <c r="Z309" s="132"/>
      <c r="AA309" s="132"/>
    </row>
    <row r="310" spans="1:27" ht="20.10000000000000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226">
        <f t="shared" si="141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42"/>
        <v>0</v>
      </c>
      <c r="N310" s="130">
        <f t="shared" si="143"/>
        <v>0</v>
      </c>
      <c r="O310" s="219"/>
      <c r="P310" s="219"/>
      <c r="Q310" s="219"/>
      <c r="R310" s="219"/>
      <c r="S310" s="219"/>
      <c r="T310" s="219"/>
      <c r="U310" s="219"/>
      <c r="V310" s="132">
        <f t="shared" si="144"/>
        <v>0</v>
      </c>
      <c r="W310" s="133" t="str">
        <f t="shared" si="140"/>
        <v/>
      </c>
      <c r="X310" s="132"/>
      <c r="Y310" s="132"/>
      <c r="Z310" s="132"/>
      <c r="AA310" s="132"/>
    </row>
    <row r="311" spans="1:27" ht="20.10000000000000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226">
        <f t="shared" si="141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42"/>
        <v>0</v>
      </c>
      <c r="N311" s="130">
        <f t="shared" si="143"/>
        <v>0</v>
      </c>
      <c r="O311" s="219"/>
      <c r="P311" s="219"/>
      <c r="Q311" s="219"/>
      <c r="R311" s="219"/>
      <c r="S311" s="219"/>
      <c r="T311" s="219"/>
      <c r="U311" s="219"/>
      <c r="V311" s="132">
        <f t="shared" si="144"/>
        <v>0</v>
      </c>
      <c r="W311" s="133" t="str">
        <f t="shared" si="140"/>
        <v/>
      </c>
      <c r="X311" s="132"/>
      <c r="Y311" s="132"/>
      <c r="Z311" s="132"/>
      <c r="AA311" s="132"/>
    </row>
    <row r="312" spans="1:27" ht="20.10000000000000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226">
        <f t="shared" si="141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42"/>
        <v>0</v>
      </c>
      <c r="N312" s="130">
        <f t="shared" si="143"/>
        <v>0</v>
      </c>
      <c r="O312" s="219"/>
      <c r="P312" s="219"/>
      <c r="Q312" s="219"/>
      <c r="R312" s="219"/>
      <c r="S312" s="219"/>
      <c r="T312" s="219"/>
      <c r="U312" s="219"/>
      <c r="V312" s="132">
        <f t="shared" si="144"/>
        <v>0</v>
      </c>
      <c r="W312" s="133" t="str">
        <f t="shared" si="140"/>
        <v/>
      </c>
      <c r="X312" s="132"/>
      <c r="Y312" s="132"/>
      <c r="Z312" s="132"/>
      <c r="AA312" s="132"/>
    </row>
    <row r="313" spans="1:27" ht="20.10000000000000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79">
        <f t="shared" si="141"/>
        <v>0</v>
      </c>
      <c r="I313" s="129"/>
      <c r="J313" s="130"/>
      <c r="K313" s="131"/>
      <c r="L313" s="129">
        <v>13.5</v>
      </c>
      <c r="M313" s="109"/>
      <c r="N313" s="130"/>
      <c r="O313" s="261"/>
      <c r="P313" s="261"/>
      <c r="Q313" s="261"/>
      <c r="R313" s="261"/>
      <c r="S313" s="261"/>
      <c r="T313" s="261"/>
      <c r="U313" s="261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/>
      <c r="G314" s="128"/>
      <c r="H314" s="479">
        <f t="shared" si="141"/>
        <v>0</v>
      </c>
      <c r="I314" s="129"/>
      <c r="J314" s="130"/>
      <c r="K314" s="131"/>
      <c r="L314" s="129">
        <v>13.5</v>
      </c>
      <c r="M314" s="109"/>
      <c r="N314" s="130"/>
      <c r="O314" s="470"/>
      <c r="P314" s="470"/>
      <c r="Q314" s="470"/>
      <c r="R314" s="470"/>
      <c r="S314" s="470"/>
      <c r="T314" s="470"/>
      <c r="U314" s="470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41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226">
        <f t="shared" si="141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si="142"/>
        <v>0</v>
      </c>
      <c r="N316" s="130">
        <f t="shared" si="143"/>
        <v>0</v>
      </c>
      <c r="O316" s="219"/>
      <c r="P316" s="219"/>
      <c r="Q316" s="219"/>
      <c r="R316" s="219"/>
      <c r="S316" s="219"/>
      <c r="T316" s="219"/>
      <c r="U316" s="219"/>
      <c r="V316" s="132">
        <f t="shared" si="144"/>
        <v>0</v>
      </c>
      <c r="W316" s="133" t="str">
        <f t="shared" si="140"/>
        <v/>
      </c>
      <c r="X316" s="132"/>
      <c r="Y316" s="132"/>
      <c r="Z316" s="132"/>
      <c r="AA316" s="132"/>
    </row>
    <row r="317" spans="1:27" ht="20.100000000000001" customHeight="1">
      <c r="A317" s="630" t="s">
        <v>234</v>
      </c>
      <c r="B317" s="631"/>
      <c r="C317" s="224" t="s">
        <v>202</v>
      </c>
      <c r="D317" s="143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0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customHeight="1">
      <c r="A318" s="299">
        <v>30700013</v>
      </c>
      <c r="B318" s="141" t="s">
        <v>235</v>
      </c>
      <c r="C318" s="217"/>
      <c r="D318" s="108">
        <v>3.65</v>
      </c>
      <c r="E318" s="108"/>
      <c r="F318" s="153"/>
      <c r="G318" s="128"/>
      <c r="H318" s="226">
        <f t="shared" ref="H318:H327" si="145">D318*G318</f>
        <v>0</v>
      </c>
      <c r="I318" s="129"/>
      <c r="J318" s="130" t="str">
        <f t="array" ref="J318">IF(ISERROR(G318/I318),"",G318/I318)</f>
        <v/>
      </c>
      <c r="K318" s="226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219"/>
      <c r="P318" s="219"/>
      <c r="Q318" s="219"/>
      <c r="R318" s="219"/>
      <c r="S318" s="219"/>
      <c r="T318" s="219"/>
      <c r="U318" s="219"/>
      <c r="V318" s="132">
        <f t="shared" ref="V318:V321" si="148">SUM(X318:AA318)</f>
        <v>0</v>
      </c>
      <c r="W318" s="133" t="str">
        <f t="shared" si="140"/>
        <v/>
      </c>
      <c r="X318" s="132"/>
      <c r="Y318" s="132"/>
      <c r="Z318" s="132"/>
      <c r="AA318" s="132"/>
    </row>
    <row r="319" spans="1:27" ht="20.100000000000001" customHeight="1">
      <c r="A319" s="299">
        <v>30700014</v>
      </c>
      <c r="B319" s="141" t="s">
        <v>236</v>
      </c>
      <c r="C319" s="217"/>
      <c r="D319" s="108">
        <v>6.58</v>
      </c>
      <c r="E319" s="108"/>
      <c r="F319" s="127"/>
      <c r="G319" s="128"/>
      <c r="H319" s="226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219"/>
      <c r="P319" s="219"/>
      <c r="Q319" s="219"/>
      <c r="R319" s="219"/>
      <c r="S319" s="219"/>
      <c r="T319" s="219"/>
      <c r="U319" s="219"/>
      <c r="V319" s="132">
        <f t="shared" si="148"/>
        <v>0</v>
      </c>
      <c r="W319" s="133" t="str">
        <f t="shared" si="140"/>
        <v/>
      </c>
      <c r="X319" s="132"/>
      <c r="Y319" s="132"/>
      <c r="Z319" s="132"/>
      <c r="AA319" s="132"/>
    </row>
    <row r="320" spans="1:27" ht="20.100000000000001" customHeight="1">
      <c r="A320" s="299">
        <v>30700016</v>
      </c>
      <c r="B320" s="141" t="s">
        <v>237</v>
      </c>
      <c r="C320" s="217"/>
      <c r="D320" s="108">
        <v>7.8</v>
      </c>
      <c r="E320" s="108"/>
      <c r="F320" s="127"/>
      <c r="G320" s="128"/>
      <c r="H320" s="226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219"/>
      <c r="P320" s="219"/>
      <c r="Q320" s="219"/>
      <c r="R320" s="219"/>
      <c r="S320" s="219"/>
      <c r="T320" s="219"/>
      <c r="U320" s="219"/>
      <c r="V320" s="132">
        <f t="shared" si="148"/>
        <v>0</v>
      </c>
      <c r="W320" s="133" t="str">
        <f t="shared" si="140"/>
        <v/>
      </c>
      <c r="X320" s="132"/>
      <c r="Y320" s="132"/>
      <c r="Z320" s="132"/>
      <c r="AA320" s="132"/>
    </row>
    <row r="321" spans="1:27" ht="20.100000000000001" customHeight="1">
      <c r="A321" s="299">
        <v>30700017</v>
      </c>
      <c r="B321" s="141" t="s">
        <v>238</v>
      </c>
      <c r="C321" s="217"/>
      <c r="D321" s="108">
        <v>4.4000000000000004</v>
      </c>
      <c r="E321" s="108"/>
      <c r="F321" s="127"/>
      <c r="G321" s="128"/>
      <c r="H321" s="226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219"/>
      <c r="P321" s="219"/>
      <c r="Q321" s="219"/>
      <c r="R321" s="219"/>
      <c r="S321" s="219"/>
      <c r="T321" s="219"/>
      <c r="U321" s="219"/>
      <c r="V321" s="132">
        <f t="shared" si="148"/>
        <v>0</v>
      </c>
      <c r="W321" s="133" t="str">
        <f t="shared" si="140"/>
        <v/>
      </c>
      <c r="X321" s="132"/>
      <c r="Y321" s="132"/>
      <c r="Z321" s="132"/>
      <c r="AA321" s="132"/>
    </row>
    <row r="322" spans="1:27" ht="20.100000000000001" customHeight="1">
      <c r="A322" s="299">
        <v>30700001</v>
      </c>
      <c r="B322" s="127" t="s">
        <v>359</v>
      </c>
      <c r="C322" s="217"/>
      <c r="D322" s="108"/>
      <c r="E322" s="108"/>
      <c r="F322" s="127"/>
      <c r="G322" s="128"/>
      <c r="H322" s="292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219"/>
      <c r="P322" s="219"/>
      <c r="Q322" s="219"/>
      <c r="R322" s="219"/>
      <c r="S322" s="219"/>
      <c r="T322" s="219"/>
      <c r="U322" s="219"/>
      <c r="V322" s="132"/>
      <c r="W322" s="133"/>
      <c r="X322" s="132"/>
      <c r="Y322" s="132"/>
      <c r="Z322" s="132"/>
      <c r="AA322" s="132"/>
    </row>
    <row r="323" spans="1:27" ht="20.100000000000001" customHeight="1">
      <c r="A323" s="305"/>
      <c r="B323" s="217" t="s">
        <v>239</v>
      </c>
      <c r="C323" s="217" t="s">
        <v>179</v>
      </c>
      <c r="D323" s="108">
        <v>6.04</v>
      </c>
      <c r="E323" s="108"/>
      <c r="F323" s="127"/>
      <c r="G323" s="128"/>
      <c r="H323" s="292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219"/>
      <c r="P323" s="219"/>
      <c r="Q323" s="219"/>
      <c r="R323" s="219"/>
      <c r="S323" s="219"/>
      <c r="T323" s="219"/>
      <c r="U323" s="219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customHeight="1">
      <c r="A324" s="305">
        <v>30700019</v>
      </c>
      <c r="B324" s="217" t="s">
        <v>239</v>
      </c>
      <c r="C324" s="217" t="s">
        <v>186</v>
      </c>
      <c r="D324" s="108">
        <v>6.04</v>
      </c>
      <c r="E324" s="108"/>
      <c r="F324" s="127"/>
      <c r="G324" s="128"/>
      <c r="H324" s="292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219"/>
      <c r="P324" s="219"/>
      <c r="Q324" s="219"/>
      <c r="R324" s="219"/>
      <c r="S324" s="219"/>
      <c r="T324" s="219"/>
      <c r="U324" s="219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customHeight="1">
      <c r="A325" s="305">
        <v>30601015</v>
      </c>
      <c r="B325" s="277" t="s">
        <v>444</v>
      </c>
      <c r="C325" s="277" t="s">
        <v>179</v>
      </c>
      <c r="D325" s="108">
        <v>6</v>
      </c>
      <c r="E325" s="108"/>
      <c r="F325" s="127"/>
      <c r="G325" s="128"/>
      <c r="H325" s="292">
        <f t="shared" si="145"/>
        <v>0</v>
      </c>
      <c r="I325" s="129"/>
      <c r="J325" s="130"/>
      <c r="K325" s="131"/>
      <c r="L325" s="129"/>
      <c r="M325" s="109"/>
      <c r="N325" s="130"/>
      <c r="O325" s="278"/>
      <c r="P325" s="278"/>
      <c r="Q325" s="278"/>
      <c r="R325" s="278"/>
      <c r="S325" s="278"/>
      <c r="T325" s="278"/>
      <c r="U325" s="278"/>
      <c r="V325" s="132"/>
      <c r="W325" s="133"/>
      <c r="X325" s="132"/>
      <c r="Y325" s="132"/>
      <c r="Z325" s="132"/>
      <c r="AA325" s="132"/>
    </row>
    <row r="326" spans="1:27" ht="20.100000000000001" customHeight="1">
      <c r="A326" s="305">
        <v>30101016</v>
      </c>
      <c r="B326" s="282" t="s">
        <v>443</v>
      </c>
      <c r="C326" s="282" t="s">
        <v>445</v>
      </c>
      <c r="D326" s="108">
        <v>6</v>
      </c>
      <c r="E326" s="108"/>
      <c r="F326" s="127"/>
      <c r="G326" s="128"/>
      <c r="H326" s="292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219"/>
      <c r="P326" s="219"/>
      <c r="Q326" s="219"/>
      <c r="R326" s="219"/>
      <c r="S326" s="219"/>
      <c r="T326" s="219"/>
      <c r="U326" s="219"/>
      <c r="V326" s="132"/>
      <c r="W326" s="133"/>
      <c r="X326" s="132"/>
      <c r="Y326" s="132"/>
      <c r="Z326" s="132"/>
      <c r="AA326" s="132"/>
    </row>
    <row r="327" spans="1:27" ht="20.100000000000001" customHeight="1">
      <c r="A327" s="299">
        <v>30700018</v>
      </c>
      <c r="B327" s="291" t="s">
        <v>240</v>
      </c>
      <c r="C327" s="126"/>
      <c r="D327" s="108">
        <v>7.3</v>
      </c>
      <c r="E327" s="108"/>
      <c r="F327" s="127"/>
      <c r="G327" s="128"/>
      <c r="H327" s="292">
        <f t="shared" si="145"/>
        <v>0</v>
      </c>
      <c r="I327" s="129"/>
      <c r="J327" s="130"/>
      <c r="K327" s="131"/>
      <c r="L327" s="129"/>
      <c r="M327" s="109"/>
      <c r="N327" s="130"/>
      <c r="O327" s="293"/>
      <c r="P327" s="293"/>
      <c r="Q327" s="293"/>
      <c r="R327" s="293"/>
      <c r="S327" s="293"/>
      <c r="T327" s="293"/>
      <c r="U327" s="293"/>
      <c r="V327" s="132"/>
      <c r="W327" s="133"/>
      <c r="X327" s="132"/>
      <c r="Y327" s="132"/>
      <c r="Z327" s="132"/>
      <c r="AA327" s="132"/>
    </row>
    <row r="328" spans="1:27" ht="20.100000000000001" customHeight="1">
      <c r="A328" s="299">
        <v>30700010</v>
      </c>
      <c r="B328" s="291" t="s">
        <v>241</v>
      </c>
      <c r="C328" s="126"/>
      <c r="D328" s="108">
        <f>78*120/1000</f>
        <v>9.36</v>
      </c>
      <c r="E328" s="108"/>
      <c r="F328" s="127"/>
      <c r="G328" s="128"/>
      <c r="H328" s="255">
        <f t="shared" ref="H328:H331" si="153">D328*G328</f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4">SUM(O328:U328)</f>
        <v>0</v>
      </c>
      <c r="O328" s="219"/>
      <c r="P328" s="219"/>
      <c r="Q328" s="219"/>
      <c r="R328" s="219"/>
      <c r="S328" s="219"/>
      <c r="T328" s="219"/>
      <c r="U328" s="219"/>
      <c r="V328" s="132">
        <f t="shared" ref="V328" si="155">SUM(X328:AA328)</f>
        <v>0</v>
      </c>
      <c r="W328" s="133" t="str">
        <f t="shared" ref="W328" si="156">IF(ISERROR(V328/G328),"",V328/G328)</f>
        <v/>
      </c>
      <c r="X328" s="132"/>
      <c r="Y328" s="132"/>
      <c r="Z328" s="132"/>
      <c r="AA328" s="132"/>
    </row>
    <row r="329" spans="1:27" ht="20.100000000000001" customHeight="1">
      <c r="A329" s="299">
        <v>30700015</v>
      </c>
      <c r="B329" s="291" t="s">
        <v>242</v>
      </c>
      <c r="C329" s="126"/>
      <c r="D329" s="108">
        <v>4.5</v>
      </c>
      <c r="E329" s="108"/>
      <c r="F329" s="127"/>
      <c r="G329" s="128"/>
      <c r="H329" s="255">
        <f t="shared" si="153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219"/>
      <c r="P329" s="219"/>
      <c r="Q329" s="219"/>
      <c r="R329" s="219"/>
      <c r="S329" s="219"/>
      <c r="T329" s="219"/>
      <c r="U329" s="219"/>
      <c r="V329" s="132"/>
      <c r="W329" s="133"/>
      <c r="X329" s="132"/>
      <c r="Y329" s="132"/>
      <c r="Z329" s="132"/>
      <c r="AA329" s="132"/>
    </row>
    <row r="330" spans="1:27" ht="20.100000000000001" customHeight="1">
      <c r="A330" s="299">
        <v>30700012</v>
      </c>
      <c r="B330" s="291" t="s">
        <v>243</v>
      </c>
      <c r="C330" s="126"/>
      <c r="D330" s="108">
        <v>4.5</v>
      </c>
      <c r="E330" s="108"/>
      <c r="F330" s="127"/>
      <c r="G330" s="128"/>
      <c r="H330" s="255">
        <f t="shared" si="153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219"/>
      <c r="P330" s="219"/>
      <c r="Q330" s="219"/>
      <c r="R330" s="219"/>
      <c r="S330" s="219"/>
      <c r="T330" s="219"/>
      <c r="U330" s="219"/>
      <c r="V330" s="132"/>
      <c r="W330" s="133"/>
      <c r="X330" s="132"/>
      <c r="Y330" s="132"/>
      <c r="Z330" s="132"/>
      <c r="AA330" s="132"/>
    </row>
    <row r="331" spans="1:27" ht="20.10000000000000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255">
        <f t="shared" si="153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219"/>
      <c r="P331" s="219"/>
      <c r="Q331" s="219"/>
      <c r="R331" s="219"/>
      <c r="S331" s="219"/>
      <c r="T331" s="219"/>
      <c r="U331" s="219"/>
      <c r="V331" s="132"/>
      <c r="W331" s="133"/>
      <c r="X331" s="132"/>
      <c r="Y331" s="132"/>
      <c r="Z331" s="132"/>
      <c r="AA331" s="132"/>
    </row>
    <row r="332" spans="1:27" ht="20.100000000000001" customHeight="1">
      <c r="A332" s="630" t="s">
        <v>244</v>
      </c>
      <c r="B332" s="631"/>
      <c r="C332" s="224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7">SUM(M318:M328)</f>
        <v>0</v>
      </c>
      <c r="N332" s="146">
        <f t="shared" si="157"/>
        <v>0</v>
      </c>
      <c r="O332" s="148">
        <f t="shared" si="157"/>
        <v>0</v>
      </c>
      <c r="P332" s="148">
        <f t="shared" si="157"/>
        <v>0</v>
      </c>
      <c r="Q332" s="148">
        <f t="shared" si="157"/>
        <v>0</v>
      </c>
      <c r="R332" s="148">
        <f t="shared" si="157"/>
        <v>0</v>
      </c>
      <c r="S332" s="148">
        <f t="shared" si="157"/>
        <v>0</v>
      </c>
      <c r="T332" s="148">
        <f t="shared" si="157"/>
        <v>0</v>
      </c>
      <c r="U332" s="148">
        <f t="shared" si="157"/>
        <v>0</v>
      </c>
      <c r="V332" s="149">
        <f t="shared" si="157"/>
        <v>0</v>
      </c>
      <c r="W332" s="133">
        <f t="shared" si="157"/>
        <v>0</v>
      </c>
      <c r="X332" s="149">
        <f t="shared" si="157"/>
        <v>0</v>
      </c>
      <c r="Y332" s="149">
        <f t="shared" si="157"/>
        <v>0</v>
      </c>
      <c r="Z332" s="149">
        <f t="shared" si="157"/>
        <v>0</v>
      </c>
      <c r="AA332" s="149">
        <f t="shared" si="157"/>
        <v>0</v>
      </c>
    </row>
    <row r="333" spans="1:27" ht="20.100000000000001" customHeight="1">
      <c r="A333" s="632" t="s">
        <v>246</v>
      </c>
      <c r="B333" s="633"/>
      <c r="C333" s="633"/>
      <c r="D333" s="633"/>
      <c r="E333" s="633"/>
      <c r="F333" s="634"/>
      <c r="G333" s="154">
        <f>SUM(G198,G256,G291,G307,G317,G332)</f>
        <v>0</v>
      </c>
      <c r="H333" s="154">
        <f>SUM(H198,H256,H291,H307,H317,H332)</f>
        <v>0</v>
      </c>
      <c r="I333" s="154">
        <f>SUM(I198,I256,I291,I307,I317,I332)</f>
        <v>0</v>
      </c>
      <c r="J333" s="155" t="str">
        <f t="array" ref="J333">IF(ISERROR(G333/I333),"",G333/I333)</f>
        <v/>
      </c>
      <c r="K333" s="154">
        <f>SUM(K198,K256,K291,K307,K317,K332)</f>
        <v>0</v>
      </c>
      <c r="L333" s="155" t="str">
        <f>IF(ISERROR(G333/K333),"",G333/K333)</f>
        <v/>
      </c>
      <c r="M333" s="154">
        <f t="shared" ref="M333:AA333" si="158">SUM(M198,M256,M291,M307,M317,M332)</f>
        <v>0</v>
      </c>
      <c r="N333" s="154">
        <f t="shared" si="158"/>
        <v>0</v>
      </c>
      <c r="O333" s="154">
        <f t="shared" si="158"/>
        <v>0</v>
      </c>
      <c r="P333" s="154">
        <f t="shared" si="158"/>
        <v>0</v>
      </c>
      <c r="Q333" s="154">
        <f t="shared" si="158"/>
        <v>0</v>
      </c>
      <c r="R333" s="154">
        <f t="shared" si="158"/>
        <v>0</v>
      </c>
      <c r="S333" s="154">
        <f t="shared" si="158"/>
        <v>0</v>
      </c>
      <c r="T333" s="154">
        <f t="shared" si="158"/>
        <v>0</v>
      </c>
      <c r="U333" s="154">
        <f t="shared" si="158"/>
        <v>0</v>
      </c>
      <c r="V333" s="154">
        <f t="shared" si="158"/>
        <v>0</v>
      </c>
      <c r="W333" s="154">
        <f t="shared" si="158"/>
        <v>0</v>
      </c>
      <c r="X333" s="154">
        <f t="shared" si="158"/>
        <v>0</v>
      </c>
      <c r="Y333" s="154">
        <f t="shared" si="158"/>
        <v>0</v>
      </c>
      <c r="Z333" s="154">
        <f t="shared" si="158"/>
        <v>0</v>
      </c>
      <c r="AA333" s="154">
        <f t="shared" si="158"/>
        <v>0</v>
      </c>
    </row>
    <row r="334" spans="1:27" ht="20.100000000000001" customHeight="1">
      <c r="A334" s="635" t="s">
        <v>476</v>
      </c>
      <c r="B334" s="222" t="s">
        <v>247</v>
      </c>
      <c r="C334" s="638" t="s">
        <v>248</v>
      </c>
      <c r="D334" s="639"/>
      <c r="E334" s="640" t="s">
        <v>249</v>
      </c>
      <c r="F334" s="640"/>
      <c r="G334" s="643" t="s">
        <v>250</v>
      </c>
      <c r="H334" s="643"/>
      <c r="I334" s="640" t="s">
        <v>251</v>
      </c>
      <c r="J334" s="640"/>
      <c r="K334" s="640" t="s">
        <v>252</v>
      </c>
      <c r="L334" s="640"/>
      <c r="M334" s="640" t="s">
        <v>253</v>
      </c>
      <c r="N334" s="640"/>
      <c r="O334" s="640" t="s">
        <v>254</v>
      </c>
      <c r="P334" s="643" t="s">
        <v>255</v>
      </c>
      <c r="Q334" s="643"/>
      <c r="R334" s="643" t="s">
        <v>252</v>
      </c>
      <c r="S334" s="643"/>
      <c r="T334" s="643" t="s">
        <v>256</v>
      </c>
      <c r="U334" s="643"/>
      <c r="V334" s="643" t="s">
        <v>257</v>
      </c>
      <c r="W334" s="643"/>
      <c r="X334" s="643" t="s">
        <v>252</v>
      </c>
      <c r="Y334" s="643"/>
      <c r="Z334" s="643" t="s">
        <v>256</v>
      </c>
      <c r="AA334" s="643"/>
    </row>
    <row r="335" spans="1:27" ht="20.100000000000001" customHeight="1">
      <c r="A335" s="636"/>
      <c r="B335" s="222" t="s">
        <v>258</v>
      </c>
      <c r="C335" s="678">
        <v>1</v>
      </c>
      <c r="D335" s="679"/>
      <c r="E335" s="642">
        <f>C335*11</f>
        <v>11</v>
      </c>
      <c r="F335" s="642"/>
      <c r="G335" s="643">
        <v>1</v>
      </c>
      <c r="H335" s="643"/>
      <c r="I335" s="642">
        <f>G335*11</f>
        <v>11</v>
      </c>
      <c r="J335" s="642"/>
      <c r="K335" s="642">
        <f>E335-I335</f>
        <v>0</v>
      </c>
      <c r="L335" s="642"/>
      <c r="M335" s="644">
        <f>IF(ISERROR(K335/E335),"",K335/E335)</f>
        <v>0</v>
      </c>
      <c r="N335" s="644"/>
      <c r="O335" s="640"/>
      <c r="P335" s="643" t="s">
        <v>201</v>
      </c>
      <c r="Q335" s="643"/>
      <c r="R335" s="645">
        <f>SUM(O198:U198)</f>
        <v>0</v>
      </c>
      <c r="S335" s="645"/>
      <c r="T335" s="646" t="str">
        <f t="array" ref="T335">IF(ISERROR(R335/R342),"",R335/R342)</f>
        <v/>
      </c>
      <c r="U335" s="646"/>
      <c r="V335" s="643" t="s">
        <v>259</v>
      </c>
      <c r="W335" s="643"/>
      <c r="X335" s="680">
        <f>SUM(P197,P255,P290,P306,P316,P331)</f>
        <v>0</v>
      </c>
      <c r="Y335" s="681"/>
      <c r="Z335" s="646" t="str">
        <f t="array" ref="Z335">IF(ISERROR(X335/X342),"",X335/X342)</f>
        <v/>
      </c>
      <c r="AA335" s="646"/>
    </row>
    <row r="336" spans="1:27" ht="20.100000000000001" customHeight="1">
      <c r="A336" s="636"/>
      <c r="B336" s="222" t="s">
        <v>260</v>
      </c>
      <c r="C336" s="638">
        <v>0</v>
      </c>
      <c r="D336" s="639"/>
      <c r="E336" s="642">
        <f>C336*11</f>
        <v>0</v>
      </c>
      <c r="F336" s="642"/>
      <c r="G336" s="643">
        <v>0</v>
      </c>
      <c r="H336" s="643"/>
      <c r="I336" s="642">
        <f>G336*11</f>
        <v>0</v>
      </c>
      <c r="J336" s="642"/>
      <c r="K336" s="642">
        <f>E336-I336</f>
        <v>0</v>
      </c>
      <c r="L336" s="642"/>
      <c r="M336" s="644" t="str">
        <f>IF(ISERROR(K336/E336),"",K336/E336)</f>
        <v/>
      </c>
      <c r="N336" s="644"/>
      <c r="O336" s="640"/>
      <c r="P336" s="643" t="s">
        <v>216</v>
      </c>
      <c r="Q336" s="643"/>
      <c r="R336" s="645">
        <f>SUM(O256:U256)</f>
        <v>0</v>
      </c>
      <c r="S336" s="645"/>
      <c r="T336" s="646" t="str">
        <f>IF(ISERROR(R336/R342),"",R336/R342)</f>
        <v/>
      </c>
      <c r="U336" s="646"/>
      <c r="V336" s="643" t="s">
        <v>261</v>
      </c>
      <c r="W336" s="643"/>
      <c r="X336" s="680">
        <f>SUM(P198,P256,P291,P307,P317,P332)</f>
        <v>0</v>
      </c>
      <c r="Y336" s="681"/>
      <c r="Z336" s="646" t="str">
        <f>IF(ISERROR(X336/X342),"",X336/X342)</f>
        <v/>
      </c>
      <c r="AA336" s="646"/>
    </row>
    <row r="337" spans="1:27" ht="20.100000000000001" customHeight="1">
      <c r="A337" s="636"/>
      <c r="B337" s="222" t="s">
        <v>262</v>
      </c>
      <c r="C337" s="638">
        <v>0</v>
      </c>
      <c r="D337" s="639"/>
      <c r="E337" s="642">
        <f>C337*8</f>
        <v>0</v>
      </c>
      <c r="F337" s="642"/>
      <c r="G337" s="643">
        <v>1</v>
      </c>
      <c r="H337" s="643"/>
      <c r="I337" s="642">
        <f>G337*8</f>
        <v>8</v>
      </c>
      <c r="J337" s="642"/>
      <c r="K337" s="642">
        <f>E337-I337</f>
        <v>-8</v>
      </c>
      <c r="L337" s="642"/>
      <c r="M337" s="644" t="str">
        <f>IF(ISERROR(K337/E337),"",K337/E337)</f>
        <v/>
      </c>
      <c r="N337" s="644"/>
      <c r="O337" s="640"/>
      <c r="P337" s="643" t="s">
        <v>224</v>
      </c>
      <c r="Q337" s="643"/>
      <c r="R337" s="645">
        <f>SUM(O291:U291)</f>
        <v>0</v>
      </c>
      <c r="S337" s="645"/>
      <c r="T337" s="646" t="str">
        <f>IF(ISERROR(R337/R342),"",R337/R342)</f>
        <v/>
      </c>
      <c r="U337" s="646"/>
      <c r="V337" s="643" t="s">
        <v>263</v>
      </c>
      <c r="W337" s="643"/>
      <c r="X337" s="680">
        <f>SUM(P199,P257,P292,P308,P318,P333)</f>
        <v>0</v>
      </c>
      <c r="Y337" s="681"/>
      <c r="Z337" s="646" t="str">
        <f>IF(ISERROR(X337/X342),"",X337/X342)</f>
        <v/>
      </c>
      <c r="AA337" s="646"/>
    </row>
    <row r="338" spans="1:27" ht="20.100000000000001" customHeight="1">
      <c r="A338" s="636"/>
      <c r="B338" s="222" t="s">
        <v>264</v>
      </c>
      <c r="C338" s="638">
        <v>1</v>
      </c>
      <c r="D338" s="639"/>
      <c r="E338" s="642">
        <f>C338*11</f>
        <v>11</v>
      </c>
      <c r="F338" s="642"/>
      <c r="G338" s="643">
        <v>1</v>
      </c>
      <c r="H338" s="643"/>
      <c r="I338" s="642">
        <f>G338*11</f>
        <v>11</v>
      </c>
      <c r="J338" s="642"/>
      <c r="K338" s="642">
        <f>E338-I338</f>
        <v>0</v>
      </c>
      <c r="L338" s="642"/>
      <c r="M338" s="644">
        <f>IF(ISERROR(K338/E338),"",K338/E338)</f>
        <v>0</v>
      </c>
      <c r="N338" s="644"/>
      <c r="O338" s="640"/>
      <c r="P338" s="643" t="s">
        <v>231</v>
      </c>
      <c r="Q338" s="643"/>
      <c r="R338" s="645">
        <f>SUM(O307:U307)</f>
        <v>0</v>
      </c>
      <c r="S338" s="645"/>
      <c r="T338" s="646" t="str">
        <f>IF(ISERROR(R338/R342),"",R338/R342)</f>
        <v/>
      </c>
      <c r="U338" s="646"/>
      <c r="V338" s="643" t="s">
        <v>265</v>
      </c>
      <c r="W338" s="643"/>
      <c r="X338" s="680">
        <f>SUM(P201,P258,P293,P309,P319,P334)</f>
        <v>0</v>
      </c>
      <c r="Y338" s="681"/>
      <c r="Z338" s="646" t="str">
        <f>IF(ISERROR(X338/X342),"",X338/X342)</f>
        <v/>
      </c>
      <c r="AA338" s="646"/>
    </row>
    <row r="339" spans="1:27" ht="20.100000000000001" customHeight="1">
      <c r="A339" s="637"/>
      <c r="B339" s="222" t="s">
        <v>266</v>
      </c>
      <c r="C339" s="648">
        <f>SUM(C335:D338)</f>
        <v>2</v>
      </c>
      <c r="D339" s="649"/>
      <c r="E339" s="642">
        <f>SUM(E335:F338)</f>
        <v>22</v>
      </c>
      <c r="F339" s="642"/>
      <c r="G339" s="643">
        <f>SUM(G335:H338)</f>
        <v>3</v>
      </c>
      <c r="H339" s="643"/>
      <c r="I339" s="642">
        <f>SUM(I335:J338)</f>
        <v>30</v>
      </c>
      <c r="J339" s="642"/>
      <c r="K339" s="642">
        <f>SUM(K335:L338)</f>
        <v>-8</v>
      </c>
      <c r="L339" s="642"/>
      <c r="M339" s="644">
        <f>IF(ISERROR(K339/E339),"",K339/E339)</f>
        <v>-0.36363636363636365</v>
      </c>
      <c r="N339" s="644"/>
      <c r="O339" s="640"/>
      <c r="P339" s="643" t="s">
        <v>234</v>
      </c>
      <c r="Q339" s="643"/>
      <c r="R339" s="645">
        <f>SUM(O317:U317)</f>
        <v>0</v>
      </c>
      <c r="S339" s="645"/>
      <c r="T339" s="646" t="str">
        <f>IF(ISERROR(R339/R342),"",R339/R342)</f>
        <v/>
      </c>
      <c r="U339" s="646"/>
      <c r="V339" s="643" t="s">
        <v>267</v>
      </c>
      <c r="W339" s="643"/>
      <c r="X339" s="680">
        <f>SUM(P202,P259,P294,P310,P320,P335)</f>
        <v>0</v>
      </c>
      <c r="Y339" s="681"/>
      <c r="Z339" s="646" t="str">
        <f>IF(ISERROR(X339/X342),"",X339/X342)</f>
        <v/>
      </c>
      <c r="AA339" s="646"/>
    </row>
    <row r="340" spans="1:27" ht="20.100000000000001" customHeight="1">
      <c r="A340" s="309" t="s">
        <v>477</v>
      </c>
      <c r="B340" s="222">
        <f>G333</f>
        <v>0</v>
      </c>
      <c r="C340" s="650" t="s">
        <v>269</v>
      </c>
      <c r="D340" s="651"/>
      <c r="E340" s="643">
        <f>H333</f>
        <v>0</v>
      </c>
      <c r="F340" s="643"/>
      <c r="G340" s="643" t="s">
        <v>270</v>
      </c>
      <c r="H340" s="643"/>
      <c r="I340" s="652" t="str">
        <f>L333</f>
        <v/>
      </c>
      <c r="J340" s="652"/>
      <c r="K340" s="640" t="s">
        <v>271</v>
      </c>
      <c r="L340" s="640"/>
      <c r="M340" s="652" t="str">
        <f>J333</f>
        <v/>
      </c>
      <c r="N340" s="652"/>
      <c r="O340" s="640"/>
      <c r="P340" s="643" t="s">
        <v>244</v>
      </c>
      <c r="Q340" s="643"/>
      <c r="R340" s="645">
        <f>SUM(O332:U332)</f>
        <v>0</v>
      </c>
      <c r="S340" s="645"/>
      <c r="T340" s="646" t="str">
        <f>IF(ISERROR(R340/R342),"",R340/R342)</f>
        <v/>
      </c>
      <c r="U340" s="646"/>
      <c r="V340" s="643" t="s">
        <v>272</v>
      </c>
      <c r="W340" s="643"/>
      <c r="X340" s="680">
        <f>SUM(P203,P260,P295,P311,P321,P336)</f>
        <v>0</v>
      </c>
      <c r="Y340" s="681"/>
      <c r="Z340" s="646" t="str">
        <f>IF(ISERROR(X340/X342),"",X340/X342)</f>
        <v/>
      </c>
      <c r="AA340" s="646"/>
    </row>
    <row r="341" spans="1:27" ht="20.100000000000001" customHeight="1">
      <c r="A341" s="310" t="s">
        <v>478</v>
      </c>
      <c r="B341" s="222">
        <f>I333+C339</f>
        <v>2</v>
      </c>
      <c r="C341" s="653" t="s">
        <v>251</v>
      </c>
      <c r="D341" s="654"/>
      <c r="E341" s="655">
        <f>K333+I339</f>
        <v>30</v>
      </c>
      <c r="F341" s="655"/>
      <c r="G341" s="643" t="s">
        <v>274</v>
      </c>
      <c r="H341" s="643"/>
      <c r="I341" s="652">
        <f>B341-E341</f>
        <v>-28</v>
      </c>
      <c r="J341" s="652"/>
      <c r="K341" s="640" t="s">
        <v>275</v>
      </c>
      <c r="L341" s="640"/>
      <c r="M341" s="644">
        <f>IF(ISERROR(I341/E341),"",I341/E341)</f>
        <v>-0.93333333333333335</v>
      </c>
      <c r="N341" s="644"/>
      <c r="O341" s="640"/>
      <c r="P341" s="643" t="s">
        <v>245</v>
      </c>
      <c r="Q341" s="643"/>
      <c r="R341" s="645"/>
      <c r="S341" s="645"/>
      <c r="T341" s="646" t="str">
        <f>IF(ISERROR(R341/R342),"",R341/R342)</f>
        <v/>
      </c>
      <c r="U341" s="646"/>
      <c r="V341" s="643" t="s">
        <v>264</v>
      </c>
      <c r="W341" s="643"/>
      <c r="X341" s="680">
        <f>SUM(P204,P261,P296,P312,P322,P337)</f>
        <v>0</v>
      </c>
      <c r="Y341" s="681"/>
      <c r="Z341" s="646" t="str">
        <f>IF(ISERROR(X341/X342),"",X341/X342)</f>
        <v/>
      </c>
      <c r="AA341" s="646"/>
    </row>
    <row r="342" spans="1:27" ht="20.100000000000001" customHeight="1">
      <c r="A342" s="310" t="s">
        <v>479</v>
      </c>
      <c r="B342" s="222">
        <f>N333</f>
        <v>0</v>
      </c>
      <c r="C342" s="653" t="s">
        <v>277</v>
      </c>
      <c r="D342" s="654"/>
      <c r="E342" s="646">
        <f>IF(ISERROR(B342/B341),"",B342/B341)</f>
        <v>0</v>
      </c>
      <c r="F342" s="646"/>
      <c r="G342" s="643" t="s">
        <v>278</v>
      </c>
      <c r="H342" s="643"/>
      <c r="I342" s="640">
        <f>V333</f>
        <v>0</v>
      </c>
      <c r="J342" s="640"/>
      <c r="K342" s="640" t="s">
        <v>279</v>
      </c>
      <c r="L342" s="640"/>
      <c r="M342" s="644" t="str">
        <f t="array" ref="M342">IF(ISERROR(I342/B340),"",I342/B340)</f>
        <v/>
      </c>
      <c r="N342" s="644"/>
      <c r="O342" s="640"/>
      <c r="P342" s="643" t="s">
        <v>266</v>
      </c>
      <c r="Q342" s="643"/>
      <c r="R342" s="645">
        <f>SUM(R335:S341)</f>
        <v>0</v>
      </c>
      <c r="S342" s="645"/>
      <c r="T342" s="646"/>
      <c r="U342" s="646"/>
      <c r="V342" s="643" t="s">
        <v>266</v>
      </c>
      <c r="W342" s="643"/>
      <c r="X342" s="647">
        <f>SUM(X335:Y341)</f>
        <v>0</v>
      </c>
      <c r="Y342" s="647"/>
      <c r="Z342" s="646"/>
      <c r="AA342" s="646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56" t="s">
        <v>480</v>
      </c>
      <c r="B344" s="659" t="s">
        <v>280</v>
      </c>
      <c r="C344" s="659" t="s">
        <v>281</v>
      </c>
      <c r="D344" s="659" t="s">
        <v>282</v>
      </c>
      <c r="E344" s="662" t="s">
        <v>283</v>
      </c>
      <c r="F344" s="675" t="s">
        <v>284</v>
      </c>
      <c r="G344" s="640" t="s">
        <v>285</v>
      </c>
      <c r="H344" s="640"/>
      <c r="I344" s="659" t="s">
        <v>286</v>
      </c>
      <c r="J344" s="665" t="s">
        <v>271</v>
      </c>
      <c r="K344" s="668" t="s">
        <v>287</v>
      </c>
      <c r="L344" s="659" t="s">
        <v>270</v>
      </c>
      <c r="M344" s="671" t="s">
        <v>288</v>
      </c>
      <c r="N344" s="673" t="s">
        <v>252</v>
      </c>
      <c r="O344" s="640" t="s">
        <v>289</v>
      </c>
      <c r="P344" s="640"/>
      <c r="Q344" s="640"/>
      <c r="R344" s="640"/>
      <c r="S344" s="640"/>
      <c r="T344" s="640"/>
      <c r="U344" s="640"/>
      <c r="V344" s="640" t="s">
        <v>290</v>
      </c>
      <c r="W344" s="673" t="s">
        <v>291</v>
      </c>
      <c r="X344" s="640" t="s">
        <v>292</v>
      </c>
      <c r="Y344" s="640"/>
      <c r="Z344" s="640"/>
      <c r="AA344" s="640"/>
    </row>
    <row r="345" spans="1:27" ht="21.95" customHeight="1">
      <c r="A345" s="657"/>
      <c r="B345" s="660"/>
      <c r="C345" s="660"/>
      <c r="D345" s="660"/>
      <c r="E345" s="663"/>
      <c r="F345" s="676"/>
      <c r="G345" s="640"/>
      <c r="H345" s="640"/>
      <c r="I345" s="660"/>
      <c r="J345" s="666"/>
      <c r="K345" s="669"/>
      <c r="L345" s="660"/>
      <c r="M345" s="672"/>
      <c r="N345" s="673"/>
      <c r="O345" s="640" t="s">
        <v>259</v>
      </c>
      <c r="P345" s="640" t="s">
        <v>261</v>
      </c>
      <c r="Q345" s="640" t="s">
        <v>263</v>
      </c>
      <c r="R345" s="674" t="s">
        <v>265</v>
      </c>
      <c r="S345" s="643" t="s">
        <v>267</v>
      </c>
      <c r="T345" s="640" t="s">
        <v>272</v>
      </c>
      <c r="U345" s="640" t="s">
        <v>264</v>
      </c>
      <c r="V345" s="640"/>
      <c r="W345" s="673"/>
      <c r="X345" s="640" t="s">
        <v>293</v>
      </c>
      <c r="Y345" s="640" t="s">
        <v>294</v>
      </c>
      <c r="Z345" s="640" t="s">
        <v>295</v>
      </c>
      <c r="AA345" s="640" t="s">
        <v>264</v>
      </c>
    </row>
    <row r="346" spans="1:27" ht="21.95" customHeight="1">
      <c r="A346" s="658"/>
      <c r="B346" s="661"/>
      <c r="C346" s="661"/>
      <c r="D346" s="661"/>
      <c r="E346" s="664"/>
      <c r="F346" s="677"/>
      <c r="G346" s="157" t="s">
        <v>296</v>
      </c>
      <c r="H346" s="217" t="s">
        <v>297</v>
      </c>
      <c r="I346" s="661"/>
      <c r="J346" s="667"/>
      <c r="K346" s="670"/>
      <c r="L346" s="661"/>
      <c r="M346" s="672"/>
      <c r="N346" s="673"/>
      <c r="O346" s="640"/>
      <c r="P346" s="640"/>
      <c r="Q346" s="640"/>
      <c r="R346" s="674"/>
      <c r="S346" s="643"/>
      <c r="T346" s="640"/>
      <c r="U346" s="640"/>
      <c r="V346" s="640"/>
      <c r="W346" s="673"/>
      <c r="X346" s="640"/>
      <c r="Y346" s="640"/>
      <c r="Z346" s="640"/>
      <c r="AA346" s="640"/>
    </row>
    <row r="347" spans="1:27" ht="20.100000000000001" customHeight="1">
      <c r="A347" s="299">
        <v>30100030</v>
      </c>
      <c r="B347" s="218" t="s">
        <v>178</v>
      </c>
      <c r="C347" s="126" t="s">
        <v>179</v>
      </c>
      <c r="D347" s="108">
        <v>5.03</v>
      </c>
      <c r="E347" s="108"/>
      <c r="F347" s="127"/>
      <c r="G347" s="128"/>
      <c r="H347" s="226">
        <f t="shared" ref="H347:H367" si="159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67" si="160">IF(ISERROR(I347-K347),"",I347-K347)</f>
        <v>0</v>
      </c>
      <c r="N347" s="130">
        <f t="shared" ref="N347:N352" si="161">SUM(O347:U347)</f>
        <v>0</v>
      </c>
      <c r="O347" s="219"/>
      <c r="P347" s="219"/>
      <c r="Q347" s="219"/>
      <c r="R347" s="219"/>
      <c r="S347" s="219"/>
      <c r="T347" s="219"/>
      <c r="U347" s="219"/>
      <c r="V347" s="132">
        <f t="shared" ref="V347:V352" si="162">SUM(X347:AA347)</f>
        <v>0</v>
      </c>
      <c r="W347" s="133" t="str">
        <f t="shared" ref="W347:W352" si="163">IF(ISERROR(V347/G347),"",V347/G347)</f>
        <v/>
      </c>
      <c r="X347" s="132"/>
      <c r="Y347" s="132"/>
      <c r="Z347" s="132"/>
      <c r="AA347" s="132"/>
    </row>
    <row r="348" spans="1:27" ht="20.10000000000000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226">
        <f t="shared" si="159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60"/>
        <v>0</v>
      </c>
      <c r="N348" s="130">
        <f t="shared" si="161"/>
        <v>0</v>
      </c>
      <c r="O348" s="219"/>
      <c r="P348" s="219"/>
      <c r="Q348" s="219"/>
      <c r="R348" s="219"/>
      <c r="S348" s="219"/>
      <c r="T348" s="219"/>
      <c r="U348" s="219"/>
      <c r="V348" s="132">
        <f t="shared" si="162"/>
        <v>0</v>
      </c>
      <c r="W348" s="133" t="str">
        <f t="shared" si="163"/>
        <v/>
      </c>
      <c r="X348" s="132"/>
      <c r="Y348" s="132"/>
      <c r="Z348" s="132"/>
      <c r="AA348" s="132"/>
    </row>
    <row r="349" spans="1:27" ht="20.10000000000000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226">
        <f t="shared" si="159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60"/>
        <v>0</v>
      </c>
      <c r="N349" s="130">
        <f t="shared" si="161"/>
        <v>0</v>
      </c>
      <c r="O349" s="219"/>
      <c r="P349" s="219"/>
      <c r="Q349" s="219"/>
      <c r="R349" s="219"/>
      <c r="S349" s="219"/>
      <c r="T349" s="219"/>
      <c r="U349" s="219"/>
      <c r="V349" s="132">
        <f t="shared" si="162"/>
        <v>0</v>
      </c>
      <c r="W349" s="133" t="str">
        <f t="shared" si="163"/>
        <v/>
      </c>
      <c r="X349" s="132"/>
      <c r="Y349" s="132"/>
      <c r="Z349" s="132"/>
      <c r="AA349" s="132"/>
    </row>
    <row r="350" spans="1:27" ht="20.10000000000000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226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219"/>
      <c r="P350" s="219"/>
      <c r="Q350" s="219"/>
      <c r="R350" s="219"/>
      <c r="S350" s="219"/>
      <c r="T350" s="219"/>
      <c r="U350" s="219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226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60"/>
        <v>0</v>
      </c>
      <c r="N351" s="130">
        <f t="shared" si="161"/>
        <v>0</v>
      </c>
      <c r="O351" s="219"/>
      <c r="P351" s="219"/>
      <c r="Q351" s="219"/>
      <c r="R351" s="219"/>
      <c r="S351" s="219"/>
      <c r="T351" s="219"/>
      <c r="U351" s="219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226">
        <f t="shared" si="159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219"/>
      <c r="P352" s="219"/>
      <c r="Q352" s="219"/>
      <c r="R352" s="219"/>
      <c r="S352" s="219"/>
      <c r="T352" s="219"/>
      <c r="U352" s="219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226">
        <f t="shared" si="159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60"/>
        <v>0</v>
      </c>
      <c r="N353" s="130"/>
      <c r="O353" s="219"/>
      <c r="P353" s="219"/>
      <c r="Q353" s="219"/>
      <c r="R353" s="219"/>
      <c r="S353" s="219"/>
      <c r="T353" s="219"/>
      <c r="U353" s="219"/>
      <c r="V353" s="132"/>
      <c r="W353" s="133"/>
      <c r="X353" s="132"/>
      <c r="Y353" s="132"/>
      <c r="Z353" s="132"/>
      <c r="AA353" s="132"/>
    </row>
    <row r="354" spans="1:27" ht="20.10000000000000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226">
        <f t="shared" si="159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60"/>
        <v>0</v>
      </c>
      <c r="N354" s="130"/>
      <c r="O354" s="219"/>
      <c r="P354" s="219"/>
      <c r="Q354" s="219"/>
      <c r="R354" s="219"/>
      <c r="S354" s="219"/>
      <c r="T354" s="219"/>
      <c r="U354" s="219"/>
      <c r="V354" s="132"/>
      <c r="W354" s="133"/>
      <c r="X354" s="132"/>
      <c r="Y354" s="132"/>
      <c r="Z354" s="132"/>
      <c r="AA354" s="132"/>
    </row>
    <row r="355" spans="1:27" ht="20.10000000000000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226">
        <f t="shared" si="159"/>
        <v>0</v>
      </c>
      <c r="I355" s="226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60"/>
        <v>0</v>
      </c>
      <c r="N355" s="130">
        <f>SUM(O355:U355)</f>
        <v>0</v>
      </c>
      <c r="O355" s="219"/>
      <c r="P355" s="219"/>
      <c r="Q355" s="219"/>
      <c r="R355" s="219"/>
      <c r="S355" s="219"/>
      <c r="T355" s="219"/>
      <c r="U355" s="219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226">
        <f t="shared" si="159"/>
        <v>0</v>
      </c>
      <c r="I356" s="226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60"/>
        <v>0</v>
      </c>
      <c r="N356" s="130">
        <f>SUM(O356:U356)</f>
        <v>0</v>
      </c>
      <c r="O356" s="219"/>
      <c r="P356" s="219"/>
      <c r="Q356" s="219"/>
      <c r="R356" s="219"/>
      <c r="S356" s="219"/>
      <c r="T356" s="219"/>
      <c r="U356" s="219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customHeight="1">
      <c r="A357" s="302">
        <v>30100063</v>
      </c>
      <c r="B357" s="134" t="s">
        <v>466</v>
      </c>
      <c r="C357" s="126" t="s">
        <v>192</v>
      </c>
      <c r="D357" s="108">
        <v>5.03</v>
      </c>
      <c r="E357" s="108"/>
      <c r="F357" s="126"/>
      <c r="G357" s="128"/>
      <c r="H357" s="292">
        <f t="shared" si="159"/>
        <v>0</v>
      </c>
      <c r="I357" s="292"/>
      <c r="J357" s="130"/>
      <c r="K357" s="131"/>
      <c r="L357" s="129"/>
      <c r="M357" s="109"/>
      <c r="N357" s="130"/>
      <c r="O357" s="293"/>
      <c r="P357" s="293"/>
      <c r="Q357" s="293"/>
      <c r="R357" s="293"/>
      <c r="S357" s="293"/>
      <c r="T357" s="293"/>
      <c r="U357" s="293"/>
      <c r="V357" s="132"/>
      <c r="W357" s="133"/>
      <c r="X357" s="132"/>
      <c r="Y357" s="132"/>
      <c r="Z357" s="132"/>
      <c r="AA357" s="132"/>
    </row>
    <row r="358" spans="1:27" ht="20.100000000000001" customHeight="1">
      <c r="A358" s="302">
        <v>30100061</v>
      </c>
      <c r="B358" s="134" t="s">
        <v>466</v>
      </c>
      <c r="C358" s="126" t="s">
        <v>193</v>
      </c>
      <c r="D358" s="108">
        <v>5.03</v>
      </c>
      <c r="E358" s="108"/>
      <c r="F358" s="126"/>
      <c r="G358" s="128"/>
      <c r="H358" s="292">
        <f t="shared" si="159"/>
        <v>0</v>
      </c>
      <c r="I358" s="292"/>
      <c r="J358" s="130"/>
      <c r="K358" s="131"/>
      <c r="L358" s="129"/>
      <c r="M358" s="109"/>
      <c r="N358" s="130"/>
      <c r="O358" s="293"/>
      <c r="P358" s="293"/>
      <c r="Q358" s="293"/>
      <c r="R358" s="293"/>
      <c r="S358" s="293"/>
      <c r="T358" s="293"/>
      <c r="U358" s="293"/>
      <c r="V358" s="132"/>
      <c r="W358" s="133"/>
      <c r="X358" s="132"/>
      <c r="Y358" s="132"/>
      <c r="Z358" s="132"/>
      <c r="AA358" s="132"/>
    </row>
    <row r="359" spans="1:27" ht="20.10000000000000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292">
        <f t="shared" si="159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si="160"/>
        <v>0</v>
      </c>
      <c r="N359" s="130">
        <f t="shared" ref="N359:N361" si="164">SUM(O359:U359)</f>
        <v>0</v>
      </c>
      <c r="O359" s="219"/>
      <c r="P359" s="219"/>
      <c r="Q359" s="219"/>
      <c r="R359" s="219"/>
      <c r="S359" s="219"/>
      <c r="T359" s="219"/>
      <c r="U359" s="219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292">
        <f t="shared" si="159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0"/>
        <v>0</v>
      </c>
      <c r="N360" s="130">
        <f t="shared" si="164"/>
        <v>0</v>
      </c>
      <c r="O360" s="219"/>
      <c r="P360" s="219"/>
      <c r="Q360" s="219"/>
      <c r="R360" s="219"/>
      <c r="S360" s="219"/>
      <c r="T360" s="219"/>
      <c r="U360" s="219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292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0"/>
        <v>0</v>
      </c>
      <c r="N361" s="130">
        <f t="shared" si="164"/>
        <v>0</v>
      </c>
      <c r="O361" s="219"/>
      <c r="P361" s="219"/>
      <c r="Q361" s="219"/>
      <c r="R361" s="219"/>
      <c r="S361" s="219"/>
      <c r="T361" s="219"/>
      <c r="U361" s="219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customHeight="1">
      <c r="A362" s="300">
        <v>30100003</v>
      </c>
      <c r="B362" s="141" t="s">
        <v>198</v>
      </c>
      <c r="C362" s="217" t="s">
        <v>190</v>
      </c>
      <c r="D362" s="108">
        <v>4.8</v>
      </c>
      <c r="E362" s="108"/>
      <c r="F362" s="127"/>
      <c r="G362" s="128"/>
      <c r="H362" s="226">
        <f t="shared" si="159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0"/>
        <v>0</v>
      </c>
      <c r="N362" s="130"/>
      <c r="O362" s="219"/>
      <c r="P362" s="219"/>
      <c r="Q362" s="219"/>
      <c r="R362" s="219"/>
      <c r="S362" s="219"/>
      <c r="T362" s="219"/>
      <c r="U362" s="219"/>
      <c r="V362" s="132"/>
      <c r="W362" s="133"/>
      <c r="X362" s="132"/>
      <c r="Y362" s="132"/>
      <c r="Z362" s="132"/>
      <c r="AA362" s="132"/>
    </row>
    <row r="363" spans="1:27" ht="20.100000000000001" customHeight="1">
      <c r="A363" s="300">
        <v>30100004</v>
      </c>
      <c r="B363" s="141" t="s">
        <v>198</v>
      </c>
      <c r="C363" s="217" t="s">
        <v>187</v>
      </c>
      <c r="D363" s="108">
        <v>4.8</v>
      </c>
      <c r="E363" s="108"/>
      <c r="F363" s="127"/>
      <c r="G363" s="128"/>
      <c r="H363" s="226">
        <f t="shared" si="159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0"/>
        <v>0</v>
      </c>
      <c r="N363" s="130"/>
      <c r="O363" s="219"/>
      <c r="P363" s="219"/>
      <c r="Q363" s="219"/>
      <c r="R363" s="219"/>
      <c r="S363" s="219"/>
      <c r="T363" s="219"/>
      <c r="U363" s="219"/>
      <c r="V363" s="132"/>
      <c r="W363" s="133"/>
      <c r="X363" s="132"/>
      <c r="Y363" s="132"/>
      <c r="Z363" s="132"/>
      <c r="AA363" s="132"/>
    </row>
    <row r="364" spans="1:27" ht="20.100000000000001" customHeight="1">
      <c r="A364" s="300">
        <v>30100006</v>
      </c>
      <c r="B364" s="141" t="s">
        <v>198</v>
      </c>
      <c r="C364" s="217" t="s">
        <v>179</v>
      </c>
      <c r="D364" s="108">
        <v>4.8</v>
      </c>
      <c r="E364" s="108"/>
      <c r="F364" s="127"/>
      <c r="G364" s="128"/>
      <c r="H364" s="226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0"/>
        <v>0</v>
      </c>
      <c r="N364" s="130"/>
      <c r="O364" s="219"/>
      <c r="P364" s="219"/>
      <c r="Q364" s="219"/>
      <c r="R364" s="219"/>
      <c r="S364" s="219"/>
      <c r="T364" s="219"/>
      <c r="U364" s="219"/>
      <c r="V364" s="132"/>
      <c r="W364" s="133"/>
      <c r="X364" s="132"/>
      <c r="Y364" s="132"/>
      <c r="Z364" s="132"/>
      <c r="AA364" s="132"/>
    </row>
    <row r="365" spans="1:27" ht="20.100000000000001" customHeight="1">
      <c r="A365" s="300">
        <v>30100005</v>
      </c>
      <c r="B365" s="141" t="s">
        <v>198</v>
      </c>
      <c r="C365" s="217" t="s">
        <v>199</v>
      </c>
      <c r="D365" s="108">
        <v>4.8</v>
      </c>
      <c r="E365" s="108"/>
      <c r="F365" s="127"/>
      <c r="G365" s="128"/>
      <c r="H365" s="226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0"/>
        <v>0</v>
      </c>
      <c r="N365" s="130"/>
      <c r="O365" s="219"/>
      <c r="P365" s="219"/>
      <c r="Q365" s="219"/>
      <c r="R365" s="219"/>
      <c r="S365" s="219"/>
      <c r="T365" s="219"/>
      <c r="U365" s="219"/>
      <c r="V365" s="132"/>
      <c r="W365" s="133"/>
      <c r="X365" s="132"/>
      <c r="Y365" s="132"/>
      <c r="Z365" s="132"/>
      <c r="AA365" s="132"/>
    </row>
    <row r="366" spans="1:27" ht="20.10000000000000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226">
        <f t="shared" si="159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0"/>
        <v>0</v>
      </c>
      <c r="N366" s="130">
        <f t="shared" ref="N366:N367" si="167">SUM(O366:U366)</f>
        <v>0</v>
      </c>
      <c r="O366" s="219"/>
      <c r="P366" s="219"/>
      <c r="Q366" s="219"/>
      <c r="R366" s="219"/>
      <c r="S366" s="219"/>
      <c r="T366" s="219"/>
      <c r="U366" s="219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226">
        <f t="shared" si="159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0"/>
        <v>0</v>
      </c>
      <c r="N367" s="130">
        <f t="shared" si="167"/>
        <v>0</v>
      </c>
      <c r="O367" s="219"/>
      <c r="P367" s="219"/>
      <c r="Q367" s="219"/>
      <c r="R367" s="219"/>
      <c r="S367" s="219"/>
      <c r="T367" s="219"/>
      <c r="U367" s="219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customHeight="1">
      <c r="A368" s="630" t="s">
        <v>201</v>
      </c>
      <c r="B368" s="631"/>
      <c r="C368" s="224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customHeight="1">
      <c r="A369" s="300">
        <v>30100012</v>
      </c>
      <c r="B369" s="218" t="s">
        <v>206</v>
      </c>
      <c r="C369" s="126" t="s">
        <v>199</v>
      </c>
      <c r="D369" s="108">
        <v>5.03</v>
      </c>
      <c r="E369" s="108"/>
      <c r="F369" s="127"/>
      <c r="G369" s="128"/>
      <c r="H369" s="226">
        <f t="shared" ref="H369:H376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:M376" si="172">IF(ISERROR(I369-K369),"",I369-K369)</f>
        <v>0</v>
      </c>
      <c r="N369" s="130">
        <f t="shared" ref="N369:N373" si="173">SUM(O369:U369)</f>
        <v>0</v>
      </c>
      <c r="O369" s="221"/>
      <c r="P369" s="221"/>
      <c r="Q369" s="221"/>
      <c r="R369" s="221"/>
      <c r="S369" s="221"/>
      <c r="T369" s="221"/>
      <c r="U369" s="221"/>
      <c r="V369" s="132">
        <f t="shared" ref="V369:V373" si="174">SUM(X369:AA369)</f>
        <v>0</v>
      </c>
      <c r="W369" s="133" t="str">
        <f t="shared" ref="W369:W373" si="175">IF(ISERROR(V369/G369),"",V369/G369)</f>
        <v/>
      </c>
      <c r="X369" s="132"/>
      <c r="Y369" s="132"/>
      <c r="Z369" s="132"/>
      <c r="AA369" s="132"/>
    </row>
    <row r="370" spans="1:27" ht="20.100000000000001" customHeight="1">
      <c r="A370" s="300">
        <v>30100011</v>
      </c>
      <c r="B370" s="236" t="s">
        <v>431</v>
      </c>
      <c r="C370" s="187" t="s">
        <v>432</v>
      </c>
      <c r="D370" s="108">
        <v>5.03</v>
      </c>
      <c r="E370" s="108"/>
      <c r="F370" s="127"/>
      <c r="G370" s="128"/>
      <c r="H370" s="239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238"/>
      <c r="P370" s="238"/>
      <c r="Q370" s="238"/>
      <c r="R370" s="238"/>
      <c r="S370" s="238"/>
      <c r="T370" s="238"/>
      <c r="U370" s="238"/>
      <c r="V370" s="132"/>
      <c r="W370" s="133"/>
      <c r="X370" s="132"/>
      <c r="Y370" s="132"/>
      <c r="Z370" s="132"/>
      <c r="AA370" s="132"/>
    </row>
    <row r="371" spans="1:27" ht="20.100000000000001" customHeight="1">
      <c r="A371" s="300">
        <v>30100010</v>
      </c>
      <c r="B371" s="218" t="s">
        <v>206</v>
      </c>
      <c r="C371" s="126" t="s">
        <v>186</v>
      </c>
      <c r="D371" s="108">
        <v>5.03</v>
      </c>
      <c r="E371" s="108"/>
      <c r="F371" s="127"/>
      <c r="G371" s="128"/>
      <c r="H371" s="239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si="172"/>
        <v>0</v>
      </c>
      <c r="N371" s="130">
        <f t="shared" si="173"/>
        <v>0</v>
      </c>
      <c r="O371" s="221"/>
      <c r="P371" s="221"/>
      <c r="Q371" s="221"/>
      <c r="R371" s="221"/>
      <c r="S371" s="221"/>
      <c r="T371" s="221"/>
      <c r="U371" s="221"/>
      <c r="V371" s="132">
        <f t="shared" si="174"/>
        <v>0</v>
      </c>
      <c r="W371" s="133" t="str">
        <f t="shared" si="175"/>
        <v/>
      </c>
      <c r="X371" s="132"/>
      <c r="Y371" s="132"/>
      <c r="Z371" s="132"/>
      <c r="AA371" s="132"/>
    </row>
    <row r="372" spans="1:27" ht="20.100000000000001" customHeight="1">
      <c r="A372" s="300">
        <v>30100014</v>
      </c>
      <c r="B372" s="218" t="s">
        <v>206</v>
      </c>
      <c r="C372" s="126" t="s">
        <v>203</v>
      </c>
      <c r="D372" s="108">
        <v>5.03</v>
      </c>
      <c r="E372" s="108"/>
      <c r="F372" s="127"/>
      <c r="G372" s="128"/>
      <c r="H372" s="226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2"/>
        <v>0</v>
      </c>
      <c r="N372" s="130">
        <f t="shared" si="173"/>
        <v>0</v>
      </c>
      <c r="O372" s="221"/>
      <c r="P372" s="221"/>
      <c r="Q372" s="221"/>
      <c r="R372" s="221"/>
      <c r="S372" s="221"/>
      <c r="T372" s="221"/>
      <c r="U372" s="221"/>
      <c r="V372" s="132">
        <f t="shared" si="174"/>
        <v>0</v>
      </c>
      <c r="W372" s="133" t="str">
        <f t="shared" si="175"/>
        <v/>
      </c>
      <c r="X372" s="132"/>
      <c r="Y372" s="132"/>
      <c r="Z372" s="132"/>
      <c r="AA372" s="132"/>
    </row>
    <row r="373" spans="1:27" ht="20.100000000000001" customHeight="1">
      <c r="A373" s="300">
        <v>30100013</v>
      </c>
      <c r="B373" s="218" t="s">
        <v>206</v>
      </c>
      <c r="C373" s="126" t="s">
        <v>207</v>
      </c>
      <c r="D373" s="108">
        <v>5.03</v>
      </c>
      <c r="E373" s="108"/>
      <c r="F373" s="127"/>
      <c r="G373" s="128"/>
      <c r="H373" s="226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2"/>
        <v>0</v>
      </c>
      <c r="N373" s="130">
        <f t="shared" si="173"/>
        <v>0</v>
      </c>
      <c r="O373" s="221"/>
      <c r="P373" s="221"/>
      <c r="Q373" s="221"/>
      <c r="R373" s="221"/>
      <c r="S373" s="221"/>
      <c r="T373" s="221"/>
      <c r="U373" s="221"/>
      <c r="V373" s="132">
        <f t="shared" si="174"/>
        <v>0</v>
      </c>
      <c r="W373" s="133" t="str">
        <f t="shared" si="175"/>
        <v/>
      </c>
      <c r="X373" s="132"/>
      <c r="Y373" s="132"/>
      <c r="Z373" s="132"/>
      <c r="AA373" s="132"/>
    </row>
    <row r="374" spans="1:27" ht="20.100000000000001" customHeight="1">
      <c r="A374" s="300">
        <v>30100016</v>
      </c>
      <c r="B374" s="218" t="s">
        <v>414</v>
      </c>
      <c r="C374" s="187" t="s">
        <v>415</v>
      </c>
      <c r="D374" s="108"/>
      <c r="E374" s="108"/>
      <c r="F374" s="127"/>
      <c r="G374" s="128"/>
      <c r="H374" s="239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2"/>
        <v>0</v>
      </c>
      <c r="N374" s="130"/>
      <c r="O374" s="221"/>
      <c r="P374" s="221"/>
      <c r="Q374" s="221"/>
      <c r="R374" s="221"/>
      <c r="S374" s="221"/>
      <c r="T374" s="221"/>
      <c r="U374" s="221"/>
      <c r="V374" s="132"/>
      <c r="W374" s="133"/>
      <c r="X374" s="132"/>
      <c r="Y374" s="132"/>
      <c r="Z374" s="132"/>
      <c r="AA374" s="132"/>
    </row>
    <row r="375" spans="1:27" ht="20.100000000000001" customHeight="1">
      <c r="A375" s="300">
        <v>30100017</v>
      </c>
      <c r="B375" s="218" t="s">
        <v>414</v>
      </c>
      <c r="C375" s="187" t="s">
        <v>416</v>
      </c>
      <c r="D375" s="108"/>
      <c r="E375" s="108"/>
      <c r="F375" s="127"/>
      <c r="G375" s="128"/>
      <c r="H375" s="239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2"/>
        <v>0</v>
      </c>
      <c r="N375" s="130"/>
      <c r="O375" s="221"/>
      <c r="P375" s="221"/>
      <c r="Q375" s="221"/>
      <c r="R375" s="221"/>
      <c r="S375" s="221"/>
      <c r="T375" s="221"/>
      <c r="U375" s="221"/>
      <c r="V375" s="132"/>
      <c r="W375" s="133"/>
      <c r="X375" s="132"/>
      <c r="Y375" s="132"/>
      <c r="Z375" s="132"/>
      <c r="AA375" s="132"/>
    </row>
    <row r="376" spans="1:27" ht="20.100000000000001" customHeight="1">
      <c r="A376" s="300">
        <v>30100015</v>
      </c>
      <c r="B376" s="218" t="s">
        <v>414</v>
      </c>
      <c r="C376" s="187" t="s">
        <v>61</v>
      </c>
      <c r="D376" s="108"/>
      <c r="E376" s="108"/>
      <c r="F376" s="127"/>
      <c r="G376" s="128"/>
      <c r="H376" s="239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2"/>
        <v>0</v>
      </c>
      <c r="N376" s="130"/>
      <c r="O376" s="221"/>
      <c r="P376" s="221"/>
      <c r="Q376" s="221"/>
      <c r="R376" s="221"/>
      <c r="S376" s="221"/>
      <c r="T376" s="221"/>
      <c r="U376" s="221"/>
      <c r="V376" s="132"/>
      <c r="W376" s="133"/>
      <c r="X376" s="132"/>
      <c r="Y376" s="132"/>
      <c r="Z376" s="132"/>
      <c r="AA376" s="132"/>
    </row>
    <row r="377" spans="1:27" ht="20.100000000000001" customHeight="1">
      <c r="A377" s="300">
        <v>30100027</v>
      </c>
      <c r="B377" s="218" t="s">
        <v>208</v>
      </c>
      <c r="C377" s="126" t="s">
        <v>179</v>
      </c>
      <c r="D377" s="108">
        <v>5.08</v>
      </c>
      <c r="E377" s="108"/>
      <c r="F377" s="127"/>
      <c r="G377" s="128"/>
      <c r="H377" s="226">
        <f t="shared" ref="H377:H425" si="176">D377*G377</f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ref="M377:M396" si="177">IF(ISERROR(I377-K377),"",I377-K377)</f>
        <v>0</v>
      </c>
      <c r="N377" s="130">
        <f t="shared" ref="N377:N392" si="178">SUM(O377:U377)</f>
        <v>0</v>
      </c>
      <c r="O377" s="221"/>
      <c r="P377" s="221"/>
      <c r="Q377" s="221"/>
      <c r="R377" s="221"/>
      <c r="S377" s="221"/>
      <c r="T377" s="221"/>
      <c r="U377" s="221"/>
      <c r="V377" s="132">
        <f t="shared" ref="V377:V388" si="179">SUM(X377:AA377)</f>
        <v>0</v>
      </c>
      <c r="W377" s="133" t="str">
        <f t="shared" ref="W377:W388" si="180">IF(ISERROR(V377/G377),"",V377/G377)</f>
        <v/>
      </c>
      <c r="X377" s="132"/>
      <c r="Y377" s="132"/>
      <c r="Z377" s="132"/>
      <c r="AA377" s="132"/>
    </row>
    <row r="378" spans="1:27" ht="20.100000000000001" customHeight="1">
      <c r="A378" s="300">
        <v>30100023</v>
      </c>
      <c r="B378" s="218" t="s">
        <v>208</v>
      </c>
      <c r="C378" s="126" t="s">
        <v>204</v>
      </c>
      <c r="D378" s="108">
        <v>5.08</v>
      </c>
      <c r="E378" s="108"/>
      <c r="F378" s="127"/>
      <c r="G378" s="128"/>
      <c r="H378" s="226">
        <f t="shared" si="176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7"/>
        <v>0</v>
      </c>
      <c r="N378" s="130">
        <f t="shared" si="178"/>
        <v>0</v>
      </c>
      <c r="O378" s="221"/>
      <c r="P378" s="221"/>
      <c r="Q378" s="221"/>
      <c r="R378" s="221"/>
      <c r="S378" s="221"/>
      <c r="T378" s="221"/>
      <c r="U378" s="221"/>
      <c r="V378" s="132">
        <f t="shared" si="179"/>
        <v>0</v>
      </c>
      <c r="W378" s="133" t="str">
        <f t="shared" si="180"/>
        <v/>
      </c>
      <c r="X378" s="132"/>
      <c r="Y378" s="132"/>
      <c r="Z378" s="132"/>
      <c r="AA378" s="132"/>
    </row>
    <row r="379" spans="1:27" ht="20.100000000000001" customHeight="1">
      <c r="A379" s="300">
        <v>30100024</v>
      </c>
      <c r="B379" s="218" t="s">
        <v>208</v>
      </c>
      <c r="C379" s="126" t="s">
        <v>205</v>
      </c>
      <c r="D379" s="108">
        <v>5.08</v>
      </c>
      <c r="E379" s="108"/>
      <c r="F379" s="127"/>
      <c r="G379" s="128"/>
      <c r="H379" s="226">
        <f t="shared" si="176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si="178"/>
        <v>0</v>
      </c>
      <c r="O379" s="221"/>
      <c r="P379" s="221"/>
      <c r="Q379" s="221"/>
      <c r="R379" s="221"/>
      <c r="S379" s="221"/>
      <c r="T379" s="221"/>
      <c r="U379" s="221"/>
      <c r="V379" s="132">
        <f t="shared" si="179"/>
        <v>0</v>
      </c>
      <c r="W379" s="133" t="str">
        <f t="shared" si="180"/>
        <v/>
      </c>
      <c r="X379" s="132"/>
      <c r="Y379" s="132"/>
      <c r="Z379" s="132"/>
      <c r="AA379" s="132"/>
    </row>
    <row r="380" spans="1:27" ht="20.100000000000001" customHeight="1">
      <c r="A380" s="300">
        <v>30100022</v>
      </c>
      <c r="B380" s="218" t="s">
        <v>208</v>
      </c>
      <c r="C380" s="126" t="s">
        <v>186</v>
      </c>
      <c r="D380" s="108">
        <v>5.08</v>
      </c>
      <c r="E380" s="108"/>
      <c r="F380" s="127"/>
      <c r="G380" s="128"/>
      <c r="H380" s="226">
        <f t="shared" si="176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78"/>
        <v>0</v>
      </c>
      <c r="O380" s="221"/>
      <c r="P380" s="221"/>
      <c r="Q380" s="221"/>
      <c r="R380" s="221"/>
      <c r="S380" s="221"/>
      <c r="T380" s="221"/>
      <c r="U380" s="221"/>
      <c r="V380" s="132">
        <f t="shared" si="179"/>
        <v>0</v>
      </c>
      <c r="W380" s="133" t="str">
        <f t="shared" si="180"/>
        <v/>
      </c>
      <c r="X380" s="132"/>
      <c r="Y380" s="132"/>
      <c r="Z380" s="132"/>
      <c r="AA380" s="132"/>
    </row>
    <row r="381" spans="1:27" ht="20.100000000000001" customHeight="1">
      <c r="A381" s="300">
        <v>30100029</v>
      </c>
      <c r="B381" s="218" t="s">
        <v>208</v>
      </c>
      <c r="C381" s="126" t="s">
        <v>203</v>
      </c>
      <c r="D381" s="108">
        <v>5.08</v>
      </c>
      <c r="E381" s="108"/>
      <c r="F381" s="127"/>
      <c r="G381" s="128"/>
      <c r="H381" s="226">
        <f t="shared" si="176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78"/>
        <v>0</v>
      </c>
      <c r="O381" s="221"/>
      <c r="P381" s="221"/>
      <c r="Q381" s="221"/>
      <c r="R381" s="221"/>
      <c r="S381" s="221"/>
      <c r="T381" s="221"/>
      <c r="U381" s="221"/>
      <c r="V381" s="132">
        <f t="shared" si="179"/>
        <v>0</v>
      </c>
      <c r="W381" s="133" t="str">
        <f t="shared" si="180"/>
        <v/>
      </c>
      <c r="X381" s="132"/>
      <c r="Y381" s="132"/>
      <c r="Z381" s="132"/>
      <c r="AA381" s="132"/>
    </row>
    <row r="382" spans="1:27" ht="20.100000000000001" customHeight="1">
      <c r="A382" s="300">
        <v>30100026</v>
      </c>
      <c r="B382" s="218" t="s">
        <v>208</v>
      </c>
      <c r="C382" s="126" t="s">
        <v>199</v>
      </c>
      <c r="D382" s="108">
        <v>5.08</v>
      </c>
      <c r="E382" s="108"/>
      <c r="F382" s="127"/>
      <c r="G382" s="128"/>
      <c r="H382" s="226">
        <f t="shared" si="176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78"/>
        <v>0</v>
      </c>
      <c r="O382" s="219"/>
      <c r="P382" s="219"/>
      <c r="Q382" s="219"/>
      <c r="R382" s="219"/>
      <c r="S382" s="219"/>
      <c r="T382" s="219"/>
      <c r="U382" s="219"/>
      <c r="V382" s="132">
        <f t="shared" si="179"/>
        <v>0</v>
      </c>
      <c r="W382" s="133" t="str">
        <f t="shared" si="180"/>
        <v/>
      </c>
      <c r="X382" s="132"/>
      <c r="Y382" s="132"/>
      <c r="Z382" s="132"/>
      <c r="AA382" s="132"/>
    </row>
    <row r="383" spans="1:27" ht="20.100000000000001" customHeight="1">
      <c r="A383" s="300">
        <v>30100025</v>
      </c>
      <c r="B383" s="218" t="s">
        <v>208</v>
      </c>
      <c r="C383" s="126" t="s">
        <v>187</v>
      </c>
      <c r="D383" s="108">
        <v>5.08</v>
      </c>
      <c r="E383" s="108"/>
      <c r="F383" s="127"/>
      <c r="G383" s="128"/>
      <c r="H383" s="226">
        <f t="shared" si="176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78"/>
        <v>0</v>
      </c>
      <c r="O383" s="221"/>
      <c r="P383" s="221"/>
      <c r="Q383" s="221"/>
      <c r="R383" s="221"/>
      <c r="S383" s="221"/>
      <c r="T383" s="221"/>
      <c r="U383" s="221"/>
      <c r="V383" s="132">
        <f t="shared" si="179"/>
        <v>0</v>
      </c>
      <c r="W383" s="133" t="str">
        <f t="shared" si="180"/>
        <v/>
      </c>
      <c r="X383" s="132"/>
      <c r="Y383" s="132"/>
      <c r="Z383" s="132"/>
      <c r="AA383" s="132"/>
    </row>
    <row r="384" spans="1:27" ht="20.100000000000001" customHeight="1">
      <c r="A384" s="300">
        <v>30100028</v>
      </c>
      <c r="B384" s="218" t="s">
        <v>208</v>
      </c>
      <c r="C384" s="126" t="s">
        <v>207</v>
      </c>
      <c r="D384" s="108">
        <v>5.08</v>
      </c>
      <c r="E384" s="108"/>
      <c r="F384" s="127"/>
      <c r="G384" s="128"/>
      <c r="H384" s="226">
        <f t="shared" si="176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78"/>
        <v>0</v>
      </c>
      <c r="O384" s="219"/>
      <c r="P384" s="219"/>
      <c r="Q384" s="219"/>
      <c r="R384" s="219"/>
      <c r="S384" s="219"/>
      <c r="T384" s="219"/>
      <c r="U384" s="219"/>
      <c r="V384" s="132">
        <f t="shared" si="179"/>
        <v>0</v>
      </c>
      <c r="W384" s="133" t="str">
        <f t="shared" si="180"/>
        <v/>
      </c>
      <c r="X384" s="132"/>
      <c r="Y384" s="132"/>
      <c r="Z384" s="132"/>
      <c r="AA384" s="132"/>
    </row>
    <row r="385" spans="1:27" ht="20.100000000000001" customHeight="1">
      <c r="A385" s="300">
        <v>30100032</v>
      </c>
      <c r="B385" s="218" t="s">
        <v>209</v>
      </c>
      <c r="C385" s="126" t="s">
        <v>194</v>
      </c>
      <c r="D385" s="108">
        <v>5.03</v>
      </c>
      <c r="E385" s="108"/>
      <c r="F385" s="127"/>
      <c r="G385" s="128"/>
      <c r="H385" s="226">
        <f t="shared" si="176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7"/>
        <v>0</v>
      </c>
      <c r="N385" s="130">
        <f t="shared" si="178"/>
        <v>0</v>
      </c>
      <c r="O385" s="221"/>
      <c r="P385" s="221"/>
      <c r="Q385" s="221"/>
      <c r="R385" s="221"/>
      <c r="S385" s="221"/>
      <c r="T385" s="221"/>
      <c r="U385" s="221"/>
      <c r="V385" s="132">
        <f t="shared" si="179"/>
        <v>0</v>
      </c>
      <c r="W385" s="133" t="str">
        <f t="shared" si="180"/>
        <v/>
      </c>
      <c r="X385" s="132"/>
      <c r="Y385" s="132"/>
      <c r="Z385" s="132"/>
      <c r="AA385" s="132"/>
    </row>
    <row r="386" spans="1:27" ht="20.100000000000001" customHeight="1">
      <c r="A386" s="300">
        <v>30100033</v>
      </c>
      <c r="B386" s="218" t="s">
        <v>209</v>
      </c>
      <c r="C386" s="126" t="s">
        <v>179</v>
      </c>
      <c r="D386" s="108">
        <v>5.03</v>
      </c>
      <c r="E386" s="108"/>
      <c r="F386" s="127"/>
      <c r="G386" s="128"/>
      <c r="H386" s="226">
        <f t="shared" si="176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7"/>
        <v>0</v>
      </c>
      <c r="N386" s="130">
        <f t="shared" si="178"/>
        <v>0</v>
      </c>
      <c r="O386" s="221"/>
      <c r="P386" s="221"/>
      <c r="Q386" s="221"/>
      <c r="R386" s="221"/>
      <c r="S386" s="221"/>
      <c r="T386" s="221"/>
      <c r="U386" s="221"/>
      <c r="V386" s="132">
        <f t="shared" si="179"/>
        <v>0</v>
      </c>
      <c r="W386" s="133" t="str">
        <f t="shared" si="180"/>
        <v/>
      </c>
      <c r="X386" s="132"/>
      <c r="Y386" s="132"/>
      <c r="Z386" s="132"/>
      <c r="AA386" s="132"/>
    </row>
    <row r="387" spans="1:27" ht="20.100000000000001" customHeight="1">
      <c r="A387" s="300">
        <v>30100062</v>
      </c>
      <c r="B387" s="218" t="s">
        <v>209</v>
      </c>
      <c r="C387" s="126" t="s">
        <v>195</v>
      </c>
      <c r="D387" s="108">
        <v>5.03</v>
      </c>
      <c r="E387" s="108"/>
      <c r="F387" s="127"/>
      <c r="G387" s="128"/>
      <c r="H387" s="226">
        <f t="shared" si="176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78"/>
        <v>0</v>
      </c>
      <c r="O387" s="221"/>
      <c r="P387" s="221"/>
      <c r="Q387" s="221"/>
      <c r="R387" s="221"/>
      <c r="S387" s="221"/>
      <c r="T387" s="221"/>
      <c r="U387" s="221"/>
      <c r="V387" s="132">
        <f t="shared" si="179"/>
        <v>0</v>
      </c>
      <c r="W387" s="133" t="str">
        <f t="shared" si="180"/>
        <v/>
      </c>
      <c r="X387" s="132"/>
      <c r="Y387" s="132"/>
      <c r="Z387" s="132"/>
      <c r="AA387" s="132"/>
    </row>
    <row r="388" spans="1:27" ht="20.100000000000001" customHeight="1">
      <c r="A388" s="300">
        <v>30100031</v>
      </c>
      <c r="B388" s="218" t="s">
        <v>209</v>
      </c>
      <c r="C388" s="126" t="s">
        <v>204</v>
      </c>
      <c r="D388" s="108">
        <v>5.03</v>
      </c>
      <c r="E388" s="108"/>
      <c r="F388" s="127"/>
      <c r="G388" s="128"/>
      <c r="H388" s="226">
        <f t="shared" si="176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78"/>
        <v>0</v>
      </c>
      <c r="O388" s="221"/>
      <c r="P388" s="221"/>
      <c r="Q388" s="221"/>
      <c r="R388" s="221"/>
      <c r="S388" s="221"/>
      <c r="T388" s="221"/>
      <c r="U388" s="221"/>
      <c r="V388" s="132">
        <f t="shared" si="179"/>
        <v>0</v>
      </c>
      <c r="W388" s="133" t="str">
        <f t="shared" si="180"/>
        <v/>
      </c>
      <c r="X388" s="132"/>
      <c r="Y388" s="132"/>
      <c r="Z388" s="132"/>
      <c r="AA388" s="132"/>
    </row>
    <row r="389" spans="1:27" ht="20.100000000000001" customHeight="1">
      <c r="A389" s="300">
        <v>30100019</v>
      </c>
      <c r="B389" s="218" t="s">
        <v>382</v>
      </c>
      <c r="C389" s="187" t="s">
        <v>383</v>
      </c>
      <c r="D389" s="108">
        <v>5.03</v>
      </c>
      <c r="E389" s="108"/>
      <c r="F389" s="127"/>
      <c r="G389" s="128"/>
      <c r="H389" s="226">
        <f t="shared" si="176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7"/>
        <v>0</v>
      </c>
      <c r="N389" s="130">
        <f t="shared" si="178"/>
        <v>0</v>
      </c>
      <c r="O389" s="221"/>
      <c r="P389" s="221"/>
      <c r="Q389" s="221"/>
      <c r="R389" s="221"/>
      <c r="S389" s="221"/>
      <c r="T389" s="221"/>
      <c r="U389" s="221"/>
      <c r="V389" s="132"/>
      <c r="W389" s="133"/>
      <c r="X389" s="132"/>
      <c r="Y389" s="132"/>
      <c r="Z389" s="132"/>
      <c r="AA389" s="132"/>
    </row>
    <row r="390" spans="1:27" ht="20.100000000000001" customHeight="1">
      <c r="A390" s="300">
        <v>30100020</v>
      </c>
      <c r="B390" s="218" t="s">
        <v>382</v>
      </c>
      <c r="C390" s="187" t="s">
        <v>384</v>
      </c>
      <c r="D390" s="108">
        <v>5.03</v>
      </c>
      <c r="E390" s="108"/>
      <c r="F390" s="127"/>
      <c r="G390" s="128"/>
      <c r="H390" s="226">
        <f t="shared" si="176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7"/>
        <v>0</v>
      </c>
      <c r="N390" s="130">
        <f t="shared" si="178"/>
        <v>0</v>
      </c>
      <c r="O390" s="221"/>
      <c r="P390" s="221"/>
      <c r="Q390" s="221"/>
      <c r="R390" s="221"/>
      <c r="S390" s="221"/>
      <c r="T390" s="221"/>
      <c r="U390" s="221"/>
      <c r="V390" s="132"/>
      <c r="W390" s="133"/>
      <c r="X390" s="132"/>
      <c r="Y390" s="132"/>
      <c r="Z390" s="132"/>
      <c r="AA390" s="132"/>
    </row>
    <row r="391" spans="1:27" ht="20.100000000000001" customHeight="1">
      <c r="A391" s="300">
        <v>30100021</v>
      </c>
      <c r="B391" s="218" t="s">
        <v>382</v>
      </c>
      <c r="C391" s="187" t="s">
        <v>389</v>
      </c>
      <c r="D391" s="108">
        <v>5.03</v>
      </c>
      <c r="E391" s="108"/>
      <c r="F391" s="127"/>
      <c r="G391" s="128"/>
      <c r="H391" s="226">
        <f t="shared" si="176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78"/>
        <v>0</v>
      </c>
      <c r="O391" s="221"/>
      <c r="P391" s="221"/>
      <c r="Q391" s="221"/>
      <c r="R391" s="221"/>
      <c r="S391" s="221"/>
      <c r="T391" s="221"/>
      <c r="U391" s="221"/>
      <c r="V391" s="132"/>
      <c r="W391" s="133"/>
      <c r="X391" s="132"/>
      <c r="Y391" s="132"/>
      <c r="Z391" s="132"/>
      <c r="AA391" s="132"/>
    </row>
    <row r="392" spans="1:27" ht="20.100000000000001" customHeight="1">
      <c r="A392" s="300">
        <v>30100018</v>
      </c>
      <c r="B392" s="218" t="s">
        <v>382</v>
      </c>
      <c r="C392" s="187" t="s">
        <v>391</v>
      </c>
      <c r="D392" s="108">
        <v>5.03</v>
      </c>
      <c r="E392" s="108"/>
      <c r="F392" s="127"/>
      <c r="G392" s="128"/>
      <c r="H392" s="226">
        <f t="shared" si="176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78"/>
        <v>0</v>
      </c>
      <c r="O392" s="221"/>
      <c r="P392" s="221"/>
      <c r="Q392" s="221"/>
      <c r="R392" s="221"/>
      <c r="S392" s="221"/>
      <c r="T392" s="221"/>
      <c r="U392" s="221"/>
      <c r="V392" s="132"/>
      <c r="W392" s="133"/>
      <c r="X392" s="132"/>
      <c r="Y392" s="132"/>
      <c r="Z392" s="132"/>
      <c r="AA392" s="132"/>
    </row>
    <row r="393" spans="1:27" ht="20.100000000000001" customHeight="1">
      <c r="A393" s="303">
        <v>30700007</v>
      </c>
      <c r="B393" s="230" t="s">
        <v>418</v>
      </c>
      <c r="C393" s="187" t="s">
        <v>364</v>
      </c>
      <c r="D393" s="108">
        <v>5.03</v>
      </c>
      <c r="E393" s="108"/>
      <c r="F393" s="127"/>
      <c r="G393" s="128"/>
      <c r="H393" s="226">
        <f t="shared" si="176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7"/>
        <v>0</v>
      </c>
      <c r="N393" s="130"/>
      <c r="O393" s="221"/>
      <c r="P393" s="221"/>
      <c r="Q393" s="221"/>
      <c r="R393" s="221"/>
      <c r="S393" s="221"/>
      <c r="T393" s="221"/>
      <c r="U393" s="221"/>
      <c r="V393" s="132"/>
      <c r="W393" s="133"/>
      <c r="X393" s="132"/>
      <c r="Y393" s="132"/>
      <c r="Z393" s="132"/>
      <c r="AA393" s="132"/>
    </row>
    <row r="394" spans="1:27" ht="20.100000000000001" customHeight="1">
      <c r="A394" s="303">
        <v>30700006</v>
      </c>
      <c r="B394" s="230" t="s">
        <v>418</v>
      </c>
      <c r="C394" s="187" t="s">
        <v>365</v>
      </c>
      <c r="D394" s="108">
        <v>5.03</v>
      </c>
      <c r="E394" s="108"/>
      <c r="F394" s="127"/>
      <c r="G394" s="128"/>
      <c r="H394" s="226">
        <f t="shared" si="176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7"/>
        <v>0</v>
      </c>
      <c r="N394" s="130"/>
      <c r="O394" s="221"/>
      <c r="P394" s="221"/>
      <c r="Q394" s="221"/>
      <c r="R394" s="221"/>
      <c r="S394" s="221"/>
      <c r="T394" s="221"/>
      <c r="U394" s="221"/>
      <c r="V394" s="132"/>
      <c r="W394" s="133"/>
      <c r="X394" s="132"/>
      <c r="Y394" s="132"/>
      <c r="Z394" s="132"/>
      <c r="AA394" s="132"/>
    </row>
    <row r="395" spans="1:27" ht="20.100000000000001" customHeight="1">
      <c r="A395" s="303">
        <v>30700008</v>
      </c>
      <c r="B395" s="230" t="s">
        <v>418</v>
      </c>
      <c r="C395" s="187" t="s">
        <v>366</v>
      </c>
      <c r="D395" s="108">
        <v>5.03</v>
      </c>
      <c r="E395" s="108"/>
      <c r="F395" s="127"/>
      <c r="G395" s="128"/>
      <c r="H395" s="226">
        <f t="shared" si="176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221"/>
      <c r="P395" s="221"/>
      <c r="Q395" s="221"/>
      <c r="R395" s="221"/>
      <c r="S395" s="221"/>
      <c r="T395" s="221"/>
      <c r="U395" s="221"/>
      <c r="V395" s="132"/>
      <c r="W395" s="133"/>
      <c r="X395" s="132"/>
      <c r="Y395" s="132"/>
      <c r="Z395" s="132"/>
      <c r="AA395" s="132"/>
    </row>
    <row r="396" spans="1:27" ht="20.100000000000001" customHeight="1">
      <c r="A396" s="303">
        <v>30700009</v>
      </c>
      <c r="B396" s="230" t="s">
        <v>418</v>
      </c>
      <c r="C396" s="187" t="s">
        <v>367</v>
      </c>
      <c r="D396" s="108">
        <v>5.03</v>
      </c>
      <c r="E396" s="108"/>
      <c r="F396" s="127"/>
      <c r="G396" s="128"/>
      <c r="H396" s="226">
        <f t="shared" si="176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221"/>
      <c r="P396" s="221"/>
      <c r="Q396" s="221"/>
      <c r="R396" s="221"/>
      <c r="S396" s="221"/>
      <c r="T396" s="221"/>
      <c r="U396" s="221"/>
      <c r="V396" s="132"/>
      <c r="W396" s="133"/>
      <c r="X396" s="132"/>
      <c r="Y396" s="132"/>
      <c r="Z396" s="132"/>
      <c r="AA396" s="132"/>
    </row>
    <row r="397" spans="1:27" ht="20.10000000000000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226">
        <f t="shared" si="176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ref="M397:M406" si="181">IF(ISERROR(I397-K397),"",I397-K397)</f>
        <v>0</v>
      </c>
      <c r="N397" s="130">
        <f t="shared" ref="N397:N406" si="182">SUM(O397:U397)</f>
        <v>0</v>
      </c>
      <c r="O397" s="219"/>
      <c r="P397" s="219"/>
      <c r="Q397" s="219"/>
      <c r="R397" s="219"/>
      <c r="S397" s="219"/>
      <c r="T397" s="219"/>
      <c r="U397" s="219"/>
      <c r="V397" s="132">
        <f t="shared" ref="V397:V406" si="183">SUM(X397:AA397)</f>
        <v>0</v>
      </c>
      <c r="W397" s="133" t="str">
        <f t="shared" ref="W397:W406" si="184">IF(ISERROR(V397/G397),"",V397/G397)</f>
        <v/>
      </c>
      <c r="X397" s="132"/>
      <c r="Y397" s="132"/>
      <c r="Z397" s="132"/>
      <c r="AA397" s="132"/>
    </row>
    <row r="398" spans="1:27" ht="20.10000000000000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226">
        <f t="shared" si="176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81"/>
        <v>0</v>
      </c>
      <c r="N398" s="130">
        <f t="shared" si="182"/>
        <v>0</v>
      </c>
      <c r="O398" s="219"/>
      <c r="P398" s="219"/>
      <c r="Q398" s="219"/>
      <c r="R398" s="219"/>
      <c r="S398" s="219"/>
      <c r="T398" s="219"/>
      <c r="U398" s="219"/>
      <c r="V398" s="132">
        <f t="shared" si="183"/>
        <v>0</v>
      </c>
      <c r="W398" s="133" t="str">
        <f t="shared" si="184"/>
        <v/>
      </c>
      <c r="X398" s="132"/>
      <c r="Y398" s="132"/>
      <c r="Z398" s="132"/>
      <c r="AA398" s="132"/>
    </row>
    <row r="399" spans="1:27" ht="20.10000000000000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226">
        <f t="shared" si="176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81"/>
        <v>0</v>
      </c>
      <c r="N399" s="130">
        <f t="shared" si="182"/>
        <v>0</v>
      </c>
      <c r="O399" s="219"/>
      <c r="P399" s="219"/>
      <c r="Q399" s="219"/>
      <c r="R399" s="219"/>
      <c r="S399" s="219"/>
      <c r="T399" s="219"/>
      <c r="U399" s="219"/>
      <c r="V399" s="132">
        <f t="shared" si="183"/>
        <v>0</v>
      </c>
      <c r="W399" s="133" t="str">
        <f t="shared" si="184"/>
        <v/>
      </c>
      <c r="X399" s="132"/>
      <c r="Y399" s="132"/>
      <c r="Z399" s="132"/>
      <c r="AA399" s="132"/>
    </row>
    <row r="400" spans="1:27" ht="20.10000000000000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226">
        <f t="shared" si="176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81"/>
        <v>0</v>
      </c>
      <c r="N400" s="130">
        <f t="shared" si="182"/>
        <v>0</v>
      </c>
      <c r="O400" s="219"/>
      <c r="P400" s="219"/>
      <c r="Q400" s="219"/>
      <c r="R400" s="219"/>
      <c r="S400" s="219"/>
      <c r="T400" s="219"/>
      <c r="U400" s="219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226">
        <f t="shared" si="176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81"/>
        <v>0</v>
      </c>
      <c r="N401" s="130">
        <f t="shared" si="182"/>
        <v>0</v>
      </c>
      <c r="O401" s="219"/>
      <c r="P401" s="219"/>
      <c r="Q401" s="219"/>
      <c r="R401" s="219"/>
      <c r="S401" s="219"/>
      <c r="T401" s="219"/>
      <c r="U401" s="219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226">
        <f t="shared" si="176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81"/>
        <v>0</v>
      </c>
      <c r="N402" s="130">
        <f t="shared" si="182"/>
        <v>0</v>
      </c>
      <c r="O402" s="219"/>
      <c r="P402" s="219"/>
      <c r="Q402" s="219"/>
      <c r="R402" s="219"/>
      <c r="S402" s="219"/>
      <c r="T402" s="219"/>
      <c r="U402" s="219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226">
        <f t="shared" si="176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81"/>
        <v>0</v>
      </c>
      <c r="N403" s="130">
        <f t="shared" si="182"/>
        <v>0</v>
      </c>
      <c r="O403" s="219"/>
      <c r="P403" s="219"/>
      <c r="Q403" s="219"/>
      <c r="R403" s="219"/>
      <c r="S403" s="219"/>
      <c r="T403" s="219"/>
      <c r="U403" s="219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226">
        <f t="shared" si="176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81"/>
        <v>0</v>
      </c>
      <c r="N404" s="130">
        <f t="shared" si="182"/>
        <v>0</v>
      </c>
      <c r="O404" s="219"/>
      <c r="P404" s="219"/>
      <c r="Q404" s="219"/>
      <c r="R404" s="219"/>
      <c r="S404" s="219"/>
      <c r="T404" s="219"/>
      <c r="U404" s="219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226">
        <f t="shared" si="176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81"/>
        <v>0</v>
      </c>
      <c r="N405" s="130">
        <f t="shared" si="182"/>
        <v>0</v>
      </c>
      <c r="O405" s="219"/>
      <c r="P405" s="219"/>
      <c r="Q405" s="219"/>
      <c r="R405" s="219"/>
      <c r="S405" s="219"/>
      <c r="T405" s="219"/>
      <c r="U405" s="219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226">
        <f t="shared" si="176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81"/>
        <v>0</v>
      </c>
      <c r="N406" s="130">
        <f t="shared" si="182"/>
        <v>0</v>
      </c>
      <c r="O406" s="219"/>
      <c r="P406" s="219"/>
      <c r="Q406" s="219"/>
      <c r="R406" s="219"/>
      <c r="S406" s="219"/>
      <c r="T406" s="219"/>
      <c r="U406" s="219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customHeight="1">
      <c r="A407" s="300">
        <v>30100043</v>
      </c>
      <c r="B407" s="134" t="s">
        <v>433</v>
      </c>
      <c r="C407" s="187" t="s">
        <v>432</v>
      </c>
      <c r="D407" s="108">
        <v>50.3</v>
      </c>
      <c r="E407" s="108"/>
      <c r="F407" s="127"/>
      <c r="G407" s="128"/>
      <c r="H407" s="239">
        <f t="shared" si="176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237"/>
      <c r="P407" s="237"/>
      <c r="Q407" s="237"/>
      <c r="R407" s="237"/>
      <c r="S407" s="237"/>
      <c r="T407" s="237"/>
      <c r="U407" s="237"/>
      <c r="V407" s="132"/>
      <c r="W407" s="133"/>
      <c r="X407" s="132"/>
      <c r="Y407" s="132"/>
      <c r="Z407" s="132"/>
      <c r="AA407" s="132"/>
    </row>
    <row r="408" spans="1:27" ht="20.10000000000000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226">
        <f t="shared" si="176"/>
        <v>0</v>
      </c>
      <c r="I408" s="129"/>
      <c r="J408" s="130"/>
      <c r="K408" s="131"/>
      <c r="L408" s="129">
        <v>50</v>
      </c>
      <c r="M408" s="109"/>
      <c r="N408" s="130"/>
      <c r="O408" s="219"/>
      <c r="P408" s="219"/>
      <c r="Q408" s="219"/>
      <c r="R408" s="219"/>
      <c r="S408" s="219"/>
      <c r="T408" s="219"/>
      <c r="U408" s="219"/>
      <c r="V408" s="132"/>
      <c r="W408" s="133"/>
      <c r="X408" s="132"/>
      <c r="Y408" s="132"/>
      <c r="Z408" s="132"/>
      <c r="AA408" s="132"/>
    </row>
    <row r="409" spans="1:27" ht="20.10000000000000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226">
        <f t="shared" si="176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5">IF(ISERROR(I409-K409),"",I409-K409)</f>
        <v>0</v>
      </c>
      <c r="N409" s="130">
        <f t="shared" ref="N409:N410" si="186">SUM(O409:U409)</f>
        <v>0</v>
      </c>
      <c r="O409" s="219"/>
      <c r="P409" s="219"/>
      <c r="Q409" s="219"/>
      <c r="R409" s="219"/>
      <c r="S409" s="219"/>
      <c r="T409" s="219"/>
      <c r="U409" s="219"/>
      <c r="V409" s="132">
        <f t="shared" ref="V409:V410" si="187">SUM(X409:AA409)</f>
        <v>0</v>
      </c>
      <c r="W409" s="133" t="str">
        <f t="shared" ref="W409:W410" si="188">IF(ISERROR(V409/G409),"",V409/G409)</f>
        <v/>
      </c>
      <c r="X409" s="132"/>
      <c r="Y409" s="132"/>
      <c r="Z409" s="132"/>
      <c r="AA409" s="132"/>
    </row>
    <row r="410" spans="1:27" ht="20.10000000000000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226">
        <f t="shared" si="176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5"/>
        <v>0</v>
      </c>
      <c r="N410" s="130">
        <f t="shared" si="186"/>
        <v>0</v>
      </c>
      <c r="O410" s="219"/>
      <c r="P410" s="219"/>
      <c r="Q410" s="219"/>
      <c r="R410" s="219"/>
      <c r="S410" s="219"/>
      <c r="T410" s="219"/>
      <c r="U410" s="219"/>
      <c r="V410" s="132">
        <f t="shared" si="187"/>
        <v>0</v>
      </c>
      <c r="W410" s="133" t="str">
        <f t="shared" si="188"/>
        <v/>
      </c>
      <c r="X410" s="132"/>
      <c r="Y410" s="132"/>
      <c r="Z410" s="132"/>
      <c r="AA410" s="132"/>
    </row>
    <row r="411" spans="1:27" ht="20.10000000000000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226">
        <f t="shared" si="176"/>
        <v>0</v>
      </c>
      <c r="I411" s="129"/>
      <c r="J411" s="130"/>
      <c r="K411" s="131"/>
      <c r="L411" s="129"/>
      <c r="M411" s="109"/>
      <c r="N411" s="130"/>
      <c r="O411" s="219"/>
      <c r="P411" s="219"/>
      <c r="Q411" s="219"/>
      <c r="R411" s="219"/>
      <c r="S411" s="219"/>
      <c r="T411" s="219"/>
      <c r="U411" s="219"/>
      <c r="V411" s="132"/>
      <c r="W411" s="133"/>
      <c r="X411" s="132"/>
      <c r="Y411" s="132"/>
      <c r="Z411" s="132"/>
      <c r="AA411" s="132"/>
    </row>
    <row r="412" spans="1:27" ht="20.10000000000000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226">
        <f t="shared" si="176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89">IF(ISERROR(I412-K412),"",I412-K412)</f>
        <v/>
      </c>
      <c r="N412" s="130">
        <f t="shared" ref="N412:N415" si="190">SUM(O412:U412)</f>
        <v>0</v>
      </c>
      <c r="O412" s="219"/>
      <c r="P412" s="219"/>
      <c r="Q412" s="219"/>
      <c r="R412" s="219"/>
      <c r="S412" s="219"/>
      <c r="T412" s="219"/>
      <c r="U412" s="219"/>
      <c r="V412" s="132">
        <f t="shared" ref="V412:V415" si="191">SUM(X412:AA412)</f>
        <v>0</v>
      </c>
      <c r="W412" s="133" t="str">
        <f t="shared" ref="W412:W415" si="192">IF(ISERROR(V412/G412),"",V412/G412)</f>
        <v/>
      </c>
      <c r="X412" s="132"/>
      <c r="Y412" s="132"/>
      <c r="Z412" s="132"/>
      <c r="AA412" s="132"/>
    </row>
    <row r="413" spans="1:27" ht="20.10000000000000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226">
        <f t="shared" si="176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89"/>
        <v/>
      </c>
      <c r="N413" s="130">
        <f t="shared" si="190"/>
        <v>0</v>
      </c>
      <c r="O413" s="219"/>
      <c r="P413" s="219"/>
      <c r="Q413" s="219"/>
      <c r="R413" s="219"/>
      <c r="S413" s="219"/>
      <c r="T413" s="219"/>
      <c r="U413" s="219"/>
      <c r="V413" s="132">
        <f t="shared" si="191"/>
        <v>0</v>
      </c>
      <c r="W413" s="133" t="str">
        <f t="shared" si="192"/>
        <v/>
      </c>
      <c r="X413" s="132"/>
      <c r="Y413" s="132"/>
      <c r="Z413" s="132"/>
      <c r="AA413" s="132"/>
    </row>
    <row r="414" spans="1:27" ht="20.10000000000000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226">
        <f t="shared" si="176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89"/>
        <v/>
      </c>
      <c r="N414" s="130">
        <f t="shared" si="190"/>
        <v>0</v>
      </c>
      <c r="O414" s="219"/>
      <c r="P414" s="219"/>
      <c r="Q414" s="219"/>
      <c r="R414" s="219"/>
      <c r="S414" s="219"/>
      <c r="T414" s="219"/>
      <c r="U414" s="219"/>
      <c r="V414" s="132">
        <f t="shared" si="191"/>
        <v>0</v>
      </c>
      <c r="W414" s="133" t="str">
        <f t="shared" si="192"/>
        <v/>
      </c>
      <c r="X414" s="132"/>
      <c r="Y414" s="132"/>
      <c r="Z414" s="132"/>
      <c r="AA414" s="132"/>
    </row>
    <row r="415" spans="1:27" ht="20.10000000000000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226">
        <f t="shared" si="176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219"/>
      <c r="P415" s="219"/>
      <c r="Q415" s="219"/>
      <c r="R415" s="219"/>
      <c r="S415" s="219"/>
      <c r="T415" s="219"/>
      <c r="U415" s="219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226">
        <f t="shared" si="176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89"/>
        <v>0</v>
      </c>
      <c r="N416" s="130"/>
      <c r="O416" s="219"/>
      <c r="P416" s="219"/>
      <c r="Q416" s="219"/>
      <c r="R416" s="219"/>
      <c r="S416" s="219"/>
      <c r="T416" s="219"/>
      <c r="U416" s="219"/>
      <c r="V416" s="132"/>
      <c r="W416" s="133"/>
      <c r="X416" s="132"/>
      <c r="Y416" s="132"/>
      <c r="Z416" s="132"/>
      <c r="AA416" s="132"/>
    </row>
    <row r="417" spans="1:27" ht="20.10000000000000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226">
        <f t="shared" si="176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89"/>
        <v>0</v>
      </c>
      <c r="N417" s="130"/>
      <c r="O417" s="219"/>
      <c r="P417" s="219"/>
      <c r="Q417" s="219"/>
      <c r="R417" s="219"/>
      <c r="S417" s="219"/>
      <c r="T417" s="219"/>
      <c r="U417" s="219"/>
      <c r="V417" s="132"/>
      <c r="W417" s="133"/>
      <c r="X417" s="132"/>
      <c r="Y417" s="132"/>
      <c r="Z417" s="132"/>
      <c r="AA417" s="132"/>
    </row>
    <row r="418" spans="1:27" ht="20.10000000000000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226">
        <f t="shared" si="176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219"/>
      <c r="P418" s="219"/>
      <c r="Q418" s="219"/>
      <c r="R418" s="219"/>
      <c r="S418" s="219"/>
      <c r="T418" s="219"/>
      <c r="U418" s="219"/>
      <c r="V418" s="132"/>
      <c r="W418" s="133"/>
      <c r="X418" s="132"/>
      <c r="Y418" s="132"/>
      <c r="Z418" s="132"/>
      <c r="AA418" s="132"/>
    </row>
    <row r="419" spans="1:27" ht="20.10000000000000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226">
        <f t="shared" si="176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219"/>
      <c r="P419" s="219"/>
      <c r="Q419" s="219"/>
      <c r="R419" s="219"/>
      <c r="S419" s="219"/>
      <c r="T419" s="219"/>
      <c r="U419" s="219"/>
      <c r="V419" s="132"/>
      <c r="W419" s="133"/>
      <c r="X419" s="132"/>
      <c r="Y419" s="132"/>
      <c r="Z419" s="132"/>
      <c r="AA419" s="132"/>
    </row>
    <row r="420" spans="1:27" ht="20.10000000000000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226">
        <f t="shared" si="176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89"/>
        <v>0</v>
      </c>
      <c r="N420" s="130"/>
      <c r="O420" s="219"/>
      <c r="P420" s="219"/>
      <c r="Q420" s="219"/>
      <c r="R420" s="219"/>
      <c r="S420" s="219"/>
      <c r="T420" s="219"/>
      <c r="U420" s="219"/>
      <c r="V420" s="132"/>
      <c r="W420" s="133"/>
      <c r="X420" s="132"/>
      <c r="Y420" s="132"/>
      <c r="Z420" s="132"/>
      <c r="AA420" s="132"/>
    </row>
    <row r="421" spans="1:27" ht="20.10000000000000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226">
        <f t="shared" si="176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89"/>
        <v>0</v>
      </c>
      <c r="N421" s="130"/>
      <c r="O421" s="219"/>
      <c r="P421" s="219"/>
      <c r="Q421" s="219"/>
      <c r="R421" s="219"/>
      <c r="S421" s="219"/>
      <c r="T421" s="219"/>
      <c r="U421" s="219"/>
      <c r="V421" s="132"/>
      <c r="W421" s="133"/>
      <c r="X421" s="132"/>
      <c r="Y421" s="132"/>
      <c r="Z421" s="132"/>
      <c r="AA421" s="132"/>
    </row>
    <row r="422" spans="1:27" ht="20.10000000000000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226">
        <f t="shared" si="176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219"/>
      <c r="P422" s="219"/>
      <c r="Q422" s="219"/>
      <c r="R422" s="219"/>
      <c r="S422" s="219"/>
      <c r="T422" s="219"/>
      <c r="U422" s="219"/>
      <c r="V422" s="132"/>
      <c r="W422" s="133"/>
      <c r="X422" s="132"/>
      <c r="Y422" s="132"/>
      <c r="Z422" s="132"/>
      <c r="AA422" s="132"/>
    </row>
    <row r="423" spans="1:27" ht="20.10000000000000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226">
        <f t="shared" si="176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219"/>
      <c r="P423" s="219"/>
      <c r="Q423" s="219"/>
      <c r="R423" s="219"/>
      <c r="S423" s="219"/>
      <c r="T423" s="219"/>
      <c r="U423" s="219"/>
      <c r="V423" s="132"/>
      <c r="W423" s="133"/>
      <c r="X423" s="132"/>
      <c r="Y423" s="132"/>
      <c r="Z423" s="132"/>
      <c r="AA423" s="132"/>
    </row>
    <row r="424" spans="1:27" ht="20.10000000000000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226">
        <f t="shared" si="176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219"/>
      <c r="P424" s="219"/>
      <c r="Q424" s="219"/>
      <c r="R424" s="219"/>
      <c r="S424" s="219"/>
      <c r="T424" s="219"/>
      <c r="U424" s="219"/>
      <c r="V424" s="132"/>
      <c r="W424" s="133"/>
      <c r="X424" s="132"/>
      <c r="Y424" s="132"/>
      <c r="Z424" s="132"/>
      <c r="AA424" s="132"/>
    </row>
    <row r="425" spans="1:27" ht="20.10000000000000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226">
        <f t="shared" si="176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219"/>
      <c r="P425" s="219"/>
      <c r="Q425" s="219"/>
      <c r="R425" s="219"/>
      <c r="S425" s="219"/>
      <c r="T425" s="219"/>
      <c r="U425" s="219"/>
      <c r="V425" s="132"/>
      <c r="W425" s="133"/>
      <c r="X425" s="132"/>
      <c r="Y425" s="132"/>
      <c r="Z425" s="132"/>
      <c r="AA425" s="132"/>
    </row>
    <row r="426" spans="1:27" ht="20.100000000000001" customHeight="1">
      <c r="A426" s="641" t="s">
        <v>216</v>
      </c>
      <c r="B426" s="641"/>
      <c r="C426" s="224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3">SUM(M369:M425)</f>
        <v>0</v>
      </c>
      <c r="N426" s="146">
        <f t="shared" si="193"/>
        <v>0</v>
      </c>
      <c r="O426" s="148">
        <f t="shared" si="193"/>
        <v>0</v>
      </c>
      <c r="P426" s="148">
        <f t="shared" si="193"/>
        <v>0</v>
      </c>
      <c r="Q426" s="148">
        <f t="shared" si="193"/>
        <v>0</v>
      </c>
      <c r="R426" s="148">
        <f t="shared" si="193"/>
        <v>0</v>
      </c>
      <c r="S426" s="148">
        <f t="shared" si="193"/>
        <v>0</v>
      </c>
      <c r="T426" s="148">
        <f t="shared" si="193"/>
        <v>0</v>
      </c>
      <c r="U426" s="148">
        <f t="shared" si="193"/>
        <v>0</v>
      </c>
      <c r="V426" s="149">
        <f t="shared" si="193"/>
        <v>0</v>
      </c>
      <c r="W426" s="133" t="str">
        <f t="shared" ref="W426:W433" si="194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customHeight="1">
      <c r="A427" s="299">
        <v>30400012</v>
      </c>
      <c r="B427" s="218" t="s">
        <v>217</v>
      </c>
      <c r="C427" s="126" t="s">
        <v>179</v>
      </c>
      <c r="D427" s="108">
        <v>5.03</v>
      </c>
      <c r="E427" s="108"/>
      <c r="F427" s="127"/>
      <c r="G427" s="128"/>
      <c r="H427" s="226">
        <f t="shared" ref="H427:H459" si="195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6">IF(ISERROR(I427-K427),"",I427-K427)</f>
        <v>0</v>
      </c>
      <c r="N427" s="130">
        <f t="shared" ref="N427:N434" si="197">SUM(O427:U427)</f>
        <v>0</v>
      </c>
      <c r="O427" s="219"/>
      <c r="P427" s="219"/>
      <c r="Q427" s="219"/>
      <c r="R427" s="219"/>
      <c r="S427" s="219"/>
      <c r="T427" s="219"/>
      <c r="U427" s="219"/>
      <c r="V427" s="132">
        <f t="shared" ref="V427:V433" si="198">SUM(X427:AA427)</f>
        <v>0</v>
      </c>
      <c r="W427" s="133" t="str">
        <f t="shared" si="194"/>
        <v/>
      </c>
      <c r="X427" s="132"/>
      <c r="Y427" s="132"/>
      <c r="Z427" s="132"/>
      <c r="AA427" s="132"/>
    </row>
    <row r="428" spans="1:27" ht="20.100000000000001" customHeight="1">
      <c r="A428" s="299">
        <v>30400010</v>
      </c>
      <c r="B428" s="218" t="s">
        <v>217</v>
      </c>
      <c r="C428" s="126" t="s">
        <v>186</v>
      </c>
      <c r="D428" s="108">
        <v>5.03</v>
      </c>
      <c r="E428" s="108"/>
      <c r="F428" s="127"/>
      <c r="G428" s="128"/>
      <c r="H428" s="226">
        <f t="shared" si="195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6"/>
        <v>0</v>
      </c>
      <c r="N428" s="130">
        <f t="shared" si="197"/>
        <v>0</v>
      </c>
      <c r="O428" s="219"/>
      <c r="P428" s="219"/>
      <c r="Q428" s="219"/>
      <c r="R428" s="219"/>
      <c r="S428" s="219"/>
      <c r="T428" s="219"/>
      <c r="U428" s="219"/>
      <c r="V428" s="132">
        <f t="shared" si="198"/>
        <v>0</v>
      </c>
      <c r="W428" s="133" t="str">
        <f t="shared" si="194"/>
        <v/>
      </c>
      <c r="X428" s="132"/>
      <c r="Y428" s="132"/>
      <c r="Z428" s="132"/>
      <c r="AA428" s="132"/>
    </row>
    <row r="429" spans="1:27" ht="20.100000000000001" customHeight="1">
      <c r="A429" s="299">
        <v>30400011</v>
      </c>
      <c r="B429" s="218" t="s">
        <v>217</v>
      </c>
      <c r="C429" s="126" t="s">
        <v>204</v>
      </c>
      <c r="D429" s="108">
        <v>5.03</v>
      </c>
      <c r="E429" s="108"/>
      <c r="F429" s="127"/>
      <c r="G429" s="128"/>
      <c r="H429" s="226">
        <f t="shared" si="195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6"/>
        <v>0</v>
      </c>
      <c r="N429" s="130">
        <f t="shared" si="197"/>
        <v>0</v>
      </c>
      <c r="O429" s="219"/>
      <c r="P429" s="219"/>
      <c r="Q429" s="219"/>
      <c r="R429" s="219"/>
      <c r="S429" s="219"/>
      <c r="T429" s="219"/>
      <c r="U429" s="219"/>
      <c r="V429" s="132">
        <f t="shared" si="198"/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226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6"/>
        <v>0</v>
      </c>
      <c r="N430" s="130">
        <f t="shared" si="197"/>
        <v>0</v>
      </c>
      <c r="O430" s="219"/>
      <c r="P430" s="219"/>
      <c r="Q430" s="219"/>
      <c r="R430" s="219"/>
      <c r="S430" s="219"/>
      <c r="T430" s="219"/>
      <c r="U430" s="219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226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6"/>
        <v>0</v>
      </c>
      <c r="N431" s="130">
        <f t="shared" si="197"/>
        <v>0</v>
      </c>
      <c r="O431" s="219"/>
      <c r="P431" s="219"/>
      <c r="Q431" s="219"/>
      <c r="R431" s="219"/>
      <c r="S431" s="219"/>
      <c r="T431" s="219"/>
      <c r="U431" s="219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226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219"/>
      <c r="P432" s="219"/>
      <c r="Q432" s="219"/>
      <c r="R432" s="219"/>
      <c r="S432" s="219"/>
      <c r="T432" s="219"/>
      <c r="U432" s="219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226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219"/>
      <c r="P433" s="219"/>
      <c r="Q433" s="219"/>
      <c r="R433" s="219"/>
      <c r="S433" s="219"/>
      <c r="T433" s="219"/>
      <c r="U433" s="219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226">
        <f t="shared" si="195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219"/>
      <c r="P434" s="219"/>
      <c r="Q434" s="219"/>
      <c r="R434" s="219"/>
      <c r="S434" s="219"/>
      <c r="T434" s="219"/>
      <c r="U434" s="219"/>
      <c r="V434" s="132"/>
      <c r="W434" s="133"/>
      <c r="X434" s="132"/>
      <c r="Y434" s="132"/>
      <c r="Z434" s="132"/>
      <c r="AA434" s="132"/>
    </row>
    <row r="435" spans="1:27" ht="20.10000000000000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52"/>
      <c r="H435" s="226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219"/>
      <c r="P435" s="219"/>
      <c r="Q435" s="219"/>
      <c r="R435" s="219"/>
      <c r="S435" s="219"/>
      <c r="T435" s="219"/>
      <c r="U435" s="219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226">
        <f t="shared" si="195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219"/>
      <c r="P436" s="219"/>
      <c r="Q436" s="219"/>
      <c r="R436" s="219"/>
      <c r="S436" s="219"/>
      <c r="T436" s="219"/>
      <c r="U436" s="219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226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219"/>
      <c r="P437" s="219"/>
      <c r="Q437" s="219"/>
      <c r="R437" s="219"/>
      <c r="S437" s="219"/>
      <c r="T437" s="219"/>
      <c r="U437" s="21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226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219"/>
      <c r="P438" s="219"/>
      <c r="Q438" s="219"/>
      <c r="R438" s="219"/>
      <c r="S438" s="219"/>
      <c r="T438" s="219"/>
      <c r="U438" s="21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226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58" si="199">IF(ISERROR(I439-K439),"",I439-K439)</f>
        <v>0</v>
      </c>
      <c r="N439" s="130">
        <f t="shared" ref="N439:N454" si="200">SUM(O439:U439)</f>
        <v>0</v>
      </c>
      <c r="O439" s="219"/>
      <c r="P439" s="219"/>
      <c r="Q439" s="219"/>
      <c r="R439" s="219"/>
      <c r="S439" s="219"/>
      <c r="T439" s="219"/>
      <c r="U439" s="219"/>
      <c r="V439" s="132">
        <f t="shared" ref="V439:V442" si="201">SUM(X439:AA439)</f>
        <v>0</v>
      </c>
      <c r="W439" s="133" t="str">
        <f t="shared" ref="W439:W446" si="202">IF(ISERROR(V439/G439),"",V439/G439)</f>
        <v/>
      </c>
      <c r="X439" s="132"/>
      <c r="Y439" s="132"/>
      <c r="Z439" s="132"/>
      <c r="AA439" s="132"/>
    </row>
    <row r="440" spans="1:27" ht="20.10000000000000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226">
        <f t="shared" si="195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199"/>
        <v/>
      </c>
      <c r="N440" s="130">
        <f t="shared" si="200"/>
        <v>0</v>
      </c>
      <c r="O440" s="219"/>
      <c r="P440" s="219"/>
      <c r="Q440" s="219"/>
      <c r="R440" s="219"/>
      <c r="S440" s="219"/>
      <c r="T440" s="219"/>
      <c r="U440" s="219"/>
      <c r="V440" s="132">
        <f t="shared" si="201"/>
        <v>0</v>
      </c>
      <c r="W440" s="133" t="str">
        <f t="shared" si="202"/>
        <v/>
      </c>
      <c r="X440" s="132"/>
      <c r="Y440" s="132"/>
      <c r="Z440" s="132"/>
      <c r="AA440" s="132"/>
    </row>
    <row r="441" spans="1:27" ht="20.10000000000000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226">
        <f t="shared" si="195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199"/>
        <v/>
      </c>
      <c r="N441" s="130">
        <f t="shared" si="200"/>
        <v>0</v>
      </c>
      <c r="O441" s="219"/>
      <c r="P441" s="219"/>
      <c r="Q441" s="219"/>
      <c r="R441" s="219"/>
      <c r="S441" s="219"/>
      <c r="T441" s="219"/>
      <c r="U441" s="219"/>
      <c r="V441" s="132">
        <f t="shared" si="201"/>
        <v>0</v>
      </c>
      <c r="W441" s="133" t="str">
        <f t="shared" si="202"/>
        <v/>
      </c>
      <c r="X441" s="132"/>
      <c r="Y441" s="132"/>
      <c r="Z441" s="132"/>
      <c r="AA441" s="132"/>
    </row>
    <row r="442" spans="1:27" ht="20.10000000000000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226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219"/>
      <c r="P442" s="219"/>
      <c r="Q442" s="219"/>
      <c r="R442" s="219"/>
      <c r="S442" s="219"/>
      <c r="T442" s="219"/>
      <c r="U442" s="219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customHeight="1">
      <c r="A443" s="304">
        <v>30600005</v>
      </c>
      <c r="B443" s="218" t="s">
        <v>222</v>
      </c>
      <c r="C443" s="126" t="s">
        <v>181</v>
      </c>
      <c r="D443" s="108">
        <v>9.36</v>
      </c>
      <c r="E443" s="108"/>
      <c r="F443" s="127"/>
      <c r="G443" s="128"/>
      <c r="H443" s="226">
        <f t="shared" si="195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199"/>
        <v>0</v>
      </c>
      <c r="N443" s="130">
        <f t="shared" si="200"/>
        <v>0</v>
      </c>
      <c r="O443" s="219"/>
      <c r="P443" s="219"/>
      <c r="Q443" s="219"/>
      <c r="R443" s="219"/>
      <c r="S443" s="219"/>
      <c r="T443" s="219"/>
      <c r="U443" s="219"/>
      <c r="V443" s="132">
        <f t="shared" ref="V443:V446" si="203">SUM(X443:AA443)</f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customHeight="1">
      <c r="A444" s="304">
        <v>30600008</v>
      </c>
      <c r="B444" s="218" t="s">
        <v>222</v>
      </c>
      <c r="C444" s="126" t="s">
        <v>179</v>
      </c>
      <c r="D444" s="108">
        <v>9.36</v>
      </c>
      <c r="E444" s="108"/>
      <c r="F444" s="127"/>
      <c r="G444" s="128"/>
      <c r="H444" s="226">
        <f t="shared" si="195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199"/>
        <v>0</v>
      </c>
      <c r="N444" s="130">
        <f t="shared" si="200"/>
        <v>0</v>
      </c>
      <c r="O444" s="219"/>
      <c r="P444" s="219"/>
      <c r="Q444" s="219"/>
      <c r="R444" s="219"/>
      <c r="S444" s="219"/>
      <c r="T444" s="219"/>
      <c r="U444" s="219"/>
      <c r="V444" s="132">
        <f t="shared" si="203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customHeight="1">
      <c r="A445" s="304">
        <v>30600007</v>
      </c>
      <c r="B445" s="218" t="s">
        <v>222</v>
      </c>
      <c r="C445" s="126" t="s">
        <v>221</v>
      </c>
      <c r="D445" s="108">
        <v>9.36</v>
      </c>
      <c r="E445" s="108"/>
      <c r="F445" s="127"/>
      <c r="G445" s="128"/>
      <c r="H445" s="226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219"/>
      <c r="P445" s="219"/>
      <c r="Q445" s="219"/>
      <c r="R445" s="219"/>
      <c r="S445" s="219"/>
      <c r="T445" s="219"/>
      <c r="U445" s="219"/>
      <c r="V445" s="132">
        <f t="shared" si="203"/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customHeight="1">
      <c r="A446" s="304">
        <v>30600006</v>
      </c>
      <c r="B446" s="218" t="s">
        <v>222</v>
      </c>
      <c r="C446" s="126" t="s">
        <v>186</v>
      </c>
      <c r="D446" s="108">
        <v>9.36</v>
      </c>
      <c r="E446" s="108"/>
      <c r="F446" s="127"/>
      <c r="G446" s="128"/>
      <c r="H446" s="226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219"/>
      <c r="P446" s="219"/>
      <c r="Q446" s="219"/>
      <c r="R446" s="219"/>
      <c r="S446" s="219"/>
      <c r="T446" s="219"/>
      <c r="U446" s="219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customHeight="1">
      <c r="A447" s="299">
        <v>30400026</v>
      </c>
      <c r="B447" s="218" t="s">
        <v>393</v>
      </c>
      <c r="C447" s="187" t="s">
        <v>395</v>
      </c>
      <c r="D447" s="108">
        <v>5</v>
      </c>
      <c r="E447" s="108"/>
      <c r="F447" s="127"/>
      <c r="G447" s="128"/>
      <c r="H447" s="226">
        <f t="shared" si="195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199"/>
        <v>0</v>
      </c>
      <c r="N447" s="130">
        <f t="shared" si="200"/>
        <v>0</v>
      </c>
      <c r="O447" s="219"/>
      <c r="P447" s="219"/>
      <c r="Q447" s="219"/>
      <c r="R447" s="219"/>
      <c r="S447" s="219"/>
      <c r="T447" s="219"/>
      <c r="U447" s="219"/>
      <c r="V447" s="132"/>
      <c r="W447" s="133"/>
      <c r="X447" s="132"/>
      <c r="Y447" s="132"/>
      <c r="Z447" s="132"/>
      <c r="AA447" s="132"/>
    </row>
    <row r="448" spans="1:27" ht="20.100000000000001" customHeight="1">
      <c r="A448" s="299">
        <v>30400028</v>
      </c>
      <c r="B448" s="218" t="s">
        <v>393</v>
      </c>
      <c r="C448" s="187" t="s">
        <v>402</v>
      </c>
      <c r="D448" s="108">
        <v>5</v>
      </c>
      <c r="E448" s="108"/>
      <c r="F448" s="127"/>
      <c r="G448" s="128"/>
      <c r="H448" s="226">
        <f t="shared" si="195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199"/>
        <v>0</v>
      </c>
      <c r="N448" s="130">
        <f t="shared" si="200"/>
        <v>0</v>
      </c>
      <c r="O448" s="219"/>
      <c r="P448" s="219"/>
      <c r="Q448" s="219"/>
      <c r="R448" s="219"/>
      <c r="S448" s="219"/>
      <c r="T448" s="219"/>
      <c r="U448" s="219"/>
      <c r="V448" s="132"/>
      <c r="W448" s="133"/>
      <c r="X448" s="132"/>
      <c r="Y448" s="132"/>
      <c r="Z448" s="132"/>
      <c r="AA448" s="132"/>
    </row>
    <row r="449" spans="1:27" ht="20.100000000000001" customHeight="1">
      <c r="A449" s="299">
        <v>30400027</v>
      </c>
      <c r="B449" s="218" t="s">
        <v>404</v>
      </c>
      <c r="C449" s="187" t="s">
        <v>405</v>
      </c>
      <c r="D449" s="108">
        <v>5</v>
      </c>
      <c r="E449" s="108"/>
      <c r="F449" s="127"/>
      <c r="G449" s="128"/>
      <c r="H449" s="226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219"/>
      <c r="P449" s="219"/>
      <c r="Q449" s="219"/>
      <c r="R449" s="219"/>
      <c r="S449" s="219"/>
      <c r="T449" s="219"/>
      <c r="U449" s="219"/>
      <c r="V449" s="132"/>
      <c r="W449" s="133"/>
      <c r="X449" s="132"/>
      <c r="Y449" s="132"/>
      <c r="Z449" s="132"/>
      <c r="AA449" s="132"/>
    </row>
    <row r="450" spans="1:27" ht="20.100000000000001" customHeight="1">
      <c r="A450" s="299"/>
      <c r="B450" s="218" t="s">
        <v>342</v>
      </c>
      <c r="C450" s="187" t="s">
        <v>372</v>
      </c>
      <c r="D450" s="108">
        <v>5</v>
      </c>
      <c r="E450" s="108"/>
      <c r="F450" s="127"/>
      <c r="G450" s="128"/>
      <c r="H450" s="226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219"/>
      <c r="P450" s="219"/>
      <c r="Q450" s="219"/>
      <c r="R450" s="219"/>
      <c r="S450" s="219"/>
      <c r="T450" s="219"/>
      <c r="U450" s="219"/>
      <c r="V450" s="132"/>
      <c r="W450" s="133"/>
      <c r="X450" s="132"/>
      <c r="Y450" s="132"/>
      <c r="Z450" s="132"/>
      <c r="AA450" s="132"/>
    </row>
    <row r="451" spans="1:27" ht="20.100000000000001" customHeight="1">
      <c r="A451" s="299">
        <v>30600009</v>
      </c>
      <c r="B451" s="218" t="s">
        <v>343</v>
      </c>
      <c r="C451" s="126" t="s">
        <v>345</v>
      </c>
      <c r="D451" s="108">
        <v>5</v>
      </c>
      <c r="E451" s="108"/>
      <c r="F451" s="127"/>
      <c r="G451" s="128"/>
      <c r="H451" s="226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219"/>
      <c r="P451" s="219"/>
      <c r="Q451" s="219"/>
      <c r="R451" s="219"/>
      <c r="S451" s="219"/>
      <c r="T451" s="219"/>
      <c r="U451" s="219"/>
      <c r="V451" s="132"/>
      <c r="W451" s="133"/>
      <c r="X451" s="132"/>
      <c r="Y451" s="132"/>
      <c r="Z451" s="132"/>
      <c r="AA451" s="132"/>
    </row>
    <row r="452" spans="1:27" ht="20.100000000000001" customHeight="1">
      <c r="A452" s="299">
        <v>30600010</v>
      </c>
      <c r="B452" s="218" t="s">
        <v>343</v>
      </c>
      <c r="C452" s="126" t="s">
        <v>347</v>
      </c>
      <c r="D452" s="108">
        <v>5</v>
      </c>
      <c r="E452" s="108"/>
      <c r="F452" s="127"/>
      <c r="G452" s="128"/>
      <c r="H452" s="226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219"/>
      <c r="P452" s="219"/>
      <c r="Q452" s="219"/>
      <c r="R452" s="219"/>
      <c r="S452" s="219"/>
      <c r="T452" s="219"/>
      <c r="U452" s="219"/>
      <c r="V452" s="132"/>
      <c r="W452" s="133"/>
      <c r="X452" s="132"/>
      <c r="Y452" s="132"/>
      <c r="Z452" s="132"/>
      <c r="AA452" s="132"/>
    </row>
    <row r="453" spans="1:27" ht="20.10000000000000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226">
        <f t="shared" si="195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199"/>
        <v>0</v>
      </c>
      <c r="N453" s="130">
        <f t="shared" si="200"/>
        <v>0</v>
      </c>
      <c r="O453" s="219"/>
      <c r="P453" s="219"/>
      <c r="Q453" s="219"/>
      <c r="R453" s="219"/>
      <c r="S453" s="219"/>
      <c r="T453" s="219"/>
      <c r="U453" s="219"/>
      <c r="V453" s="132">
        <f t="shared" ref="V453:V454" si="204">SUM(X453:AA453)</f>
        <v>0</v>
      </c>
      <c r="W453" s="133" t="str">
        <f t="shared" ref="W453:W454" si="205">IF(ISERROR(V453/G453),"",V453/G453)</f>
        <v/>
      </c>
      <c r="X453" s="132"/>
      <c r="Y453" s="132"/>
      <c r="Z453" s="132"/>
      <c r="AA453" s="132"/>
    </row>
    <row r="454" spans="1:27" ht="20.10000000000000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226">
        <f t="shared" si="195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199"/>
        <v>0</v>
      </c>
      <c r="N454" s="130">
        <f t="shared" si="200"/>
        <v>0</v>
      </c>
      <c r="O454" s="219"/>
      <c r="P454" s="219"/>
      <c r="Q454" s="219"/>
      <c r="R454" s="219"/>
      <c r="S454" s="219"/>
      <c r="T454" s="219"/>
      <c r="U454" s="219"/>
      <c r="V454" s="132">
        <f t="shared" si="204"/>
        <v>0</v>
      </c>
      <c r="W454" s="133" t="str">
        <f t="shared" si="205"/>
        <v/>
      </c>
      <c r="X454" s="132"/>
      <c r="Y454" s="132"/>
      <c r="Z454" s="132"/>
      <c r="AA454" s="132"/>
    </row>
    <row r="455" spans="1:27" ht="20.100000000000001" customHeight="1">
      <c r="A455" s="299">
        <v>30400004</v>
      </c>
      <c r="B455" s="151" t="s">
        <v>419</v>
      </c>
      <c r="C455" s="187" t="s">
        <v>420</v>
      </c>
      <c r="D455" s="108"/>
      <c r="E455" s="108"/>
      <c r="F455" s="127"/>
      <c r="G455" s="128"/>
      <c r="H455" s="229">
        <f t="shared" si="195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199"/>
        <v>0</v>
      </c>
      <c r="N455" s="130"/>
      <c r="O455" s="219"/>
      <c r="P455" s="219"/>
      <c r="Q455" s="219"/>
      <c r="R455" s="219"/>
      <c r="S455" s="219"/>
      <c r="T455" s="219"/>
      <c r="U455" s="219"/>
      <c r="V455" s="132"/>
      <c r="W455" s="133"/>
      <c r="X455" s="132"/>
      <c r="Y455" s="132"/>
      <c r="Z455" s="132"/>
      <c r="AA455" s="132"/>
    </row>
    <row r="456" spans="1:27" ht="20.10000000000000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229">
        <f t="shared" si="195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199"/>
        <v>0</v>
      </c>
      <c r="N456" s="130"/>
      <c r="O456" s="219"/>
      <c r="P456" s="219"/>
      <c r="Q456" s="219"/>
      <c r="R456" s="219"/>
      <c r="S456" s="219"/>
      <c r="T456" s="219"/>
      <c r="U456" s="219"/>
      <c r="V456" s="132"/>
      <c r="W456" s="133"/>
      <c r="X456" s="132"/>
      <c r="Y456" s="132"/>
      <c r="Z456" s="132"/>
      <c r="AA456" s="132"/>
    </row>
    <row r="457" spans="1:27" ht="20.10000000000000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229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219"/>
      <c r="P457" s="219"/>
      <c r="Q457" s="219"/>
      <c r="R457" s="219"/>
      <c r="S457" s="219"/>
      <c r="T457" s="219"/>
      <c r="U457" s="219"/>
      <c r="V457" s="132"/>
      <c r="W457" s="133"/>
      <c r="X457" s="132"/>
      <c r="Y457" s="132"/>
      <c r="Z457" s="132"/>
      <c r="AA457" s="132"/>
    </row>
    <row r="458" spans="1:27" ht="20.10000000000000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229">
        <f t="shared" si="195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199"/>
        <v>0</v>
      </c>
      <c r="N458" s="130">
        <f t="shared" ref="N458:N460" si="206">SUM(O458:U458)</f>
        <v>0</v>
      </c>
      <c r="O458" s="219"/>
      <c r="P458" s="219"/>
      <c r="Q458" s="219"/>
      <c r="R458" s="219"/>
      <c r="S458" s="219"/>
      <c r="T458" s="219"/>
      <c r="U458" s="219"/>
      <c r="V458" s="132">
        <f t="shared" ref="V458:V460" si="207">SUM(X458:AA458)</f>
        <v>0</v>
      </c>
      <c r="W458" s="133" t="str">
        <f t="shared" ref="W458:W474" si="208">IF(ISERROR(V458/G458),"",V458/G458)</f>
        <v/>
      </c>
      <c r="X458" s="132"/>
      <c r="Y458" s="132"/>
      <c r="Z458" s="132"/>
      <c r="AA458" s="132"/>
    </row>
    <row r="459" spans="1:27" ht="20.10000000000000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229">
        <f t="shared" si="195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ref="M459:M460" si="209">IF(ISERROR(I459-K459),"",I459-K459)</f>
        <v>0</v>
      </c>
      <c r="N459" s="130">
        <f t="shared" si="206"/>
        <v>0</v>
      </c>
      <c r="O459" s="219"/>
      <c r="P459" s="219"/>
      <c r="Q459" s="219"/>
      <c r="R459" s="219"/>
      <c r="S459" s="219"/>
      <c r="T459" s="219"/>
      <c r="U459" s="219"/>
      <c r="V459" s="132">
        <f t="shared" si="207"/>
        <v>0</v>
      </c>
      <c r="W459" s="133" t="str">
        <f t="shared" si="208"/>
        <v/>
      </c>
      <c r="X459" s="132"/>
      <c r="Y459" s="132"/>
      <c r="Z459" s="132"/>
      <c r="AA459" s="132"/>
    </row>
    <row r="460" spans="1:27" ht="20.10000000000000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226">
        <f t="shared" ref="H460" si="210">D460*G460</f>
        <v>0</v>
      </c>
      <c r="I460" s="129"/>
      <c r="J460" s="130" t="str">
        <f t="array" ref="J460">IF(ISERROR(G460/I460),"",G460/I460)</f>
        <v/>
      </c>
      <c r="K460" s="226">
        <f t="array" ref="K460">IF(ISERROR(G460/L460),"",G460/L460)</f>
        <v>0</v>
      </c>
      <c r="L460" s="129">
        <v>9</v>
      </c>
      <c r="M460" s="109">
        <f t="shared" si="209"/>
        <v>0</v>
      </c>
      <c r="N460" s="130">
        <f t="shared" si="206"/>
        <v>0</v>
      </c>
      <c r="O460" s="219"/>
      <c r="P460" s="219"/>
      <c r="Q460" s="219"/>
      <c r="R460" s="219"/>
      <c r="S460" s="219"/>
      <c r="T460" s="219"/>
      <c r="U460" s="219"/>
      <c r="V460" s="132">
        <f t="shared" si="207"/>
        <v>0</v>
      </c>
      <c r="W460" s="133" t="str">
        <f t="shared" si="208"/>
        <v/>
      </c>
      <c r="X460" s="132"/>
      <c r="Y460" s="132"/>
      <c r="Z460" s="132"/>
      <c r="AA460" s="132"/>
    </row>
    <row r="461" spans="1:27" ht="20.100000000000001" customHeight="1">
      <c r="A461" s="630" t="s">
        <v>224</v>
      </c>
      <c r="B461" s="631"/>
      <c r="C461" s="224" t="s">
        <v>202</v>
      </c>
      <c r="D461" s="143"/>
      <c r="E461" s="143"/>
      <c r="F461" s="144"/>
      <c r="G461" s="145">
        <f>SUM(G427:G460)</f>
        <v>0</v>
      </c>
      <c r="H461" s="146">
        <f>SUM(H427:H460)</f>
        <v>0</v>
      </c>
      <c r="I461" s="146">
        <f>SUM(I427:I460)</f>
        <v>0</v>
      </c>
      <c r="J461" s="130" t="str">
        <f t="array" ref="J461">IF(ISERROR(G461/I461),"",G461/I461)</f>
        <v/>
      </c>
      <c r="K461" s="146">
        <f>SUM(K427:K460)</f>
        <v>0</v>
      </c>
      <c r="L461" s="147"/>
      <c r="M461" s="150">
        <f t="shared" ref="M461:V461" si="211">SUM(M427:M460)</f>
        <v>0</v>
      </c>
      <c r="N461" s="146">
        <f t="shared" si="211"/>
        <v>0</v>
      </c>
      <c r="O461" s="148">
        <f t="shared" si="211"/>
        <v>0</v>
      </c>
      <c r="P461" s="148">
        <f t="shared" si="211"/>
        <v>0</v>
      </c>
      <c r="Q461" s="148">
        <f t="shared" si="211"/>
        <v>0</v>
      </c>
      <c r="R461" s="148">
        <f t="shared" si="211"/>
        <v>0</v>
      </c>
      <c r="S461" s="148">
        <f t="shared" si="211"/>
        <v>0</v>
      </c>
      <c r="T461" s="148">
        <f t="shared" si="211"/>
        <v>0</v>
      </c>
      <c r="U461" s="148">
        <f t="shared" si="211"/>
        <v>0</v>
      </c>
      <c r="V461" s="149">
        <f t="shared" si="211"/>
        <v>0</v>
      </c>
      <c r="W461" s="133" t="str">
        <f t="shared" si="208"/>
        <v/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226">
        <f t="shared" ref="H462:H474" si="212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4" si="213">IF(ISERROR(I462-K462),"",I462-K462)</f>
        <v>0</v>
      </c>
      <c r="N462" s="130">
        <f t="shared" ref="N462:N474" si="214">SUM(O462:U462)</f>
        <v>0</v>
      </c>
      <c r="O462" s="219"/>
      <c r="P462" s="219"/>
      <c r="Q462" s="219"/>
      <c r="R462" s="219"/>
      <c r="S462" s="219"/>
      <c r="T462" s="219"/>
      <c r="U462" s="219"/>
      <c r="V462" s="132">
        <f t="shared" ref="V462:V474" si="215">SUM(X462:AA462)</f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226">
        <f t="shared" si="212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3"/>
        <v>0</v>
      </c>
      <c r="N463" s="130">
        <f t="shared" si="214"/>
        <v>0</v>
      </c>
      <c r="O463" s="219"/>
      <c r="P463" s="219"/>
      <c r="Q463" s="219"/>
      <c r="R463" s="219"/>
      <c r="S463" s="219"/>
      <c r="T463" s="219"/>
      <c r="U463" s="219"/>
      <c r="V463" s="132">
        <f t="shared" si="215"/>
        <v>0</v>
      </c>
      <c r="W463" s="133" t="str">
        <f t="shared" si="208"/>
        <v/>
      </c>
      <c r="X463" s="132"/>
      <c r="Y463" s="132"/>
      <c r="Z463" s="132"/>
      <c r="AA463" s="132"/>
    </row>
    <row r="464" spans="1:27" ht="20.10000000000000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226">
        <f t="shared" si="212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3"/>
        <v>0</v>
      </c>
      <c r="N464" s="130">
        <f t="shared" si="214"/>
        <v>0</v>
      </c>
      <c r="O464" s="219"/>
      <c r="P464" s="219"/>
      <c r="Q464" s="219"/>
      <c r="R464" s="219"/>
      <c r="S464" s="219"/>
      <c r="T464" s="219"/>
      <c r="U464" s="219"/>
      <c r="V464" s="132">
        <f t="shared" si="215"/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226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3"/>
        <v>0</v>
      </c>
      <c r="N465" s="130">
        <f t="shared" si="214"/>
        <v>0</v>
      </c>
      <c r="O465" s="219"/>
      <c r="P465" s="219"/>
      <c r="Q465" s="219"/>
      <c r="R465" s="219"/>
      <c r="S465" s="219"/>
      <c r="T465" s="219"/>
      <c r="U465" s="219"/>
      <c r="V465" s="132">
        <f t="shared" si="215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customHeight="1">
      <c r="A466" s="299">
        <v>30100054</v>
      </c>
      <c r="B466" s="140" t="s">
        <v>227</v>
      </c>
      <c r="C466" s="223" t="s">
        <v>203</v>
      </c>
      <c r="D466" s="108">
        <v>5.03</v>
      </c>
      <c r="E466" s="108"/>
      <c r="F466" s="127"/>
      <c r="G466" s="128"/>
      <c r="H466" s="226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3"/>
        <v>0</v>
      </c>
      <c r="N466" s="130">
        <f t="shared" si="214"/>
        <v>0</v>
      </c>
      <c r="O466" s="219"/>
      <c r="P466" s="219"/>
      <c r="Q466" s="219"/>
      <c r="R466" s="219"/>
      <c r="S466" s="219"/>
      <c r="T466" s="219"/>
      <c r="U466" s="219"/>
      <c r="V466" s="132">
        <f t="shared" si="215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226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219"/>
      <c r="P467" s="219"/>
      <c r="Q467" s="219"/>
      <c r="R467" s="219"/>
      <c r="S467" s="219"/>
      <c r="T467" s="219"/>
      <c r="U467" s="219"/>
      <c r="V467" s="132">
        <f t="shared" si="215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226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219"/>
      <c r="P468" s="219"/>
      <c r="Q468" s="219"/>
      <c r="R468" s="219"/>
      <c r="S468" s="219"/>
      <c r="T468" s="219"/>
      <c r="U468" s="219"/>
      <c r="V468" s="132">
        <f t="shared" si="215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customHeight="1">
      <c r="A469" s="299"/>
      <c r="B469" s="140" t="s">
        <v>227</v>
      </c>
      <c r="C469" s="223" t="s">
        <v>228</v>
      </c>
      <c r="D469" s="108">
        <v>5.03</v>
      </c>
      <c r="E469" s="108"/>
      <c r="F469" s="127"/>
      <c r="G469" s="128"/>
      <c r="H469" s="226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219"/>
      <c r="P469" s="219"/>
      <c r="Q469" s="219"/>
      <c r="R469" s="219"/>
      <c r="S469" s="219"/>
      <c r="T469" s="219"/>
      <c r="U469" s="219"/>
      <c r="V469" s="132">
        <f t="shared" si="215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customHeight="1">
      <c r="A470" s="299">
        <v>30101067</v>
      </c>
      <c r="B470" s="140" t="s">
        <v>229</v>
      </c>
      <c r="C470" s="223" t="s">
        <v>212</v>
      </c>
      <c r="D470" s="108">
        <v>5.03</v>
      </c>
      <c r="E470" s="108"/>
      <c r="F470" s="127"/>
      <c r="G470" s="128"/>
      <c r="H470" s="226">
        <f t="shared" si="212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3"/>
        <v/>
      </c>
      <c r="N470" s="130">
        <f t="shared" si="214"/>
        <v>0</v>
      </c>
      <c r="O470" s="219"/>
      <c r="P470" s="219"/>
      <c r="Q470" s="219"/>
      <c r="R470" s="219"/>
      <c r="S470" s="219"/>
      <c r="T470" s="219"/>
      <c r="U470" s="219"/>
      <c r="V470" s="132">
        <f t="shared" si="215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customHeight="1">
      <c r="A471" s="299">
        <v>30101068</v>
      </c>
      <c r="B471" s="140" t="s">
        <v>229</v>
      </c>
      <c r="C471" s="223" t="s">
        <v>203</v>
      </c>
      <c r="D471" s="108">
        <v>5.03</v>
      </c>
      <c r="E471" s="108"/>
      <c r="F471" s="127"/>
      <c r="G471" s="128"/>
      <c r="H471" s="226">
        <f t="shared" si="212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3"/>
        <v/>
      </c>
      <c r="N471" s="130">
        <f t="shared" si="214"/>
        <v>0</v>
      </c>
      <c r="O471" s="219"/>
      <c r="P471" s="219"/>
      <c r="Q471" s="219"/>
      <c r="R471" s="219"/>
      <c r="S471" s="219"/>
      <c r="T471" s="219"/>
      <c r="U471" s="219"/>
      <c r="V471" s="132">
        <f t="shared" si="215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customHeight="1">
      <c r="A472" s="299">
        <v>30101069</v>
      </c>
      <c r="B472" s="140" t="s">
        <v>229</v>
      </c>
      <c r="C472" s="223" t="s">
        <v>186</v>
      </c>
      <c r="D472" s="108">
        <v>5.03</v>
      </c>
      <c r="E472" s="108"/>
      <c r="F472" s="127"/>
      <c r="G472" s="128"/>
      <c r="H472" s="226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219"/>
      <c r="P472" s="219"/>
      <c r="Q472" s="219"/>
      <c r="R472" s="219"/>
      <c r="S472" s="219"/>
      <c r="T472" s="219"/>
      <c r="U472" s="219"/>
      <c r="V472" s="132">
        <f t="shared" si="215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customHeight="1">
      <c r="A473" s="299">
        <v>30101070</v>
      </c>
      <c r="B473" s="140" t="s">
        <v>229</v>
      </c>
      <c r="C473" s="223" t="s">
        <v>228</v>
      </c>
      <c r="D473" s="108">
        <v>5.03</v>
      </c>
      <c r="E473" s="108"/>
      <c r="F473" s="127"/>
      <c r="G473" s="128"/>
      <c r="H473" s="226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219"/>
      <c r="P473" s="219"/>
      <c r="Q473" s="219"/>
      <c r="R473" s="219"/>
      <c r="S473" s="219"/>
      <c r="T473" s="219"/>
      <c r="U473" s="219"/>
      <c r="V473" s="132">
        <f t="shared" si="215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customHeight="1">
      <c r="A474" s="299">
        <v>30101071</v>
      </c>
      <c r="B474" s="140" t="s">
        <v>229</v>
      </c>
      <c r="C474" s="223" t="s">
        <v>199</v>
      </c>
      <c r="D474" s="108">
        <v>5.03</v>
      </c>
      <c r="E474" s="108"/>
      <c r="F474" s="127"/>
      <c r="G474" s="128"/>
      <c r="H474" s="226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219"/>
      <c r="P474" s="219"/>
      <c r="Q474" s="219"/>
      <c r="R474" s="219"/>
      <c r="S474" s="219"/>
      <c r="T474" s="219"/>
      <c r="U474" s="219"/>
      <c r="V474" s="132">
        <f t="shared" si="215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226">
        <f t="shared" ref="H475:H476" si="216">D475*G475</f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ref="M475:M476" si="217">IF(ISERROR(I475-K475),"",I475-K475)</f>
        <v>0</v>
      </c>
      <c r="N475" s="130">
        <f t="shared" ref="N475:N476" si="218">SUM(O475:U475)</f>
        <v>0</v>
      </c>
      <c r="O475" s="219"/>
      <c r="P475" s="219"/>
      <c r="Q475" s="219"/>
      <c r="R475" s="219"/>
      <c r="S475" s="219"/>
      <c r="T475" s="219"/>
      <c r="U475" s="219"/>
      <c r="V475" s="132">
        <f t="shared" ref="V475:V476" si="219">SUM(X475:AA475)</f>
        <v>0</v>
      </c>
      <c r="W475" s="133" t="str">
        <f t="shared" ref="W475:W491" si="220">IF(ISERROR(V475/G475),"",V475/G475)</f>
        <v/>
      </c>
      <c r="X475" s="132"/>
      <c r="Y475" s="132"/>
      <c r="Z475" s="132"/>
      <c r="AA475" s="132"/>
    </row>
    <row r="476" spans="1:27" ht="20.10000000000000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226">
        <f t="shared" si="216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7"/>
        <v>0</v>
      </c>
      <c r="N476" s="130">
        <f t="shared" si="218"/>
        <v>0</v>
      </c>
      <c r="O476" s="219"/>
      <c r="P476" s="219"/>
      <c r="Q476" s="219"/>
      <c r="R476" s="219"/>
      <c r="S476" s="219"/>
      <c r="T476" s="219"/>
      <c r="U476" s="219"/>
      <c r="V476" s="132">
        <f t="shared" si="219"/>
        <v>0</v>
      </c>
      <c r="W476" s="133" t="str">
        <f t="shared" si="220"/>
        <v/>
      </c>
      <c r="X476" s="132"/>
      <c r="Y476" s="132"/>
      <c r="Z476" s="132"/>
      <c r="AA476" s="132"/>
    </row>
    <row r="477" spans="1:27" ht="20.100000000000001" customHeight="1">
      <c r="A477" s="630" t="s">
        <v>231</v>
      </c>
      <c r="B477" s="631"/>
      <c r="C477" s="224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20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226">
        <f t="shared" ref="H478:H486" si="221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6" si="222">IF(ISERROR(I478-K478),"",I478-K478)</f>
        <v>0</v>
      </c>
      <c r="N478" s="130">
        <f t="shared" ref="N478:N486" si="223">SUM(O478:U478)</f>
        <v>0</v>
      </c>
      <c r="O478" s="219"/>
      <c r="P478" s="219"/>
      <c r="Q478" s="219"/>
      <c r="R478" s="219"/>
      <c r="S478" s="219"/>
      <c r="T478" s="219"/>
      <c r="U478" s="219"/>
      <c r="V478" s="132">
        <f t="shared" ref="V478:V486" si="224">SUM(X478:AA478)</f>
        <v>0</v>
      </c>
      <c r="W478" s="133" t="str">
        <f t="shared" si="220"/>
        <v/>
      </c>
      <c r="X478" s="132"/>
      <c r="Y478" s="132"/>
      <c r="Z478" s="132"/>
      <c r="AA478" s="132"/>
    </row>
    <row r="479" spans="1:27" ht="20.10000000000000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226">
        <f t="shared" si="221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22"/>
        <v>0</v>
      </c>
      <c r="N479" s="130">
        <f t="shared" si="223"/>
        <v>0</v>
      </c>
      <c r="O479" s="219"/>
      <c r="P479" s="219"/>
      <c r="Q479" s="219"/>
      <c r="R479" s="219"/>
      <c r="S479" s="219"/>
      <c r="T479" s="219"/>
      <c r="U479" s="219"/>
      <c r="V479" s="132">
        <f t="shared" si="224"/>
        <v>0</v>
      </c>
      <c r="W479" s="133" t="str">
        <f t="shared" si="220"/>
        <v/>
      </c>
      <c r="X479" s="132"/>
      <c r="Y479" s="132"/>
      <c r="Z479" s="132"/>
      <c r="AA479" s="132"/>
    </row>
    <row r="480" spans="1:27" ht="20.10000000000000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226">
        <f t="shared" si="221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22"/>
        <v>0</v>
      </c>
      <c r="N480" s="130">
        <f t="shared" si="223"/>
        <v>0</v>
      </c>
      <c r="O480" s="219"/>
      <c r="P480" s="219"/>
      <c r="Q480" s="219"/>
      <c r="R480" s="219"/>
      <c r="S480" s="219"/>
      <c r="T480" s="219"/>
      <c r="U480" s="219"/>
      <c r="V480" s="132">
        <f t="shared" si="224"/>
        <v>0</v>
      </c>
      <c r="W480" s="133" t="str">
        <f t="shared" si="220"/>
        <v/>
      </c>
      <c r="X480" s="132"/>
      <c r="Y480" s="132"/>
      <c r="Z480" s="132"/>
      <c r="AA480" s="132"/>
    </row>
    <row r="481" spans="1:27" ht="20.10000000000000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226">
        <f t="shared" si="221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22"/>
        <v>0</v>
      </c>
      <c r="N481" s="130">
        <f t="shared" si="223"/>
        <v>0</v>
      </c>
      <c r="O481" s="219"/>
      <c r="P481" s="219"/>
      <c r="Q481" s="219"/>
      <c r="R481" s="219"/>
      <c r="S481" s="219"/>
      <c r="T481" s="219"/>
      <c r="U481" s="219"/>
      <c r="V481" s="132">
        <f t="shared" si="224"/>
        <v>0</v>
      </c>
      <c r="W481" s="133" t="str">
        <f t="shared" si="220"/>
        <v/>
      </c>
      <c r="X481" s="132"/>
      <c r="Y481" s="132"/>
      <c r="Z481" s="132"/>
      <c r="AA481" s="132"/>
    </row>
    <row r="482" spans="1:27" ht="20.10000000000000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226">
        <f t="shared" si="221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22"/>
        <v>0</v>
      </c>
      <c r="N482" s="130">
        <f t="shared" si="223"/>
        <v>0</v>
      </c>
      <c r="O482" s="219"/>
      <c r="P482" s="219"/>
      <c r="Q482" s="219"/>
      <c r="R482" s="219"/>
      <c r="S482" s="219"/>
      <c r="T482" s="219"/>
      <c r="U482" s="219"/>
      <c r="V482" s="132">
        <f t="shared" si="224"/>
        <v>0</v>
      </c>
      <c r="W482" s="133" t="str">
        <f t="shared" si="220"/>
        <v/>
      </c>
      <c r="X482" s="132"/>
      <c r="Y482" s="132"/>
      <c r="Z482" s="132"/>
      <c r="AA482" s="132"/>
    </row>
    <row r="483" spans="1:27" ht="20.10000000000000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292">
        <f t="shared" si="221"/>
        <v>0</v>
      </c>
      <c r="I483" s="129"/>
      <c r="J483" s="130"/>
      <c r="K483" s="131"/>
      <c r="L483" s="129">
        <v>13.5</v>
      </c>
      <c r="M483" s="109"/>
      <c r="N483" s="130"/>
      <c r="O483" s="261"/>
      <c r="P483" s="261"/>
      <c r="Q483" s="261"/>
      <c r="R483" s="261"/>
      <c r="S483" s="261"/>
      <c r="T483" s="261"/>
      <c r="U483" s="261"/>
      <c r="V483" s="132"/>
      <c r="W483" s="133"/>
      <c r="X483" s="132"/>
      <c r="Y483" s="132"/>
      <c r="Z483" s="132"/>
      <c r="AA483" s="132"/>
    </row>
    <row r="484" spans="1:27" ht="20.10000000000000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21"/>
        <v>0</v>
      </c>
      <c r="I484" s="129"/>
      <c r="J484" s="130"/>
      <c r="K484" s="131"/>
      <c r="L484" s="129">
        <v>13.5</v>
      </c>
      <c r="M484" s="109"/>
      <c r="N484" s="130"/>
      <c r="O484" s="470"/>
      <c r="P484" s="470"/>
      <c r="Q484" s="470"/>
      <c r="R484" s="470"/>
      <c r="S484" s="470"/>
      <c r="T484" s="470"/>
      <c r="U484" s="470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21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226">
        <f t="shared" si="221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si="222"/>
        <v>0</v>
      </c>
      <c r="N486" s="130">
        <f t="shared" si="223"/>
        <v>0</v>
      </c>
      <c r="O486" s="219"/>
      <c r="P486" s="219"/>
      <c r="Q486" s="219"/>
      <c r="R486" s="219"/>
      <c r="S486" s="219"/>
      <c r="T486" s="219"/>
      <c r="U486" s="219"/>
      <c r="V486" s="132">
        <f t="shared" si="224"/>
        <v>0</v>
      </c>
      <c r="W486" s="133" t="str">
        <f t="shared" si="220"/>
        <v/>
      </c>
      <c r="X486" s="132"/>
      <c r="Y486" s="132"/>
      <c r="Z486" s="132"/>
      <c r="AA486" s="132"/>
    </row>
    <row r="487" spans="1:27" ht="20.100000000000001" customHeight="1">
      <c r="A487" s="630" t="s">
        <v>234</v>
      </c>
      <c r="B487" s="631"/>
      <c r="C487" s="224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0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customHeight="1">
      <c r="A488" s="299">
        <v>30700013</v>
      </c>
      <c r="B488" s="141" t="s">
        <v>235</v>
      </c>
      <c r="C488" s="217"/>
      <c r="D488" s="108">
        <v>3.65</v>
      </c>
      <c r="E488" s="108"/>
      <c r="F488" s="153"/>
      <c r="G488" s="128"/>
      <c r="H488" s="226">
        <f t="shared" ref="H488:H502" si="225">D488*G488</f>
        <v>0</v>
      </c>
      <c r="I488" s="129"/>
      <c r="J488" s="130" t="str">
        <f t="array" ref="J488">IF(ISERROR(G488/I488),"",G488/I488)</f>
        <v/>
      </c>
      <c r="K488" s="226">
        <f t="array" ref="K488">IF(ISERROR(G488/L488),"",G488/L488)</f>
        <v>0</v>
      </c>
      <c r="L488" s="129">
        <v>5</v>
      </c>
      <c r="M488" s="109">
        <f t="shared" ref="M488:M491" si="226">IF(ISERROR(I488-K488),"",I488-K488)</f>
        <v>0</v>
      </c>
      <c r="N488" s="130">
        <f t="shared" ref="N488:N491" si="227">SUM(O488:U488)</f>
        <v>0</v>
      </c>
      <c r="O488" s="219"/>
      <c r="P488" s="219"/>
      <c r="Q488" s="219"/>
      <c r="R488" s="219"/>
      <c r="S488" s="219"/>
      <c r="T488" s="219"/>
      <c r="U488" s="219"/>
      <c r="V488" s="132">
        <f t="shared" ref="V488:V491" si="228">SUM(X488:AA488)</f>
        <v>0</v>
      </c>
      <c r="W488" s="133" t="str">
        <f t="shared" si="220"/>
        <v/>
      </c>
      <c r="X488" s="132"/>
      <c r="Y488" s="132"/>
      <c r="Z488" s="132"/>
      <c r="AA488" s="132"/>
    </row>
    <row r="489" spans="1:27" ht="20.100000000000001" customHeight="1">
      <c r="A489" s="299">
        <v>30700014</v>
      </c>
      <c r="B489" s="141" t="s">
        <v>236</v>
      </c>
      <c r="C489" s="217"/>
      <c r="D489" s="108">
        <v>6.58</v>
      </c>
      <c r="E489" s="108"/>
      <c r="F489" s="127"/>
      <c r="G489" s="128"/>
      <c r="H489" s="226">
        <f t="shared" si="225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6"/>
        <v>0</v>
      </c>
      <c r="N489" s="130">
        <f t="shared" si="227"/>
        <v>0</v>
      </c>
      <c r="O489" s="219"/>
      <c r="P489" s="219"/>
      <c r="Q489" s="219"/>
      <c r="R489" s="219"/>
      <c r="S489" s="219"/>
      <c r="T489" s="219"/>
      <c r="U489" s="219"/>
      <c r="V489" s="132">
        <f t="shared" si="228"/>
        <v>0</v>
      </c>
      <c r="W489" s="133" t="str">
        <f t="shared" si="220"/>
        <v/>
      </c>
      <c r="X489" s="132"/>
      <c r="Y489" s="132"/>
      <c r="Z489" s="132"/>
      <c r="AA489" s="132"/>
    </row>
    <row r="490" spans="1:27" ht="20.100000000000001" customHeight="1">
      <c r="A490" s="299">
        <v>30700016</v>
      </c>
      <c r="B490" s="141" t="s">
        <v>237</v>
      </c>
      <c r="C490" s="217"/>
      <c r="D490" s="108">
        <v>7.8</v>
      </c>
      <c r="E490" s="108"/>
      <c r="F490" s="127"/>
      <c r="G490" s="128"/>
      <c r="H490" s="292">
        <f t="shared" si="225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6"/>
        <v>0</v>
      </c>
      <c r="N490" s="130">
        <f t="shared" si="227"/>
        <v>0</v>
      </c>
      <c r="O490" s="219"/>
      <c r="P490" s="219"/>
      <c r="Q490" s="219"/>
      <c r="R490" s="219"/>
      <c r="S490" s="219"/>
      <c r="T490" s="219"/>
      <c r="U490" s="219"/>
      <c r="V490" s="132">
        <f t="shared" si="228"/>
        <v>0</v>
      </c>
      <c r="W490" s="133" t="str">
        <f t="shared" si="220"/>
        <v/>
      </c>
      <c r="X490" s="132"/>
      <c r="Y490" s="132"/>
      <c r="Z490" s="132"/>
      <c r="AA490" s="132"/>
    </row>
    <row r="491" spans="1:27" ht="20.100000000000001" customHeight="1">
      <c r="A491" s="299">
        <v>30700017</v>
      </c>
      <c r="B491" s="141" t="s">
        <v>238</v>
      </c>
      <c r="C491" s="217"/>
      <c r="D491" s="108">
        <v>4.4000000000000004</v>
      </c>
      <c r="E491" s="108"/>
      <c r="F491" s="127"/>
      <c r="G491" s="128"/>
      <c r="H491" s="292">
        <f t="shared" si="225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6"/>
        <v>0</v>
      </c>
      <c r="N491" s="130">
        <f t="shared" si="227"/>
        <v>0</v>
      </c>
      <c r="O491" s="219"/>
      <c r="P491" s="219"/>
      <c r="Q491" s="219"/>
      <c r="R491" s="219"/>
      <c r="S491" s="219"/>
      <c r="T491" s="219"/>
      <c r="U491" s="219"/>
      <c r="V491" s="132">
        <f t="shared" si="228"/>
        <v>0</v>
      </c>
      <c r="W491" s="133" t="str">
        <f t="shared" si="220"/>
        <v/>
      </c>
      <c r="X491" s="132"/>
      <c r="Y491" s="132"/>
      <c r="Z491" s="132"/>
      <c r="AA491" s="132"/>
    </row>
    <row r="492" spans="1:27" ht="20.10000000000000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292">
        <f t="shared" si="225"/>
        <v>0</v>
      </c>
      <c r="I492" s="129"/>
      <c r="J492" s="130"/>
      <c r="K492" s="131"/>
      <c r="L492" s="129"/>
      <c r="M492" s="109"/>
      <c r="N492" s="130"/>
      <c r="O492" s="219"/>
      <c r="P492" s="219"/>
      <c r="Q492" s="219"/>
      <c r="R492" s="219"/>
      <c r="S492" s="219"/>
      <c r="T492" s="219"/>
      <c r="U492" s="219"/>
      <c r="V492" s="132"/>
      <c r="W492" s="133"/>
      <c r="X492" s="132"/>
      <c r="Y492" s="132"/>
      <c r="Z492" s="132"/>
      <c r="AA492" s="132"/>
    </row>
    <row r="493" spans="1:27" ht="20.100000000000001" customHeight="1">
      <c r="A493" s="299">
        <v>30700001</v>
      </c>
      <c r="B493" s="127" t="s">
        <v>359</v>
      </c>
      <c r="C493" s="217"/>
      <c r="D493" s="108"/>
      <c r="E493" s="108"/>
      <c r="F493" s="127"/>
      <c r="G493" s="128"/>
      <c r="H493" s="292">
        <f t="shared" si="225"/>
        <v>0</v>
      </c>
      <c r="I493" s="129"/>
      <c r="J493" s="130"/>
      <c r="K493" s="131"/>
      <c r="L493" s="129">
        <v>6</v>
      </c>
      <c r="M493" s="109"/>
      <c r="N493" s="130"/>
      <c r="O493" s="219"/>
      <c r="P493" s="219"/>
      <c r="Q493" s="219"/>
      <c r="R493" s="219"/>
      <c r="S493" s="219"/>
      <c r="T493" s="219"/>
      <c r="U493" s="219"/>
      <c r="V493" s="132"/>
      <c r="W493" s="133"/>
      <c r="X493" s="132"/>
      <c r="Y493" s="132"/>
      <c r="Z493" s="132"/>
      <c r="AA493" s="132"/>
    </row>
    <row r="494" spans="1:27" ht="20.100000000000001" customHeight="1">
      <c r="A494" s="305"/>
      <c r="B494" s="217" t="s">
        <v>239</v>
      </c>
      <c r="C494" s="217" t="s">
        <v>179</v>
      </c>
      <c r="D494" s="108">
        <v>6.04</v>
      </c>
      <c r="E494" s="108"/>
      <c r="F494" s="127"/>
      <c r="G494" s="128"/>
      <c r="H494" s="292">
        <f t="shared" si="225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8" si="229">IF(ISERROR(I494-K494),"",I494-K494)</f>
        <v>0</v>
      </c>
      <c r="N494" s="130">
        <f t="shared" ref="N494:N498" si="230">SUM(O494:U494)</f>
        <v>0</v>
      </c>
      <c r="O494" s="219"/>
      <c r="P494" s="219"/>
      <c r="Q494" s="219"/>
      <c r="R494" s="219"/>
      <c r="S494" s="219"/>
      <c r="T494" s="219"/>
      <c r="U494" s="219"/>
      <c r="V494" s="132">
        <f t="shared" ref="V494:V498" si="231">SUM(X494:AA494)</f>
        <v>0</v>
      </c>
      <c r="W494" s="133" t="str">
        <f t="shared" ref="W494:W498" si="232">IF(ISERROR(V494/G494),"",V494/G494)</f>
        <v/>
      </c>
      <c r="X494" s="132"/>
      <c r="Y494" s="132"/>
      <c r="Z494" s="132"/>
      <c r="AA494" s="132"/>
    </row>
    <row r="495" spans="1:27" ht="20.100000000000001" customHeight="1">
      <c r="A495" s="305">
        <v>30700019</v>
      </c>
      <c r="B495" s="217" t="s">
        <v>239</v>
      </c>
      <c r="C495" s="217" t="s">
        <v>186</v>
      </c>
      <c r="D495" s="108">
        <v>6.04</v>
      </c>
      <c r="E495" s="108"/>
      <c r="F495" s="127"/>
      <c r="G495" s="128"/>
      <c r="H495" s="292">
        <f t="shared" si="225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9"/>
        <v>0</v>
      </c>
      <c r="N495" s="130">
        <f t="shared" si="230"/>
        <v>0</v>
      </c>
      <c r="O495" s="219"/>
      <c r="P495" s="219"/>
      <c r="Q495" s="219"/>
      <c r="R495" s="219"/>
      <c r="S495" s="219"/>
      <c r="T495" s="219"/>
      <c r="U495" s="219"/>
      <c r="V495" s="132">
        <f t="shared" si="231"/>
        <v>0</v>
      </c>
      <c r="W495" s="133" t="str">
        <f t="shared" si="232"/>
        <v/>
      </c>
      <c r="X495" s="132"/>
      <c r="Y495" s="132"/>
      <c r="Z495" s="132"/>
      <c r="AA495" s="132"/>
    </row>
    <row r="496" spans="1:27" ht="20.100000000000001" customHeight="1">
      <c r="A496" s="305">
        <v>30601015</v>
      </c>
      <c r="B496" s="287" t="s">
        <v>443</v>
      </c>
      <c r="C496" s="287" t="s">
        <v>179</v>
      </c>
      <c r="D496" s="108"/>
      <c r="E496" s="108"/>
      <c r="F496" s="127"/>
      <c r="G496" s="128"/>
      <c r="H496" s="292">
        <f t="shared" si="225"/>
        <v>0</v>
      </c>
      <c r="I496" s="129"/>
      <c r="J496" s="130"/>
      <c r="K496" s="131"/>
      <c r="L496" s="129"/>
      <c r="M496" s="109"/>
      <c r="N496" s="130"/>
      <c r="O496" s="288"/>
      <c r="P496" s="288"/>
      <c r="Q496" s="288"/>
      <c r="R496" s="288"/>
      <c r="S496" s="288"/>
      <c r="T496" s="288"/>
      <c r="U496" s="288"/>
      <c r="V496" s="132"/>
      <c r="W496" s="133"/>
      <c r="X496" s="132"/>
      <c r="Y496" s="132"/>
      <c r="Z496" s="132"/>
      <c r="AA496" s="132"/>
    </row>
    <row r="497" spans="1:27" ht="20.100000000000001" customHeight="1">
      <c r="A497" s="305">
        <v>30101016</v>
      </c>
      <c r="B497" s="287" t="s">
        <v>443</v>
      </c>
      <c r="C497" s="287" t="s">
        <v>186</v>
      </c>
      <c r="D497" s="108"/>
      <c r="E497" s="108"/>
      <c r="F497" s="127"/>
      <c r="G497" s="128"/>
      <c r="H497" s="292">
        <f t="shared" si="225"/>
        <v>0</v>
      </c>
      <c r="I497" s="129"/>
      <c r="J497" s="130"/>
      <c r="K497" s="131"/>
      <c r="L497" s="129"/>
      <c r="M497" s="109"/>
      <c r="N497" s="130"/>
      <c r="O497" s="288"/>
      <c r="P497" s="288"/>
      <c r="Q497" s="288"/>
      <c r="R497" s="288"/>
      <c r="S497" s="288"/>
      <c r="T497" s="288"/>
      <c r="U497" s="288"/>
      <c r="V497" s="132"/>
      <c r="W497" s="133"/>
      <c r="X497" s="132"/>
      <c r="Y497" s="132"/>
      <c r="Z497" s="132"/>
      <c r="AA497" s="132"/>
    </row>
    <row r="498" spans="1:27" ht="20.100000000000001" customHeight="1">
      <c r="A498" s="299">
        <v>30700018</v>
      </c>
      <c r="B498" s="291" t="s">
        <v>240</v>
      </c>
      <c r="C498" s="126"/>
      <c r="D498" s="108">
        <v>7.3</v>
      </c>
      <c r="E498" s="108"/>
      <c r="F498" s="127"/>
      <c r="G498" s="128"/>
      <c r="H498" s="292">
        <f t="shared" si="225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si="229"/>
        <v>0</v>
      </c>
      <c r="N498" s="130">
        <f t="shared" si="230"/>
        <v>0</v>
      </c>
      <c r="O498" s="219"/>
      <c r="P498" s="219"/>
      <c r="Q498" s="219"/>
      <c r="R498" s="219"/>
      <c r="S498" s="219"/>
      <c r="T498" s="219"/>
      <c r="U498" s="219"/>
      <c r="V498" s="132">
        <f t="shared" si="231"/>
        <v>0</v>
      </c>
      <c r="W498" s="133" t="str">
        <f t="shared" si="232"/>
        <v/>
      </c>
      <c r="X498" s="132"/>
      <c r="Y498" s="132"/>
      <c r="Z498" s="132"/>
      <c r="AA498" s="132"/>
    </row>
    <row r="499" spans="1:27" ht="20.100000000000001" customHeight="1">
      <c r="A499" s="299">
        <v>30700010</v>
      </c>
      <c r="B499" s="291" t="s">
        <v>241</v>
      </c>
      <c r="C499" s="126"/>
      <c r="D499" s="108">
        <f>78*120/1000</f>
        <v>9.36</v>
      </c>
      <c r="E499" s="108"/>
      <c r="F499" s="127"/>
      <c r="G499" s="128"/>
      <c r="H499" s="292">
        <f t="shared" si="225"/>
        <v>0</v>
      </c>
      <c r="I499" s="129"/>
      <c r="J499" s="130"/>
      <c r="K499" s="131"/>
      <c r="L499" s="129"/>
      <c r="M499" s="109"/>
      <c r="N499" s="130"/>
      <c r="O499" s="219"/>
      <c r="P499" s="219"/>
      <c r="Q499" s="219"/>
      <c r="R499" s="219"/>
      <c r="S499" s="219"/>
      <c r="T499" s="219"/>
      <c r="U499" s="219"/>
      <c r="V499" s="132"/>
      <c r="W499" s="133"/>
      <c r="X499" s="132"/>
      <c r="Y499" s="132"/>
      <c r="Z499" s="132"/>
      <c r="AA499" s="132"/>
    </row>
    <row r="500" spans="1:27" ht="20.100000000000001" customHeight="1">
      <c r="A500" s="299">
        <v>30700015</v>
      </c>
      <c r="B500" s="291" t="s">
        <v>242</v>
      </c>
      <c r="C500" s="126"/>
      <c r="D500" s="108">
        <v>4.5</v>
      </c>
      <c r="E500" s="108"/>
      <c r="F500" s="127"/>
      <c r="G500" s="128"/>
      <c r="H500" s="292">
        <f t="shared" si="225"/>
        <v>0</v>
      </c>
      <c r="I500" s="129"/>
      <c r="J500" s="130"/>
      <c r="K500" s="131"/>
      <c r="L500" s="129"/>
      <c r="M500" s="109"/>
      <c r="N500" s="130"/>
      <c r="O500" s="227"/>
      <c r="P500" s="227"/>
      <c r="Q500" s="227"/>
      <c r="R500" s="227"/>
      <c r="S500" s="227"/>
      <c r="T500" s="227"/>
      <c r="U500" s="227"/>
      <c r="V500" s="132"/>
      <c r="W500" s="133"/>
      <c r="X500" s="132"/>
      <c r="Y500" s="132"/>
      <c r="Z500" s="132"/>
      <c r="AA500" s="132"/>
    </row>
    <row r="501" spans="1:27" ht="20.100000000000001" customHeight="1">
      <c r="A501" s="299">
        <v>30700012</v>
      </c>
      <c r="B501" s="291" t="s">
        <v>243</v>
      </c>
      <c r="C501" s="126"/>
      <c r="D501" s="108">
        <v>4.5</v>
      </c>
      <c r="E501" s="108"/>
      <c r="F501" s="127"/>
      <c r="G501" s="128"/>
      <c r="H501" s="292">
        <f t="shared" si="225"/>
        <v>0</v>
      </c>
      <c r="I501" s="129"/>
      <c r="J501" s="130"/>
      <c r="K501" s="131"/>
      <c r="L501" s="129"/>
      <c r="M501" s="109"/>
      <c r="N501" s="130"/>
      <c r="O501" s="219"/>
      <c r="P501" s="219"/>
      <c r="Q501" s="219"/>
      <c r="R501" s="219"/>
      <c r="S501" s="219"/>
      <c r="T501" s="219"/>
      <c r="U501" s="219"/>
      <c r="V501" s="132"/>
      <c r="W501" s="133"/>
      <c r="X501" s="132"/>
      <c r="Y501" s="132"/>
      <c r="Z501" s="132"/>
      <c r="AA501" s="132"/>
    </row>
    <row r="502" spans="1:27" ht="20.100000000000001" customHeight="1">
      <c r="A502" s="299"/>
      <c r="B502" s="218"/>
      <c r="C502" s="126"/>
      <c r="D502" s="108"/>
      <c r="E502" s="108"/>
      <c r="F502" s="127"/>
      <c r="G502" s="128"/>
      <c r="H502" s="292">
        <f t="shared" si="225"/>
        <v>0</v>
      </c>
      <c r="I502" s="129"/>
      <c r="J502" s="130"/>
      <c r="K502" s="131"/>
      <c r="L502" s="129"/>
      <c r="M502" s="109"/>
      <c r="N502" s="130"/>
      <c r="O502" s="219"/>
      <c r="P502" s="219"/>
      <c r="Q502" s="219"/>
      <c r="R502" s="219"/>
      <c r="S502" s="219"/>
      <c r="T502" s="219"/>
      <c r="U502" s="219"/>
      <c r="V502" s="132"/>
      <c r="W502" s="133"/>
      <c r="X502" s="132"/>
      <c r="Y502" s="132"/>
      <c r="Z502" s="132"/>
      <c r="AA502" s="132"/>
    </row>
    <row r="503" spans="1:27" ht="20.100000000000001" customHeight="1">
      <c r="A503" s="630" t="s">
        <v>244</v>
      </c>
      <c r="B503" s="631"/>
      <c r="C503" s="224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3">SUM(M488:M498)</f>
        <v>0</v>
      </c>
      <c r="N503" s="146">
        <f t="shared" si="233"/>
        <v>0</v>
      </c>
      <c r="O503" s="148">
        <f t="shared" si="233"/>
        <v>0</v>
      </c>
      <c r="P503" s="148">
        <f t="shared" si="233"/>
        <v>0</v>
      </c>
      <c r="Q503" s="148">
        <f t="shared" si="233"/>
        <v>0</v>
      </c>
      <c r="R503" s="148">
        <f t="shared" si="233"/>
        <v>0</v>
      </c>
      <c r="S503" s="148">
        <f t="shared" si="233"/>
        <v>0</v>
      </c>
      <c r="T503" s="148">
        <f t="shared" si="233"/>
        <v>0</v>
      </c>
      <c r="U503" s="148">
        <f t="shared" si="233"/>
        <v>0</v>
      </c>
      <c r="V503" s="149">
        <f t="shared" si="233"/>
        <v>0</v>
      </c>
      <c r="W503" s="133">
        <f t="shared" si="233"/>
        <v>0</v>
      </c>
      <c r="X503" s="149">
        <f t="shared" si="233"/>
        <v>0</v>
      </c>
      <c r="Y503" s="149">
        <f t="shared" si="233"/>
        <v>0</v>
      </c>
      <c r="Z503" s="149">
        <f t="shared" si="233"/>
        <v>0</v>
      </c>
      <c r="AA503" s="149">
        <f t="shared" si="233"/>
        <v>0</v>
      </c>
    </row>
    <row r="504" spans="1:27" ht="20.100000000000001" customHeight="1">
      <c r="A504" s="632" t="s">
        <v>246</v>
      </c>
      <c r="B504" s="633"/>
      <c r="C504" s="633"/>
      <c r="D504" s="633"/>
      <c r="E504" s="633"/>
      <c r="F504" s="634"/>
      <c r="G504" s="154">
        <f>SUM(G368,G426,G461,G477,G487,G503)</f>
        <v>0</v>
      </c>
      <c r="H504" s="154">
        <f>SUM(H368,H426,H461,H477,H487,H503)</f>
        <v>0</v>
      </c>
      <c r="I504" s="154">
        <f>SUM(I368,I426,I461,I477,I487,I503)</f>
        <v>0</v>
      </c>
      <c r="J504" s="155" t="str">
        <f t="array" ref="J504">IF(ISERROR(G504/I504),"",G504/I504)</f>
        <v/>
      </c>
      <c r="K504" s="154">
        <f>SUM(K368,K426,K461,K477,K487,K503)</f>
        <v>0</v>
      </c>
      <c r="L504" s="155" t="str">
        <f>IF(ISERROR(G504/K504),"",G504/K504)</f>
        <v/>
      </c>
      <c r="M504" s="154">
        <f t="shared" ref="M504:V504" si="234">SUM(M368,M426,M461,M477,M487,M503)</f>
        <v>0</v>
      </c>
      <c r="N504" s="154">
        <f t="shared" si="234"/>
        <v>0</v>
      </c>
      <c r="O504" s="154">
        <f t="shared" si="234"/>
        <v>0</v>
      </c>
      <c r="P504" s="154">
        <f t="shared" si="234"/>
        <v>0</v>
      </c>
      <c r="Q504" s="154">
        <f t="shared" si="234"/>
        <v>0</v>
      </c>
      <c r="R504" s="154">
        <f t="shared" si="234"/>
        <v>0</v>
      </c>
      <c r="S504" s="154">
        <f t="shared" si="234"/>
        <v>0</v>
      </c>
      <c r="T504" s="154">
        <f t="shared" si="234"/>
        <v>0</v>
      </c>
      <c r="U504" s="154">
        <f t="shared" si="234"/>
        <v>0</v>
      </c>
      <c r="V504" s="154">
        <f t="shared" si="234"/>
        <v>0</v>
      </c>
      <c r="W504" s="156" t="str">
        <f t="shared" ref="W504" si="235">IF(ISERROR(V504/G504),"",V504/G504)</f>
        <v/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35" t="s">
        <v>476</v>
      </c>
      <c r="B505" s="222" t="s">
        <v>247</v>
      </c>
      <c r="C505" s="638" t="s">
        <v>248</v>
      </c>
      <c r="D505" s="639"/>
      <c r="E505" s="640" t="s">
        <v>249</v>
      </c>
      <c r="F505" s="640"/>
      <c r="G505" s="643" t="s">
        <v>250</v>
      </c>
      <c r="H505" s="643"/>
      <c r="I505" s="640" t="s">
        <v>251</v>
      </c>
      <c r="J505" s="640"/>
      <c r="K505" s="640" t="s">
        <v>252</v>
      </c>
      <c r="L505" s="640"/>
      <c r="M505" s="640" t="s">
        <v>253</v>
      </c>
      <c r="N505" s="640"/>
      <c r="O505" s="640" t="s">
        <v>254</v>
      </c>
      <c r="P505" s="643" t="s">
        <v>255</v>
      </c>
      <c r="Q505" s="643"/>
      <c r="R505" s="643" t="s">
        <v>252</v>
      </c>
      <c r="S505" s="643"/>
      <c r="T505" s="643" t="s">
        <v>256</v>
      </c>
      <c r="U505" s="643"/>
      <c r="V505" s="643" t="s">
        <v>257</v>
      </c>
      <c r="W505" s="643"/>
      <c r="X505" s="643" t="s">
        <v>252</v>
      </c>
      <c r="Y505" s="643"/>
      <c r="Z505" s="643" t="s">
        <v>256</v>
      </c>
      <c r="AA505" s="643"/>
    </row>
    <row r="506" spans="1:27" ht="20.100000000000001" customHeight="1">
      <c r="A506" s="636"/>
      <c r="B506" s="222" t="s">
        <v>258</v>
      </c>
      <c r="C506" s="638">
        <v>0</v>
      </c>
      <c r="D506" s="639"/>
      <c r="E506" s="642">
        <f>C506*11</f>
        <v>0</v>
      </c>
      <c r="F506" s="642"/>
      <c r="G506" s="643">
        <v>0</v>
      </c>
      <c r="H506" s="643"/>
      <c r="I506" s="642">
        <f>G506*11</f>
        <v>0</v>
      </c>
      <c r="J506" s="642"/>
      <c r="K506" s="642">
        <f>E506-I506</f>
        <v>0</v>
      </c>
      <c r="L506" s="642"/>
      <c r="M506" s="644" t="str">
        <f>IF(ISERROR(K506/E506),"",K506/E506)</f>
        <v/>
      </c>
      <c r="N506" s="644"/>
      <c r="O506" s="640"/>
      <c r="P506" s="643" t="s">
        <v>201</v>
      </c>
      <c r="Q506" s="643"/>
      <c r="R506" s="645">
        <f>SUM(O368:U368)</f>
        <v>0</v>
      </c>
      <c r="S506" s="645"/>
      <c r="T506" s="646" t="str">
        <f t="array" ref="T506">IF(ISERROR(R506/R513),"",R506/R513)</f>
        <v/>
      </c>
      <c r="U506" s="646"/>
      <c r="V506" s="643" t="s">
        <v>259</v>
      </c>
      <c r="W506" s="643"/>
      <c r="X506" s="647">
        <f>SUM(O368,O426,O461,O477,O487,O503)</f>
        <v>0</v>
      </c>
      <c r="Y506" s="647"/>
      <c r="Z506" s="646" t="str">
        <f t="array" ref="Z506">IF(ISERROR(X506/X513),"",X506/X513)</f>
        <v/>
      </c>
      <c r="AA506" s="646"/>
    </row>
    <row r="507" spans="1:27" ht="20.100000000000001" customHeight="1">
      <c r="A507" s="636"/>
      <c r="B507" s="222" t="s">
        <v>260</v>
      </c>
      <c r="C507" s="638">
        <v>0</v>
      </c>
      <c r="D507" s="639"/>
      <c r="E507" s="642">
        <f>C507*11</f>
        <v>0</v>
      </c>
      <c r="F507" s="642"/>
      <c r="G507" s="643">
        <v>0</v>
      </c>
      <c r="H507" s="643"/>
      <c r="I507" s="642">
        <f>G507*11</f>
        <v>0</v>
      </c>
      <c r="J507" s="642"/>
      <c r="K507" s="642">
        <f>E507-I507</f>
        <v>0</v>
      </c>
      <c r="L507" s="642"/>
      <c r="M507" s="644" t="str">
        <f>IF(ISERROR(K507/E507),"",K507/E507)</f>
        <v/>
      </c>
      <c r="N507" s="644"/>
      <c r="O507" s="640"/>
      <c r="P507" s="643" t="s">
        <v>216</v>
      </c>
      <c r="Q507" s="643"/>
      <c r="R507" s="645">
        <f>SUM(O426:U426)</f>
        <v>0</v>
      </c>
      <c r="S507" s="645"/>
      <c r="T507" s="646" t="str">
        <f>IF(ISERROR(R507/R513),"",R507/R513)</f>
        <v/>
      </c>
      <c r="U507" s="646"/>
      <c r="V507" s="643" t="s">
        <v>261</v>
      </c>
      <c r="W507" s="643"/>
      <c r="X507" s="647">
        <f>SUM(O369,O427,O462,O478,O488,O504)</f>
        <v>0</v>
      </c>
      <c r="Y507" s="647"/>
      <c r="Z507" s="646" t="str">
        <f>IF(ISERROR(X507/X513),"",X507/X513)</f>
        <v/>
      </c>
      <c r="AA507" s="646"/>
    </row>
    <row r="508" spans="1:27" ht="20.100000000000001" customHeight="1">
      <c r="A508" s="636"/>
      <c r="B508" s="222" t="s">
        <v>262</v>
      </c>
      <c r="C508" s="638">
        <v>0</v>
      </c>
      <c r="D508" s="639"/>
      <c r="E508" s="642">
        <f>C508*11</f>
        <v>0</v>
      </c>
      <c r="F508" s="642"/>
      <c r="G508" s="643">
        <v>0</v>
      </c>
      <c r="H508" s="643"/>
      <c r="I508" s="642">
        <f>G508*11</f>
        <v>0</v>
      </c>
      <c r="J508" s="642"/>
      <c r="K508" s="642">
        <f>E508-I508</f>
        <v>0</v>
      </c>
      <c r="L508" s="642"/>
      <c r="M508" s="644" t="str">
        <f>IF(ISERROR(K508/E508),"",K508/E508)</f>
        <v/>
      </c>
      <c r="N508" s="644"/>
      <c r="O508" s="640"/>
      <c r="P508" s="643" t="s">
        <v>224</v>
      </c>
      <c r="Q508" s="643"/>
      <c r="R508" s="645">
        <f>SUM(O461:U461)</f>
        <v>0</v>
      </c>
      <c r="S508" s="645"/>
      <c r="T508" s="646" t="str">
        <f>IF(ISERROR(R508/R513),"",R508/R513)</f>
        <v/>
      </c>
      <c r="U508" s="646"/>
      <c r="V508" s="643" t="s">
        <v>263</v>
      </c>
      <c r="W508" s="643"/>
      <c r="X508" s="647">
        <f>SUM(O371,O428,O463,O479,O489,O505)</f>
        <v>0</v>
      </c>
      <c r="Y508" s="647"/>
      <c r="Z508" s="646" t="str">
        <f>IF(ISERROR(X508/X513),"",X508/X513)</f>
        <v/>
      </c>
      <c r="AA508" s="646"/>
    </row>
    <row r="509" spans="1:27" ht="20.100000000000001" customHeight="1">
      <c r="A509" s="636"/>
      <c r="B509" s="222" t="s">
        <v>264</v>
      </c>
      <c r="C509" s="638">
        <v>1</v>
      </c>
      <c r="D509" s="639"/>
      <c r="E509" s="642">
        <f>C509*11</f>
        <v>11</v>
      </c>
      <c r="F509" s="642"/>
      <c r="G509" s="643">
        <v>1</v>
      </c>
      <c r="H509" s="643"/>
      <c r="I509" s="642">
        <f>G509*11</f>
        <v>11</v>
      </c>
      <c r="J509" s="642"/>
      <c r="K509" s="642">
        <f>E509-I509</f>
        <v>0</v>
      </c>
      <c r="L509" s="642"/>
      <c r="M509" s="644">
        <f>IF(ISERROR(K509/E509),"",K509/E509)</f>
        <v>0</v>
      </c>
      <c r="N509" s="644"/>
      <c r="O509" s="640"/>
      <c r="P509" s="643" t="s">
        <v>231</v>
      </c>
      <c r="Q509" s="643"/>
      <c r="R509" s="645">
        <f>SUM(O477:U477)</f>
        <v>0</v>
      </c>
      <c r="S509" s="645"/>
      <c r="T509" s="646" t="str">
        <f>IF(ISERROR(R509/R513),"",R509/R513)</f>
        <v/>
      </c>
      <c r="U509" s="646"/>
      <c r="V509" s="643" t="s">
        <v>265</v>
      </c>
      <c r="W509" s="643"/>
      <c r="X509" s="647">
        <f>SUM(O372,O429,O464,O480,O490,O506)</f>
        <v>0</v>
      </c>
      <c r="Y509" s="647"/>
      <c r="Z509" s="646" t="str">
        <f>IF(ISERROR(X509/X513),"",X509/X513)</f>
        <v/>
      </c>
      <c r="AA509" s="646"/>
    </row>
    <row r="510" spans="1:27" ht="20.100000000000001" customHeight="1">
      <c r="A510" s="637"/>
      <c r="B510" s="222" t="s">
        <v>266</v>
      </c>
      <c r="C510" s="648">
        <f>SUM(C506:D509)</f>
        <v>1</v>
      </c>
      <c r="D510" s="649"/>
      <c r="E510" s="642">
        <f>SUM(E506:F509)</f>
        <v>11</v>
      </c>
      <c r="F510" s="642"/>
      <c r="G510" s="643">
        <f>SUM(G506:H509)</f>
        <v>1</v>
      </c>
      <c r="H510" s="643"/>
      <c r="I510" s="642">
        <f>SUM(I506:J509)</f>
        <v>11</v>
      </c>
      <c r="J510" s="642"/>
      <c r="K510" s="642">
        <f>SUM(K506:L509)</f>
        <v>0</v>
      </c>
      <c r="L510" s="642"/>
      <c r="M510" s="644">
        <f>IF(ISERROR(K510/E510),"",K510/E510)</f>
        <v>0</v>
      </c>
      <c r="N510" s="644"/>
      <c r="O510" s="640"/>
      <c r="P510" s="643" t="s">
        <v>234</v>
      </c>
      <c r="Q510" s="643"/>
      <c r="R510" s="645">
        <f>SUM(O487:U487)</f>
        <v>0</v>
      </c>
      <c r="S510" s="645"/>
      <c r="T510" s="646" t="str">
        <f>IF(ISERROR(R510/R513),"",R510/R513)</f>
        <v/>
      </c>
      <c r="U510" s="646"/>
      <c r="V510" s="643" t="s">
        <v>267</v>
      </c>
      <c r="W510" s="643"/>
      <c r="X510" s="647">
        <f>SUM(O373,O430,O465,O481,O491,O507)</f>
        <v>0</v>
      </c>
      <c r="Y510" s="647"/>
      <c r="Z510" s="646" t="str">
        <f>IF(ISERROR(X510/X513),"",X510/X513)</f>
        <v/>
      </c>
      <c r="AA510" s="646"/>
    </row>
    <row r="511" spans="1:27" ht="20.100000000000001" customHeight="1">
      <c r="A511" s="307" t="s">
        <v>477</v>
      </c>
      <c r="B511" s="222">
        <f>G504</f>
        <v>0</v>
      </c>
      <c r="C511" s="650" t="s">
        <v>269</v>
      </c>
      <c r="D511" s="651"/>
      <c r="E511" s="643">
        <f>H504</f>
        <v>0</v>
      </c>
      <c r="F511" s="643"/>
      <c r="G511" s="643" t="s">
        <v>270</v>
      </c>
      <c r="H511" s="643"/>
      <c r="I511" s="652" t="str">
        <f>L504</f>
        <v/>
      </c>
      <c r="J511" s="652"/>
      <c r="K511" s="640" t="s">
        <v>271</v>
      </c>
      <c r="L511" s="640"/>
      <c r="M511" s="652" t="str">
        <f>J504</f>
        <v/>
      </c>
      <c r="N511" s="652"/>
      <c r="O511" s="640"/>
      <c r="P511" s="643" t="s">
        <v>244</v>
      </c>
      <c r="Q511" s="643"/>
      <c r="R511" s="645">
        <f>SUM(O503:U503)</f>
        <v>0</v>
      </c>
      <c r="S511" s="645"/>
      <c r="T511" s="646" t="str">
        <f>IF(ISERROR(R511/R513),"",R511/R513)</f>
        <v/>
      </c>
      <c r="U511" s="646"/>
      <c r="V511" s="643" t="s">
        <v>272</v>
      </c>
      <c r="W511" s="643"/>
      <c r="X511" s="647">
        <f>SUM(O374,O431,O466,O482,O492,O508)</f>
        <v>0</v>
      </c>
      <c r="Y511" s="647"/>
      <c r="Z511" s="646" t="str">
        <f>IF(ISERROR(X511/X513),"",X511/X513)</f>
        <v/>
      </c>
      <c r="AA511" s="646"/>
    </row>
    <row r="512" spans="1:27" ht="20.100000000000001" customHeight="1">
      <c r="A512" s="308" t="s">
        <v>478</v>
      </c>
      <c r="B512" s="222">
        <f>I504+C510</f>
        <v>1</v>
      </c>
      <c r="C512" s="653" t="s">
        <v>251</v>
      </c>
      <c r="D512" s="654"/>
      <c r="E512" s="655">
        <f>K504+I510</f>
        <v>11</v>
      </c>
      <c r="F512" s="655"/>
      <c r="G512" s="643" t="s">
        <v>274</v>
      </c>
      <c r="H512" s="643"/>
      <c r="I512" s="652">
        <f>B512-E512</f>
        <v>-10</v>
      </c>
      <c r="J512" s="652"/>
      <c r="K512" s="640" t="s">
        <v>275</v>
      </c>
      <c r="L512" s="640"/>
      <c r="M512" s="644">
        <f>IF(ISERROR(I512/E512),"",I512/E512)</f>
        <v>-0.90909090909090906</v>
      </c>
      <c r="N512" s="644"/>
      <c r="O512" s="640"/>
      <c r="P512" s="643" t="s">
        <v>245</v>
      </c>
      <c r="Q512" s="643"/>
      <c r="R512" s="645"/>
      <c r="S512" s="645"/>
      <c r="T512" s="646" t="str">
        <f>IF(ISERROR(R512/R513),"",R512/R513)</f>
        <v/>
      </c>
      <c r="U512" s="646"/>
      <c r="V512" s="643" t="s">
        <v>264</v>
      </c>
      <c r="W512" s="643"/>
      <c r="X512" s="647">
        <f>SUM(O375,O432,O467,O486,O493,O509)</f>
        <v>0</v>
      </c>
      <c r="Y512" s="647"/>
      <c r="Z512" s="646" t="str">
        <f>IF(ISERROR(X512/X513),"",X512/X513)</f>
        <v/>
      </c>
      <c r="AA512" s="646"/>
    </row>
    <row r="513" spans="1:27" ht="20.100000000000001" customHeight="1">
      <c r="A513" s="308" t="s">
        <v>479</v>
      </c>
      <c r="B513" s="222">
        <f>N504</f>
        <v>0</v>
      </c>
      <c r="C513" s="653" t="s">
        <v>277</v>
      </c>
      <c r="D513" s="654"/>
      <c r="E513" s="646">
        <f>IF(ISERROR(B513/B512),"",B513/B512)</f>
        <v>0</v>
      </c>
      <c r="F513" s="646"/>
      <c r="G513" s="643" t="s">
        <v>278</v>
      </c>
      <c r="H513" s="643"/>
      <c r="I513" s="640">
        <f>V504</f>
        <v>0</v>
      </c>
      <c r="J513" s="640"/>
      <c r="K513" s="640" t="s">
        <v>279</v>
      </c>
      <c r="L513" s="640"/>
      <c r="M513" s="644" t="str">
        <f t="array" ref="M513">IF(ISERROR(I513/B511),"",I513/B511)</f>
        <v/>
      </c>
      <c r="N513" s="644"/>
      <c r="O513" s="640"/>
      <c r="P513" s="643" t="s">
        <v>266</v>
      </c>
      <c r="Q513" s="643"/>
      <c r="R513" s="645">
        <f>SUM(R506:S512)</f>
        <v>0</v>
      </c>
      <c r="S513" s="645"/>
      <c r="T513" s="646"/>
      <c r="U513" s="646"/>
      <c r="V513" s="643" t="s">
        <v>266</v>
      </c>
      <c r="W513" s="643"/>
      <c r="X513" s="647">
        <f>SUM(X506:Y512)</f>
        <v>0</v>
      </c>
      <c r="Y513" s="647"/>
      <c r="Z513" s="646"/>
      <c r="AA513" s="646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682" t="str">
        <f>IF(ISERROR(#REF!/#REF!),"",#REF!/#REF!)</f>
        <v/>
      </c>
      <c r="H514" s="682"/>
      <c r="I514" s="682"/>
      <c r="J514" s="125"/>
      <c r="K514" s="160"/>
      <c r="L514" s="122"/>
      <c r="M514" s="122"/>
      <c r="N514" s="682" t="str">
        <f>IF(ISERROR(G514/#REF!),"",G514/#REF!)</f>
        <v/>
      </c>
      <c r="O514" s="682"/>
      <c r="P514" s="682"/>
      <c r="Q514" s="682"/>
      <c r="R514" s="682"/>
      <c r="S514" s="225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685" t="s">
        <v>268</v>
      </c>
      <c r="B516" s="685"/>
      <c r="C516" s="638">
        <f>SUM(B170,B340,B511)</f>
        <v>0</v>
      </c>
      <c r="D516" s="639"/>
      <c r="E516" s="685" t="s">
        <v>269</v>
      </c>
      <c r="F516" s="685"/>
      <c r="G516" s="655">
        <f>SUM(E170,E340,E511)</f>
        <v>0</v>
      </c>
      <c r="H516" s="655"/>
      <c r="I516" s="643" t="s">
        <v>270</v>
      </c>
      <c r="J516" s="685"/>
      <c r="K516" s="638">
        <f>IF(ISERROR(C516/G517),"",C516/G517)</f>
        <v>0</v>
      </c>
      <c r="L516" s="639"/>
      <c r="M516" s="643" t="s">
        <v>271</v>
      </c>
      <c r="N516" s="643"/>
      <c r="O516" s="680">
        <f t="array" ref="O516">IF(ISERROR(C516/C517),"",C516/C517)</f>
        <v>0</v>
      </c>
      <c r="P516" s="681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643" t="s">
        <v>273</v>
      </c>
      <c r="B517" s="643"/>
      <c r="C517" s="638">
        <f>SUM(B171,B341,B512)</f>
        <v>7</v>
      </c>
      <c r="D517" s="639"/>
      <c r="E517" s="643" t="s">
        <v>251</v>
      </c>
      <c r="F517" s="643"/>
      <c r="G517" s="655">
        <f>SUM(E171,E341,E512)</f>
        <v>82</v>
      </c>
      <c r="H517" s="655"/>
      <c r="I517" s="653" t="s">
        <v>274</v>
      </c>
      <c r="J517" s="654"/>
      <c r="K517" s="650">
        <f>C517-G517</f>
        <v>-75</v>
      </c>
      <c r="L517" s="651"/>
      <c r="M517" s="650" t="s">
        <v>275</v>
      </c>
      <c r="N517" s="651"/>
      <c r="O517" s="683">
        <f>IF(ISERROR(K517/C517),"",K517/C517)</f>
        <v>-10.714285714285714</v>
      </c>
      <c r="P517" s="684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653" t="s">
        <v>276</v>
      </c>
      <c r="B518" s="654"/>
      <c r="C518" s="638">
        <f>SUM(B172,B342,B513)</f>
        <v>0</v>
      </c>
      <c r="D518" s="639"/>
      <c r="E518" s="653" t="s">
        <v>277</v>
      </c>
      <c r="F518" s="654"/>
      <c r="G518" s="646">
        <f>IF(ISERROR(C518/C517),"",C518/C517)</f>
        <v>0</v>
      </c>
      <c r="H518" s="646"/>
      <c r="I518" s="643" t="s">
        <v>278</v>
      </c>
      <c r="J518" s="685"/>
      <c r="K518" s="655">
        <f>SUM(I172,I342,I513)</f>
        <v>0</v>
      </c>
      <c r="L518" s="655"/>
      <c r="M518" s="685" t="s">
        <v>279</v>
      </c>
      <c r="N518" s="685"/>
      <c r="O518" s="683" t="str">
        <f t="array" ref="O518">IF(ISERROR(K518/C516),"",K518/C516)</f>
        <v/>
      </c>
      <c r="P518" s="684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167"/>
      <c r="H519" s="168"/>
      <c r="I519" s="225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653" t="s">
        <v>298</v>
      </c>
      <c r="B520" s="654"/>
      <c r="C520" s="653" t="s">
        <v>299</v>
      </c>
      <c r="D520" s="654"/>
      <c r="E520" s="653" t="s">
        <v>256</v>
      </c>
      <c r="F520" s="654"/>
      <c r="G520" s="686" t="s">
        <v>254</v>
      </c>
      <c r="H520" s="687"/>
      <c r="I520" s="653" t="s">
        <v>255</v>
      </c>
      <c r="J520" s="651"/>
      <c r="K520" s="653" t="s">
        <v>300</v>
      </c>
      <c r="L520" s="654"/>
      <c r="M520" s="653" t="s">
        <v>256</v>
      </c>
      <c r="N520" s="654"/>
      <c r="O520" s="643" t="s">
        <v>257</v>
      </c>
      <c r="P520" s="643"/>
      <c r="Q520" s="653" t="s">
        <v>300</v>
      </c>
      <c r="R520" s="654"/>
      <c r="S520" s="653" t="s">
        <v>256</v>
      </c>
      <c r="T520" s="654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692" t="s">
        <v>201</v>
      </c>
      <c r="B521" s="654"/>
      <c r="C521" s="653">
        <f>SUM(G28,G198,G368)</f>
        <v>0</v>
      </c>
      <c r="D521" s="654"/>
      <c r="E521" s="693" t="str">
        <f>IF(ISERROR(C521/C527),"",C521/C527)</f>
        <v/>
      </c>
      <c r="F521" s="694"/>
      <c r="G521" s="688"/>
      <c r="H521" s="689"/>
      <c r="I521" s="695" t="s">
        <v>301</v>
      </c>
      <c r="J521" s="696"/>
      <c r="K521" s="650">
        <f t="shared" ref="K521:K526" si="236">SUM(R165,U335,U506)</f>
        <v>0</v>
      </c>
      <c r="L521" s="651"/>
      <c r="M521" s="693" t="str">
        <f t="array" ref="M521">IF(ISERROR(K521/K527),"",K521/K527)</f>
        <v/>
      </c>
      <c r="N521" s="694"/>
      <c r="O521" s="643" t="s">
        <v>259</v>
      </c>
      <c r="P521" s="643"/>
      <c r="Q521" s="680">
        <f t="shared" ref="Q521:Q526" si="237">SUM(X165,AA335,AA506)</f>
        <v>0</v>
      </c>
      <c r="R521" s="681"/>
      <c r="S521" s="693" t="str">
        <f t="array" ref="S521">IF(ISERROR(Q521/Q527),"",Q521/Q527)</f>
        <v/>
      </c>
      <c r="T521" s="694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692" t="s">
        <v>216</v>
      </c>
      <c r="B522" s="654"/>
      <c r="C522" s="653">
        <f>SUM(G86,G256,G426)</f>
        <v>0</v>
      </c>
      <c r="D522" s="654"/>
      <c r="E522" s="693" t="str">
        <f>IF(ISERROR(C522/C527),"",C522/C527)</f>
        <v/>
      </c>
      <c r="F522" s="694"/>
      <c r="G522" s="688"/>
      <c r="H522" s="689"/>
      <c r="I522" s="695" t="s">
        <v>302</v>
      </c>
      <c r="J522" s="696"/>
      <c r="K522" s="650">
        <f t="shared" si="236"/>
        <v>0</v>
      </c>
      <c r="L522" s="651"/>
      <c r="M522" s="693" t="str">
        <f>IF(ISERROR(K522/K527),"",K522/K527)</f>
        <v/>
      </c>
      <c r="N522" s="694"/>
      <c r="O522" s="643" t="s">
        <v>261</v>
      </c>
      <c r="P522" s="643"/>
      <c r="Q522" s="680">
        <f t="shared" si="237"/>
        <v>0</v>
      </c>
      <c r="R522" s="681"/>
      <c r="S522" s="693" t="str">
        <f>IF(ISERROR(Q522/Q527),"",Q522/Q527)</f>
        <v/>
      </c>
      <c r="T522" s="694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692" t="s">
        <v>224</v>
      </c>
      <c r="B523" s="654"/>
      <c r="C523" s="653">
        <f>SUM(G121,G291,G461)</f>
        <v>0</v>
      </c>
      <c r="D523" s="654"/>
      <c r="E523" s="693" t="str">
        <f>IF(ISERROR(C523/C527),"",C523/C527)</f>
        <v/>
      </c>
      <c r="F523" s="694"/>
      <c r="G523" s="688"/>
      <c r="H523" s="689"/>
      <c r="I523" s="695" t="s">
        <v>303</v>
      </c>
      <c r="J523" s="696"/>
      <c r="K523" s="650">
        <f t="shared" si="236"/>
        <v>0</v>
      </c>
      <c r="L523" s="651"/>
      <c r="M523" s="693" t="str">
        <f>IF(ISERROR(K523/K527),"",K523/K527)</f>
        <v/>
      </c>
      <c r="N523" s="694"/>
      <c r="O523" s="643" t="s">
        <v>263</v>
      </c>
      <c r="P523" s="643"/>
      <c r="Q523" s="680">
        <f t="shared" si="237"/>
        <v>0</v>
      </c>
      <c r="R523" s="681"/>
      <c r="S523" s="693" t="str">
        <f>IF(ISERROR(Q523/Q527),"",Q523/Q527)</f>
        <v/>
      </c>
      <c r="T523" s="694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692" t="s">
        <v>231</v>
      </c>
      <c r="B524" s="654"/>
      <c r="C524" s="653">
        <f>SUM(G137,G307,G477)</f>
        <v>0</v>
      </c>
      <c r="D524" s="654"/>
      <c r="E524" s="693" t="str">
        <f>IF(ISERROR(C524/C527),"",C524/C527)</f>
        <v/>
      </c>
      <c r="F524" s="694"/>
      <c r="G524" s="688"/>
      <c r="H524" s="689"/>
      <c r="I524" s="695" t="s">
        <v>304</v>
      </c>
      <c r="J524" s="696"/>
      <c r="K524" s="650">
        <f t="shared" si="236"/>
        <v>0</v>
      </c>
      <c r="L524" s="651"/>
      <c r="M524" s="693" t="str">
        <f>IF(ISERROR(K524/K527),"",K524/K527)</f>
        <v/>
      </c>
      <c r="N524" s="694"/>
      <c r="O524" s="643" t="s">
        <v>305</v>
      </c>
      <c r="P524" s="643"/>
      <c r="Q524" s="680">
        <f t="shared" si="237"/>
        <v>0</v>
      </c>
      <c r="R524" s="681"/>
      <c r="S524" s="693" t="str">
        <f>IF(ISERROR(Q524/Q527),"",Q524/Q527)</f>
        <v/>
      </c>
      <c r="T524" s="694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92" t="s">
        <v>234</v>
      </c>
      <c r="B525" s="654"/>
      <c r="C525" s="653">
        <f>SUM(G147,G317,G487)</f>
        <v>0</v>
      </c>
      <c r="D525" s="654"/>
      <c r="E525" s="693" t="str">
        <f>IF(ISERROR(C525/C527),"",C525/C527)</f>
        <v/>
      </c>
      <c r="F525" s="694"/>
      <c r="G525" s="688"/>
      <c r="H525" s="689"/>
      <c r="I525" s="695" t="s">
        <v>306</v>
      </c>
      <c r="J525" s="696"/>
      <c r="K525" s="650">
        <f t="shared" si="236"/>
        <v>0</v>
      </c>
      <c r="L525" s="651"/>
      <c r="M525" s="693" t="str">
        <f>IF(ISERROR(K525/K527),"",K525/K527)</f>
        <v/>
      </c>
      <c r="N525" s="694"/>
      <c r="O525" s="643" t="s">
        <v>267</v>
      </c>
      <c r="P525" s="643"/>
      <c r="Q525" s="680">
        <f t="shared" si="237"/>
        <v>0</v>
      </c>
      <c r="R525" s="681"/>
      <c r="S525" s="693" t="str">
        <f>IF(ISERROR(Q525/Q527),"",Q525/Q527)</f>
        <v/>
      </c>
      <c r="T525" s="694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92" t="s">
        <v>244</v>
      </c>
      <c r="B526" s="654"/>
      <c r="C526" s="653">
        <f>SUM(G162,G332,G503)</f>
        <v>0</v>
      </c>
      <c r="D526" s="654"/>
      <c r="E526" s="693" t="str">
        <f>IF(ISERROR(C526/C527),"",C526/C527)</f>
        <v/>
      </c>
      <c r="F526" s="694"/>
      <c r="G526" s="688"/>
      <c r="H526" s="689"/>
      <c r="I526" s="695" t="s">
        <v>307</v>
      </c>
      <c r="J526" s="696"/>
      <c r="K526" s="650">
        <f t="shared" si="236"/>
        <v>0</v>
      </c>
      <c r="L526" s="651"/>
      <c r="M526" s="693" t="str">
        <f>IF(ISERROR(K526/K527),"",K526/K527)</f>
        <v/>
      </c>
      <c r="N526" s="694"/>
      <c r="O526" s="643" t="s">
        <v>272</v>
      </c>
      <c r="P526" s="643"/>
      <c r="Q526" s="680">
        <f t="shared" si="237"/>
        <v>0</v>
      </c>
      <c r="R526" s="681"/>
      <c r="S526" s="693" t="str">
        <f>IF(ISERROR(Q526/Q527),"",Q526/Q527)</f>
        <v/>
      </c>
      <c r="T526" s="694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53" t="s">
        <v>266</v>
      </c>
      <c r="B527" s="654"/>
      <c r="C527" s="653">
        <f>SUM(C521:C526)</f>
        <v>0</v>
      </c>
      <c r="D527" s="654"/>
      <c r="E527" s="693">
        <f>SUM(E521:F526)</f>
        <v>0</v>
      </c>
      <c r="F527" s="694"/>
      <c r="G527" s="690"/>
      <c r="H527" s="691"/>
      <c r="I527" s="653" t="s">
        <v>266</v>
      </c>
      <c r="J527" s="651"/>
      <c r="K527" s="650">
        <f>SUM(R172,U342,U513)</f>
        <v>0</v>
      </c>
      <c r="L527" s="651"/>
      <c r="M527" s="693"/>
      <c r="N527" s="694"/>
      <c r="O527" s="643" t="s">
        <v>266</v>
      </c>
      <c r="P527" s="643"/>
      <c r="Q527" s="680">
        <f>SUM(Q521:R526)</f>
        <v>0</v>
      </c>
      <c r="R527" s="681"/>
      <c r="S527" s="693">
        <f>SUM(S521:T526)</f>
        <v>0</v>
      </c>
      <c r="T527" s="694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695" t="s">
        <v>308</v>
      </c>
      <c r="B529" s="649"/>
      <c r="C529" s="217" t="s">
        <v>309</v>
      </c>
      <c r="D529" s="217" t="s">
        <v>310</v>
      </c>
      <c r="E529" s="217" t="s">
        <v>311</v>
      </c>
      <c r="F529" s="217" t="s">
        <v>312</v>
      </c>
      <c r="G529" s="157" t="s">
        <v>313</v>
      </c>
      <c r="H529" s="129" t="s">
        <v>314</v>
      </c>
      <c r="I529" s="129" t="s">
        <v>315</v>
      </c>
      <c r="J529" s="129" t="s">
        <v>316</v>
      </c>
      <c r="K529" s="219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226" t="s">
        <v>322</v>
      </c>
      <c r="Q529" s="129" t="s">
        <v>323</v>
      </c>
      <c r="R529" s="109" t="s">
        <v>324</v>
      </c>
      <c r="S529" s="217" t="s">
        <v>325</v>
      </c>
      <c r="T529" s="217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697" t="s">
        <v>327</v>
      </c>
      <c r="B530" s="698"/>
      <c r="C530" s="106">
        <f>D530+E530+F530-G530-O530-P530</f>
        <v>0</v>
      </c>
      <c r="D530" s="106"/>
      <c r="E530" s="106"/>
      <c r="F530" s="106"/>
      <c r="G530" s="107"/>
      <c r="H530" s="106"/>
      <c r="I530" s="106"/>
      <c r="J530" s="106">
        <f>C530-H530-I530</f>
        <v>0</v>
      </c>
      <c r="K530" s="106"/>
      <c r="L530" s="106"/>
      <c r="M530" s="106"/>
      <c r="N530" s="106"/>
      <c r="O530" s="106"/>
      <c r="P530" s="108"/>
      <c r="Q530" s="106">
        <f>J530-K530-L530</f>
        <v>0</v>
      </c>
      <c r="R530" s="109">
        <f>Q530*11-M530-N530</f>
        <v>0</v>
      </c>
      <c r="S530" s="220" t="str">
        <f t="array" ref="S530">IF(ISERROR(Q530/J530),"",Q530/J530)</f>
        <v/>
      </c>
      <c r="T530" s="220" t="str">
        <f t="array" ref="T530">IF(ISERROR((O530:P530)/C530),"",SUM(O530:P530)/C530)</f>
        <v/>
      </c>
      <c r="X530" s="116"/>
      <c r="Y530" s="116"/>
      <c r="Z530" s="159"/>
      <c r="AA530" s="159"/>
    </row>
    <row r="531" spans="1:27" ht="20.100000000000001" customHeight="1">
      <c r="A531" s="697" t="s">
        <v>328</v>
      </c>
      <c r="B531" s="698"/>
      <c r="C531" s="106">
        <f>D531+E531+F531-G531-O531-P531</f>
        <v>0</v>
      </c>
      <c r="D531" s="110"/>
      <c r="E531" s="110"/>
      <c r="F531" s="110"/>
      <c r="G531" s="107"/>
      <c r="H531" s="106"/>
      <c r="I531" s="106"/>
      <c r="J531" s="106">
        <f>C531-H531-I531</f>
        <v>0</v>
      </c>
      <c r="K531" s="106"/>
      <c r="L531" s="106"/>
      <c r="M531" s="106"/>
      <c r="N531" s="106"/>
      <c r="O531" s="110"/>
      <c r="P531" s="111"/>
      <c r="Q531" s="106">
        <f>J531-K531-L531</f>
        <v>0</v>
      </c>
      <c r="R531" s="109">
        <f>Q531*11-M531-N531</f>
        <v>0</v>
      </c>
      <c r="S531" s="220" t="str">
        <f t="array" ref="S531">IF(ISERROR(Q531/J531),"",Q531/J531)</f>
        <v/>
      </c>
      <c r="T531" s="220" t="str">
        <f t="array" ref="T531">IF(ISERROR((O531:P531)/C531),"",SUM(O531:P531)/C531)</f>
        <v/>
      </c>
      <c r="X531" s="116"/>
      <c r="Y531" s="116"/>
      <c r="Z531" s="159"/>
      <c r="AA531" s="159"/>
    </row>
    <row r="532" spans="1:27" ht="20.100000000000001" customHeight="1">
      <c r="A532" s="697" t="s">
        <v>329</v>
      </c>
      <c r="B532" s="698"/>
      <c r="C532" s="106">
        <f>D532+E532+F532-G532-O532-P532</f>
        <v>0</v>
      </c>
      <c r="D532" s="110"/>
      <c r="E532" s="110"/>
      <c r="F532" s="110"/>
      <c r="G532" s="107"/>
      <c r="H532" s="106"/>
      <c r="I532" s="106"/>
      <c r="J532" s="106">
        <f>C532-H532-I532</f>
        <v>0</v>
      </c>
      <c r="K532" s="106"/>
      <c r="L532" s="106"/>
      <c r="M532" s="106"/>
      <c r="N532" s="106"/>
      <c r="O532" s="110"/>
      <c r="P532" s="111"/>
      <c r="Q532" s="106">
        <f>J532-K532-L532</f>
        <v>0</v>
      </c>
      <c r="R532" s="109">
        <f>Q532*11-M532-N532</f>
        <v>0</v>
      </c>
      <c r="S532" s="220" t="str">
        <f t="array" ref="S532">IF(ISERROR(Q532/J532),"",Q532/J532)</f>
        <v/>
      </c>
      <c r="T532" s="220" t="str">
        <f t="array" ref="T532">IF(ISERROR((O532:P532)/C532),"",SUM(O532:P532)/C532)</f>
        <v/>
      </c>
      <c r="V532" s="179"/>
      <c r="X532" s="116"/>
      <c r="Y532" s="116"/>
      <c r="Z532" s="159"/>
      <c r="AA532" s="159"/>
    </row>
    <row r="533" spans="1:27" ht="20.100000000000001" customHeight="1">
      <c r="A533" s="699" t="s">
        <v>330</v>
      </c>
      <c r="B533" s="700"/>
      <c r="C533" s="112">
        <f>SUM(C530:C532)</f>
        <v>0</v>
      </c>
      <c r="D533" s="112">
        <f t="shared" ref="D533:N533" si="238">SUM(D530:D532)</f>
        <v>0</v>
      </c>
      <c r="E533" s="112">
        <f t="shared" si="238"/>
        <v>0</v>
      </c>
      <c r="F533" s="112">
        <f t="shared" si="238"/>
        <v>0</v>
      </c>
      <c r="G533" s="113">
        <f t="shared" si="238"/>
        <v>0</v>
      </c>
      <c r="H533" s="112">
        <f t="shared" si="238"/>
        <v>0</v>
      </c>
      <c r="I533" s="112">
        <f t="shared" si="238"/>
        <v>0</v>
      </c>
      <c r="J533" s="112">
        <f t="shared" si="238"/>
        <v>0</v>
      </c>
      <c r="K533" s="112">
        <f t="shared" si="238"/>
        <v>0</v>
      </c>
      <c r="L533" s="112">
        <f t="shared" si="238"/>
        <v>0</v>
      </c>
      <c r="M533" s="112">
        <f t="shared" si="238"/>
        <v>0</v>
      </c>
      <c r="N533" s="112">
        <f t="shared" si="238"/>
        <v>0</v>
      </c>
      <c r="O533" s="112">
        <f>SUM(O530:O532)</f>
        <v>0</v>
      </c>
      <c r="P533" s="112">
        <f>SUM(P530:P532)</f>
        <v>0</v>
      </c>
      <c r="Q533" s="112">
        <f>SUM(Q530:Q532)</f>
        <v>0</v>
      </c>
      <c r="R533" s="114">
        <f>SUM(R530:R532)</f>
        <v>0</v>
      </c>
      <c r="S533" s="115" t="str">
        <f t="array" ref="S533">IF(ISERROR(Q533/J533),"",Q533/J533)</f>
        <v/>
      </c>
      <c r="T533" s="115" t="str">
        <f t="array" ref="T533">IF(ISERROR((O533:P533)/C533),"",SUM(O533:P533)/C533)</f>
        <v/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448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7">
      <c r="B551" s="121"/>
      <c r="G551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X5:X6"/>
    <mergeCell ref="Y5:Y6"/>
    <mergeCell ref="Z5:Z6"/>
    <mergeCell ref="AA5:AA6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63:F163"/>
    <mergeCell ref="A164:A169"/>
    <mergeCell ref="C164:D164"/>
    <mergeCell ref="E164:F164"/>
    <mergeCell ref="G164:H164"/>
    <mergeCell ref="I164:J164"/>
    <mergeCell ref="A121:B121"/>
    <mergeCell ref="A137:B137"/>
    <mergeCell ref="A147:B147"/>
    <mergeCell ref="A162:B162"/>
    <mergeCell ref="E166:F166"/>
    <mergeCell ref="G166:H166"/>
    <mergeCell ref="I166:J166"/>
    <mergeCell ref="C168:D168"/>
    <mergeCell ref="E168:F168"/>
    <mergeCell ref="G168:H168"/>
    <mergeCell ref="I168:J168"/>
    <mergeCell ref="V164:W164"/>
    <mergeCell ref="X164:Y164"/>
    <mergeCell ref="Z164:AA164"/>
    <mergeCell ref="C165:D165"/>
    <mergeCell ref="E165:F165"/>
    <mergeCell ref="G165:H165"/>
    <mergeCell ref="I165:J165"/>
    <mergeCell ref="K165:L165"/>
    <mergeCell ref="M165:N165"/>
    <mergeCell ref="P165:Q165"/>
    <mergeCell ref="K164:L164"/>
    <mergeCell ref="M164:N164"/>
    <mergeCell ref="O164:O172"/>
    <mergeCell ref="P164:Q164"/>
    <mergeCell ref="R164:S164"/>
    <mergeCell ref="T164:U164"/>
    <mergeCell ref="R165:S165"/>
    <mergeCell ref="T165:U165"/>
    <mergeCell ref="R166:S166"/>
    <mergeCell ref="T166:U166"/>
    <mergeCell ref="V165:W165"/>
    <mergeCell ref="X165:Y165"/>
    <mergeCell ref="Z165:AA165"/>
    <mergeCell ref="C166:D166"/>
    <mergeCell ref="K166:L166"/>
    <mergeCell ref="M166:N166"/>
    <mergeCell ref="P166:Q166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2:W172"/>
    <mergeCell ref="X172:Y172"/>
    <mergeCell ref="Z172:AA172"/>
    <mergeCell ref="A174:A176"/>
    <mergeCell ref="B174:B176"/>
    <mergeCell ref="C174:C176"/>
    <mergeCell ref="D174:D176"/>
    <mergeCell ref="E174:E176"/>
    <mergeCell ref="F174:F176"/>
    <mergeCell ref="G174:H175"/>
    <mergeCell ref="Z175:Z176"/>
    <mergeCell ref="AA175:AA176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O174:U174"/>
    <mergeCell ref="V174:V176"/>
    <mergeCell ref="W174:W176"/>
    <mergeCell ref="A307:B307"/>
    <mergeCell ref="A317:B317"/>
    <mergeCell ref="A332:B332"/>
    <mergeCell ref="U175:U176"/>
    <mergeCell ref="X175:X176"/>
    <mergeCell ref="Y175:Y176"/>
    <mergeCell ref="A198:B198"/>
    <mergeCell ref="I174:I176"/>
    <mergeCell ref="J174:J176"/>
    <mergeCell ref="K174:K176"/>
    <mergeCell ref="L174:L176"/>
    <mergeCell ref="M174:M176"/>
    <mergeCell ref="N174:N176"/>
    <mergeCell ref="X174:AA174"/>
    <mergeCell ref="O175:O176"/>
    <mergeCell ref="P175:P176"/>
    <mergeCell ref="Q175:Q176"/>
    <mergeCell ref="R175:R176"/>
    <mergeCell ref="S175:S176"/>
    <mergeCell ref="T175:T176"/>
    <mergeCell ref="A256:B256"/>
    <mergeCell ref="A291:B291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C337:D337"/>
    <mergeCell ref="E337:F337"/>
    <mergeCell ref="G337:H337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4:C346"/>
    <mergeCell ref="D344:D346"/>
    <mergeCell ref="E344:E346"/>
    <mergeCell ref="X344:AA344"/>
    <mergeCell ref="O345:O346"/>
    <mergeCell ref="P345:P346"/>
    <mergeCell ref="Q345:Q346"/>
    <mergeCell ref="R345:R346"/>
    <mergeCell ref="F344:F346"/>
    <mergeCell ref="G344:H345"/>
    <mergeCell ref="I344:I346"/>
    <mergeCell ref="J344:J346"/>
    <mergeCell ref="K344:K346"/>
    <mergeCell ref="L344:L346"/>
    <mergeCell ref="A503:B503"/>
    <mergeCell ref="A504:F504"/>
    <mergeCell ref="A505:A510"/>
    <mergeCell ref="C505:D505"/>
    <mergeCell ref="E505:F505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A344:A346"/>
    <mergeCell ref="B344:B346"/>
    <mergeCell ref="R505:S505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G505:H505"/>
    <mergeCell ref="I505:J505"/>
    <mergeCell ref="K505:L505"/>
    <mergeCell ref="M505:N505"/>
    <mergeCell ref="O505:O513"/>
    <mergeCell ref="P505:Q505"/>
    <mergeCell ref="M506:N506"/>
    <mergeCell ref="P506:Q506"/>
    <mergeCell ref="M507:N507"/>
    <mergeCell ref="P507:Q507"/>
    <mergeCell ref="R506:S506"/>
    <mergeCell ref="T506:U506"/>
    <mergeCell ref="V506:W506"/>
    <mergeCell ref="X506:Y506"/>
    <mergeCell ref="Z506:AA506"/>
    <mergeCell ref="C507:D507"/>
    <mergeCell ref="E507:F507"/>
    <mergeCell ref="G507:H507"/>
    <mergeCell ref="I507:J507"/>
    <mergeCell ref="K507:L507"/>
    <mergeCell ref="R507:S507"/>
    <mergeCell ref="T507:U507"/>
    <mergeCell ref="V507:W507"/>
    <mergeCell ref="X507:Y507"/>
    <mergeCell ref="Z507:AA507"/>
    <mergeCell ref="C508:D508"/>
    <mergeCell ref="E508:F508"/>
    <mergeCell ref="G508:H508"/>
    <mergeCell ref="I508:J508"/>
    <mergeCell ref="K508:L508"/>
    <mergeCell ref="Z508:AA508"/>
    <mergeCell ref="C509:D509"/>
    <mergeCell ref="E509:F509"/>
    <mergeCell ref="G509:H509"/>
    <mergeCell ref="I509:J509"/>
    <mergeCell ref="K509:L509"/>
    <mergeCell ref="M509:N509"/>
    <mergeCell ref="P509:Q509"/>
    <mergeCell ref="R509:S509"/>
    <mergeCell ref="T509:U509"/>
    <mergeCell ref="M508:N508"/>
    <mergeCell ref="P508:Q508"/>
    <mergeCell ref="R508:S508"/>
    <mergeCell ref="T508:U508"/>
    <mergeCell ref="V508:W508"/>
    <mergeCell ref="X508:Y508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T512:U512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33:B533"/>
    <mergeCell ref="Q527:R527"/>
    <mergeCell ref="S527:T527"/>
    <mergeCell ref="A529:B529"/>
    <mergeCell ref="A530:B530"/>
    <mergeCell ref="A531:B531"/>
    <mergeCell ref="A532:B532"/>
    <mergeCell ref="A527:B527"/>
    <mergeCell ref="C527:D527"/>
    <mergeCell ref="E527:F527"/>
    <mergeCell ref="I527:J527"/>
    <mergeCell ref="K527:L527"/>
    <mergeCell ref="M527:N527"/>
    <mergeCell ref="O527:P527"/>
  </mergeCells>
  <phoneticPr fontId="4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67"/>
  <sheetViews>
    <sheetView topLeftCell="BW151" zoomScaleNormal="100" workbookViewId="0">
      <selection activeCell="F484" sqref="F484"/>
    </sheetView>
  </sheetViews>
  <sheetFormatPr defaultRowHeight="15.75"/>
  <cols>
    <col min="1" max="1" width="9.75" style="121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1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328" t="s">
        <v>500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0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708" t="s">
        <v>23</v>
      </c>
      <c r="B2" s="708"/>
      <c r="C2" s="708"/>
      <c r="D2" s="708"/>
      <c r="E2" s="708"/>
      <c r="F2" s="708"/>
      <c r="G2" s="708"/>
      <c r="H2" s="708"/>
      <c r="I2" s="708"/>
      <c r="J2" s="708"/>
      <c r="K2" s="708"/>
      <c r="L2" s="708"/>
      <c r="M2" s="708"/>
      <c r="N2" s="708"/>
      <c r="O2" s="708"/>
      <c r="P2" s="708"/>
      <c r="Q2" s="708"/>
      <c r="R2" s="708"/>
      <c r="S2" s="708"/>
      <c r="T2" s="708"/>
      <c r="U2" s="708"/>
      <c r="V2" s="708"/>
      <c r="W2" s="708"/>
      <c r="X2" s="708"/>
      <c r="Y2" s="708"/>
      <c r="Z2" s="708"/>
      <c r="AA2" s="708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29" t="s">
        <v>501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656" t="s">
        <v>502</v>
      </c>
      <c r="B4" s="709" t="s">
        <v>25</v>
      </c>
      <c r="C4" s="709" t="s">
        <v>26</v>
      </c>
      <c r="D4" s="709" t="s">
        <v>27</v>
      </c>
      <c r="E4" s="712" t="s">
        <v>28</v>
      </c>
      <c r="F4" s="715" t="s">
        <v>29</v>
      </c>
      <c r="G4" s="718" t="s">
        <v>30</v>
      </c>
      <c r="H4" s="718"/>
      <c r="I4" s="709" t="s">
        <v>31</v>
      </c>
      <c r="J4" s="719" t="s">
        <v>32</v>
      </c>
      <c r="K4" s="730" t="s">
        <v>33</v>
      </c>
      <c r="L4" s="709" t="s">
        <v>34</v>
      </c>
      <c r="M4" s="733" t="s">
        <v>35</v>
      </c>
      <c r="N4" s="727" t="s">
        <v>36</v>
      </c>
      <c r="O4" s="718" t="s">
        <v>37</v>
      </c>
      <c r="P4" s="718"/>
      <c r="Q4" s="718"/>
      <c r="R4" s="718"/>
      <c r="S4" s="718"/>
      <c r="T4" s="718"/>
      <c r="U4" s="718"/>
      <c r="V4" s="735" t="s">
        <v>38</v>
      </c>
      <c r="W4" s="727" t="s">
        <v>39</v>
      </c>
      <c r="X4" s="718" t="s">
        <v>40</v>
      </c>
      <c r="Y4" s="718"/>
      <c r="Z4" s="718"/>
      <c r="AA4" s="718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657"/>
      <c r="B5" s="710"/>
      <c r="C5" s="710"/>
      <c r="D5" s="710"/>
      <c r="E5" s="713"/>
      <c r="F5" s="716"/>
      <c r="G5" s="718"/>
      <c r="H5" s="718"/>
      <c r="I5" s="710"/>
      <c r="J5" s="720"/>
      <c r="K5" s="731"/>
      <c r="L5" s="710"/>
      <c r="M5" s="734"/>
      <c r="N5" s="727"/>
      <c r="O5" s="718" t="s">
        <v>41</v>
      </c>
      <c r="P5" s="718" t="s">
        <v>42</v>
      </c>
      <c r="Q5" s="718" t="s">
        <v>43</v>
      </c>
      <c r="R5" s="728" t="s">
        <v>44</v>
      </c>
      <c r="S5" s="729" t="s">
        <v>45</v>
      </c>
      <c r="T5" s="718" t="s">
        <v>46</v>
      </c>
      <c r="U5" s="718" t="s">
        <v>47</v>
      </c>
      <c r="V5" s="735"/>
      <c r="W5" s="727"/>
      <c r="X5" s="718" t="s">
        <v>13</v>
      </c>
      <c r="Y5" s="718" t="s">
        <v>48</v>
      </c>
      <c r="Z5" s="718" t="s">
        <v>49</v>
      </c>
      <c r="AA5" s="718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658"/>
      <c r="B6" s="711"/>
      <c r="C6" s="711"/>
      <c r="D6" s="711"/>
      <c r="E6" s="714"/>
      <c r="F6" s="717"/>
      <c r="G6" s="358" t="s">
        <v>50</v>
      </c>
      <c r="H6" s="358" t="s">
        <v>51</v>
      </c>
      <c r="I6" s="711"/>
      <c r="J6" s="721"/>
      <c r="K6" s="732"/>
      <c r="L6" s="711"/>
      <c r="M6" s="734"/>
      <c r="N6" s="727"/>
      <c r="O6" s="718"/>
      <c r="P6" s="718"/>
      <c r="Q6" s="718"/>
      <c r="R6" s="728"/>
      <c r="S6" s="729"/>
      <c r="T6" s="718"/>
      <c r="U6" s="718"/>
      <c r="V6" s="735"/>
      <c r="W6" s="727"/>
      <c r="X6" s="718"/>
      <c r="Y6" s="718"/>
      <c r="Z6" s="718"/>
      <c r="AA6" s="718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31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SUM('3:4'!G7)</f>
        <v>0</v>
      </c>
      <c r="H7" s="95">
        <f t="shared" ref="H7:H24" si="0">D7*G7</f>
        <v>0</v>
      </c>
      <c r="I7" s="93">
        <f>SUM('3:4'!I7)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SUM('3:4'!N7)</f>
        <v>0</v>
      </c>
      <c r="O7" s="93">
        <f>SUM('3:4'!O7)</f>
        <v>0</v>
      </c>
      <c r="P7" s="93">
        <f>SUM('3:4'!P7)</f>
        <v>0</v>
      </c>
      <c r="Q7" s="93">
        <f>SUM('3:4'!Q7)</f>
        <v>0</v>
      </c>
      <c r="R7" s="93">
        <f>SUM('3:4'!R7)</f>
        <v>0</v>
      </c>
      <c r="S7" s="93">
        <f>SUM('3:4'!S7)</f>
        <v>0</v>
      </c>
      <c r="T7" s="93">
        <f>SUM('3:4'!T7)</f>
        <v>0</v>
      </c>
      <c r="U7" s="93">
        <f>SUM('3:4'!U7)</f>
        <v>0</v>
      </c>
      <c r="V7" s="205">
        <f t="shared" ref="V7:V27" si="2">SUM(X7:AA7)</f>
        <v>0</v>
      </c>
      <c r="W7" s="33" t="str">
        <f t="shared" ref="W7:W16" si="3">IF(ISERROR(V7/G7),"",V7/G7)</f>
        <v/>
      </c>
      <c r="X7" s="93">
        <f>SUM('3:4'!X7)</f>
        <v>0</v>
      </c>
      <c r="Y7" s="93">
        <f>SUM('3:4'!Y7)</f>
        <v>0</v>
      </c>
      <c r="Z7" s="93">
        <f>SUM('3:4'!Z7)</f>
        <v>0</v>
      </c>
      <c r="AA7" s="93">
        <f>SUM('3:4'!AA7)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300"/>
      <c r="B8" s="62" t="s">
        <v>54</v>
      </c>
      <c r="C8" s="16" t="s">
        <v>53</v>
      </c>
      <c r="D8" s="17">
        <v>5.03</v>
      </c>
      <c r="E8" s="17"/>
      <c r="F8" s="6"/>
      <c r="G8" s="93">
        <f>SUM('3:4'!G8)</f>
        <v>0</v>
      </c>
      <c r="H8" s="95">
        <f t="shared" si="0"/>
        <v>0</v>
      </c>
      <c r="I8" s="93">
        <f>SUM('3:4'!I8)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SUM('3:4'!N8)</f>
        <v>0</v>
      </c>
      <c r="O8" s="93">
        <f>SUM('3:4'!O8)</f>
        <v>0</v>
      </c>
      <c r="P8" s="93">
        <f>SUM('3:4'!P8)</f>
        <v>0</v>
      </c>
      <c r="Q8" s="93">
        <f>SUM('3:4'!Q8)</f>
        <v>0</v>
      </c>
      <c r="R8" s="93">
        <f>SUM('3:4'!R8)</f>
        <v>0</v>
      </c>
      <c r="S8" s="93">
        <f>SUM('3:4'!S8)</f>
        <v>0</v>
      </c>
      <c r="T8" s="93">
        <f>SUM('3:4'!T8)</f>
        <v>0</v>
      </c>
      <c r="U8" s="93">
        <f>SUM('3:4'!U8)</f>
        <v>0</v>
      </c>
      <c r="V8" s="205">
        <f t="shared" si="2"/>
        <v>0</v>
      </c>
      <c r="W8" s="33" t="str">
        <f t="shared" si="3"/>
        <v/>
      </c>
      <c r="X8" s="93">
        <f>SUM('3:4'!X8)</f>
        <v>0</v>
      </c>
      <c r="Y8" s="93">
        <f>SUM('3:4'!Y8)</f>
        <v>0</v>
      </c>
      <c r="Z8" s="93">
        <f>SUM('3:4'!Z8)</f>
        <v>0</v>
      </c>
      <c r="AA8" s="93">
        <f>SUM('3:4'!AA8)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301"/>
      <c r="B9" s="62" t="s">
        <v>54</v>
      </c>
      <c r="C9" s="16" t="s">
        <v>55</v>
      </c>
      <c r="D9" s="17">
        <v>5.03</v>
      </c>
      <c r="E9" s="17"/>
      <c r="F9" s="6"/>
      <c r="G9" s="93">
        <f>SUM('3:4'!G9)</f>
        <v>0</v>
      </c>
      <c r="H9" s="95">
        <f t="shared" si="0"/>
        <v>0</v>
      </c>
      <c r="I9" s="93">
        <f>SUM('3:4'!I9)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SUM('3:4'!N9)</f>
        <v>0</v>
      </c>
      <c r="O9" s="93">
        <f>SUM('3:4'!O9)</f>
        <v>0</v>
      </c>
      <c r="P9" s="93">
        <f>SUM('3:4'!P9)</f>
        <v>0</v>
      </c>
      <c r="Q9" s="93">
        <f>SUM('3:4'!Q9)</f>
        <v>0</v>
      </c>
      <c r="R9" s="93">
        <f>SUM('3:4'!R9)</f>
        <v>0</v>
      </c>
      <c r="S9" s="93">
        <f>SUM('3:4'!S9)</f>
        <v>0</v>
      </c>
      <c r="T9" s="93">
        <f>SUM('3:4'!T9)</f>
        <v>0</v>
      </c>
      <c r="U9" s="93">
        <f>SUM('3:4'!U9)</f>
        <v>0</v>
      </c>
      <c r="V9" s="205">
        <f t="shared" si="2"/>
        <v>0</v>
      </c>
      <c r="W9" s="33" t="str">
        <f t="shared" si="3"/>
        <v/>
      </c>
      <c r="X9" s="93">
        <f>SUM('3:4'!X9)</f>
        <v>0</v>
      </c>
      <c r="Y9" s="93">
        <f>SUM('3:4'!Y9)</f>
        <v>0</v>
      </c>
      <c r="Z9" s="93">
        <f>SUM('3:4'!Z9)</f>
        <v>0</v>
      </c>
      <c r="AA9" s="93">
        <f>SUM('3:4'!AA9)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31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SUM('3:4'!G10)</f>
        <v>0</v>
      </c>
      <c r="H10" s="95">
        <f t="shared" si="0"/>
        <v>0</v>
      </c>
      <c r="I10" s="93">
        <f>SUM('3:4'!I10)</f>
        <v>0</v>
      </c>
      <c r="J10" s="31" t="str">
        <f t="array" ref="J10">IF(ISERROR(G10/I10),"",G10/I10)</f>
        <v/>
      </c>
      <c r="K10" s="35">
        <f t="array" ref="K10">IF(ISERROR(G10/L10),"",G10/L10)</f>
        <v>0</v>
      </c>
      <c r="L10" s="87">
        <v>19</v>
      </c>
      <c r="M10" s="36">
        <f t="shared" si="1"/>
        <v>0</v>
      </c>
      <c r="N10" s="93">
        <f>SUM('3:4'!N10)</f>
        <v>0</v>
      </c>
      <c r="O10" s="93">
        <f>SUM('3:4'!O10)</f>
        <v>0</v>
      </c>
      <c r="P10" s="93">
        <f>SUM('3:4'!P10)</f>
        <v>0</v>
      </c>
      <c r="Q10" s="93">
        <f>SUM('3:4'!Q10)</f>
        <v>0</v>
      </c>
      <c r="R10" s="93">
        <f>SUM('3:4'!R10)</f>
        <v>0</v>
      </c>
      <c r="S10" s="93">
        <f>SUM('3:4'!S10)</f>
        <v>0</v>
      </c>
      <c r="T10" s="93">
        <f>SUM('3:4'!T10)</f>
        <v>0</v>
      </c>
      <c r="U10" s="93">
        <f>SUM('3:4'!U10)</f>
        <v>0</v>
      </c>
      <c r="V10" s="205">
        <f t="shared" si="2"/>
        <v>0</v>
      </c>
      <c r="W10" s="33" t="str">
        <f t="shared" si="3"/>
        <v/>
      </c>
      <c r="X10" s="93">
        <f>SUM('3:4'!X10)</f>
        <v>0</v>
      </c>
      <c r="Y10" s="93">
        <f>SUM('3:4'!Y10)</f>
        <v>0</v>
      </c>
      <c r="Z10" s="93">
        <f>SUM('3:4'!Z10)</f>
        <v>0</v>
      </c>
      <c r="AA10" s="93">
        <f>SUM('3:4'!AA10)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31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SUM('3:4'!G11)</f>
        <v>0</v>
      </c>
      <c r="H11" s="95">
        <f t="shared" si="0"/>
        <v>0</v>
      </c>
      <c r="I11" s="93">
        <f>SUM('3:4'!I11)</f>
        <v>0</v>
      </c>
      <c r="J11" s="31" t="str">
        <f t="array" ref="J11">IF(ISERROR(G11/I11),"",G11/I11)</f>
        <v/>
      </c>
      <c r="K11" s="35">
        <f t="array" ref="K11">IF(ISERROR(G11/L11),"",G11/L11)</f>
        <v>0</v>
      </c>
      <c r="L11" s="87">
        <v>20</v>
      </c>
      <c r="M11" s="36">
        <f t="shared" si="1"/>
        <v>0</v>
      </c>
      <c r="N11" s="93">
        <f>SUM('3:4'!N11)</f>
        <v>0</v>
      </c>
      <c r="O11" s="93">
        <f>SUM('3:4'!O11)</f>
        <v>0</v>
      </c>
      <c r="P11" s="93">
        <f>SUM('3:4'!P11)</f>
        <v>0</v>
      </c>
      <c r="Q11" s="93">
        <f>SUM('3:4'!Q11)</f>
        <v>0</v>
      </c>
      <c r="R11" s="93">
        <f>SUM('3:4'!R11)</f>
        <v>0</v>
      </c>
      <c r="S11" s="93">
        <f>SUM('3:4'!S11)</f>
        <v>0</v>
      </c>
      <c r="T11" s="93">
        <f>SUM('3:4'!T11)</f>
        <v>0</v>
      </c>
      <c r="U11" s="93">
        <f>SUM('3:4'!U11)</f>
        <v>0</v>
      </c>
      <c r="V11" s="205">
        <f t="shared" si="2"/>
        <v>0</v>
      </c>
      <c r="W11" s="33" t="str">
        <f t="shared" si="3"/>
        <v/>
      </c>
      <c r="X11" s="93">
        <f>SUM('3:4'!X11)</f>
        <v>0</v>
      </c>
      <c r="Y11" s="93">
        <f>SUM('3:4'!Y11)</f>
        <v>0</v>
      </c>
      <c r="Z11" s="93">
        <f>SUM('3:4'!Z11)</f>
        <v>0</v>
      </c>
      <c r="AA11" s="93">
        <f>SUM('3:4'!AA11)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31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SUM('3:4'!G12)</f>
        <v>0</v>
      </c>
      <c r="H12" s="95">
        <f t="shared" si="0"/>
        <v>0</v>
      </c>
      <c r="I12" s="93">
        <f>SUM('3:4'!I12)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SUM('3:4'!N12)</f>
        <v>0</v>
      </c>
      <c r="O12" s="93">
        <f>SUM('3:4'!O12)</f>
        <v>0</v>
      </c>
      <c r="P12" s="93">
        <f>SUM('3:4'!P12)</f>
        <v>0</v>
      </c>
      <c r="Q12" s="93">
        <f>SUM('3:4'!Q12)</f>
        <v>0</v>
      </c>
      <c r="R12" s="93">
        <f>SUM('3:4'!R12)</f>
        <v>0</v>
      </c>
      <c r="S12" s="93">
        <f>SUM('3:4'!S12)</f>
        <v>0</v>
      </c>
      <c r="T12" s="93">
        <f>SUM('3:4'!T12)</f>
        <v>0</v>
      </c>
      <c r="U12" s="93">
        <f>SUM('3:4'!U12)</f>
        <v>0</v>
      </c>
      <c r="V12" s="205">
        <f t="shared" si="2"/>
        <v>0</v>
      </c>
      <c r="W12" s="33" t="str">
        <f t="shared" si="3"/>
        <v/>
      </c>
      <c r="X12" s="93">
        <f>SUM('3:4'!X12)</f>
        <v>0</v>
      </c>
      <c r="Y12" s="93">
        <f>SUM('3:4'!Y12)</f>
        <v>0</v>
      </c>
      <c r="Z12" s="93">
        <f>SUM('3:4'!Z12)</f>
        <v>0</v>
      </c>
      <c r="AA12" s="93">
        <f>SUM('3:4'!AA12)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33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SUM('3:4'!G13)</f>
        <v>0</v>
      </c>
      <c r="H13" s="95">
        <f t="shared" si="0"/>
        <v>0</v>
      </c>
      <c r="I13" s="93">
        <f>SUM('3:4'!I13)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SUM('3:4'!N13)</f>
        <v>0</v>
      </c>
      <c r="O13" s="93">
        <f>SUM('3:4'!O13)</f>
        <v>0</v>
      </c>
      <c r="P13" s="93">
        <f>SUM('3:4'!P13)</f>
        <v>0</v>
      </c>
      <c r="Q13" s="93">
        <f>SUM('3:4'!Q13)</f>
        <v>0</v>
      </c>
      <c r="R13" s="93">
        <f>SUM('3:4'!R13)</f>
        <v>0</v>
      </c>
      <c r="S13" s="93">
        <f>SUM('3:4'!S13)</f>
        <v>0</v>
      </c>
      <c r="T13" s="93">
        <f>SUM('3:4'!T13)</f>
        <v>0</v>
      </c>
      <c r="U13" s="93">
        <f>SUM('3:4'!U13)</f>
        <v>0</v>
      </c>
      <c r="V13" s="205">
        <f t="shared" si="2"/>
        <v>0</v>
      </c>
      <c r="W13" s="33" t="str">
        <f t="shared" si="3"/>
        <v/>
      </c>
      <c r="X13" s="93">
        <f>SUM('3:4'!X13)</f>
        <v>0</v>
      </c>
      <c r="Y13" s="93">
        <f>SUM('3:4'!Y13)</f>
        <v>0</v>
      </c>
      <c r="Z13" s="93">
        <f>SUM('3:4'!Z13)</f>
        <v>0</v>
      </c>
      <c r="AA13" s="93">
        <f>SUM('3:4'!AA13)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30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SUM('3:4'!G14)</f>
        <v>0</v>
      </c>
      <c r="H14" s="95">
        <f t="shared" si="0"/>
        <v>0</v>
      </c>
      <c r="I14" s="93">
        <f>SUM('3:4'!I14)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SUM('3:4'!N14)</f>
        <v>0</v>
      </c>
      <c r="O14" s="93">
        <f>SUM('3:4'!O14)</f>
        <v>0</v>
      </c>
      <c r="P14" s="93">
        <f>SUM('3:4'!P14)</f>
        <v>0</v>
      </c>
      <c r="Q14" s="93">
        <f>SUM('3:4'!Q14)</f>
        <v>0</v>
      </c>
      <c r="R14" s="93">
        <f>SUM('3:4'!R14)</f>
        <v>0</v>
      </c>
      <c r="S14" s="93">
        <f>SUM('3:4'!S14)</f>
        <v>0</v>
      </c>
      <c r="T14" s="93">
        <f>SUM('3:4'!T14)</f>
        <v>0</v>
      </c>
      <c r="U14" s="93">
        <f>SUM('3:4'!U14)</f>
        <v>0</v>
      </c>
      <c r="V14" s="205">
        <f t="shared" si="2"/>
        <v>0</v>
      </c>
      <c r="W14" s="33" t="str">
        <f t="shared" si="3"/>
        <v/>
      </c>
      <c r="X14" s="93">
        <f>SUM('3:4'!X14)</f>
        <v>0</v>
      </c>
      <c r="Y14" s="93">
        <f>SUM('3:4'!Y14)</f>
        <v>0</v>
      </c>
      <c r="Z14" s="93">
        <f>SUM('3:4'!Z14)</f>
        <v>0</v>
      </c>
      <c r="AA14" s="93">
        <f>SUM('3:4'!AA14)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300">
        <v>30200006</v>
      </c>
      <c r="B15" s="265" t="s">
        <v>62</v>
      </c>
      <c r="C15" s="16" t="s">
        <v>63</v>
      </c>
      <c r="D15" s="17">
        <v>5.04</v>
      </c>
      <c r="E15" s="17"/>
      <c r="F15" s="79"/>
      <c r="G15" s="93">
        <f>SUM('3:4'!G15)</f>
        <v>0</v>
      </c>
      <c r="H15" s="95">
        <f t="shared" si="0"/>
        <v>0</v>
      </c>
      <c r="I15" s="93">
        <f>SUM('3:4'!I15)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SUM('3:4'!N15)</f>
        <v>0</v>
      </c>
      <c r="O15" s="93">
        <f>SUM('3:4'!O15)</f>
        <v>0</v>
      </c>
      <c r="P15" s="93">
        <f>SUM('3:4'!P15)</f>
        <v>0</v>
      </c>
      <c r="Q15" s="93">
        <f>SUM('3:4'!Q15)</f>
        <v>0</v>
      </c>
      <c r="R15" s="93">
        <f>SUM('3:4'!R15)</f>
        <v>0</v>
      </c>
      <c r="S15" s="93">
        <f>SUM('3:4'!S15)</f>
        <v>0</v>
      </c>
      <c r="T15" s="93">
        <f>SUM('3:4'!T15)</f>
        <v>0</v>
      </c>
      <c r="U15" s="93">
        <f>SUM('3:4'!U15)</f>
        <v>0</v>
      </c>
      <c r="V15" s="205">
        <f t="shared" si="2"/>
        <v>0</v>
      </c>
      <c r="W15" s="33" t="str">
        <f t="shared" si="3"/>
        <v/>
      </c>
      <c r="X15" s="93">
        <f>SUM('3:4'!X15)</f>
        <v>0</v>
      </c>
      <c r="Y15" s="93">
        <f>SUM('3:4'!Y15)</f>
        <v>0</v>
      </c>
      <c r="Z15" s="93">
        <f>SUM('3:4'!Z15)</f>
        <v>0</v>
      </c>
      <c r="AA15" s="93">
        <f>SUM('3:4'!AA15)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300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SUM('3:4'!G16)</f>
        <v>0</v>
      </c>
      <c r="H16" s="95">
        <f t="shared" si="0"/>
        <v>0</v>
      </c>
      <c r="I16" s="93">
        <f>SUM('3:4'!I16)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87">
        <v>17</v>
      </c>
      <c r="M16" s="36">
        <f t="shared" si="1"/>
        <v>0</v>
      </c>
      <c r="N16" s="93">
        <f>SUM('3:4'!N16)</f>
        <v>0</v>
      </c>
      <c r="O16" s="93">
        <f>SUM('3:4'!O16)</f>
        <v>0</v>
      </c>
      <c r="P16" s="93">
        <f>SUM('3:4'!P16)</f>
        <v>0</v>
      </c>
      <c r="Q16" s="93">
        <f>SUM('3:4'!Q16)</f>
        <v>0</v>
      </c>
      <c r="R16" s="93">
        <f>SUM('3:4'!R16)</f>
        <v>0</v>
      </c>
      <c r="S16" s="93">
        <f>SUM('3:4'!S16)</f>
        <v>0</v>
      </c>
      <c r="T16" s="93">
        <f>SUM('3:4'!T16)</f>
        <v>0</v>
      </c>
      <c r="U16" s="93">
        <f>SUM('3:4'!U16)</f>
        <v>0</v>
      </c>
      <c r="V16" s="205">
        <f t="shared" si="2"/>
        <v>0</v>
      </c>
      <c r="W16" s="33" t="str">
        <f t="shared" si="3"/>
        <v/>
      </c>
      <c r="X16" s="93">
        <f>SUM('3:4'!X16)</f>
        <v>0</v>
      </c>
      <c r="Y16" s="93">
        <f>SUM('3:4'!Y16)</f>
        <v>0</v>
      </c>
      <c r="Z16" s="93">
        <f>SUM('3:4'!Z16)</f>
        <v>0</v>
      </c>
      <c r="AA16" s="93">
        <f>SUM('3:4'!AA16)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302">
        <v>30100063</v>
      </c>
      <c r="B17" s="192" t="s">
        <v>191</v>
      </c>
      <c r="C17" s="16" t="s">
        <v>172</v>
      </c>
      <c r="D17" s="17"/>
      <c r="E17" s="17"/>
      <c r="F17" s="6"/>
      <c r="G17" s="93">
        <f>SUM('3:4'!G17)</f>
        <v>0</v>
      </c>
      <c r="H17" s="95">
        <f t="shared" si="0"/>
        <v>0</v>
      </c>
      <c r="I17" s="93">
        <f>SUM('3:4'!I17)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>IF(ISERROR(I17-K17),"",I17-K17)</f>
        <v>0</v>
      </c>
      <c r="N17" s="93">
        <f>SUM('3:4'!N17)</f>
        <v>0</v>
      </c>
      <c r="O17" s="93">
        <f>SUM('3:4'!O17)</f>
        <v>0</v>
      </c>
      <c r="P17" s="93">
        <f>SUM('3:4'!P17)</f>
        <v>0</v>
      </c>
      <c r="Q17" s="93">
        <f>SUM('3:4'!Q17)</f>
        <v>0</v>
      </c>
      <c r="R17" s="93">
        <f>SUM('3:4'!R17)</f>
        <v>0</v>
      </c>
      <c r="S17" s="93">
        <f>SUM('3:4'!S17)</f>
        <v>0</v>
      </c>
      <c r="T17" s="93">
        <f>SUM('3:4'!T17)</f>
        <v>0</v>
      </c>
      <c r="U17" s="93">
        <f>SUM('3:4'!U17)</f>
        <v>0</v>
      </c>
      <c r="V17" s="205">
        <f t="shared" si="2"/>
        <v>0</v>
      </c>
      <c r="W17" s="33" t="str">
        <f>IF(ISERROR(V17/G17),"",V17/G17)</f>
        <v/>
      </c>
      <c r="X17" s="93">
        <f>SUM('3:4'!X17)</f>
        <v>0</v>
      </c>
      <c r="Y17" s="93">
        <f>SUM('3:4'!Y17)</f>
        <v>0</v>
      </c>
      <c r="Z17" s="93">
        <f>SUM('3:4'!Z17)</f>
        <v>0</v>
      </c>
      <c r="AA17" s="93">
        <f>SUM('3:4'!AA17)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302">
        <v>30100061</v>
      </c>
      <c r="B18" s="62" t="s">
        <v>171</v>
      </c>
      <c r="C18" s="16" t="s">
        <v>173</v>
      </c>
      <c r="D18" s="17"/>
      <c r="E18" s="17"/>
      <c r="F18" s="6"/>
      <c r="G18" s="93">
        <f>SUM('3:4'!G18)</f>
        <v>0</v>
      </c>
      <c r="H18" s="95">
        <f t="shared" si="0"/>
        <v>0</v>
      </c>
      <c r="I18" s="93">
        <f>SUM('3:4'!I18)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>IF(ISERROR(I18-K18),"",I18-K18)</f>
        <v>0</v>
      </c>
      <c r="N18" s="93">
        <f>SUM('3:4'!N18)</f>
        <v>0</v>
      </c>
      <c r="O18" s="93">
        <f>SUM('3:4'!O18)</f>
        <v>0</v>
      </c>
      <c r="P18" s="93">
        <f>SUM('3:4'!P18)</f>
        <v>0</v>
      </c>
      <c r="Q18" s="93">
        <f>SUM('3:4'!Q18)</f>
        <v>0</v>
      </c>
      <c r="R18" s="93">
        <f>SUM('3:4'!R18)</f>
        <v>0</v>
      </c>
      <c r="S18" s="93">
        <f>SUM('3:4'!S18)</f>
        <v>0</v>
      </c>
      <c r="T18" s="93">
        <f>SUM('3:4'!T18)</f>
        <v>0</v>
      </c>
      <c r="U18" s="93">
        <f>SUM('3:4'!U18)</f>
        <v>0</v>
      </c>
      <c r="V18" s="205">
        <f t="shared" si="2"/>
        <v>0</v>
      </c>
      <c r="W18" s="33" t="str">
        <f>IF(ISERROR(V18/G18),"",V18/G18)</f>
        <v/>
      </c>
      <c r="X18" s="93">
        <f>SUM('3:4'!X18)</f>
        <v>0</v>
      </c>
      <c r="Y18" s="93">
        <f>SUM('3:4'!Y18)</f>
        <v>0</v>
      </c>
      <c r="Z18" s="93">
        <f>SUM('3:4'!Z18)</f>
        <v>0</v>
      </c>
      <c r="AA18" s="93">
        <f>SUM('3:4'!AA18)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300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SUM('3:4'!G19)</f>
        <v>0</v>
      </c>
      <c r="H19" s="95">
        <f t="shared" si="0"/>
        <v>0</v>
      </c>
      <c r="I19" s="93">
        <f>SUM('3:4'!I19)</f>
        <v>0</v>
      </c>
      <c r="J19" s="31" t="str">
        <f t="array" ref="J19">IF(ISERROR(G19/I19),"",G19/I19)</f>
        <v/>
      </c>
      <c r="K19" s="35">
        <f t="array" ref="K19">IF(ISERROR(G19/L19),"",G19/L19)</f>
        <v>0</v>
      </c>
      <c r="L19" s="87">
        <v>19</v>
      </c>
      <c r="M19" s="36">
        <f t="shared" ref="M19:M21" si="4">IF(ISERROR(I19-K19),"",I19-K19)</f>
        <v>0</v>
      </c>
      <c r="N19" s="93">
        <f>SUM('3:4'!N19)</f>
        <v>0</v>
      </c>
      <c r="O19" s="93">
        <f>SUM('3:4'!O19)</f>
        <v>0</v>
      </c>
      <c r="P19" s="93">
        <f>SUM('3:4'!P19)</f>
        <v>0</v>
      </c>
      <c r="Q19" s="93">
        <f>SUM('3:4'!Q19)</f>
        <v>0</v>
      </c>
      <c r="R19" s="93">
        <f>SUM('3:4'!R19)</f>
        <v>0</v>
      </c>
      <c r="S19" s="93">
        <f>SUM('3:4'!S19)</f>
        <v>0</v>
      </c>
      <c r="T19" s="93">
        <f>SUM('3:4'!T19)</f>
        <v>0</v>
      </c>
      <c r="U19" s="93">
        <f>SUM('3:4'!U19)</f>
        <v>0</v>
      </c>
      <c r="V19" s="205">
        <f t="shared" si="2"/>
        <v>0</v>
      </c>
      <c r="W19" s="33" t="str">
        <f t="shared" ref="W19:W21" si="5">IF(ISERROR(V19/G19),"",V19/G19)</f>
        <v/>
      </c>
      <c r="X19" s="93">
        <f>SUM('3:4'!X19)</f>
        <v>0</v>
      </c>
      <c r="Y19" s="93">
        <f>SUM('3:4'!Y19)</f>
        <v>0</v>
      </c>
      <c r="Z19" s="93">
        <f>SUM('3:4'!Z19)</f>
        <v>0</v>
      </c>
      <c r="AA19" s="93">
        <f>SUM('3:4'!AA19)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300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SUM('3:4'!G20)</f>
        <v>0</v>
      </c>
      <c r="H20" s="95">
        <f t="shared" si="0"/>
        <v>0</v>
      </c>
      <c r="I20" s="93">
        <f>SUM('3:4'!I20)</f>
        <v>0</v>
      </c>
      <c r="J20" s="31" t="str">
        <f t="array" ref="J20">IF(ISERROR(G20/I20),"",G20/I20)</f>
        <v/>
      </c>
      <c r="K20" s="35">
        <f t="array" ref="K20">IF(ISERROR(G20/L20),"",G20/L20)</f>
        <v>0</v>
      </c>
      <c r="L20" s="87">
        <v>23</v>
      </c>
      <c r="M20" s="36">
        <f t="shared" si="4"/>
        <v>0</v>
      </c>
      <c r="N20" s="93">
        <f>SUM('3:4'!N20)</f>
        <v>0</v>
      </c>
      <c r="O20" s="93">
        <f>SUM('3:4'!O20)</f>
        <v>0</v>
      </c>
      <c r="P20" s="93">
        <f>SUM('3:4'!P20)</f>
        <v>0</v>
      </c>
      <c r="Q20" s="93">
        <f>SUM('3:4'!Q20)</f>
        <v>0</v>
      </c>
      <c r="R20" s="93">
        <f>SUM('3:4'!R20)</f>
        <v>0</v>
      </c>
      <c r="S20" s="93">
        <f>SUM('3:4'!S20)</f>
        <v>0</v>
      </c>
      <c r="T20" s="93">
        <f>SUM('3:4'!T20)</f>
        <v>0</v>
      </c>
      <c r="U20" s="93">
        <f>SUM('3:4'!U20)</f>
        <v>0</v>
      </c>
      <c r="V20" s="205">
        <f t="shared" si="2"/>
        <v>0</v>
      </c>
      <c r="W20" s="33" t="str">
        <f t="shared" si="5"/>
        <v/>
      </c>
      <c r="X20" s="93">
        <f>SUM('3:4'!X20)</f>
        <v>0</v>
      </c>
      <c r="Y20" s="93">
        <f>SUM('3:4'!Y20)</f>
        <v>0</v>
      </c>
      <c r="Z20" s="93">
        <f>SUM('3:4'!Z20)</f>
        <v>0</v>
      </c>
      <c r="AA20" s="93">
        <f>SUM('3:4'!AA20)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300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SUM('3:4'!G21)</f>
        <v>0</v>
      </c>
      <c r="H21" s="95">
        <f t="shared" si="0"/>
        <v>0</v>
      </c>
      <c r="I21" s="93">
        <f>SUM('3:4'!I21)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4"/>
        <v>0</v>
      </c>
      <c r="N21" s="93">
        <f>SUM('3:4'!N21)</f>
        <v>0</v>
      </c>
      <c r="O21" s="93">
        <f>SUM('3:4'!O21)</f>
        <v>0</v>
      </c>
      <c r="P21" s="93">
        <f>SUM('3:4'!P21)</f>
        <v>0</v>
      </c>
      <c r="Q21" s="93">
        <f>SUM('3:4'!Q21)</f>
        <v>0</v>
      </c>
      <c r="R21" s="93">
        <f>SUM('3:4'!R21)</f>
        <v>0</v>
      </c>
      <c r="S21" s="93">
        <f>SUM('3:4'!S21)</f>
        <v>0</v>
      </c>
      <c r="T21" s="93">
        <f>SUM('3:4'!T21)</f>
        <v>0</v>
      </c>
      <c r="U21" s="93">
        <f>SUM('3:4'!U21)</f>
        <v>0</v>
      </c>
      <c r="V21" s="205">
        <f t="shared" si="2"/>
        <v>0</v>
      </c>
      <c r="W21" s="33" t="str">
        <f t="shared" si="5"/>
        <v/>
      </c>
      <c r="X21" s="93">
        <f>SUM('3:4'!X21)</f>
        <v>0</v>
      </c>
      <c r="Y21" s="93">
        <f>SUM('3:4'!Y21)</f>
        <v>0</v>
      </c>
      <c r="Z21" s="93">
        <f>SUM('3:4'!Z21)</f>
        <v>0</v>
      </c>
      <c r="AA21" s="93">
        <f>SUM('3:4'!AA21)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300">
        <v>30100003</v>
      </c>
      <c r="B22" s="64" t="s">
        <v>161</v>
      </c>
      <c r="C22" s="358" t="s">
        <v>64</v>
      </c>
      <c r="D22" s="17">
        <v>4.8</v>
      </c>
      <c r="E22" s="17"/>
      <c r="F22" s="6"/>
      <c r="G22" s="93">
        <f>SUM('3:4'!G22)</f>
        <v>0</v>
      </c>
      <c r="H22" s="95">
        <f t="shared" si="0"/>
        <v>0</v>
      </c>
      <c r="I22" s="93">
        <f>SUM('3:4'!I22)</f>
        <v>0</v>
      </c>
      <c r="J22" s="31"/>
      <c r="K22" s="35">
        <f t="array" ref="K22">IF(ISERROR(G22/L22),"",G22/L22)</f>
        <v>0</v>
      </c>
      <c r="L22" s="87">
        <v>4</v>
      </c>
      <c r="M22" s="36">
        <f>IF(ISERROR(I22-K22),"",I22-K22)</f>
        <v>0</v>
      </c>
      <c r="N22" s="93">
        <f>SUM('3:4'!N22)</f>
        <v>0</v>
      </c>
      <c r="O22" s="93">
        <f>SUM('3:4'!O22)</f>
        <v>0</v>
      </c>
      <c r="P22" s="93">
        <f>SUM('3:4'!P22)</f>
        <v>0</v>
      </c>
      <c r="Q22" s="93">
        <f>SUM('3:4'!Q22)</f>
        <v>0</v>
      </c>
      <c r="R22" s="93">
        <f>SUM('3:4'!R22)</f>
        <v>0</v>
      </c>
      <c r="S22" s="93">
        <f>SUM('3:4'!S22)</f>
        <v>0</v>
      </c>
      <c r="T22" s="93">
        <f>SUM('3:4'!T22)</f>
        <v>0</v>
      </c>
      <c r="U22" s="93">
        <f>SUM('3:4'!U22)</f>
        <v>0</v>
      </c>
      <c r="V22" s="205">
        <f t="shared" si="2"/>
        <v>0</v>
      </c>
      <c r="W22" s="33"/>
      <c r="X22" s="93">
        <f>SUM('3:4'!X22)</f>
        <v>0</v>
      </c>
      <c r="Y22" s="93">
        <f>SUM('3:4'!Y22)</f>
        <v>0</v>
      </c>
      <c r="Z22" s="93">
        <f>SUM('3:4'!Z22)</f>
        <v>0</v>
      </c>
      <c r="AA22" s="93">
        <f>SUM('3:4'!AA22)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300">
        <v>30100004</v>
      </c>
      <c r="B23" s="64" t="s">
        <v>161</v>
      </c>
      <c r="C23" s="358" t="s">
        <v>61</v>
      </c>
      <c r="D23" s="17">
        <v>4.8</v>
      </c>
      <c r="E23" s="17"/>
      <c r="F23" s="6"/>
      <c r="G23" s="93">
        <f>SUM('3:4'!G23)</f>
        <v>0</v>
      </c>
      <c r="H23" s="95">
        <f t="shared" si="0"/>
        <v>0</v>
      </c>
      <c r="I23" s="93">
        <f>SUM('3:4'!I23)</f>
        <v>0</v>
      </c>
      <c r="J23" s="31"/>
      <c r="K23" s="35">
        <f t="array" ref="K23">IF(ISERROR(G23/L23),"",G23/L23)</f>
        <v>0</v>
      </c>
      <c r="L23" s="87">
        <v>4</v>
      </c>
      <c r="M23" s="36">
        <f>IF(ISERROR(I23-K23),"",I23-K23)</f>
        <v>0</v>
      </c>
      <c r="N23" s="93">
        <f>SUM('3:4'!N23)</f>
        <v>0</v>
      </c>
      <c r="O23" s="93">
        <f>SUM('3:4'!O23)</f>
        <v>0</v>
      </c>
      <c r="P23" s="93">
        <f>SUM('3:4'!P23)</f>
        <v>0</v>
      </c>
      <c r="Q23" s="93">
        <f>SUM('3:4'!Q23)</f>
        <v>0</v>
      </c>
      <c r="R23" s="93">
        <f>SUM('3:4'!R23)</f>
        <v>0</v>
      </c>
      <c r="S23" s="93">
        <f>SUM('3:4'!S23)</f>
        <v>0</v>
      </c>
      <c r="T23" s="93">
        <f>SUM('3:4'!T23)</f>
        <v>0</v>
      </c>
      <c r="U23" s="93">
        <f>SUM('3:4'!U23)</f>
        <v>0</v>
      </c>
      <c r="V23" s="205">
        <f t="shared" si="2"/>
        <v>0</v>
      </c>
      <c r="W23" s="33"/>
      <c r="X23" s="93">
        <f>SUM('3:4'!X23)</f>
        <v>0</v>
      </c>
      <c r="Y23" s="93">
        <f>SUM('3:4'!Y23)</f>
        <v>0</v>
      </c>
      <c r="Z23" s="93">
        <f>SUM('3:4'!Z23)</f>
        <v>0</v>
      </c>
      <c r="AA23" s="93">
        <f>SUM('3:4'!AA23)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300">
        <v>30100006</v>
      </c>
      <c r="B24" s="64" t="s">
        <v>161</v>
      </c>
      <c r="C24" s="358" t="s">
        <v>53</v>
      </c>
      <c r="D24" s="17">
        <v>4.8</v>
      </c>
      <c r="E24" s="17"/>
      <c r="F24" s="6"/>
      <c r="G24" s="93">
        <f>SUM('3:4'!G24)</f>
        <v>0</v>
      </c>
      <c r="H24" s="95">
        <f t="shared" si="0"/>
        <v>0</v>
      </c>
      <c r="I24" s="93">
        <f>SUM('3:4'!I24)</f>
        <v>0</v>
      </c>
      <c r="J24" s="31"/>
      <c r="K24" s="35">
        <f t="array" ref="K24">IF(ISERROR(G24/L24),"",G24/L24)</f>
        <v>0</v>
      </c>
      <c r="L24" s="87">
        <v>4</v>
      </c>
      <c r="M24" s="36">
        <f>IF(ISERROR(I24-K24),"",I24-K24)</f>
        <v>0</v>
      </c>
      <c r="N24" s="93">
        <f>SUM('3:4'!N24)</f>
        <v>0</v>
      </c>
      <c r="O24" s="93">
        <f>SUM('3:4'!O24)</f>
        <v>0</v>
      </c>
      <c r="P24" s="93">
        <f>SUM('3:4'!P24)</f>
        <v>0</v>
      </c>
      <c r="Q24" s="93">
        <f>SUM('3:4'!Q24)</f>
        <v>0</v>
      </c>
      <c r="R24" s="93">
        <f>SUM('3:4'!R24)</f>
        <v>0</v>
      </c>
      <c r="S24" s="93">
        <f>SUM('3:4'!S24)</f>
        <v>0</v>
      </c>
      <c r="T24" s="93">
        <f>SUM('3:4'!T24)</f>
        <v>0</v>
      </c>
      <c r="U24" s="93">
        <f>SUM('3:4'!U24)</f>
        <v>0</v>
      </c>
      <c r="V24" s="205">
        <f t="shared" si="2"/>
        <v>0</v>
      </c>
      <c r="W24" s="33"/>
      <c r="X24" s="93">
        <f>SUM('3:4'!X24)</f>
        <v>0</v>
      </c>
      <c r="Y24" s="93">
        <f>SUM('3:4'!Y24)</f>
        <v>0</v>
      </c>
      <c r="Z24" s="93">
        <f>SUM('3:4'!Z24)</f>
        <v>0</v>
      </c>
      <c r="AA24" s="93">
        <f>SUM('3:4'!AA24)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300">
        <v>30100005</v>
      </c>
      <c r="B25" s="64" t="s">
        <v>161</v>
      </c>
      <c r="C25" s="358" t="s">
        <v>73</v>
      </c>
      <c r="D25" s="17">
        <v>4.8</v>
      </c>
      <c r="E25" s="17"/>
      <c r="F25" s="6"/>
      <c r="G25" s="93">
        <f>SUM('3:4'!G25)</f>
        <v>0</v>
      </c>
      <c r="H25" s="95">
        <f>D25*G25</f>
        <v>0</v>
      </c>
      <c r="I25" s="93">
        <f>SUM('3:4'!I25)</f>
        <v>0</v>
      </c>
      <c r="J25" s="31"/>
      <c r="K25" s="35">
        <f t="array" ref="K25">IF(ISERROR(G25/L25),"",G25/L25)</f>
        <v>0</v>
      </c>
      <c r="L25" s="87">
        <v>4</v>
      </c>
      <c r="M25" s="36">
        <f>IF(ISERROR(I25-K25),"",I25-K25)</f>
        <v>0</v>
      </c>
      <c r="N25" s="93">
        <f>SUM('3:4'!N25)</f>
        <v>0</v>
      </c>
      <c r="O25" s="93">
        <f>SUM('3:4'!O25)</f>
        <v>0</v>
      </c>
      <c r="P25" s="93">
        <f>SUM('3:4'!P25)</f>
        <v>0</v>
      </c>
      <c r="Q25" s="93">
        <f>SUM('3:4'!Q25)</f>
        <v>0</v>
      </c>
      <c r="R25" s="93">
        <f>SUM('3:4'!R25)</f>
        <v>0</v>
      </c>
      <c r="S25" s="93">
        <f>SUM('3:4'!S25)</f>
        <v>0</v>
      </c>
      <c r="T25" s="93">
        <f>SUM('3:4'!T25)</f>
        <v>0</v>
      </c>
      <c r="U25" s="93">
        <f>SUM('3:4'!U25)</f>
        <v>0</v>
      </c>
      <c r="V25" s="205">
        <f t="shared" si="2"/>
        <v>0</v>
      </c>
      <c r="W25" s="33"/>
      <c r="X25" s="93">
        <f>SUM('3:4'!X25)</f>
        <v>0</v>
      </c>
      <c r="Y25" s="93">
        <f>SUM('3:4'!Y25)</f>
        <v>0</v>
      </c>
      <c r="Z25" s="93">
        <f>SUM('3:4'!Z25)</f>
        <v>0</v>
      </c>
      <c r="AA25" s="93">
        <f>SUM('3:4'!AA25)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300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SUM('3:4'!G26)</f>
        <v>0</v>
      </c>
      <c r="H26" s="95">
        <f t="shared" ref="H26:H27" si="6">D26*G26</f>
        <v>0</v>
      </c>
      <c r="I26" s="93">
        <f>SUM('3:4'!I26)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ref="M26:M27" si="7">IF(ISERROR(I26-K26),"",I26-K26)</f>
        <v>0</v>
      </c>
      <c r="N26" s="93">
        <f>SUM('3:4'!N26)</f>
        <v>0</v>
      </c>
      <c r="O26" s="93">
        <f>SUM('3:4'!O26)</f>
        <v>0</v>
      </c>
      <c r="P26" s="93">
        <f>SUM('3:4'!P26)</f>
        <v>0</v>
      </c>
      <c r="Q26" s="93">
        <f>SUM('3:4'!Q26)</f>
        <v>0</v>
      </c>
      <c r="R26" s="93">
        <f>SUM('3:4'!R26)</f>
        <v>0</v>
      </c>
      <c r="S26" s="93">
        <f>SUM('3:4'!S26)</f>
        <v>0</v>
      </c>
      <c r="T26" s="93">
        <f>SUM('3:4'!T26)</f>
        <v>0</v>
      </c>
      <c r="U26" s="93">
        <f>SUM('3:4'!U26)</f>
        <v>0</v>
      </c>
      <c r="V26" s="205">
        <f t="shared" si="2"/>
        <v>0</v>
      </c>
      <c r="W26" s="33" t="str">
        <f t="shared" ref="W26:W27" si="8">IF(ISERROR(V26/G26),"",V26/G26)</f>
        <v/>
      </c>
      <c r="X26" s="93">
        <f>SUM('3:4'!X26)</f>
        <v>0</v>
      </c>
      <c r="Y26" s="93">
        <f>SUM('3:4'!Y26)</f>
        <v>0</v>
      </c>
      <c r="Z26" s="93">
        <f>SUM('3:4'!Z26)</f>
        <v>0</v>
      </c>
      <c r="AA26" s="93">
        <f>SUM('3:4'!AA26)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9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SUM('3:4'!G27)</f>
        <v>0</v>
      </c>
      <c r="H27" s="95">
        <f t="shared" si="6"/>
        <v>0</v>
      </c>
      <c r="I27" s="93">
        <f>SUM('3:4'!I27)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7"/>
        <v>0</v>
      </c>
      <c r="N27" s="93">
        <f>SUM('3:4'!N27)</f>
        <v>0</v>
      </c>
      <c r="O27" s="93">
        <f>SUM('3:4'!O27)</f>
        <v>0</v>
      </c>
      <c r="P27" s="93">
        <f>SUM('3:4'!P27)</f>
        <v>0</v>
      </c>
      <c r="Q27" s="93">
        <f>SUM('3:4'!Q27)</f>
        <v>0</v>
      </c>
      <c r="R27" s="93">
        <f>SUM('3:4'!R27)</f>
        <v>0</v>
      </c>
      <c r="S27" s="93">
        <f>SUM('3:4'!S27)</f>
        <v>0</v>
      </c>
      <c r="T27" s="93">
        <f>SUM('3:4'!T27)</f>
        <v>0</v>
      </c>
      <c r="U27" s="93">
        <f>SUM('3:4'!U27)</f>
        <v>0</v>
      </c>
      <c r="V27" s="205">
        <f t="shared" si="2"/>
        <v>0</v>
      </c>
      <c r="W27" s="33" t="str">
        <f t="shared" si="8"/>
        <v/>
      </c>
      <c r="X27" s="93">
        <f>SUM('3:4'!X27)</f>
        <v>0</v>
      </c>
      <c r="Y27" s="93">
        <f>SUM('3:4'!Y27)</f>
        <v>0</v>
      </c>
      <c r="Z27" s="93">
        <f>SUM('3:4'!Z27)</f>
        <v>0</v>
      </c>
      <c r="AA27" s="93">
        <f>SUM('3:4'!AA27)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722" t="s">
        <v>70</v>
      </c>
      <c r="B28" s="723"/>
      <c r="C28" s="31" t="s">
        <v>71</v>
      </c>
      <c r="D28" s="30"/>
      <c r="E28" s="30"/>
      <c r="F28" s="30"/>
      <c r="G28" s="94">
        <f>SUM(G7:G27)</f>
        <v>0</v>
      </c>
      <c r="H28" s="30">
        <f>SUM(H7:H27)</f>
        <v>0</v>
      </c>
      <c r="I28" s="30">
        <f>SUM(I7:I27)</f>
        <v>0</v>
      </c>
      <c r="J28" s="31" t="str">
        <f t="array" ref="J28">IF(ISERROR(G28/I28),"",G28/I28)</f>
        <v/>
      </c>
      <c r="K28" s="30">
        <f>SUM(K7:K27)</f>
        <v>0</v>
      </c>
      <c r="L28" s="98"/>
      <c r="M28" s="89">
        <f t="shared" ref="M28:AA28" si="9">SUM(M7:M27)</f>
        <v>0</v>
      </c>
      <c r="N28" s="30">
        <f t="shared" si="9"/>
        <v>0</v>
      </c>
      <c r="O28" s="34">
        <f t="shared" si="9"/>
        <v>0</v>
      </c>
      <c r="P28" s="34">
        <f t="shared" si="9"/>
        <v>0</v>
      </c>
      <c r="Q28" s="34">
        <f t="shared" si="9"/>
        <v>0</v>
      </c>
      <c r="R28" s="34">
        <f t="shared" si="9"/>
        <v>0</v>
      </c>
      <c r="S28" s="34">
        <f t="shared" si="9"/>
        <v>0</v>
      </c>
      <c r="T28" s="34">
        <f t="shared" si="9"/>
        <v>0</v>
      </c>
      <c r="U28" s="34">
        <f t="shared" si="9"/>
        <v>0</v>
      </c>
      <c r="V28" s="206">
        <f t="shared" si="9"/>
        <v>0</v>
      </c>
      <c r="W28" s="33">
        <f t="shared" si="9"/>
        <v>0</v>
      </c>
      <c r="X28" s="92">
        <f t="shared" si="9"/>
        <v>0</v>
      </c>
      <c r="Y28" s="92">
        <f t="shared" si="9"/>
        <v>0</v>
      </c>
      <c r="Z28" s="92">
        <f t="shared" si="9"/>
        <v>0</v>
      </c>
      <c r="AA28" s="92">
        <f t="shared" si="9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300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SUM('3:4'!G29)</f>
        <v>0</v>
      </c>
      <c r="H29" s="364">
        <f t="shared" ref="H29:H85" si="10">D29*G29</f>
        <v>0</v>
      </c>
      <c r="I29" s="93">
        <f>SUM('3:4'!I29)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 t="shared" ref="M29" si="11">IF(ISERROR(I29-K29),"",I29-K29)</f>
        <v>0</v>
      </c>
      <c r="N29" s="93">
        <f>SUM('3:4'!N29)</f>
        <v>0</v>
      </c>
      <c r="O29" s="93">
        <f>SUM('3:4'!O29)</f>
        <v>0</v>
      </c>
      <c r="P29" s="93">
        <f>SUM('3:4'!P29)</f>
        <v>0</v>
      </c>
      <c r="Q29" s="93">
        <f>SUM('3:4'!Q29)</f>
        <v>0</v>
      </c>
      <c r="R29" s="93">
        <f>SUM('3:4'!R29)</f>
        <v>0</v>
      </c>
      <c r="S29" s="93">
        <f>SUM('3:4'!S29)</f>
        <v>0</v>
      </c>
      <c r="T29" s="93">
        <f>SUM('3:4'!T29)</f>
        <v>0</v>
      </c>
      <c r="U29" s="93">
        <f>SUM('3:4'!U29)</f>
        <v>0</v>
      </c>
      <c r="V29" s="206">
        <f t="shared" ref="V29" si="12">SUM(X29:AA29)</f>
        <v>0</v>
      </c>
      <c r="W29" s="33" t="str">
        <f t="shared" ref="W29" si="13">IF(ISERROR(V29/G29),"",V29/G29)</f>
        <v/>
      </c>
      <c r="X29" s="93">
        <f>SUM('3:4'!X29)</f>
        <v>0</v>
      </c>
      <c r="Y29" s="93">
        <f>SUM('3:4'!Y29)</f>
        <v>0</v>
      </c>
      <c r="Z29" s="93">
        <f>SUM('3:4'!Z29)</f>
        <v>0</v>
      </c>
      <c r="AA29" s="93">
        <f>SUM('3:4'!AA29)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00">
        <v>30100011</v>
      </c>
      <c r="B30" s="190" t="s">
        <v>425</v>
      </c>
      <c r="C30" s="187" t="s">
        <v>427</v>
      </c>
      <c r="D30" s="17">
        <v>5.03</v>
      </c>
      <c r="E30" s="17"/>
      <c r="F30" s="6"/>
      <c r="G30" s="93">
        <f>SUM('3:4'!G30)</f>
        <v>0</v>
      </c>
      <c r="H30" s="364">
        <f t="shared" si="10"/>
        <v>0</v>
      </c>
      <c r="I30" s="93">
        <f>SUM('3:4'!I30)</f>
        <v>0</v>
      </c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300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SUM('3:4'!G31)</f>
        <v>0</v>
      </c>
      <c r="H31" s="364">
        <f t="shared" si="10"/>
        <v>0</v>
      </c>
      <c r="I31" s="93">
        <f>SUM('3:4'!I31)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 t="shared" ref="M31:M33" si="14">IF(ISERROR(I31-K31),"",I31-K31)</f>
        <v>0</v>
      </c>
      <c r="N31" s="93">
        <f>SUM('3:4'!N31)</f>
        <v>0</v>
      </c>
      <c r="O31" s="93">
        <f>SUM('3:4'!O31)</f>
        <v>0</v>
      </c>
      <c r="P31" s="93">
        <f>SUM('3:4'!P31)</f>
        <v>0</v>
      </c>
      <c r="Q31" s="93">
        <f>SUM('3:4'!Q31)</f>
        <v>0</v>
      </c>
      <c r="R31" s="93">
        <f>SUM('3:4'!R31)</f>
        <v>0</v>
      </c>
      <c r="S31" s="93">
        <f>SUM('3:4'!S31)</f>
        <v>0</v>
      </c>
      <c r="T31" s="93">
        <f>SUM('3:4'!T31)</f>
        <v>0</v>
      </c>
      <c r="U31" s="93">
        <f>SUM('3:4'!U31)</f>
        <v>0</v>
      </c>
      <c r="V31" s="206">
        <f t="shared" ref="V31:V33" si="15">SUM(X31:AA31)</f>
        <v>0</v>
      </c>
      <c r="W31" s="33" t="str">
        <f t="shared" ref="W31:W33" si="16">IF(ISERROR(V31/G31),"",V31/G31)</f>
        <v/>
      </c>
      <c r="X31" s="93">
        <f>SUM('3:4'!X31)</f>
        <v>0</v>
      </c>
      <c r="Y31" s="93">
        <f>SUM('3:4'!Y31)</f>
        <v>0</v>
      </c>
      <c r="Z31" s="93">
        <f>SUM('3:4'!Z31)</f>
        <v>0</v>
      </c>
      <c r="AA31" s="93">
        <f>SUM('3:4'!AA31)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300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SUM('3:4'!G32)</f>
        <v>0</v>
      </c>
      <c r="H32" s="364">
        <f t="shared" si="10"/>
        <v>0</v>
      </c>
      <c r="I32" s="93">
        <f>SUM('3:4'!I32)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 t="shared" si="14"/>
        <v>0</v>
      </c>
      <c r="N32" s="93">
        <f>SUM('3:4'!N32)</f>
        <v>0</v>
      </c>
      <c r="O32" s="93">
        <f>SUM('3:4'!O32)</f>
        <v>0</v>
      </c>
      <c r="P32" s="93">
        <f>SUM('3:4'!P32)</f>
        <v>0</v>
      </c>
      <c r="Q32" s="93">
        <f>SUM('3:4'!Q32)</f>
        <v>0</v>
      </c>
      <c r="R32" s="93">
        <f>SUM('3:4'!R32)</f>
        <v>0</v>
      </c>
      <c r="S32" s="93">
        <f>SUM('3:4'!S32)</f>
        <v>0</v>
      </c>
      <c r="T32" s="93">
        <f>SUM('3:4'!T32)</f>
        <v>0</v>
      </c>
      <c r="U32" s="93">
        <f>SUM('3:4'!U32)</f>
        <v>0</v>
      </c>
      <c r="V32" s="206">
        <f t="shared" si="15"/>
        <v>0</v>
      </c>
      <c r="W32" s="33" t="str">
        <f t="shared" si="16"/>
        <v/>
      </c>
      <c r="X32" s="93">
        <f>SUM('3:4'!X32)</f>
        <v>0</v>
      </c>
      <c r="Y32" s="93">
        <f>SUM('3:4'!Y32)</f>
        <v>0</v>
      </c>
      <c r="Z32" s="93">
        <f>SUM('3:4'!Z32)</f>
        <v>0</v>
      </c>
      <c r="AA32" s="93">
        <f>SUM('3:4'!AA32)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300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SUM('3:4'!G33)</f>
        <v>0</v>
      </c>
      <c r="H33" s="364">
        <f t="shared" si="10"/>
        <v>0</v>
      </c>
      <c r="I33" s="93">
        <f>SUM('3:4'!I33)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 t="shared" si="14"/>
        <v>0</v>
      </c>
      <c r="N33" s="93">
        <f>SUM('3:4'!N33)</f>
        <v>0</v>
      </c>
      <c r="O33" s="93">
        <f>SUM('3:4'!O33)</f>
        <v>0</v>
      </c>
      <c r="P33" s="93">
        <f>SUM('3:4'!P33)</f>
        <v>0</v>
      </c>
      <c r="Q33" s="93">
        <f>SUM('3:4'!Q33)</f>
        <v>0</v>
      </c>
      <c r="R33" s="93">
        <f>SUM('3:4'!R33)</f>
        <v>0</v>
      </c>
      <c r="S33" s="93">
        <f>SUM('3:4'!S33)</f>
        <v>0</v>
      </c>
      <c r="T33" s="93">
        <f>SUM('3:4'!T33)</f>
        <v>0</v>
      </c>
      <c r="U33" s="93">
        <f>SUM('3:4'!U33)</f>
        <v>0</v>
      </c>
      <c r="V33" s="206">
        <f t="shared" si="15"/>
        <v>0</v>
      </c>
      <c r="W33" s="33" t="str">
        <f t="shared" si="16"/>
        <v/>
      </c>
      <c r="X33" s="93">
        <f>SUM('3:4'!X33)</f>
        <v>0</v>
      </c>
      <c r="Y33" s="93">
        <f>SUM('3:4'!Y33)</f>
        <v>0</v>
      </c>
      <c r="Z33" s="93">
        <f>SUM('3:4'!Z33)</f>
        <v>0</v>
      </c>
      <c r="AA33" s="93">
        <f>SUM('3:4'!AA33)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300">
        <v>30100016</v>
      </c>
      <c r="B34" s="355" t="s">
        <v>414</v>
      </c>
      <c r="C34" s="187" t="s">
        <v>415</v>
      </c>
      <c r="D34" s="17"/>
      <c r="E34" s="17"/>
      <c r="F34" s="6"/>
      <c r="G34" s="93">
        <f>SUM('3:4'!G34)</f>
        <v>0</v>
      </c>
      <c r="H34" s="364">
        <f t="shared" si="10"/>
        <v>0</v>
      </c>
      <c r="I34" s="93">
        <f>SUM('3:4'!I34)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300">
        <v>30100017</v>
      </c>
      <c r="B35" s="355" t="s">
        <v>414</v>
      </c>
      <c r="C35" s="187" t="s">
        <v>416</v>
      </c>
      <c r="D35" s="17"/>
      <c r="E35" s="17"/>
      <c r="F35" s="6"/>
      <c r="G35" s="93">
        <f>SUM('3:4'!G35)</f>
        <v>0</v>
      </c>
      <c r="H35" s="364">
        <f t="shared" si="10"/>
        <v>0</v>
      </c>
      <c r="I35" s="93">
        <f>SUM('3:4'!I35)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300">
        <v>30100015</v>
      </c>
      <c r="B36" s="355" t="s">
        <v>414</v>
      </c>
      <c r="C36" s="187" t="s">
        <v>61</v>
      </c>
      <c r="D36" s="17"/>
      <c r="E36" s="17"/>
      <c r="F36" s="6"/>
      <c r="G36" s="93">
        <f>SUM('3:4'!G36)</f>
        <v>0</v>
      </c>
      <c r="H36" s="364">
        <f t="shared" si="10"/>
        <v>0</v>
      </c>
      <c r="I36" s="93">
        <f>SUM('3:4'!I36)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300">
        <v>30100027</v>
      </c>
      <c r="B37" s="263" t="s">
        <v>78</v>
      </c>
      <c r="C37" s="16" t="s">
        <v>53</v>
      </c>
      <c r="D37" s="17">
        <v>5.08</v>
      </c>
      <c r="E37" s="17"/>
      <c r="F37" s="6"/>
      <c r="G37" s="93">
        <f>SUM('3:4'!G37)</f>
        <v>0</v>
      </c>
      <c r="H37" s="364">
        <f t="shared" si="10"/>
        <v>0</v>
      </c>
      <c r="I37" s="93">
        <f>SUM('3:4'!I37)</f>
        <v>0</v>
      </c>
      <c r="J37" s="31" t="str">
        <f t="array" ref="J37">IF(ISERROR(G37/I37),"",G37/I37)</f>
        <v/>
      </c>
      <c r="K37" s="35">
        <f t="array" ref="K37">IF(ISERROR(G37/L37),"",G37/L37)</f>
        <v>0</v>
      </c>
      <c r="L37" s="87">
        <v>21</v>
      </c>
      <c r="M37" s="36">
        <f t="shared" ref="M37:M66" si="17">IF(ISERROR(I37-K37),"",I37-K37)</f>
        <v>0</v>
      </c>
      <c r="N37" s="93">
        <f>SUM('3:4'!N37)</f>
        <v>0</v>
      </c>
      <c r="O37" s="93">
        <f>SUM('3:4'!O37)</f>
        <v>0</v>
      </c>
      <c r="P37" s="93">
        <f>SUM('3:4'!P37)</f>
        <v>0</v>
      </c>
      <c r="Q37" s="93">
        <f>SUM('3:4'!Q37)</f>
        <v>0</v>
      </c>
      <c r="R37" s="93">
        <f>SUM('3:4'!R37)</f>
        <v>0</v>
      </c>
      <c r="S37" s="93">
        <f>SUM('3:4'!S37)</f>
        <v>0</v>
      </c>
      <c r="T37" s="93">
        <f>SUM('3:4'!T37)</f>
        <v>0</v>
      </c>
      <c r="U37" s="93">
        <f>SUM('3:4'!U37)</f>
        <v>0</v>
      </c>
      <c r="V37" s="206">
        <f t="shared" ref="V37:V48" si="18">SUM(X37:AA37)</f>
        <v>0</v>
      </c>
      <c r="W37" s="33" t="str">
        <f t="shared" ref="W37:W48" si="19">IF(ISERROR(V37/G37),"",V37/G37)</f>
        <v/>
      </c>
      <c r="X37" s="93">
        <f>SUM('3:4'!X37)</f>
        <v>0</v>
      </c>
      <c r="Y37" s="93">
        <f>SUM('3:4'!Y37)</f>
        <v>0</v>
      </c>
      <c r="Z37" s="93">
        <f>SUM('3:4'!Z37)</f>
        <v>0</v>
      </c>
      <c r="AA37" s="93">
        <f>SUM('3:4'!AA37)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300">
        <v>30100023</v>
      </c>
      <c r="B38" s="263" t="s">
        <v>78</v>
      </c>
      <c r="C38" s="16" t="s">
        <v>74</v>
      </c>
      <c r="D38" s="17">
        <v>5.08</v>
      </c>
      <c r="E38" s="17"/>
      <c r="F38" s="6"/>
      <c r="G38" s="93">
        <f>SUM('3:4'!G38)</f>
        <v>0</v>
      </c>
      <c r="H38" s="364">
        <f t="shared" si="10"/>
        <v>0</v>
      </c>
      <c r="I38" s="93">
        <f>SUM('3:4'!I38)</f>
        <v>0</v>
      </c>
      <c r="J38" s="31" t="str">
        <f t="array" ref="J38">IF(ISERROR(G38/I38),"",G38/I38)</f>
        <v/>
      </c>
      <c r="K38" s="35">
        <f t="array" ref="K38">IF(ISERROR(G38/L38),"",G38/L38)</f>
        <v>0</v>
      </c>
      <c r="L38" s="87">
        <v>21</v>
      </c>
      <c r="M38" s="36">
        <f t="shared" si="17"/>
        <v>0</v>
      </c>
      <c r="N38" s="93">
        <f>SUM('3:4'!N38)</f>
        <v>0</v>
      </c>
      <c r="O38" s="93">
        <f>SUM('3:4'!O38)</f>
        <v>0</v>
      </c>
      <c r="P38" s="93">
        <f>SUM('3:4'!P38)</f>
        <v>0</v>
      </c>
      <c r="Q38" s="93">
        <f>SUM('3:4'!Q38)</f>
        <v>0</v>
      </c>
      <c r="R38" s="93">
        <f>SUM('3:4'!R38)</f>
        <v>0</v>
      </c>
      <c r="S38" s="93">
        <f>SUM('3:4'!S38)</f>
        <v>0</v>
      </c>
      <c r="T38" s="93">
        <f>SUM('3:4'!T38)</f>
        <v>0</v>
      </c>
      <c r="U38" s="93">
        <f>SUM('3:4'!U38)</f>
        <v>0</v>
      </c>
      <c r="V38" s="206">
        <f t="shared" si="18"/>
        <v>0</v>
      </c>
      <c r="W38" s="33" t="str">
        <f t="shared" si="19"/>
        <v/>
      </c>
      <c r="X38" s="93">
        <f>SUM('3:4'!X38)</f>
        <v>0</v>
      </c>
      <c r="Y38" s="93">
        <f>SUM('3:4'!Y38)</f>
        <v>0</v>
      </c>
      <c r="Z38" s="93">
        <f>SUM('3:4'!Z38)</f>
        <v>0</v>
      </c>
      <c r="AA38" s="93">
        <f>SUM('3:4'!AA38)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300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SUM('3:4'!G39)</f>
        <v>0</v>
      </c>
      <c r="H39" s="364">
        <f t="shared" si="10"/>
        <v>0</v>
      </c>
      <c r="I39" s="93">
        <f>SUM('3:4'!I39)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17"/>
        <v>0</v>
      </c>
      <c r="N39" s="93">
        <f>SUM('3:4'!N39)</f>
        <v>0</v>
      </c>
      <c r="O39" s="93">
        <f>SUM('3:4'!O39)</f>
        <v>0</v>
      </c>
      <c r="P39" s="93">
        <f>SUM('3:4'!P39)</f>
        <v>0</v>
      </c>
      <c r="Q39" s="93">
        <f>SUM('3:4'!Q39)</f>
        <v>0</v>
      </c>
      <c r="R39" s="93">
        <f>SUM('3:4'!R39)</f>
        <v>0</v>
      </c>
      <c r="S39" s="93">
        <f>SUM('3:4'!S39)</f>
        <v>0</v>
      </c>
      <c r="T39" s="93">
        <f>SUM('3:4'!T39)</f>
        <v>0</v>
      </c>
      <c r="U39" s="93">
        <f>SUM('3:4'!U39)</f>
        <v>0</v>
      </c>
      <c r="V39" s="206">
        <f t="shared" si="18"/>
        <v>0</v>
      </c>
      <c r="W39" s="33" t="str">
        <f t="shared" si="19"/>
        <v/>
      </c>
      <c r="X39" s="93">
        <f>SUM('3:4'!X39)</f>
        <v>0</v>
      </c>
      <c r="Y39" s="93">
        <f>SUM('3:4'!Y39)</f>
        <v>0</v>
      </c>
      <c r="Z39" s="93">
        <f>SUM('3:4'!Z39)</f>
        <v>0</v>
      </c>
      <c r="AA39" s="93">
        <f>SUM('3:4'!AA39)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300">
        <v>30100022</v>
      </c>
      <c r="B40" s="263" t="s">
        <v>78</v>
      </c>
      <c r="C40" s="16" t="s">
        <v>60</v>
      </c>
      <c r="D40" s="17">
        <v>5.08</v>
      </c>
      <c r="E40" s="17"/>
      <c r="F40" s="6"/>
      <c r="G40" s="93">
        <f>SUM('3:4'!G40)</f>
        <v>0</v>
      </c>
      <c r="H40" s="364">
        <f t="shared" si="10"/>
        <v>0</v>
      </c>
      <c r="I40" s="93">
        <f>SUM('3:4'!I40)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17"/>
        <v>0</v>
      </c>
      <c r="N40" s="93">
        <f>SUM('3:4'!N40)</f>
        <v>0</v>
      </c>
      <c r="O40" s="93">
        <f>SUM('3:4'!O40)</f>
        <v>0</v>
      </c>
      <c r="P40" s="93">
        <f>SUM('3:4'!P40)</f>
        <v>0</v>
      </c>
      <c r="Q40" s="93">
        <f>SUM('3:4'!Q40)</f>
        <v>0</v>
      </c>
      <c r="R40" s="93">
        <f>SUM('3:4'!R40)</f>
        <v>0</v>
      </c>
      <c r="S40" s="93">
        <f>SUM('3:4'!S40)</f>
        <v>0</v>
      </c>
      <c r="T40" s="93">
        <f>SUM('3:4'!T40)</f>
        <v>0</v>
      </c>
      <c r="U40" s="93">
        <f>SUM('3:4'!U40)</f>
        <v>0</v>
      </c>
      <c r="V40" s="206">
        <f t="shared" si="18"/>
        <v>0</v>
      </c>
      <c r="W40" s="33" t="str">
        <f t="shared" si="19"/>
        <v/>
      </c>
      <c r="X40" s="93">
        <f>SUM('3:4'!X40)</f>
        <v>0</v>
      </c>
      <c r="Y40" s="93">
        <f>SUM('3:4'!Y40)</f>
        <v>0</v>
      </c>
      <c r="Z40" s="93">
        <f>SUM('3:4'!Z40)</f>
        <v>0</v>
      </c>
      <c r="AA40" s="93">
        <f>SUM('3:4'!AA40)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300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SUM('3:4'!G41)</f>
        <v>0</v>
      </c>
      <c r="H41" s="364">
        <f t="shared" si="10"/>
        <v>0</v>
      </c>
      <c r="I41" s="93">
        <f>SUM('3:4'!I41)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17"/>
        <v>0</v>
      </c>
      <c r="N41" s="93">
        <f>SUM('3:4'!N41)</f>
        <v>0</v>
      </c>
      <c r="O41" s="93">
        <f>SUM('3:4'!O41)</f>
        <v>0</v>
      </c>
      <c r="P41" s="93">
        <f>SUM('3:4'!P41)</f>
        <v>0</v>
      </c>
      <c r="Q41" s="93">
        <f>SUM('3:4'!Q41)</f>
        <v>0</v>
      </c>
      <c r="R41" s="93">
        <f>SUM('3:4'!R41)</f>
        <v>0</v>
      </c>
      <c r="S41" s="93">
        <f>SUM('3:4'!S41)</f>
        <v>0</v>
      </c>
      <c r="T41" s="93">
        <f>SUM('3:4'!T41)</f>
        <v>0</v>
      </c>
      <c r="U41" s="93">
        <f>SUM('3:4'!U41)</f>
        <v>0</v>
      </c>
      <c r="V41" s="206">
        <f t="shared" si="18"/>
        <v>0</v>
      </c>
      <c r="W41" s="33" t="str">
        <f t="shared" si="19"/>
        <v/>
      </c>
      <c r="X41" s="93">
        <f>SUM('3:4'!X41)</f>
        <v>0</v>
      </c>
      <c r="Y41" s="93">
        <f>SUM('3:4'!Y41)</f>
        <v>0</v>
      </c>
      <c r="Z41" s="93">
        <f>SUM('3:4'!Z41)</f>
        <v>0</v>
      </c>
      <c r="AA41" s="93">
        <f>SUM('3:4'!AA41)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300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SUM('3:4'!G42)</f>
        <v>0</v>
      </c>
      <c r="H42" s="364">
        <f t="shared" si="10"/>
        <v>0</v>
      </c>
      <c r="I42" s="93">
        <f>SUM('3:4'!I42)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17"/>
        <v>0</v>
      </c>
      <c r="N42" s="93">
        <f>SUM('3:4'!N42)</f>
        <v>0</v>
      </c>
      <c r="O42" s="93">
        <f>SUM('3:4'!O42)</f>
        <v>0</v>
      </c>
      <c r="P42" s="93">
        <f>SUM('3:4'!P42)</f>
        <v>0</v>
      </c>
      <c r="Q42" s="93">
        <f>SUM('3:4'!Q42)</f>
        <v>0</v>
      </c>
      <c r="R42" s="93">
        <f>SUM('3:4'!R42)</f>
        <v>0</v>
      </c>
      <c r="S42" s="93">
        <f>SUM('3:4'!S42)</f>
        <v>0</v>
      </c>
      <c r="T42" s="93">
        <f>SUM('3:4'!T42)</f>
        <v>0</v>
      </c>
      <c r="U42" s="93">
        <f>SUM('3:4'!U42)</f>
        <v>0</v>
      </c>
      <c r="V42" s="206">
        <f t="shared" si="18"/>
        <v>0</v>
      </c>
      <c r="W42" s="33" t="str">
        <f t="shared" si="19"/>
        <v/>
      </c>
      <c r="X42" s="93">
        <f>SUM('3:4'!X42)</f>
        <v>0</v>
      </c>
      <c r="Y42" s="93">
        <f>SUM('3:4'!Y42)</f>
        <v>0</v>
      </c>
      <c r="Z42" s="93">
        <f>SUM('3:4'!Z42)</f>
        <v>0</v>
      </c>
      <c r="AA42" s="93">
        <f>SUM('3:4'!AA42)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300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SUM('3:4'!G43)</f>
        <v>0</v>
      </c>
      <c r="H43" s="364">
        <f t="shared" si="10"/>
        <v>0</v>
      </c>
      <c r="I43" s="93">
        <f>SUM('3:4'!I43)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17"/>
        <v>0</v>
      </c>
      <c r="N43" s="93">
        <f>SUM('3:4'!N43)</f>
        <v>0</v>
      </c>
      <c r="O43" s="93">
        <f>SUM('3:4'!O43)</f>
        <v>0</v>
      </c>
      <c r="P43" s="93">
        <f>SUM('3:4'!P43)</f>
        <v>0</v>
      </c>
      <c r="Q43" s="93">
        <f>SUM('3:4'!Q43)</f>
        <v>0</v>
      </c>
      <c r="R43" s="93">
        <f>SUM('3:4'!R43)</f>
        <v>0</v>
      </c>
      <c r="S43" s="93">
        <f>SUM('3:4'!S43)</f>
        <v>0</v>
      </c>
      <c r="T43" s="93">
        <f>SUM('3:4'!T43)</f>
        <v>0</v>
      </c>
      <c r="U43" s="93">
        <f>SUM('3:4'!U43)</f>
        <v>0</v>
      </c>
      <c r="V43" s="206">
        <f t="shared" si="18"/>
        <v>0</v>
      </c>
      <c r="W43" s="33" t="str">
        <f t="shared" si="19"/>
        <v/>
      </c>
      <c r="X43" s="93">
        <f>SUM('3:4'!X43)</f>
        <v>0</v>
      </c>
      <c r="Y43" s="93">
        <f>SUM('3:4'!Y43)</f>
        <v>0</v>
      </c>
      <c r="Z43" s="93">
        <f>SUM('3:4'!Z43)</f>
        <v>0</v>
      </c>
      <c r="AA43" s="93">
        <f>SUM('3:4'!AA43)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300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SUM('3:4'!G44)</f>
        <v>0</v>
      </c>
      <c r="H44" s="364">
        <f t="shared" si="10"/>
        <v>0</v>
      </c>
      <c r="I44" s="93">
        <f>SUM('3:4'!I44)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17"/>
        <v>0</v>
      </c>
      <c r="N44" s="93">
        <f>SUM('3:4'!N44)</f>
        <v>0</v>
      </c>
      <c r="O44" s="93">
        <f>SUM('3:4'!O44)</f>
        <v>0</v>
      </c>
      <c r="P44" s="93">
        <f>SUM('3:4'!P44)</f>
        <v>0</v>
      </c>
      <c r="Q44" s="93">
        <f>SUM('3:4'!Q44)</f>
        <v>0</v>
      </c>
      <c r="R44" s="93">
        <f>SUM('3:4'!R44)</f>
        <v>0</v>
      </c>
      <c r="S44" s="93">
        <f>SUM('3:4'!S44)</f>
        <v>0</v>
      </c>
      <c r="T44" s="93">
        <f>SUM('3:4'!T44)</f>
        <v>0</v>
      </c>
      <c r="U44" s="93">
        <f>SUM('3:4'!U44)</f>
        <v>0</v>
      </c>
      <c r="V44" s="206">
        <f t="shared" si="18"/>
        <v>0</v>
      </c>
      <c r="W44" s="33" t="str">
        <f t="shared" si="19"/>
        <v/>
      </c>
      <c r="X44" s="93">
        <f>SUM('3:4'!X44)</f>
        <v>0</v>
      </c>
      <c r="Y44" s="93">
        <f>SUM('3:4'!Y44)</f>
        <v>0</v>
      </c>
      <c r="Z44" s="93">
        <f>SUM('3:4'!Z44)</f>
        <v>0</v>
      </c>
      <c r="AA44" s="93">
        <f>SUM('3:4'!AA44)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300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SUM('3:4'!G45)</f>
        <v>0</v>
      </c>
      <c r="H45" s="364">
        <f t="shared" si="10"/>
        <v>0</v>
      </c>
      <c r="I45" s="93">
        <f>SUM('3:4'!I45)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87">
        <v>56</v>
      </c>
      <c r="M45" s="36">
        <f t="shared" si="17"/>
        <v>0</v>
      </c>
      <c r="N45" s="93">
        <f>SUM('3:4'!N45)</f>
        <v>0</v>
      </c>
      <c r="O45" s="93">
        <f>SUM('3:4'!O45)</f>
        <v>0</v>
      </c>
      <c r="P45" s="93">
        <f>SUM('3:4'!P45)</f>
        <v>0</v>
      </c>
      <c r="Q45" s="93">
        <f>SUM('3:4'!Q45)</f>
        <v>0</v>
      </c>
      <c r="R45" s="93">
        <f>SUM('3:4'!R45)</f>
        <v>0</v>
      </c>
      <c r="S45" s="93">
        <f>SUM('3:4'!S45)</f>
        <v>0</v>
      </c>
      <c r="T45" s="93">
        <f>SUM('3:4'!T45)</f>
        <v>0</v>
      </c>
      <c r="U45" s="93">
        <f>SUM('3:4'!U45)</f>
        <v>0</v>
      </c>
      <c r="V45" s="206">
        <f t="shared" si="18"/>
        <v>0</v>
      </c>
      <c r="W45" s="33" t="str">
        <f t="shared" si="19"/>
        <v/>
      </c>
      <c r="X45" s="93">
        <f>SUM('3:4'!X45)</f>
        <v>0</v>
      </c>
      <c r="Y45" s="93">
        <f>SUM('3:4'!Y45)</f>
        <v>0</v>
      </c>
      <c r="Z45" s="93">
        <f>SUM('3:4'!Z45)</f>
        <v>0</v>
      </c>
      <c r="AA45" s="93">
        <f>SUM('3:4'!AA45)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300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SUM('3:4'!G46)</f>
        <v>0</v>
      </c>
      <c r="H46" s="364">
        <f t="shared" si="10"/>
        <v>0</v>
      </c>
      <c r="I46" s="93">
        <f>SUM('3:4'!I46)</f>
        <v>0</v>
      </c>
      <c r="J46" s="31" t="str">
        <f t="array" ref="J46">IF(ISERROR(G46/I46),"",G46/I46)</f>
        <v/>
      </c>
      <c r="K46" s="35">
        <f t="array" ref="K46">IF(ISERROR(G46/L46),"",G46/L46)</f>
        <v>0</v>
      </c>
      <c r="L46" s="87">
        <v>56</v>
      </c>
      <c r="M46" s="36">
        <f t="shared" si="17"/>
        <v>0</v>
      </c>
      <c r="N46" s="93">
        <f>SUM('3:4'!N46)</f>
        <v>0</v>
      </c>
      <c r="O46" s="93">
        <f>SUM('3:4'!O46)</f>
        <v>0</v>
      </c>
      <c r="P46" s="93">
        <f>SUM('3:4'!P46)</f>
        <v>0</v>
      </c>
      <c r="Q46" s="93">
        <f>SUM('3:4'!Q46)</f>
        <v>0</v>
      </c>
      <c r="R46" s="93">
        <f>SUM('3:4'!R46)</f>
        <v>0</v>
      </c>
      <c r="S46" s="93">
        <f>SUM('3:4'!S46)</f>
        <v>0</v>
      </c>
      <c r="T46" s="93">
        <f>SUM('3:4'!T46)</f>
        <v>0</v>
      </c>
      <c r="U46" s="93">
        <f>SUM('3:4'!U46)</f>
        <v>0</v>
      </c>
      <c r="V46" s="206">
        <f t="shared" si="18"/>
        <v>0</v>
      </c>
      <c r="W46" s="33" t="str">
        <f t="shared" si="19"/>
        <v/>
      </c>
      <c r="X46" s="93">
        <f>SUM('3:4'!X46)</f>
        <v>0</v>
      </c>
      <c r="Y46" s="93">
        <f>SUM('3:4'!Y46)</f>
        <v>0</v>
      </c>
      <c r="Z46" s="93">
        <f>SUM('3:4'!Z46)</f>
        <v>0</v>
      </c>
      <c r="AA46" s="93">
        <f>SUM('3:4'!AA46)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300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SUM('3:4'!G47)</f>
        <v>0</v>
      </c>
      <c r="H47" s="364">
        <f t="shared" si="10"/>
        <v>0</v>
      </c>
      <c r="I47" s="93">
        <f>SUM('3:4'!I47)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17"/>
        <v>0</v>
      </c>
      <c r="N47" s="93">
        <f>SUM('3:4'!N47)</f>
        <v>0</v>
      </c>
      <c r="O47" s="93">
        <f>SUM('3:4'!O47)</f>
        <v>0</v>
      </c>
      <c r="P47" s="93">
        <f>SUM('3:4'!P47)</f>
        <v>0</v>
      </c>
      <c r="Q47" s="93">
        <f>SUM('3:4'!Q47)</f>
        <v>0</v>
      </c>
      <c r="R47" s="93">
        <f>SUM('3:4'!R47)</f>
        <v>0</v>
      </c>
      <c r="S47" s="93">
        <f>SUM('3:4'!S47)</f>
        <v>0</v>
      </c>
      <c r="T47" s="93">
        <f>SUM('3:4'!T47)</f>
        <v>0</v>
      </c>
      <c r="U47" s="93">
        <f>SUM('3:4'!U47)</f>
        <v>0</v>
      </c>
      <c r="V47" s="206">
        <f t="shared" si="18"/>
        <v>0</v>
      </c>
      <c r="W47" s="33" t="str">
        <f t="shared" si="19"/>
        <v/>
      </c>
      <c r="X47" s="93">
        <f>SUM('3:4'!X47)</f>
        <v>0</v>
      </c>
      <c r="Y47" s="93">
        <f>SUM('3:4'!Y47)</f>
        <v>0</v>
      </c>
      <c r="Z47" s="93">
        <f>SUM('3:4'!Z47)</f>
        <v>0</v>
      </c>
      <c r="AA47" s="93">
        <f>SUM('3:4'!AA47)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300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SUM('3:4'!G48)</f>
        <v>0</v>
      </c>
      <c r="H48" s="364">
        <f t="shared" si="10"/>
        <v>0</v>
      </c>
      <c r="I48" s="93">
        <f>SUM('3:4'!I48)</f>
        <v>0</v>
      </c>
      <c r="J48" s="31" t="str">
        <f t="array" ref="J48">IF(ISERROR(G48/I48),"",G48/I48)</f>
        <v/>
      </c>
      <c r="K48" s="35">
        <f t="array" ref="K48">IF(ISERROR(G48/L48),"",G48/L48)</f>
        <v>0</v>
      </c>
      <c r="L48" s="87">
        <v>56</v>
      </c>
      <c r="M48" s="36">
        <f t="shared" si="17"/>
        <v>0</v>
      </c>
      <c r="N48" s="93">
        <f>SUM('3:4'!N48)</f>
        <v>0</v>
      </c>
      <c r="O48" s="93">
        <f>SUM('3:4'!O48)</f>
        <v>0</v>
      </c>
      <c r="P48" s="93">
        <f>SUM('3:4'!P48)</f>
        <v>0</v>
      </c>
      <c r="Q48" s="93">
        <f>SUM('3:4'!Q48)</f>
        <v>0</v>
      </c>
      <c r="R48" s="93">
        <f>SUM('3:4'!R48)</f>
        <v>0</v>
      </c>
      <c r="S48" s="93">
        <f>SUM('3:4'!S48)</f>
        <v>0</v>
      </c>
      <c r="T48" s="93">
        <f>SUM('3:4'!T48)</f>
        <v>0</v>
      </c>
      <c r="U48" s="93">
        <f>SUM('3:4'!U48)</f>
        <v>0</v>
      </c>
      <c r="V48" s="206">
        <f t="shared" si="18"/>
        <v>0</v>
      </c>
      <c r="W48" s="33" t="str">
        <f t="shared" si="19"/>
        <v/>
      </c>
      <c r="X48" s="93">
        <f>SUM('3:4'!X48)</f>
        <v>0</v>
      </c>
      <c r="Y48" s="93">
        <f>SUM('3:4'!Y48)</f>
        <v>0</v>
      </c>
      <c r="Z48" s="93">
        <f>SUM('3:4'!Z48)</f>
        <v>0</v>
      </c>
      <c r="AA48" s="93">
        <f>SUM('3:4'!AA48)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300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SUM('3:4'!G49)</f>
        <v>0</v>
      </c>
      <c r="H49" s="364">
        <f t="shared" si="10"/>
        <v>0</v>
      </c>
      <c r="I49" s="93">
        <f>SUM('3:4'!I49)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17"/>
        <v>0</v>
      </c>
      <c r="N49" s="93">
        <f>SUM('3:4'!N49)</f>
        <v>0</v>
      </c>
      <c r="O49" s="93">
        <f>SUM('3:4'!O49)</f>
        <v>0</v>
      </c>
      <c r="P49" s="93">
        <f>SUM('3:4'!P49)</f>
        <v>0</v>
      </c>
      <c r="Q49" s="93">
        <f>SUM('3:4'!Q49)</f>
        <v>0</v>
      </c>
      <c r="R49" s="93">
        <f>SUM('3:4'!R49)</f>
        <v>0</v>
      </c>
      <c r="S49" s="93">
        <f>SUM('3:4'!S49)</f>
        <v>0</v>
      </c>
      <c r="T49" s="93">
        <f>SUM('3:4'!T49)</f>
        <v>0</v>
      </c>
      <c r="U49" s="93">
        <f>SUM('3:4'!U49)</f>
        <v>0</v>
      </c>
      <c r="V49" s="206"/>
      <c r="W49" s="33"/>
      <c r="X49" s="93">
        <f>SUM('3:4'!X49)</f>
        <v>0</v>
      </c>
      <c r="Y49" s="93">
        <f>SUM('3:4'!Y49)</f>
        <v>0</v>
      </c>
      <c r="Z49" s="93">
        <f>SUM('3:4'!Z49)</f>
        <v>0</v>
      </c>
      <c r="AA49" s="93">
        <f>SUM('3:4'!AA49)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300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SUM('3:4'!G50)</f>
        <v>0</v>
      </c>
      <c r="H50" s="364">
        <f t="shared" si="10"/>
        <v>0</v>
      </c>
      <c r="I50" s="93">
        <f>SUM('3:4'!I50)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17"/>
        <v>0</v>
      </c>
      <c r="N50" s="93">
        <f>SUM('3:4'!N50)</f>
        <v>0</v>
      </c>
      <c r="O50" s="93">
        <f>SUM('3:4'!O50)</f>
        <v>0</v>
      </c>
      <c r="P50" s="93">
        <f>SUM('3:4'!P50)</f>
        <v>0</v>
      </c>
      <c r="Q50" s="93">
        <f>SUM('3:4'!Q50)</f>
        <v>0</v>
      </c>
      <c r="R50" s="93">
        <f>SUM('3:4'!R50)</f>
        <v>0</v>
      </c>
      <c r="S50" s="93">
        <f>SUM('3:4'!S50)</f>
        <v>0</v>
      </c>
      <c r="T50" s="93">
        <f>SUM('3:4'!T50)</f>
        <v>0</v>
      </c>
      <c r="U50" s="93">
        <f>SUM('3:4'!U50)</f>
        <v>0</v>
      </c>
      <c r="V50" s="206"/>
      <c r="W50" s="33"/>
      <c r="X50" s="93">
        <f>SUM('3:4'!X50)</f>
        <v>0</v>
      </c>
      <c r="Y50" s="93">
        <f>SUM('3:4'!Y50)</f>
        <v>0</v>
      </c>
      <c r="Z50" s="93">
        <f>SUM('3:4'!Z50)</f>
        <v>0</v>
      </c>
      <c r="AA50" s="93">
        <f>SUM('3:4'!AA50)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300">
        <v>30100021</v>
      </c>
      <c r="B51" s="190" t="s">
        <v>382</v>
      </c>
      <c r="C51" s="16" t="s">
        <v>389</v>
      </c>
      <c r="D51" s="17">
        <v>5.03</v>
      </c>
      <c r="E51" s="17"/>
      <c r="F51" s="6"/>
      <c r="G51" s="93">
        <f>SUM('3:4'!G51)</f>
        <v>0</v>
      </c>
      <c r="H51" s="364">
        <f t="shared" si="10"/>
        <v>0</v>
      </c>
      <c r="I51" s="93">
        <f>SUM('3:4'!I51)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17"/>
        <v>0</v>
      </c>
      <c r="N51" s="93">
        <f>SUM('3:4'!N51)</f>
        <v>0</v>
      </c>
      <c r="O51" s="93">
        <f>SUM('3:4'!O51)</f>
        <v>0</v>
      </c>
      <c r="P51" s="93">
        <f>SUM('3:4'!P51)</f>
        <v>0</v>
      </c>
      <c r="Q51" s="93">
        <f>SUM('3:4'!Q51)</f>
        <v>0</v>
      </c>
      <c r="R51" s="93">
        <f>SUM('3:4'!R51)</f>
        <v>0</v>
      </c>
      <c r="S51" s="93">
        <f>SUM('3:4'!S51)</f>
        <v>0</v>
      </c>
      <c r="T51" s="93">
        <f>SUM('3:4'!T51)</f>
        <v>0</v>
      </c>
      <c r="U51" s="93">
        <f>SUM('3:4'!U51)</f>
        <v>0</v>
      </c>
      <c r="V51" s="206"/>
      <c r="W51" s="33"/>
      <c r="X51" s="93">
        <f>SUM('3:4'!X51)</f>
        <v>0</v>
      </c>
      <c r="Y51" s="93">
        <f>SUM('3:4'!Y51)</f>
        <v>0</v>
      </c>
      <c r="Z51" s="93">
        <f>SUM('3:4'!Z51)</f>
        <v>0</v>
      </c>
      <c r="AA51" s="93">
        <f>SUM('3:4'!AA51)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300">
        <v>30100018</v>
      </c>
      <c r="B52" s="190" t="s">
        <v>382</v>
      </c>
      <c r="C52" s="16" t="s">
        <v>391</v>
      </c>
      <c r="D52" s="17">
        <v>5.03</v>
      </c>
      <c r="E52" s="17"/>
      <c r="F52" s="6"/>
      <c r="G52" s="93">
        <f>SUM('3:4'!G52)</f>
        <v>0</v>
      </c>
      <c r="H52" s="364">
        <f t="shared" si="10"/>
        <v>0</v>
      </c>
      <c r="I52" s="93">
        <f>SUM('3:4'!I52)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17"/>
        <v>0</v>
      </c>
      <c r="N52" s="93">
        <f>SUM('3:4'!N52)</f>
        <v>0</v>
      </c>
      <c r="O52" s="93">
        <f>SUM('3:4'!O52)</f>
        <v>0</v>
      </c>
      <c r="P52" s="93">
        <f>SUM('3:4'!P52)</f>
        <v>0</v>
      </c>
      <c r="Q52" s="93">
        <f>SUM('3:4'!Q52)</f>
        <v>0</v>
      </c>
      <c r="R52" s="93">
        <f>SUM('3:4'!R52)</f>
        <v>0</v>
      </c>
      <c r="S52" s="93">
        <f>SUM('3:4'!S52)</f>
        <v>0</v>
      </c>
      <c r="T52" s="93">
        <f>SUM('3:4'!T52)</f>
        <v>0</v>
      </c>
      <c r="U52" s="93">
        <f>SUM('3:4'!U52)</f>
        <v>0</v>
      </c>
      <c r="V52" s="206"/>
      <c r="W52" s="33"/>
      <c r="X52" s="93">
        <f>SUM('3:4'!X52)</f>
        <v>0</v>
      </c>
      <c r="Y52" s="93">
        <f>SUM('3:4'!Y52)</f>
        <v>0</v>
      </c>
      <c r="Z52" s="93">
        <f>SUM('3:4'!Z52)</f>
        <v>0</v>
      </c>
      <c r="AA52" s="93">
        <f>SUM('3:4'!AA52)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303">
        <v>30700007</v>
      </c>
      <c r="B53" s="190" t="s">
        <v>418</v>
      </c>
      <c r="C53" s="187" t="s">
        <v>364</v>
      </c>
      <c r="D53" s="17"/>
      <c r="E53" s="17"/>
      <c r="F53" s="6"/>
      <c r="G53" s="93">
        <f>SUM('3:4'!G53)</f>
        <v>0</v>
      </c>
      <c r="H53" s="364">
        <f t="shared" si="10"/>
        <v>0</v>
      </c>
      <c r="I53" s="93">
        <f>SUM('3:4'!I53)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17"/>
        <v>0</v>
      </c>
      <c r="N53" s="93">
        <f>SUM('3:4'!N53)</f>
        <v>0</v>
      </c>
      <c r="O53" s="93">
        <f>SUM('3:4'!O53)</f>
        <v>0</v>
      </c>
      <c r="P53" s="93">
        <f>SUM('3:4'!P53)</f>
        <v>0</v>
      </c>
      <c r="Q53" s="93">
        <f>SUM('3:4'!Q53)</f>
        <v>0</v>
      </c>
      <c r="R53" s="93">
        <f>SUM('3:4'!R53)</f>
        <v>0</v>
      </c>
      <c r="S53" s="93">
        <f>SUM('3:4'!S53)</f>
        <v>0</v>
      </c>
      <c r="T53" s="93">
        <f>SUM('3:4'!T53)</f>
        <v>0</v>
      </c>
      <c r="U53" s="93">
        <f>SUM('3:4'!U53)</f>
        <v>0</v>
      </c>
      <c r="V53" s="206"/>
      <c r="W53" s="33"/>
      <c r="X53" s="93">
        <f>SUM('3:4'!X53)</f>
        <v>0</v>
      </c>
      <c r="Y53" s="93">
        <f>SUM('3:4'!Y53)</f>
        <v>0</v>
      </c>
      <c r="Z53" s="93">
        <f>SUM('3:4'!Z53)</f>
        <v>0</v>
      </c>
      <c r="AA53" s="93">
        <f>SUM('3:4'!AA53)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303">
        <v>30700006</v>
      </c>
      <c r="B54" s="190" t="s">
        <v>418</v>
      </c>
      <c r="C54" s="187" t="s">
        <v>365</v>
      </c>
      <c r="D54" s="17"/>
      <c r="E54" s="17"/>
      <c r="F54" s="6"/>
      <c r="G54" s="93">
        <f>SUM('3:4'!G54)</f>
        <v>0</v>
      </c>
      <c r="H54" s="364">
        <f t="shared" si="10"/>
        <v>0</v>
      </c>
      <c r="I54" s="93">
        <f>SUM('3:4'!I54)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17"/>
        <v>0</v>
      </c>
      <c r="N54" s="93">
        <f>SUM('3:4'!N54)</f>
        <v>0</v>
      </c>
      <c r="O54" s="93">
        <f>SUM('3:4'!O54)</f>
        <v>0</v>
      </c>
      <c r="P54" s="93">
        <f>SUM('3:4'!P54)</f>
        <v>0</v>
      </c>
      <c r="Q54" s="93">
        <f>SUM('3:4'!Q54)</f>
        <v>0</v>
      </c>
      <c r="R54" s="93">
        <f>SUM('3:4'!R54)</f>
        <v>0</v>
      </c>
      <c r="S54" s="93">
        <f>SUM('3:4'!S54)</f>
        <v>0</v>
      </c>
      <c r="T54" s="93">
        <f>SUM('3:4'!T54)</f>
        <v>0</v>
      </c>
      <c r="U54" s="93">
        <f>SUM('3:4'!U54)</f>
        <v>0</v>
      </c>
      <c r="V54" s="206"/>
      <c r="W54" s="33"/>
      <c r="X54" s="93">
        <f>SUM('3:4'!X54)</f>
        <v>0</v>
      </c>
      <c r="Y54" s="93">
        <f>SUM('3:4'!Y54)</f>
        <v>0</v>
      </c>
      <c r="Z54" s="93">
        <f>SUM('3:4'!Z54)</f>
        <v>0</v>
      </c>
      <c r="AA54" s="93">
        <f>SUM('3:4'!AA54)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303">
        <v>30700008</v>
      </c>
      <c r="B55" s="190" t="s">
        <v>418</v>
      </c>
      <c r="C55" s="187" t="s">
        <v>366</v>
      </c>
      <c r="D55" s="17"/>
      <c r="E55" s="17"/>
      <c r="F55" s="6"/>
      <c r="G55" s="93">
        <f>SUM('3:4'!G55)</f>
        <v>0</v>
      </c>
      <c r="H55" s="364">
        <f t="shared" si="10"/>
        <v>0</v>
      </c>
      <c r="I55" s="93">
        <f>SUM('3:4'!I55)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17"/>
        <v>0</v>
      </c>
      <c r="N55" s="93">
        <f>SUM('3:4'!N55)</f>
        <v>0</v>
      </c>
      <c r="O55" s="93">
        <f>SUM('3:4'!O55)</f>
        <v>0</v>
      </c>
      <c r="P55" s="93">
        <f>SUM('3:4'!P55)</f>
        <v>0</v>
      </c>
      <c r="Q55" s="93">
        <f>SUM('3:4'!Q55)</f>
        <v>0</v>
      </c>
      <c r="R55" s="93">
        <f>SUM('3:4'!R55)</f>
        <v>0</v>
      </c>
      <c r="S55" s="93">
        <f>SUM('3:4'!S55)</f>
        <v>0</v>
      </c>
      <c r="T55" s="93">
        <f>SUM('3:4'!T55)</f>
        <v>0</v>
      </c>
      <c r="U55" s="93">
        <f>SUM('3:4'!U55)</f>
        <v>0</v>
      </c>
      <c r="V55" s="206"/>
      <c r="W55" s="33"/>
      <c r="X55" s="93">
        <f>SUM('3:4'!X55)</f>
        <v>0</v>
      </c>
      <c r="Y55" s="93">
        <f>SUM('3:4'!Y55)</f>
        <v>0</v>
      </c>
      <c r="Z55" s="93">
        <f>SUM('3:4'!Z55)</f>
        <v>0</v>
      </c>
      <c r="AA55" s="93">
        <f>SUM('3:4'!AA55)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303">
        <v>30700009</v>
      </c>
      <c r="B56" s="190" t="s">
        <v>418</v>
      </c>
      <c r="C56" s="187" t="s">
        <v>367</v>
      </c>
      <c r="D56" s="17"/>
      <c r="E56" s="17"/>
      <c r="F56" s="6"/>
      <c r="G56" s="93">
        <f>SUM('3:4'!G56)</f>
        <v>0</v>
      </c>
      <c r="H56" s="364">
        <f t="shared" si="10"/>
        <v>0</v>
      </c>
      <c r="I56" s="93">
        <f>SUM('3:4'!I56)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17"/>
        <v>0</v>
      </c>
      <c r="N56" s="93">
        <f>SUM('3:4'!N56)</f>
        <v>0</v>
      </c>
      <c r="O56" s="93">
        <f>SUM('3:4'!O56)</f>
        <v>0</v>
      </c>
      <c r="P56" s="93">
        <f>SUM('3:4'!P56)</f>
        <v>0</v>
      </c>
      <c r="Q56" s="93">
        <f>SUM('3:4'!Q56)</f>
        <v>0</v>
      </c>
      <c r="R56" s="93">
        <f>SUM('3:4'!R56)</f>
        <v>0</v>
      </c>
      <c r="S56" s="93">
        <f>SUM('3:4'!S56)</f>
        <v>0</v>
      </c>
      <c r="T56" s="93">
        <f>SUM('3:4'!T56)</f>
        <v>0</v>
      </c>
      <c r="U56" s="93">
        <f>SUM('3:4'!U56)</f>
        <v>0</v>
      </c>
      <c r="V56" s="206"/>
      <c r="W56" s="33"/>
      <c r="X56" s="93">
        <f>SUM('3:4'!X56)</f>
        <v>0</v>
      </c>
      <c r="Y56" s="93">
        <f>SUM('3:4'!Y56)</f>
        <v>0</v>
      </c>
      <c r="Z56" s="93">
        <f>SUM('3:4'!Z56)</f>
        <v>0</v>
      </c>
      <c r="AA56" s="93">
        <f>SUM('3:4'!AA56)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300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SUM('3:4'!G57)</f>
        <v>0</v>
      </c>
      <c r="H57" s="364">
        <f t="shared" si="10"/>
        <v>0</v>
      </c>
      <c r="I57" s="93">
        <f>SUM('3:4'!I57)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17"/>
        <v>0</v>
      </c>
      <c r="N57" s="93">
        <f>SUM('3:4'!N57)</f>
        <v>0</v>
      </c>
      <c r="O57" s="93">
        <f>SUM('3:4'!O57)</f>
        <v>0</v>
      </c>
      <c r="P57" s="93">
        <f>SUM('3:4'!P57)</f>
        <v>0</v>
      </c>
      <c r="Q57" s="93">
        <f>SUM('3:4'!Q57)</f>
        <v>0</v>
      </c>
      <c r="R57" s="93">
        <f>SUM('3:4'!R57)</f>
        <v>0</v>
      </c>
      <c r="S57" s="93">
        <f>SUM('3:4'!S57)</f>
        <v>0</v>
      </c>
      <c r="T57" s="93">
        <f>SUM('3:4'!T57)</f>
        <v>0</v>
      </c>
      <c r="U57" s="93">
        <f>SUM('3:4'!U57)</f>
        <v>0</v>
      </c>
      <c r="V57" s="206">
        <f t="shared" ref="V57:V66" si="20">SUM(X57:AA57)</f>
        <v>0</v>
      </c>
      <c r="W57" s="33" t="str">
        <f t="shared" ref="W57:W66" si="21">IF(ISERROR(V57/G57),"",V57/G57)</f>
        <v/>
      </c>
      <c r="X57" s="93">
        <f>SUM('3:4'!X57)</f>
        <v>0</v>
      </c>
      <c r="Y57" s="93">
        <f>SUM('3:4'!Y57)</f>
        <v>0</v>
      </c>
      <c r="Z57" s="93">
        <f>SUM('3:4'!Z57)</f>
        <v>0</v>
      </c>
      <c r="AA57" s="93">
        <f>SUM('3:4'!AA57)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300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SUM('3:4'!G58)</f>
        <v>0</v>
      </c>
      <c r="H58" s="364">
        <f t="shared" si="10"/>
        <v>0</v>
      </c>
      <c r="I58" s="93">
        <f>SUM('3:4'!I58)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17"/>
        <v>0</v>
      </c>
      <c r="N58" s="93">
        <f>SUM('3:4'!N58)</f>
        <v>0</v>
      </c>
      <c r="O58" s="93">
        <f>SUM('3:4'!O58)</f>
        <v>0</v>
      </c>
      <c r="P58" s="93">
        <f>SUM('3:4'!P58)</f>
        <v>0</v>
      </c>
      <c r="Q58" s="93">
        <f>SUM('3:4'!Q58)</f>
        <v>0</v>
      </c>
      <c r="R58" s="93">
        <f>SUM('3:4'!R58)</f>
        <v>0</v>
      </c>
      <c r="S58" s="93">
        <f>SUM('3:4'!S58)</f>
        <v>0</v>
      </c>
      <c r="T58" s="93">
        <f>SUM('3:4'!T58)</f>
        <v>0</v>
      </c>
      <c r="U58" s="93">
        <f>SUM('3:4'!U58)</f>
        <v>0</v>
      </c>
      <c r="V58" s="206">
        <f t="shared" si="20"/>
        <v>0</v>
      </c>
      <c r="W58" s="33" t="str">
        <f t="shared" si="21"/>
        <v/>
      </c>
      <c r="X58" s="93">
        <f>SUM('3:4'!X58)</f>
        <v>0</v>
      </c>
      <c r="Y58" s="93">
        <f>SUM('3:4'!Y58)</f>
        <v>0</v>
      </c>
      <c r="Z58" s="93">
        <f>SUM('3:4'!Z58)</f>
        <v>0</v>
      </c>
      <c r="AA58" s="93">
        <f>SUM('3:4'!AA58)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300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SUM('3:4'!G59)</f>
        <v>0</v>
      </c>
      <c r="H59" s="364">
        <f t="shared" si="10"/>
        <v>0</v>
      </c>
      <c r="I59" s="93">
        <f>SUM('3:4'!I59)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17"/>
        <v>0</v>
      </c>
      <c r="N59" s="93">
        <f>SUM('3:4'!N59)</f>
        <v>0</v>
      </c>
      <c r="O59" s="93">
        <f>SUM('3:4'!O59)</f>
        <v>0</v>
      </c>
      <c r="P59" s="93">
        <f>SUM('3:4'!P59)</f>
        <v>0</v>
      </c>
      <c r="Q59" s="93">
        <f>SUM('3:4'!Q59)</f>
        <v>0</v>
      </c>
      <c r="R59" s="93">
        <f>SUM('3:4'!R59)</f>
        <v>0</v>
      </c>
      <c r="S59" s="93">
        <f>SUM('3:4'!S59)</f>
        <v>0</v>
      </c>
      <c r="T59" s="93">
        <f>SUM('3:4'!T59)</f>
        <v>0</v>
      </c>
      <c r="U59" s="93">
        <f>SUM('3:4'!U59)</f>
        <v>0</v>
      </c>
      <c r="V59" s="206">
        <f t="shared" si="20"/>
        <v>0</v>
      </c>
      <c r="W59" s="33" t="str">
        <f t="shared" si="21"/>
        <v/>
      </c>
      <c r="X59" s="93">
        <f>SUM('3:4'!X59)</f>
        <v>0</v>
      </c>
      <c r="Y59" s="93">
        <f>SUM('3:4'!Y59)</f>
        <v>0</v>
      </c>
      <c r="Z59" s="93">
        <f>SUM('3:4'!Z59)</f>
        <v>0</v>
      </c>
      <c r="AA59" s="93">
        <f>SUM('3:4'!AA59)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300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SUM('3:4'!G60)</f>
        <v>0</v>
      </c>
      <c r="H60" s="364">
        <f t="shared" si="10"/>
        <v>0</v>
      </c>
      <c r="I60" s="93">
        <f>SUM('3:4'!I60)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17"/>
        <v>0</v>
      </c>
      <c r="N60" s="93">
        <f>SUM('3:4'!N60)</f>
        <v>0</v>
      </c>
      <c r="O60" s="93">
        <f>SUM('3:4'!O60)</f>
        <v>0</v>
      </c>
      <c r="P60" s="93">
        <f>SUM('3:4'!P60)</f>
        <v>0</v>
      </c>
      <c r="Q60" s="93">
        <f>SUM('3:4'!Q60)</f>
        <v>0</v>
      </c>
      <c r="R60" s="93">
        <f>SUM('3:4'!R60)</f>
        <v>0</v>
      </c>
      <c r="S60" s="93">
        <f>SUM('3:4'!S60)</f>
        <v>0</v>
      </c>
      <c r="T60" s="93">
        <f>SUM('3:4'!T60)</f>
        <v>0</v>
      </c>
      <c r="U60" s="93">
        <f>SUM('3:4'!U60)</f>
        <v>0</v>
      </c>
      <c r="V60" s="206">
        <f t="shared" si="20"/>
        <v>0</v>
      </c>
      <c r="W60" s="33" t="str">
        <f t="shared" si="21"/>
        <v/>
      </c>
      <c r="X60" s="93">
        <f>SUM('3:4'!X60)</f>
        <v>0</v>
      </c>
      <c r="Y60" s="93">
        <f>SUM('3:4'!Y60)</f>
        <v>0</v>
      </c>
      <c r="Z60" s="93">
        <f>SUM('3:4'!Z60)</f>
        <v>0</v>
      </c>
      <c r="AA60" s="93">
        <f>SUM('3:4'!AA60)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300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SUM('3:4'!G61)</f>
        <v>0</v>
      </c>
      <c r="H61" s="364">
        <f t="shared" si="10"/>
        <v>0</v>
      </c>
      <c r="I61" s="93">
        <f>SUM('3:4'!I61)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17"/>
        <v>0</v>
      </c>
      <c r="N61" s="93">
        <f>SUM('3:4'!N61)</f>
        <v>0</v>
      </c>
      <c r="O61" s="93">
        <f>SUM('3:4'!O61)</f>
        <v>0</v>
      </c>
      <c r="P61" s="93">
        <f>SUM('3:4'!P61)</f>
        <v>0</v>
      </c>
      <c r="Q61" s="93">
        <f>SUM('3:4'!Q61)</f>
        <v>0</v>
      </c>
      <c r="R61" s="93">
        <f>SUM('3:4'!R61)</f>
        <v>0</v>
      </c>
      <c r="S61" s="93">
        <f>SUM('3:4'!S61)</f>
        <v>0</v>
      </c>
      <c r="T61" s="93">
        <f>SUM('3:4'!T61)</f>
        <v>0</v>
      </c>
      <c r="U61" s="93">
        <f>SUM('3:4'!U61)</f>
        <v>0</v>
      </c>
      <c r="V61" s="206">
        <f t="shared" si="20"/>
        <v>0</v>
      </c>
      <c r="W61" s="33" t="str">
        <f t="shared" si="21"/>
        <v/>
      </c>
      <c r="X61" s="93">
        <f>SUM('3:4'!X61)</f>
        <v>0</v>
      </c>
      <c r="Y61" s="93">
        <f>SUM('3:4'!Y61)</f>
        <v>0</v>
      </c>
      <c r="Z61" s="93">
        <f>SUM('3:4'!Z61)</f>
        <v>0</v>
      </c>
      <c r="AA61" s="93">
        <f>SUM('3:4'!AA61)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300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SUM('3:4'!G62)</f>
        <v>0</v>
      </c>
      <c r="H62" s="364">
        <f t="shared" si="10"/>
        <v>0</v>
      </c>
      <c r="I62" s="93">
        <f>SUM('3:4'!I62)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17"/>
        <v>0</v>
      </c>
      <c r="N62" s="93">
        <f>SUM('3:4'!N62)</f>
        <v>0</v>
      </c>
      <c r="O62" s="93">
        <f>SUM('3:4'!O62)</f>
        <v>0</v>
      </c>
      <c r="P62" s="93">
        <f>SUM('3:4'!P62)</f>
        <v>0</v>
      </c>
      <c r="Q62" s="93">
        <f>SUM('3:4'!Q62)</f>
        <v>0</v>
      </c>
      <c r="R62" s="93">
        <f>SUM('3:4'!R62)</f>
        <v>0</v>
      </c>
      <c r="S62" s="93">
        <f>SUM('3:4'!S62)</f>
        <v>0</v>
      </c>
      <c r="T62" s="93">
        <f>SUM('3:4'!T62)</f>
        <v>0</v>
      </c>
      <c r="U62" s="93">
        <f>SUM('3:4'!U62)</f>
        <v>0</v>
      </c>
      <c r="V62" s="206">
        <f t="shared" si="20"/>
        <v>0</v>
      </c>
      <c r="W62" s="33" t="str">
        <f t="shared" si="21"/>
        <v/>
      </c>
      <c r="X62" s="93">
        <f>SUM('3:4'!X62)</f>
        <v>0</v>
      </c>
      <c r="Y62" s="93">
        <f>SUM('3:4'!Y62)</f>
        <v>0</v>
      </c>
      <c r="Z62" s="93">
        <f>SUM('3:4'!Z62)</f>
        <v>0</v>
      </c>
      <c r="AA62" s="93">
        <f>SUM('3:4'!AA62)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300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SUM('3:4'!G63)</f>
        <v>0</v>
      </c>
      <c r="H63" s="364">
        <f t="shared" si="10"/>
        <v>0</v>
      </c>
      <c r="I63" s="93">
        <f>SUM('3:4'!I63)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17"/>
        <v>0</v>
      </c>
      <c r="N63" s="93">
        <f>SUM('3:4'!N63)</f>
        <v>0</v>
      </c>
      <c r="O63" s="93">
        <f>SUM('3:4'!O63)</f>
        <v>0</v>
      </c>
      <c r="P63" s="93">
        <f>SUM('3:4'!P63)</f>
        <v>0</v>
      </c>
      <c r="Q63" s="93">
        <f>SUM('3:4'!Q63)</f>
        <v>0</v>
      </c>
      <c r="R63" s="93">
        <f>SUM('3:4'!R63)</f>
        <v>0</v>
      </c>
      <c r="S63" s="93">
        <f>SUM('3:4'!S63)</f>
        <v>0</v>
      </c>
      <c r="T63" s="93">
        <f>SUM('3:4'!T63)</f>
        <v>0</v>
      </c>
      <c r="U63" s="93">
        <f>SUM('3:4'!U63)</f>
        <v>0</v>
      </c>
      <c r="V63" s="206">
        <f t="shared" si="20"/>
        <v>0</v>
      </c>
      <c r="W63" s="33" t="str">
        <f t="shared" si="21"/>
        <v/>
      </c>
      <c r="X63" s="93">
        <f>SUM('3:4'!X63)</f>
        <v>0</v>
      </c>
      <c r="Y63" s="93">
        <f>SUM('3:4'!Y63)</f>
        <v>0</v>
      </c>
      <c r="Z63" s="93">
        <f>SUM('3:4'!Z63)</f>
        <v>0</v>
      </c>
      <c r="AA63" s="93">
        <f>SUM('3:4'!AA63)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300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SUM('3:4'!G64)</f>
        <v>0</v>
      </c>
      <c r="H64" s="364">
        <f t="shared" si="10"/>
        <v>0</v>
      </c>
      <c r="I64" s="93">
        <f>SUM('3:4'!I64)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17"/>
        <v>0</v>
      </c>
      <c r="N64" s="93">
        <f>SUM('3:4'!N64)</f>
        <v>0</v>
      </c>
      <c r="O64" s="93">
        <f>SUM('3:4'!O64)</f>
        <v>0</v>
      </c>
      <c r="P64" s="93">
        <f>SUM('3:4'!P64)</f>
        <v>0</v>
      </c>
      <c r="Q64" s="93">
        <f>SUM('3:4'!Q64)</f>
        <v>0</v>
      </c>
      <c r="R64" s="93">
        <f>SUM('3:4'!R64)</f>
        <v>0</v>
      </c>
      <c r="S64" s="93">
        <f>SUM('3:4'!S64)</f>
        <v>0</v>
      </c>
      <c r="T64" s="93">
        <f>SUM('3:4'!T64)</f>
        <v>0</v>
      </c>
      <c r="U64" s="93">
        <f>SUM('3:4'!U64)</f>
        <v>0</v>
      </c>
      <c r="V64" s="206">
        <f t="shared" si="20"/>
        <v>0</v>
      </c>
      <c r="W64" s="33" t="str">
        <f t="shared" si="21"/>
        <v/>
      </c>
      <c r="X64" s="93">
        <f>SUM('3:4'!X64)</f>
        <v>0</v>
      </c>
      <c r="Y64" s="93">
        <f>SUM('3:4'!Y64)</f>
        <v>0</v>
      </c>
      <c r="Z64" s="93">
        <f>SUM('3:4'!Z64)</f>
        <v>0</v>
      </c>
      <c r="AA64" s="93">
        <f>SUM('3:4'!AA64)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300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SUM('3:4'!G65)</f>
        <v>0</v>
      </c>
      <c r="H65" s="364">
        <f t="shared" si="10"/>
        <v>0</v>
      </c>
      <c r="I65" s="93">
        <f>SUM('3:4'!I65)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17"/>
        <v>0</v>
      </c>
      <c r="N65" s="93">
        <f>SUM('3:4'!N65)</f>
        <v>0</v>
      </c>
      <c r="O65" s="93">
        <f>SUM('3:4'!O65)</f>
        <v>0</v>
      </c>
      <c r="P65" s="93">
        <f>SUM('3:4'!P65)</f>
        <v>0</v>
      </c>
      <c r="Q65" s="93">
        <f>SUM('3:4'!Q65)</f>
        <v>0</v>
      </c>
      <c r="R65" s="93">
        <f>SUM('3:4'!R65)</f>
        <v>0</v>
      </c>
      <c r="S65" s="93">
        <f>SUM('3:4'!S65)</f>
        <v>0</v>
      </c>
      <c r="T65" s="93">
        <f>SUM('3:4'!T65)</f>
        <v>0</v>
      </c>
      <c r="U65" s="93">
        <f>SUM('3:4'!U65)</f>
        <v>0</v>
      </c>
      <c r="V65" s="206">
        <f t="shared" si="20"/>
        <v>0</v>
      </c>
      <c r="W65" s="33" t="str">
        <f t="shared" si="21"/>
        <v/>
      </c>
      <c r="X65" s="93">
        <f>SUM('3:4'!X65)</f>
        <v>0</v>
      </c>
      <c r="Y65" s="93">
        <f>SUM('3:4'!Y65)</f>
        <v>0</v>
      </c>
      <c r="Z65" s="93">
        <f>SUM('3:4'!Z65)</f>
        <v>0</v>
      </c>
      <c r="AA65" s="93">
        <f>SUM('3:4'!AA65)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300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SUM('3:4'!G66)</f>
        <v>0</v>
      </c>
      <c r="H66" s="364">
        <f t="shared" si="10"/>
        <v>0</v>
      </c>
      <c r="I66" s="93">
        <f>SUM('3:4'!I66)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17"/>
        <v>0</v>
      </c>
      <c r="N66" s="93">
        <f>SUM('3:4'!N66)</f>
        <v>0</v>
      </c>
      <c r="O66" s="93">
        <f>SUM('3:4'!O66)</f>
        <v>0</v>
      </c>
      <c r="P66" s="93">
        <f>SUM('3:4'!P66)</f>
        <v>0</v>
      </c>
      <c r="Q66" s="93">
        <f>SUM('3:4'!Q66)</f>
        <v>0</v>
      </c>
      <c r="R66" s="93">
        <f>SUM('3:4'!R66)</f>
        <v>0</v>
      </c>
      <c r="S66" s="93">
        <f>SUM('3:4'!S66)</f>
        <v>0</v>
      </c>
      <c r="T66" s="93">
        <f>SUM('3:4'!T66)</f>
        <v>0</v>
      </c>
      <c r="U66" s="93">
        <f>SUM('3:4'!U66)</f>
        <v>0</v>
      </c>
      <c r="V66" s="206">
        <f t="shared" si="20"/>
        <v>0</v>
      </c>
      <c r="W66" s="33" t="str">
        <f t="shared" si="21"/>
        <v/>
      </c>
      <c r="X66" s="93">
        <f>SUM('3:4'!X66)</f>
        <v>0</v>
      </c>
      <c r="Y66" s="93">
        <f>SUM('3:4'!Y66)</f>
        <v>0</v>
      </c>
      <c r="Z66" s="93">
        <f>SUM('3:4'!Z66)</f>
        <v>0</v>
      </c>
      <c r="AA66" s="93">
        <f>SUM('3:4'!AA66)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300">
        <v>30100043</v>
      </c>
      <c r="B67" s="62" t="s">
        <v>429</v>
      </c>
      <c r="C67" s="297" t="s">
        <v>451</v>
      </c>
      <c r="D67" s="17">
        <v>5.03</v>
      </c>
      <c r="E67" s="17"/>
      <c r="F67" s="6"/>
      <c r="G67" s="93">
        <f>SUM('3:4'!G67)</f>
        <v>0</v>
      </c>
      <c r="H67" s="364">
        <f t="shared" si="10"/>
        <v>0</v>
      </c>
      <c r="I67" s="93">
        <f>SUM('3:4'!I67)</f>
        <v>0</v>
      </c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300">
        <v>30100064</v>
      </c>
      <c r="B68" s="192" t="s">
        <v>397</v>
      </c>
      <c r="C68" s="187" t="s">
        <v>398</v>
      </c>
      <c r="D68" s="17">
        <v>5</v>
      </c>
      <c r="E68" s="17"/>
      <c r="F68" s="6"/>
      <c r="G68" s="93">
        <f>SUM('3:4'!G68)</f>
        <v>0</v>
      </c>
      <c r="H68" s="364">
        <f t="shared" si="10"/>
        <v>0</v>
      </c>
      <c r="I68" s="93">
        <f>SUM('3:4'!I68)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SUM('3:4'!N68)</f>
        <v>0</v>
      </c>
      <c r="O68" s="93">
        <f>SUM('3:4'!O68)</f>
        <v>0</v>
      </c>
      <c r="P68" s="93">
        <f>SUM('3:4'!P68)</f>
        <v>0</v>
      </c>
      <c r="Q68" s="93">
        <f>SUM('3:4'!Q68)</f>
        <v>0</v>
      </c>
      <c r="R68" s="93">
        <f>SUM('3:4'!R68)</f>
        <v>0</v>
      </c>
      <c r="S68" s="93">
        <f>SUM('3:4'!S68)</f>
        <v>0</v>
      </c>
      <c r="T68" s="93">
        <f>SUM('3:4'!T68)</f>
        <v>0</v>
      </c>
      <c r="U68" s="93">
        <f>SUM('3:4'!U68)</f>
        <v>0</v>
      </c>
      <c r="V68" s="206"/>
      <c r="W68" s="33"/>
      <c r="X68" s="93">
        <f>SUM('3:4'!X68)</f>
        <v>0</v>
      </c>
      <c r="Y68" s="93">
        <f>SUM('3:4'!Y68)</f>
        <v>0</v>
      </c>
      <c r="Z68" s="93">
        <f>SUM('3:4'!Z68)</f>
        <v>0</v>
      </c>
      <c r="AA68" s="93">
        <f>SUM('3:4'!AA68)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300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SUM('3:4'!G69)</f>
        <v>0</v>
      </c>
      <c r="H69" s="364">
        <f t="shared" si="10"/>
        <v>0</v>
      </c>
      <c r="I69" s="93">
        <f>SUM('3:4'!I69)</f>
        <v>0</v>
      </c>
      <c r="J69" s="31" t="str">
        <f t="array" ref="J69">IF(ISERROR(G69/I69),"",G69/I69)</f>
        <v/>
      </c>
      <c r="K69" s="35">
        <f t="array" ref="K69">IF(ISERROR(G69/L69),"",G69/L69)</f>
        <v>0</v>
      </c>
      <c r="L69" s="87">
        <v>21.5</v>
      </c>
      <c r="M69" s="36">
        <f t="shared" ref="M69:M70" si="22">IF(ISERROR(I69-K69),"",I69-K69)</f>
        <v>0</v>
      </c>
      <c r="N69" s="93">
        <f>SUM('3:4'!N69)</f>
        <v>0</v>
      </c>
      <c r="O69" s="93">
        <f>SUM('3:4'!O69)</f>
        <v>0</v>
      </c>
      <c r="P69" s="93">
        <f>SUM('3:4'!P69)</f>
        <v>0</v>
      </c>
      <c r="Q69" s="93">
        <f>SUM('3:4'!Q69)</f>
        <v>0</v>
      </c>
      <c r="R69" s="93">
        <f>SUM('3:4'!R69)</f>
        <v>0</v>
      </c>
      <c r="S69" s="93">
        <f>SUM('3:4'!S69)</f>
        <v>0</v>
      </c>
      <c r="T69" s="93">
        <f>SUM('3:4'!T69)</f>
        <v>0</v>
      </c>
      <c r="U69" s="93">
        <f>SUM('3:4'!U69)</f>
        <v>0</v>
      </c>
      <c r="V69" s="206">
        <f t="shared" ref="V69:V70" si="23">SUM(X69:AA69)</f>
        <v>0</v>
      </c>
      <c r="W69" s="33" t="str">
        <f t="shared" ref="W69:W70" si="24">IF(ISERROR(V69/G69),"",V69/G69)</f>
        <v/>
      </c>
      <c r="X69" s="93">
        <f>SUM('3:4'!X69)</f>
        <v>0</v>
      </c>
      <c r="Y69" s="93">
        <f>SUM('3:4'!Y69)</f>
        <v>0</v>
      </c>
      <c r="Z69" s="93">
        <f>SUM('3:4'!Z69)</f>
        <v>0</v>
      </c>
      <c r="AA69" s="93">
        <f>SUM('3:4'!AA69)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300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SUM('3:4'!G70)</f>
        <v>0</v>
      </c>
      <c r="H70" s="364">
        <f t="shared" si="10"/>
        <v>0</v>
      </c>
      <c r="I70" s="93">
        <f>SUM('3:4'!I70)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 t="shared" si="22"/>
        <v>0</v>
      </c>
      <c r="N70" s="93">
        <f>SUM('3:4'!N70)</f>
        <v>0</v>
      </c>
      <c r="O70" s="93">
        <f>SUM('3:4'!O70)</f>
        <v>0</v>
      </c>
      <c r="P70" s="93">
        <f>SUM('3:4'!P70)</f>
        <v>0</v>
      </c>
      <c r="Q70" s="93">
        <f>SUM('3:4'!Q70)</f>
        <v>0</v>
      </c>
      <c r="R70" s="93">
        <f>SUM('3:4'!R70)</f>
        <v>0</v>
      </c>
      <c r="S70" s="93">
        <f>SUM('3:4'!S70)</f>
        <v>0</v>
      </c>
      <c r="T70" s="93">
        <f>SUM('3:4'!T70)</f>
        <v>0</v>
      </c>
      <c r="U70" s="93">
        <f>SUM('3:4'!U70)</f>
        <v>0</v>
      </c>
      <c r="V70" s="206">
        <f t="shared" si="23"/>
        <v>0</v>
      </c>
      <c r="W70" s="33" t="str">
        <f t="shared" si="24"/>
        <v/>
      </c>
      <c r="X70" s="93">
        <f>SUM('3:4'!X70)</f>
        <v>0</v>
      </c>
      <c r="Y70" s="93">
        <f>SUM('3:4'!Y70)</f>
        <v>0</v>
      </c>
      <c r="Z70" s="93">
        <f>SUM('3:4'!Z70)</f>
        <v>0</v>
      </c>
      <c r="AA70" s="93">
        <f>SUM('3:4'!AA70)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300"/>
      <c r="B71" s="192" t="s">
        <v>360</v>
      </c>
      <c r="C71" s="187" t="s">
        <v>361</v>
      </c>
      <c r="D71" s="17"/>
      <c r="E71" s="17"/>
      <c r="F71" s="6"/>
      <c r="G71" s="93">
        <f>SUM('3:4'!G71)</f>
        <v>0</v>
      </c>
      <c r="H71" s="364">
        <f t="shared" si="10"/>
        <v>0</v>
      </c>
      <c r="I71" s="93">
        <f>SUM('3:4'!I71)</f>
        <v>0</v>
      </c>
      <c r="J71" s="31"/>
      <c r="K71" s="35"/>
      <c r="L71" s="87"/>
      <c r="M71" s="36"/>
      <c r="N71" s="93">
        <f>SUM('3:4'!N71)</f>
        <v>0</v>
      </c>
      <c r="O71" s="93">
        <f>SUM('3:4'!O71)</f>
        <v>0</v>
      </c>
      <c r="P71" s="93">
        <f>SUM('3:4'!P71)</f>
        <v>0</v>
      </c>
      <c r="Q71" s="93">
        <f>SUM('3:4'!Q71)</f>
        <v>0</v>
      </c>
      <c r="R71" s="93">
        <f>SUM('3:4'!R71)</f>
        <v>0</v>
      </c>
      <c r="S71" s="93">
        <f>SUM('3:4'!S71)</f>
        <v>0</v>
      </c>
      <c r="T71" s="93">
        <f>SUM('3:4'!T71)</f>
        <v>0</v>
      </c>
      <c r="U71" s="93">
        <f>SUM('3:4'!U71)</f>
        <v>0</v>
      </c>
      <c r="V71" s="206"/>
      <c r="W71" s="33"/>
      <c r="X71" s="93">
        <f>SUM('3:4'!X71)</f>
        <v>0</v>
      </c>
      <c r="Y71" s="93">
        <f>SUM('3:4'!Y71)</f>
        <v>0</v>
      </c>
      <c r="Z71" s="93">
        <f>SUM('3:4'!Z71)</f>
        <v>0</v>
      </c>
      <c r="AA71" s="93">
        <f>SUM('3:4'!AA71)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300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SUM('3:4'!G72)</f>
        <v>0</v>
      </c>
      <c r="H72" s="364">
        <f t="shared" si="10"/>
        <v>0</v>
      </c>
      <c r="I72" s="93">
        <f>SUM('3:4'!I72)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25">IF(ISERROR(I72-K72),"",I72-K72)</f>
        <v/>
      </c>
      <c r="N72" s="93">
        <f>SUM('3:4'!N72)</f>
        <v>0</v>
      </c>
      <c r="O72" s="93">
        <f>SUM('3:4'!O72)</f>
        <v>0</v>
      </c>
      <c r="P72" s="93">
        <f>SUM('3:4'!P72)</f>
        <v>0</v>
      </c>
      <c r="Q72" s="93">
        <f>SUM('3:4'!Q72)</f>
        <v>0</v>
      </c>
      <c r="R72" s="93">
        <f>SUM('3:4'!R72)</f>
        <v>0</v>
      </c>
      <c r="S72" s="93">
        <f>SUM('3:4'!S72)</f>
        <v>0</v>
      </c>
      <c r="T72" s="93">
        <f>SUM('3:4'!T72)</f>
        <v>0</v>
      </c>
      <c r="U72" s="93">
        <f>SUM('3:4'!U72)</f>
        <v>0</v>
      </c>
      <c r="V72" s="206">
        <f t="shared" ref="V72:V75" si="26">SUM(X72:AA72)</f>
        <v>0</v>
      </c>
      <c r="W72" s="33" t="str">
        <f t="shared" ref="W72:W75" si="27">IF(ISERROR(V72/G72),"",V72/G72)</f>
        <v/>
      </c>
      <c r="X72" s="93">
        <f>SUM('3:4'!X72)</f>
        <v>0</v>
      </c>
      <c r="Y72" s="93">
        <f>SUM('3:4'!Y72)</f>
        <v>0</v>
      </c>
      <c r="Z72" s="93">
        <f>SUM('3:4'!Z72)</f>
        <v>0</v>
      </c>
      <c r="AA72" s="93">
        <f>SUM('3:4'!AA72)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300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SUM('3:4'!G73)</f>
        <v>0</v>
      </c>
      <c r="H73" s="364">
        <f t="shared" si="10"/>
        <v>0</v>
      </c>
      <c r="I73" s="93">
        <f>SUM('3:4'!I73)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25"/>
        <v/>
      </c>
      <c r="N73" s="93">
        <f>SUM('3:4'!N73)</f>
        <v>0</v>
      </c>
      <c r="O73" s="93">
        <f>SUM('3:4'!O73)</f>
        <v>0</v>
      </c>
      <c r="P73" s="93">
        <f>SUM('3:4'!P73)</f>
        <v>0</v>
      </c>
      <c r="Q73" s="93">
        <f>SUM('3:4'!Q73)</f>
        <v>0</v>
      </c>
      <c r="R73" s="93">
        <f>SUM('3:4'!R73)</f>
        <v>0</v>
      </c>
      <c r="S73" s="93">
        <f>SUM('3:4'!S73)</f>
        <v>0</v>
      </c>
      <c r="T73" s="93">
        <f>SUM('3:4'!T73)</f>
        <v>0</v>
      </c>
      <c r="U73" s="93">
        <f>SUM('3:4'!U73)</f>
        <v>0</v>
      </c>
      <c r="V73" s="206">
        <f t="shared" si="26"/>
        <v>0</v>
      </c>
      <c r="W73" s="33" t="str">
        <f t="shared" si="27"/>
        <v/>
      </c>
      <c r="X73" s="93">
        <f>SUM('3:4'!X73)</f>
        <v>0</v>
      </c>
      <c r="Y73" s="93">
        <f>SUM('3:4'!Y73)</f>
        <v>0</v>
      </c>
      <c r="Z73" s="93">
        <f>SUM('3:4'!Z73)</f>
        <v>0</v>
      </c>
      <c r="AA73" s="93">
        <f>SUM('3:4'!AA73)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00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SUM('3:4'!G74)</f>
        <v>0</v>
      </c>
      <c r="H74" s="364">
        <f t="shared" si="10"/>
        <v>0</v>
      </c>
      <c r="I74" s="93">
        <f>SUM('3:4'!I74)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25"/>
        <v/>
      </c>
      <c r="N74" s="93">
        <f>SUM('3:4'!N74)</f>
        <v>0</v>
      </c>
      <c r="O74" s="93">
        <f>SUM('3:4'!O74)</f>
        <v>0</v>
      </c>
      <c r="P74" s="93">
        <f>SUM('3:4'!P74)</f>
        <v>0</v>
      </c>
      <c r="Q74" s="93">
        <f>SUM('3:4'!Q74)</f>
        <v>0</v>
      </c>
      <c r="R74" s="93">
        <f>SUM('3:4'!R74)</f>
        <v>0</v>
      </c>
      <c r="S74" s="93">
        <f>SUM('3:4'!S74)</f>
        <v>0</v>
      </c>
      <c r="T74" s="93">
        <f>SUM('3:4'!T74)</f>
        <v>0</v>
      </c>
      <c r="U74" s="93">
        <f>SUM('3:4'!U74)</f>
        <v>0</v>
      </c>
      <c r="V74" s="206">
        <f t="shared" si="26"/>
        <v>0</v>
      </c>
      <c r="W74" s="33" t="str">
        <f t="shared" si="27"/>
        <v/>
      </c>
      <c r="X74" s="93">
        <f>SUM('3:4'!X74)</f>
        <v>0</v>
      </c>
      <c r="Y74" s="93">
        <f>SUM('3:4'!Y74)</f>
        <v>0</v>
      </c>
      <c r="Z74" s="93">
        <f>SUM('3:4'!Z74)</f>
        <v>0</v>
      </c>
      <c r="AA74" s="93">
        <f>SUM('3:4'!AA74)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300">
        <v>30100058</v>
      </c>
      <c r="B75" s="189" t="s">
        <v>215</v>
      </c>
      <c r="C75" s="16" t="s">
        <v>61</v>
      </c>
      <c r="D75" s="17">
        <v>5.0599999999999996</v>
      </c>
      <c r="E75" s="17"/>
      <c r="F75" s="6"/>
      <c r="G75" s="93">
        <f>SUM('3:4'!G75)</f>
        <v>0</v>
      </c>
      <c r="H75" s="364">
        <f t="shared" si="10"/>
        <v>0</v>
      </c>
      <c r="I75" s="93">
        <f>SUM('3:4'!I75)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25"/>
        <v/>
      </c>
      <c r="N75" s="93">
        <f>SUM('3:4'!N75)</f>
        <v>0</v>
      </c>
      <c r="O75" s="93">
        <f>SUM('3:4'!O75)</f>
        <v>0</v>
      </c>
      <c r="P75" s="93">
        <f>SUM('3:4'!P75)</f>
        <v>0</v>
      </c>
      <c r="Q75" s="93">
        <f>SUM('3:4'!Q75)</f>
        <v>0</v>
      </c>
      <c r="R75" s="93">
        <f>SUM('3:4'!R75)</f>
        <v>0</v>
      </c>
      <c r="S75" s="93">
        <f>SUM('3:4'!S75)</f>
        <v>0</v>
      </c>
      <c r="T75" s="93">
        <f>SUM('3:4'!T75)</f>
        <v>0</v>
      </c>
      <c r="U75" s="93">
        <f>SUM('3:4'!U75)</f>
        <v>0</v>
      </c>
      <c r="V75" s="206">
        <f t="shared" si="26"/>
        <v>0</v>
      </c>
      <c r="W75" s="33" t="str">
        <f t="shared" si="27"/>
        <v/>
      </c>
      <c r="X75" s="93">
        <f>SUM('3:4'!X75)</f>
        <v>0</v>
      </c>
      <c r="Y75" s="93">
        <f>SUM('3:4'!Y75)</f>
        <v>0</v>
      </c>
      <c r="Z75" s="93">
        <f>SUM('3:4'!Z75)</f>
        <v>0</v>
      </c>
      <c r="AA75" s="93">
        <f>SUM('3:4'!AA75)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302">
        <v>30600013</v>
      </c>
      <c r="B76" s="264" t="s">
        <v>377</v>
      </c>
      <c r="C76" s="187" t="s">
        <v>374</v>
      </c>
      <c r="D76" s="17"/>
      <c r="E76" s="17"/>
      <c r="F76" s="6"/>
      <c r="G76" s="93">
        <f>SUM('3:4'!G76)</f>
        <v>0</v>
      </c>
      <c r="H76" s="364">
        <f t="shared" si="10"/>
        <v>0</v>
      </c>
      <c r="I76" s="93">
        <f>SUM('3:4'!I76)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25"/>
        <v>0</v>
      </c>
      <c r="N76" s="93">
        <f>SUM('3:4'!N76)</f>
        <v>0</v>
      </c>
      <c r="O76" s="93">
        <f>SUM('3:4'!O76)</f>
        <v>0</v>
      </c>
      <c r="P76" s="93">
        <f>SUM('3:4'!P76)</f>
        <v>0</v>
      </c>
      <c r="Q76" s="93">
        <f>SUM('3:4'!Q76)</f>
        <v>0</v>
      </c>
      <c r="R76" s="93">
        <f>SUM('3:4'!R76)</f>
        <v>0</v>
      </c>
      <c r="S76" s="93">
        <f>SUM('3:4'!S76)</f>
        <v>0</v>
      </c>
      <c r="T76" s="93">
        <f>SUM('3:4'!T76)</f>
        <v>0</v>
      </c>
      <c r="U76" s="93">
        <f>SUM('3:4'!U76)</f>
        <v>0</v>
      </c>
      <c r="V76" s="206"/>
      <c r="W76" s="33"/>
      <c r="X76" s="93">
        <f>SUM('3:4'!X76)</f>
        <v>0</v>
      </c>
      <c r="Y76" s="93">
        <f>SUM('3:4'!Y76)</f>
        <v>0</v>
      </c>
      <c r="Z76" s="93">
        <f>SUM('3:4'!Z76)</f>
        <v>0</v>
      </c>
      <c r="AA76" s="93">
        <f>SUM('3:4'!AA76)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302">
        <v>30600014</v>
      </c>
      <c r="B77" s="264" t="s">
        <v>377</v>
      </c>
      <c r="C77" s="187" t="s">
        <v>369</v>
      </c>
      <c r="D77" s="17"/>
      <c r="E77" s="17"/>
      <c r="F77" s="6"/>
      <c r="G77" s="93">
        <f>SUM('3:4'!G77)</f>
        <v>0</v>
      </c>
      <c r="H77" s="364">
        <f t="shared" si="10"/>
        <v>0</v>
      </c>
      <c r="I77" s="93">
        <f>SUM('3:4'!I77)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25"/>
        <v>0</v>
      </c>
      <c r="N77" s="93">
        <f>SUM('3:4'!N77)</f>
        <v>0</v>
      </c>
      <c r="O77" s="93">
        <f>SUM('3:4'!O77)</f>
        <v>0</v>
      </c>
      <c r="P77" s="93">
        <f>SUM('3:4'!P77)</f>
        <v>0</v>
      </c>
      <c r="Q77" s="93">
        <f>SUM('3:4'!Q77)</f>
        <v>0</v>
      </c>
      <c r="R77" s="93">
        <f>SUM('3:4'!R77)</f>
        <v>0</v>
      </c>
      <c r="S77" s="93">
        <f>SUM('3:4'!S77)</f>
        <v>0</v>
      </c>
      <c r="T77" s="93">
        <f>SUM('3:4'!T77)</f>
        <v>0</v>
      </c>
      <c r="U77" s="93">
        <f>SUM('3:4'!U77)</f>
        <v>0</v>
      </c>
      <c r="V77" s="206"/>
      <c r="W77" s="33"/>
      <c r="X77" s="93">
        <f>SUM('3:4'!X77)</f>
        <v>0</v>
      </c>
      <c r="Y77" s="93">
        <f>SUM('3:4'!Y77)</f>
        <v>0</v>
      </c>
      <c r="Z77" s="93">
        <f>SUM('3:4'!Z77)</f>
        <v>0</v>
      </c>
      <c r="AA77" s="93">
        <f>SUM('3:4'!AA77)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302">
        <v>30600012</v>
      </c>
      <c r="B78" s="197" t="s">
        <v>377</v>
      </c>
      <c r="C78" s="187" t="s">
        <v>370</v>
      </c>
      <c r="D78" s="17"/>
      <c r="E78" s="17"/>
      <c r="F78" s="6"/>
      <c r="G78" s="93">
        <f>SUM('3:4'!G78)</f>
        <v>0</v>
      </c>
      <c r="H78" s="364">
        <f t="shared" si="10"/>
        <v>0</v>
      </c>
      <c r="I78" s="93">
        <f>SUM('3:4'!I78)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25"/>
        <v>0</v>
      </c>
      <c r="N78" s="93">
        <f>SUM('3:4'!N78)</f>
        <v>0</v>
      </c>
      <c r="O78" s="93">
        <f>SUM('3:4'!O78)</f>
        <v>0</v>
      </c>
      <c r="P78" s="93">
        <f>SUM('3:4'!P78)</f>
        <v>0</v>
      </c>
      <c r="Q78" s="93">
        <f>SUM('3:4'!Q78)</f>
        <v>0</v>
      </c>
      <c r="R78" s="93">
        <f>SUM('3:4'!R78)</f>
        <v>0</v>
      </c>
      <c r="S78" s="93">
        <f>SUM('3:4'!S78)</f>
        <v>0</v>
      </c>
      <c r="T78" s="93">
        <f>SUM('3:4'!T78)</f>
        <v>0</v>
      </c>
      <c r="U78" s="93">
        <f>SUM('3:4'!U78)</f>
        <v>0</v>
      </c>
      <c r="V78" s="206"/>
      <c r="W78" s="33"/>
      <c r="X78" s="93">
        <f>SUM('3:4'!X78)</f>
        <v>0</v>
      </c>
      <c r="Y78" s="93">
        <f>SUM('3:4'!Y78)</f>
        <v>0</v>
      </c>
      <c r="Z78" s="93">
        <f>SUM('3:4'!Z78)</f>
        <v>0</v>
      </c>
      <c r="AA78" s="93">
        <f>SUM('3:4'!AA78)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302">
        <v>30600011</v>
      </c>
      <c r="B79" s="197" t="s">
        <v>377</v>
      </c>
      <c r="C79" s="187" t="s">
        <v>371</v>
      </c>
      <c r="D79" s="17"/>
      <c r="E79" s="17"/>
      <c r="F79" s="6"/>
      <c r="G79" s="93">
        <f>SUM('3:4'!G79)</f>
        <v>0</v>
      </c>
      <c r="H79" s="364">
        <f t="shared" si="10"/>
        <v>0</v>
      </c>
      <c r="I79" s="93">
        <f>SUM('3:4'!I79)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25"/>
        <v>0</v>
      </c>
      <c r="N79" s="93">
        <f>SUM('3:4'!N79)</f>
        <v>0</v>
      </c>
      <c r="O79" s="93">
        <f>SUM('3:4'!O79)</f>
        <v>0</v>
      </c>
      <c r="P79" s="93">
        <f>SUM('3:4'!P79)</f>
        <v>0</v>
      </c>
      <c r="Q79" s="93">
        <f>SUM('3:4'!Q79)</f>
        <v>0</v>
      </c>
      <c r="R79" s="93">
        <f>SUM('3:4'!R79)</f>
        <v>0</v>
      </c>
      <c r="S79" s="93">
        <f>SUM('3:4'!S79)</f>
        <v>0</v>
      </c>
      <c r="T79" s="93">
        <f>SUM('3:4'!T79)</f>
        <v>0</v>
      </c>
      <c r="U79" s="93">
        <f>SUM('3:4'!U79)</f>
        <v>0</v>
      </c>
      <c r="V79" s="206"/>
      <c r="W79" s="33"/>
      <c r="X79" s="93">
        <f>SUM('3:4'!X79)</f>
        <v>0</v>
      </c>
      <c r="Y79" s="93">
        <f>SUM('3:4'!Y79)</f>
        <v>0</v>
      </c>
      <c r="Z79" s="93">
        <f>SUM('3:4'!Z79)</f>
        <v>0</v>
      </c>
      <c r="AA79" s="93">
        <f>SUM('3:4'!AA79)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302">
        <v>30300002</v>
      </c>
      <c r="B80" s="197" t="s">
        <v>407</v>
      </c>
      <c r="C80" s="187" t="s">
        <v>408</v>
      </c>
      <c r="D80" s="17"/>
      <c r="E80" s="17"/>
      <c r="F80" s="6"/>
      <c r="G80" s="93">
        <f>SUM('3:4'!G80)</f>
        <v>0</v>
      </c>
      <c r="H80" s="364">
        <f t="shared" si="10"/>
        <v>0</v>
      </c>
      <c r="I80" s="93">
        <f>SUM('3:4'!I80)</f>
        <v>0</v>
      </c>
      <c r="J80" s="31"/>
      <c r="K80" s="35"/>
      <c r="L80" s="87">
        <v>4</v>
      </c>
      <c r="M80" s="36"/>
      <c r="N80" s="93">
        <f>SUM('3:4'!N80)</f>
        <v>0</v>
      </c>
      <c r="O80" s="93"/>
      <c r="P80" s="93"/>
      <c r="Q80" s="93"/>
      <c r="R80" s="93"/>
      <c r="S80" s="93"/>
      <c r="T80" s="93"/>
      <c r="U80" s="93"/>
      <c r="V80" s="20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302">
        <v>30300001</v>
      </c>
      <c r="B81" s="197" t="s">
        <v>407</v>
      </c>
      <c r="C81" s="187" t="s">
        <v>409</v>
      </c>
      <c r="D81" s="17"/>
      <c r="E81" s="17"/>
      <c r="F81" s="6"/>
      <c r="G81" s="93">
        <f>SUM('3:4'!G81)</f>
        <v>0</v>
      </c>
      <c r="H81" s="364">
        <f t="shared" si="10"/>
        <v>0</v>
      </c>
      <c r="I81" s="93">
        <f>SUM('3:4'!I81)</f>
        <v>0</v>
      </c>
      <c r="J81" s="31"/>
      <c r="K81" s="35"/>
      <c r="L81" s="87">
        <v>4</v>
      </c>
      <c r="M81" s="36"/>
      <c r="N81" s="93">
        <f>SUM('3:4'!N81)</f>
        <v>0</v>
      </c>
      <c r="O81" s="93"/>
      <c r="P81" s="93"/>
      <c r="Q81" s="93"/>
      <c r="R81" s="93"/>
      <c r="S81" s="93"/>
      <c r="T81" s="93"/>
      <c r="U81" s="93"/>
      <c r="V81" s="20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302">
        <v>30300003</v>
      </c>
      <c r="B82" s="197" t="s">
        <v>407</v>
      </c>
      <c r="C82" s="187" t="s">
        <v>410</v>
      </c>
      <c r="D82" s="17"/>
      <c r="E82" s="17"/>
      <c r="F82" s="6"/>
      <c r="G82" s="93">
        <f>SUM('3:4'!G82)</f>
        <v>0</v>
      </c>
      <c r="H82" s="364">
        <f t="shared" si="10"/>
        <v>0</v>
      </c>
      <c r="I82" s="93">
        <f>SUM('3:4'!I82)</f>
        <v>0</v>
      </c>
      <c r="J82" s="31"/>
      <c r="K82" s="35"/>
      <c r="L82" s="87">
        <v>4</v>
      </c>
      <c r="M82" s="36"/>
      <c r="N82" s="93">
        <f>SUM('3:4'!N82)</f>
        <v>0</v>
      </c>
      <c r="O82" s="93"/>
      <c r="P82" s="93"/>
      <c r="Q82" s="93"/>
      <c r="R82" s="93"/>
      <c r="S82" s="93"/>
      <c r="T82" s="93"/>
      <c r="U82" s="93"/>
      <c r="V82" s="20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302">
        <v>30300005</v>
      </c>
      <c r="B83" s="63" t="s">
        <v>362</v>
      </c>
      <c r="C83" s="16" t="s">
        <v>337</v>
      </c>
      <c r="D83" s="17"/>
      <c r="E83" s="17"/>
      <c r="F83" s="6"/>
      <c r="G83" s="93">
        <f>SUM('3:4'!G83)</f>
        <v>0</v>
      </c>
      <c r="H83" s="364">
        <f t="shared" si="10"/>
        <v>0</v>
      </c>
      <c r="I83" s="93">
        <f>SUM('3:4'!I83)</f>
        <v>0</v>
      </c>
      <c r="J83" s="31"/>
      <c r="K83" s="35"/>
      <c r="L83" s="87">
        <v>4</v>
      </c>
      <c r="M83" s="36"/>
      <c r="N83" s="93">
        <f>SUM('3:4'!N83)</f>
        <v>0</v>
      </c>
      <c r="O83" s="93">
        <f>SUM('3:4'!O83)</f>
        <v>0</v>
      </c>
      <c r="P83" s="93">
        <f>SUM('3:4'!P83)</f>
        <v>0</v>
      </c>
      <c r="Q83" s="93">
        <f>SUM('3:4'!Q83)</f>
        <v>0</v>
      </c>
      <c r="R83" s="93">
        <f>SUM('3:4'!R83)</f>
        <v>0</v>
      </c>
      <c r="S83" s="93">
        <f>SUM('3:4'!S83)</f>
        <v>0</v>
      </c>
      <c r="T83" s="93">
        <f>SUM('3:4'!T83)</f>
        <v>0</v>
      </c>
      <c r="U83" s="93">
        <f>SUM('3:4'!U83)</f>
        <v>0</v>
      </c>
      <c r="V83" s="206"/>
      <c r="W83" s="33"/>
      <c r="X83" s="93">
        <f>SUM('3:4'!X83)</f>
        <v>0</v>
      </c>
      <c r="Y83" s="93">
        <f>SUM('3:4'!Y83)</f>
        <v>0</v>
      </c>
      <c r="Z83" s="93">
        <f>SUM('3:4'!Z83)</f>
        <v>0</v>
      </c>
      <c r="AA83" s="93">
        <f>SUM('3:4'!AA83)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302">
        <v>30300004</v>
      </c>
      <c r="B84" s="63" t="s">
        <v>362</v>
      </c>
      <c r="C84" s="16" t="s">
        <v>339</v>
      </c>
      <c r="D84" s="17"/>
      <c r="E84" s="17"/>
      <c r="F84" s="6"/>
      <c r="G84" s="93">
        <f>SUM('3:4'!G84)</f>
        <v>0</v>
      </c>
      <c r="H84" s="364">
        <f t="shared" si="10"/>
        <v>0</v>
      </c>
      <c r="I84" s="93">
        <f>SUM('3:4'!I84)</f>
        <v>0</v>
      </c>
      <c r="J84" s="31"/>
      <c r="K84" s="35"/>
      <c r="L84" s="87">
        <v>4</v>
      </c>
      <c r="M84" s="36"/>
      <c r="N84" s="93">
        <f>SUM('3:4'!N84)</f>
        <v>0</v>
      </c>
      <c r="O84" s="93">
        <f>SUM('3:4'!O84)</f>
        <v>0</v>
      </c>
      <c r="P84" s="93">
        <f>SUM('3:4'!P84)</f>
        <v>0</v>
      </c>
      <c r="Q84" s="93">
        <f>SUM('3:4'!Q84)</f>
        <v>0</v>
      </c>
      <c r="R84" s="93">
        <f>SUM('3:4'!R84)</f>
        <v>0</v>
      </c>
      <c r="S84" s="93">
        <f>SUM('3:4'!S84)</f>
        <v>0</v>
      </c>
      <c r="T84" s="93">
        <f>SUM('3:4'!T84)</f>
        <v>0</v>
      </c>
      <c r="U84" s="93">
        <f>SUM('3:4'!U84)</f>
        <v>0</v>
      </c>
      <c r="V84" s="206"/>
      <c r="W84" s="33"/>
      <c r="X84" s="93">
        <f>SUM('3:4'!X84)</f>
        <v>0</v>
      </c>
      <c r="Y84" s="93">
        <f>SUM('3:4'!Y84)</f>
        <v>0</v>
      </c>
      <c r="Z84" s="93">
        <f>SUM('3:4'!Z84)</f>
        <v>0</v>
      </c>
      <c r="AA84" s="93">
        <f>SUM('3:4'!AA84)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302">
        <v>30300006</v>
      </c>
      <c r="B85" s="63" t="s">
        <v>362</v>
      </c>
      <c r="C85" s="16" t="s">
        <v>341</v>
      </c>
      <c r="D85" s="17"/>
      <c r="E85" s="17"/>
      <c r="F85" s="6"/>
      <c r="G85" s="93">
        <f>SUM('3:4'!G85)</f>
        <v>0</v>
      </c>
      <c r="H85" s="364">
        <f t="shared" si="10"/>
        <v>0</v>
      </c>
      <c r="I85" s="93">
        <f>SUM('3:4'!I85)</f>
        <v>0</v>
      </c>
      <c r="J85" s="31"/>
      <c r="K85" s="35"/>
      <c r="L85" s="87">
        <v>4</v>
      </c>
      <c r="M85" s="36"/>
      <c r="N85" s="93">
        <f>SUM('3:4'!N85)</f>
        <v>0</v>
      </c>
      <c r="O85" s="93">
        <f>SUM('3:4'!O85)</f>
        <v>0</v>
      </c>
      <c r="P85" s="93">
        <f>SUM('3:4'!P85)</f>
        <v>0</v>
      </c>
      <c r="Q85" s="93">
        <f>SUM('3:4'!Q85)</f>
        <v>0</v>
      </c>
      <c r="R85" s="93">
        <f>SUM('3:4'!R85)</f>
        <v>0</v>
      </c>
      <c r="S85" s="93">
        <f>SUM('3:4'!S85)</f>
        <v>0</v>
      </c>
      <c r="T85" s="93">
        <f>SUM('3:4'!T85)</f>
        <v>0</v>
      </c>
      <c r="U85" s="93">
        <f>SUM('3:4'!U85)</f>
        <v>0</v>
      </c>
      <c r="V85" s="206"/>
      <c r="W85" s="33"/>
      <c r="X85" s="93">
        <f>SUM('3:4'!X85)</f>
        <v>0</v>
      </c>
      <c r="Y85" s="93">
        <f>SUM('3:4'!Y85)</f>
        <v>0</v>
      </c>
      <c r="Z85" s="93">
        <f>SUM('3:4'!Z85)</f>
        <v>0</v>
      </c>
      <c r="AA85" s="93">
        <f>SUM('3:4'!AA85)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724" t="s">
        <v>86</v>
      </c>
      <c r="B86" s="724"/>
      <c r="C86" s="359" t="s">
        <v>71</v>
      </c>
      <c r="D86" s="20"/>
      <c r="E86" s="20"/>
      <c r="F86" s="32"/>
      <c r="G86" s="94">
        <f>SUM(G29:G85)</f>
        <v>0</v>
      </c>
      <c r="H86" s="30">
        <f>SUM(H29:H85)</f>
        <v>0</v>
      </c>
      <c r="I86" s="30">
        <f>SUM(I29:I85)</f>
        <v>0</v>
      </c>
      <c r="J86" s="31" t="str">
        <f t="array" ref="J86">IF(ISERROR(G86/I86),"",G86/I86)</f>
        <v/>
      </c>
      <c r="K86" s="30">
        <f>SUM(K29:K85)</f>
        <v>0</v>
      </c>
      <c r="L86" s="98"/>
      <c r="M86" s="89">
        <f t="shared" ref="M86:V86" si="28">SUM(M29:M85)</f>
        <v>0</v>
      </c>
      <c r="N86" s="30">
        <f t="shared" si="28"/>
        <v>0</v>
      </c>
      <c r="O86" s="91">
        <f t="shared" si="28"/>
        <v>0</v>
      </c>
      <c r="P86" s="91">
        <f t="shared" si="28"/>
        <v>0</v>
      </c>
      <c r="Q86" s="91">
        <f t="shared" si="28"/>
        <v>0</v>
      </c>
      <c r="R86" s="91">
        <f t="shared" si="28"/>
        <v>0</v>
      </c>
      <c r="S86" s="92">
        <f t="shared" si="28"/>
        <v>0</v>
      </c>
      <c r="T86" s="91">
        <f t="shared" si="28"/>
        <v>0</v>
      </c>
      <c r="U86" s="91">
        <f t="shared" si="28"/>
        <v>0</v>
      </c>
      <c r="V86" s="206">
        <f t="shared" si="28"/>
        <v>0</v>
      </c>
      <c r="W86" s="33" t="str">
        <f t="shared" ref="W86:W93" si="29">IF(ISERROR(V86/G86),"",V86/G86)</f>
        <v/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99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SUM('3:4'!G87)</f>
        <v>0</v>
      </c>
      <c r="H87" s="93">
        <f>SUM('3:4'!H87)</f>
        <v>0</v>
      </c>
      <c r="I87" s="93">
        <f>SUM('3:4'!I87)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30">IF(ISERROR(I87-K87),"",I87-K87)</f>
        <v>0</v>
      </c>
      <c r="N87" s="93">
        <f>SUM('3:4'!N87)</f>
        <v>0</v>
      </c>
      <c r="O87" s="93">
        <f>SUM('3:4'!O87)</f>
        <v>0</v>
      </c>
      <c r="P87" s="93">
        <f>SUM('3:4'!P87)</f>
        <v>0</v>
      </c>
      <c r="Q87" s="93">
        <f>SUM('3:4'!Q87)</f>
        <v>0</v>
      </c>
      <c r="R87" s="93">
        <f>SUM('3:4'!R87)</f>
        <v>0</v>
      </c>
      <c r="S87" s="93">
        <f>SUM('3:4'!S87)</f>
        <v>0</v>
      </c>
      <c r="T87" s="93">
        <f>SUM('3:4'!T87)</f>
        <v>0</v>
      </c>
      <c r="U87" s="93">
        <f>SUM('3:4'!U87)</f>
        <v>0</v>
      </c>
      <c r="V87" s="206">
        <f t="shared" ref="V87:V93" si="31">SUM(X87:AA87)</f>
        <v>0</v>
      </c>
      <c r="W87" s="33" t="str">
        <f t="shared" si="29"/>
        <v/>
      </c>
      <c r="X87" s="93">
        <f>SUM('3:4'!X87)</f>
        <v>0</v>
      </c>
      <c r="Y87" s="93">
        <f>SUM('3:4'!Y87)</f>
        <v>0</v>
      </c>
      <c r="Z87" s="93">
        <f>SUM('3:4'!Z87)</f>
        <v>0</v>
      </c>
      <c r="AA87" s="93">
        <f>SUM('3:4'!AA87)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99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SUM('3:4'!G88)</f>
        <v>0</v>
      </c>
      <c r="H88" s="93">
        <f>SUM('3:4'!H88)</f>
        <v>0</v>
      </c>
      <c r="I88" s="93">
        <f>SUM('3:4'!I88)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30"/>
        <v>0</v>
      </c>
      <c r="N88" s="93">
        <f>SUM('3:4'!N88)</f>
        <v>0</v>
      </c>
      <c r="O88" s="93">
        <f>SUM('3:4'!O88)</f>
        <v>0</v>
      </c>
      <c r="P88" s="93">
        <f>SUM('3:4'!P88)</f>
        <v>0</v>
      </c>
      <c r="Q88" s="93">
        <f>SUM('3:4'!Q88)</f>
        <v>0</v>
      </c>
      <c r="R88" s="93">
        <f>SUM('3:4'!R88)</f>
        <v>0</v>
      </c>
      <c r="S88" s="93">
        <f>SUM('3:4'!S88)</f>
        <v>0</v>
      </c>
      <c r="T88" s="93">
        <f>SUM('3:4'!T88)</f>
        <v>0</v>
      </c>
      <c r="U88" s="93">
        <f>SUM('3:4'!U88)</f>
        <v>0</v>
      </c>
      <c r="V88" s="206">
        <f t="shared" si="31"/>
        <v>0</v>
      </c>
      <c r="W88" s="33" t="str">
        <f t="shared" si="29"/>
        <v/>
      </c>
      <c r="X88" s="93">
        <f>SUM('3:4'!X88)</f>
        <v>0</v>
      </c>
      <c r="Y88" s="93">
        <f>SUM('3:4'!Y88)</f>
        <v>0</v>
      </c>
      <c r="Z88" s="93">
        <f>SUM('3:4'!Z88)</f>
        <v>0</v>
      </c>
      <c r="AA88" s="93">
        <f>SUM('3:4'!AA88)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99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SUM('3:4'!G89)</f>
        <v>0</v>
      </c>
      <c r="H89" s="93">
        <f>SUM('3:4'!H89)</f>
        <v>0</v>
      </c>
      <c r="I89" s="93">
        <f>SUM('3:4'!I89)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30"/>
        <v>0</v>
      </c>
      <c r="N89" s="93">
        <f>SUM('3:4'!N89)</f>
        <v>0</v>
      </c>
      <c r="O89" s="93">
        <f>SUM('3:4'!O89)</f>
        <v>0</v>
      </c>
      <c r="P89" s="93">
        <f>SUM('3:4'!P89)</f>
        <v>0</v>
      </c>
      <c r="Q89" s="93">
        <f>SUM('3:4'!Q89)</f>
        <v>0</v>
      </c>
      <c r="R89" s="93">
        <f>SUM('3:4'!R89)</f>
        <v>0</v>
      </c>
      <c r="S89" s="93">
        <f>SUM('3:4'!S89)</f>
        <v>0</v>
      </c>
      <c r="T89" s="93">
        <f>SUM('3:4'!T89)</f>
        <v>0</v>
      </c>
      <c r="U89" s="93">
        <f>SUM('3:4'!U89)</f>
        <v>0</v>
      </c>
      <c r="V89" s="206">
        <f t="shared" si="31"/>
        <v>0</v>
      </c>
      <c r="W89" s="33" t="str">
        <f t="shared" si="29"/>
        <v/>
      </c>
      <c r="X89" s="93">
        <f>SUM('3:4'!X89)</f>
        <v>0</v>
      </c>
      <c r="Y89" s="93">
        <f>SUM('3:4'!Y89)</f>
        <v>0</v>
      </c>
      <c r="Z89" s="93">
        <f>SUM('3:4'!Z89)</f>
        <v>0</v>
      </c>
      <c r="AA89" s="93">
        <f>SUM('3:4'!AA89)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99">
        <v>30400014</v>
      </c>
      <c r="B90" s="215" t="s">
        <v>513</v>
      </c>
      <c r="C90" s="16" t="s">
        <v>53</v>
      </c>
      <c r="D90" s="17">
        <v>5.03</v>
      </c>
      <c r="E90" s="17"/>
      <c r="F90" s="6"/>
      <c r="G90" s="93">
        <f>SUM('3:4'!G90)</f>
        <v>0</v>
      </c>
      <c r="H90" s="93">
        <f>SUM('3:4'!H90)</f>
        <v>0</v>
      </c>
      <c r="I90" s="93">
        <f>SUM('3:4'!I90)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30"/>
        <v>0</v>
      </c>
      <c r="N90" s="93">
        <f>SUM('3:4'!N90)</f>
        <v>0</v>
      </c>
      <c r="O90" s="93">
        <f>SUM('3:4'!O90)</f>
        <v>0</v>
      </c>
      <c r="P90" s="93">
        <f>SUM('3:4'!P90)</f>
        <v>0</v>
      </c>
      <c r="Q90" s="93">
        <f>SUM('3:4'!Q90)</f>
        <v>0</v>
      </c>
      <c r="R90" s="93">
        <f>SUM('3:4'!R90)</f>
        <v>0</v>
      </c>
      <c r="S90" s="93">
        <f>SUM('3:4'!S90)</f>
        <v>0</v>
      </c>
      <c r="T90" s="93">
        <f>SUM('3:4'!T90)</f>
        <v>0</v>
      </c>
      <c r="U90" s="93">
        <f>SUM('3:4'!U90)</f>
        <v>0</v>
      </c>
      <c r="V90" s="206">
        <f t="shared" si="31"/>
        <v>0</v>
      </c>
      <c r="W90" s="33" t="str">
        <f t="shared" si="29"/>
        <v/>
      </c>
      <c r="X90" s="93">
        <f>SUM('3:4'!X90)</f>
        <v>0</v>
      </c>
      <c r="Y90" s="93">
        <f>SUM('3:4'!Y90)</f>
        <v>0</v>
      </c>
      <c r="Z90" s="93">
        <f>SUM('3:4'!Z90)</f>
        <v>0</v>
      </c>
      <c r="AA90" s="93">
        <f>SUM('3:4'!AA90)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99">
        <v>30400013</v>
      </c>
      <c r="B91" s="215" t="s">
        <v>473</v>
      </c>
      <c r="C91" s="16" t="s">
        <v>72</v>
      </c>
      <c r="D91" s="17">
        <v>5.03</v>
      </c>
      <c r="E91" s="17"/>
      <c r="F91" s="6"/>
      <c r="G91" s="93">
        <f>SUM('3:4'!G91)</f>
        <v>0</v>
      </c>
      <c r="H91" s="93">
        <f>SUM('3:4'!H91)</f>
        <v>0</v>
      </c>
      <c r="I91" s="93">
        <f>SUM('3:4'!I91)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87">
        <v>9.3000000000000007</v>
      </c>
      <c r="M91" s="36">
        <f t="shared" si="30"/>
        <v>0</v>
      </c>
      <c r="N91" s="93">
        <f>SUM('3:4'!N91)</f>
        <v>0</v>
      </c>
      <c r="O91" s="93">
        <f>SUM('3:4'!O91)</f>
        <v>0</v>
      </c>
      <c r="P91" s="93">
        <f>SUM('3:4'!P91)</f>
        <v>0</v>
      </c>
      <c r="Q91" s="93">
        <f>SUM('3:4'!Q91)</f>
        <v>0</v>
      </c>
      <c r="R91" s="93">
        <f>SUM('3:4'!R91)</f>
        <v>0</v>
      </c>
      <c r="S91" s="93">
        <f>SUM('3:4'!S91)</f>
        <v>0</v>
      </c>
      <c r="T91" s="93">
        <f>SUM('3:4'!T91)</f>
        <v>0</v>
      </c>
      <c r="U91" s="93">
        <f>SUM('3:4'!U91)</f>
        <v>0</v>
      </c>
      <c r="V91" s="206">
        <f t="shared" si="31"/>
        <v>0</v>
      </c>
      <c r="W91" s="33" t="str">
        <f t="shared" si="29"/>
        <v/>
      </c>
      <c r="X91" s="93">
        <f>SUM('3:4'!X91)</f>
        <v>0</v>
      </c>
      <c r="Y91" s="93">
        <f>SUM('3:4'!Y91)</f>
        <v>0</v>
      </c>
      <c r="Z91" s="93">
        <f>SUM('3:4'!Z91)</f>
        <v>0</v>
      </c>
      <c r="AA91" s="93">
        <f>SUM('3:4'!AA91)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99">
        <v>30400016</v>
      </c>
      <c r="B92" s="215" t="s">
        <v>513</v>
      </c>
      <c r="C92" s="16" t="s">
        <v>60</v>
      </c>
      <c r="D92" s="17">
        <v>5.03</v>
      </c>
      <c r="E92" s="17"/>
      <c r="F92" s="6"/>
      <c r="G92" s="93">
        <f>SUM('3:4'!G92)</f>
        <v>0</v>
      </c>
      <c r="H92" s="93">
        <f>SUM('3:4'!H92)</f>
        <v>0</v>
      </c>
      <c r="I92" s="93">
        <f>SUM('3:4'!I92)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87">
        <v>9.3000000000000007</v>
      </c>
      <c r="M92" s="36">
        <f t="shared" si="30"/>
        <v>0</v>
      </c>
      <c r="N92" s="93">
        <f>SUM('3:4'!N92)</f>
        <v>0</v>
      </c>
      <c r="O92" s="93">
        <f>SUM('3:4'!O92)</f>
        <v>0</v>
      </c>
      <c r="P92" s="93">
        <f>SUM('3:4'!P92)</f>
        <v>0</v>
      </c>
      <c r="Q92" s="93">
        <f>SUM('3:4'!Q92)</f>
        <v>0</v>
      </c>
      <c r="R92" s="93">
        <f>SUM('3:4'!R92)</f>
        <v>0</v>
      </c>
      <c r="S92" s="93">
        <f>SUM('3:4'!S92)</f>
        <v>0</v>
      </c>
      <c r="T92" s="93">
        <f>SUM('3:4'!T92)</f>
        <v>0</v>
      </c>
      <c r="U92" s="93">
        <f>SUM('3:4'!U92)</f>
        <v>0</v>
      </c>
      <c r="V92" s="206">
        <f t="shared" si="31"/>
        <v>0</v>
      </c>
      <c r="W92" s="33" t="str">
        <f t="shared" si="29"/>
        <v/>
      </c>
      <c r="X92" s="93">
        <f>SUM('3:4'!X92)</f>
        <v>0</v>
      </c>
      <c r="Y92" s="93">
        <f>SUM('3:4'!Y92)</f>
        <v>0</v>
      </c>
      <c r="Z92" s="93">
        <f>SUM('3:4'!Z92)</f>
        <v>0</v>
      </c>
      <c r="AA92" s="93">
        <f>SUM('3:4'!AA92)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99">
        <v>30400017</v>
      </c>
      <c r="B93" s="215" t="s">
        <v>513</v>
      </c>
      <c r="C93" s="16" t="s">
        <v>66</v>
      </c>
      <c r="D93" s="17">
        <v>5.03</v>
      </c>
      <c r="E93" s="17"/>
      <c r="F93" s="6"/>
      <c r="G93" s="93">
        <f>SUM('3:4'!G93)</f>
        <v>0</v>
      </c>
      <c r="H93" s="93">
        <f>SUM('3:4'!H93)</f>
        <v>0</v>
      </c>
      <c r="I93" s="93">
        <f>SUM('3:4'!I93)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30"/>
        <v>0</v>
      </c>
      <c r="N93" s="93">
        <f>SUM('3:4'!N93)</f>
        <v>0</v>
      </c>
      <c r="O93" s="93">
        <f>SUM('3:4'!O93)</f>
        <v>0</v>
      </c>
      <c r="P93" s="93">
        <f>SUM('3:4'!P93)</f>
        <v>0</v>
      </c>
      <c r="Q93" s="93">
        <f>SUM('3:4'!Q93)</f>
        <v>0</v>
      </c>
      <c r="R93" s="93">
        <f>SUM('3:4'!R93)</f>
        <v>0</v>
      </c>
      <c r="S93" s="93">
        <f>SUM('3:4'!S93)</f>
        <v>0</v>
      </c>
      <c r="T93" s="93">
        <f>SUM('3:4'!T93)</f>
        <v>0</v>
      </c>
      <c r="U93" s="93">
        <f>SUM('3:4'!U93)</f>
        <v>0</v>
      </c>
      <c r="V93" s="206">
        <f t="shared" si="31"/>
        <v>0</v>
      </c>
      <c r="W93" s="33" t="str">
        <f t="shared" si="29"/>
        <v/>
      </c>
      <c r="X93" s="93">
        <f>SUM('3:4'!X93)</f>
        <v>0</v>
      </c>
      <c r="Y93" s="93">
        <f>SUM('3:4'!Y93)</f>
        <v>0</v>
      </c>
      <c r="Z93" s="93">
        <f>SUM('3:4'!Z93)</f>
        <v>0</v>
      </c>
      <c r="AA93" s="93">
        <f>SUM('3:4'!AA93)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99">
        <v>30400015</v>
      </c>
      <c r="B94" s="65" t="s">
        <v>512</v>
      </c>
      <c r="C94" s="16" t="s">
        <v>177</v>
      </c>
      <c r="D94" s="17">
        <v>5.03</v>
      </c>
      <c r="E94" s="17"/>
      <c r="F94" s="6"/>
      <c r="G94" s="93">
        <f>SUM('3:4'!G94)</f>
        <v>0</v>
      </c>
      <c r="H94" s="93">
        <f>SUM('3:4'!H94)</f>
        <v>0</v>
      </c>
      <c r="I94" s="93">
        <f>SUM('3:4'!I94)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30"/>
        <v>0</v>
      </c>
      <c r="N94" s="93">
        <f>SUM('3:4'!N94)</f>
        <v>0</v>
      </c>
      <c r="O94" s="93">
        <f>SUM('3:4'!O94)</f>
        <v>0</v>
      </c>
      <c r="P94" s="93">
        <f>SUM('3:4'!P94)</f>
        <v>0</v>
      </c>
      <c r="Q94" s="93">
        <f>SUM('3:4'!Q94)</f>
        <v>0</v>
      </c>
      <c r="R94" s="93">
        <f>SUM('3:4'!R94)</f>
        <v>0</v>
      </c>
      <c r="S94" s="93">
        <f>SUM('3:4'!S94)</f>
        <v>0</v>
      </c>
      <c r="T94" s="93">
        <f>SUM('3:4'!T94)</f>
        <v>0</v>
      </c>
      <c r="U94" s="93">
        <f>SUM('3:4'!U94)</f>
        <v>0</v>
      </c>
      <c r="V94" s="207"/>
      <c r="W94" s="33"/>
      <c r="X94" s="93">
        <f>SUM('3:4'!X94)</f>
        <v>0</v>
      </c>
      <c r="Y94" s="93">
        <f>SUM('3:4'!Y94)</f>
        <v>0</v>
      </c>
      <c r="Z94" s="93">
        <f>SUM('3:4'!Z94)</f>
        <v>0</v>
      </c>
      <c r="AA94" s="93">
        <f>SUM('3:4'!AA94)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304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SUM('3:4'!G95)</f>
        <v>0</v>
      </c>
      <c r="H95" s="93">
        <f>SUM('3:4'!H95)</f>
        <v>0</v>
      </c>
      <c r="I95" s="93">
        <f>SUM('3:4'!I95)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SUM('3:4'!N95)</f>
        <v>0</v>
      </c>
      <c r="O95" s="93">
        <f>SUM('3:4'!O95)</f>
        <v>0</v>
      </c>
      <c r="P95" s="93">
        <f>SUM('3:4'!P95)</f>
        <v>0</v>
      </c>
      <c r="Q95" s="93">
        <f>SUM('3:4'!Q95)</f>
        <v>0</v>
      </c>
      <c r="R95" s="93">
        <f>SUM('3:4'!R95)</f>
        <v>0</v>
      </c>
      <c r="S95" s="93">
        <f>SUM('3:4'!S95)</f>
        <v>0</v>
      </c>
      <c r="T95" s="93">
        <f>SUM('3:4'!T95)</f>
        <v>0</v>
      </c>
      <c r="U95" s="93">
        <f>SUM('3:4'!U95)</f>
        <v>0</v>
      </c>
      <c r="V95" s="207">
        <f>SUM(X95:AA95)</f>
        <v>0</v>
      </c>
      <c r="W95" s="33" t="str">
        <f>IF(ISERROR(V95/G95),"",V95/G95)</f>
        <v/>
      </c>
      <c r="X95" s="93">
        <f>SUM('3:4'!X95)</f>
        <v>0</v>
      </c>
      <c r="Y95" s="93">
        <f>SUM('3:4'!Y95)</f>
        <v>0</v>
      </c>
      <c r="Z95" s="93">
        <f>SUM('3:4'!Z95)</f>
        <v>0</v>
      </c>
      <c r="AA95" s="93">
        <f>SUM('3:4'!AA95)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304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SUM('3:4'!G96)</f>
        <v>0</v>
      </c>
      <c r="H96" s="93">
        <f>SUM('3:4'!H96)</f>
        <v>0</v>
      </c>
      <c r="I96" s="93">
        <f>SUM('3:4'!I96)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SUM('3:4'!N96)</f>
        <v>0</v>
      </c>
      <c r="O96" s="93">
        <f>SUM('3:4'!O96)</f>
        <v>0</v>
      </c>
      <c r="P96" s="93">
        <f>SUM('3:4'!P96)</f>
        <v>0</v>
      </c>
      <c r="Q96" s="93">
        <f>SUM('3:4'!Q96)</f>
        <v>0</v>
      </c>
      <c r="R96" s="93">
        <f>SUM('3:4'!R96)</f>
        <v>0</v>
      </c>
      <c r="S96" s="93">
        <f>SUM('3:4'!S96)</f>
        <v>0</v>
      </c>
      <c r="T96" s="93">
        <f>SUM('3:4'!T96)</f>
        <v>0</v>
      </c>
      <c r="U96" s="93">
        <f>SUM('3:4'!U96)</f>
        <v>0</v>
      </c>
      <c r="V96" s="207">
        <f>SUM(X96:AA96)</f>
        <v>0</v>
      </c>
      <c r="W96" s="33" t="str">
        <f>IF(ISERROR(V96/G96),"",V96/G96)</f>
        <v/>
      </c>
      <c r="X96" s="93">
        <f>SUM('3:4'!X96)</f>
        <v>0</v>
      </c>
      <c r="Y96" s="93">
        <f>SUM('3:4'!Y96)</f>
        <v>0</v>
      </c>
      <c r="Z96" s="93">
        <f>SUM('3:4'!Z96)</f>
        <v>0</v>
      </c>
      <c r="AA96" s="93">
        <f>SUM('3:4'!AA96)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304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SUM('3:4'!G97)</f>
        <v>0</v>
      </c>
      <c r="H97" s="93">
        <f>SUM('3:4'!H97)</f>
        <v>0</v>
      </c>
      <c r="I97" s="93">
        <f>SUM('3:4'!I97)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SUM('3:4'!N97)</f>
        <v>0</v>
      </c>
      <c r="O97" s="93">
        <f>SUM('3:4'!O97)</f>
        <v>0</v>
      </c>
      <c r="P97" s="93">
        <f>SUM('3:4'!P97)</f>
        <v>0</v>
      </c>
      <c r="Q97" s="93">
        <f>SUM('3:4'!Q97)</f>
        <v>0</v>
      </c>
      <c r="R97" s="93">
        <f>SUM('3:4'!R97)</f>
        <v>0</v>
      </c>
      <c r="S97" s="93">
        <f>SUM('3:4'!S97)</f>
        <v>0</v>
      </c>
      <c r="T97" s="93">
        <f>SUM('3:4'!T97)</f>
        <v>0</v>
      </c>
      <c r="U97" s="93">
        <f>SUM('3:4'!U97)</f>
        <v>0</v>
      </c>
      <c r="V97" s="207">
        <f>SUM(X97:AA97)</f>
        <v>0</v>
      </c>
      <c r="W97" s="33" t="str">
        <f>IF(ISERROR(V97/G97),"",V97/G97)</f>
        <v/>
      </c>
      <c r="X97" s="93">
        <f>SUM('3:4'!X97)</f>
        <v>0</v>
      </c>
      <c r="Y97" s="93">
        <f>SUM('3:4'!Y97)</f>
        <v>0</v>
      </c>
      <c r="Z97" s="93">
        <f>SUM('3:4'!Z97)</f>
        <v>0</v>
      </c>
      <c r="AA97" s="93">
        <f>SUM('3:4'!AA97)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304">
        <v>30600003</v>
      </c>
      <c r="B98" s="65" t="s">
        <v>162</v>
      </c>
      <c r="C98" s="195" t="s">
        <v>89</v>
      </c>
      <c r="D98" s="17">
        <v>5.03</v>
      </c>
      <c r="E98" s="17"/>
      <c r="F98" s="6"/>
      <c r="G98" s="93">
        <f>SUM('3:4'!G98)</f>
        <v>0</v>
      </c>
      <c r="H98" s="93">
        <f>SUM('3:4'!H98)</f>
        <v>0</v>
      </c>
      <c r="I98" s="93">
        <f>SUM('3:4'!I98)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SUM('3:4'!N98)</f>
        <v>0</v>
      </c>
      <c r="O98" s="93">
        <f>SUM('3:4'!O98)</f>
        <v>0</v>
      </c>
      <c r="P98" s="93">
        <f>SUM('3:4'!P98)</f>
        <v>0</v>
      </c>
      <c r="Q98" s="93">
        <f>SUM('3:4'!Q98)</f>
        <v>0</v>
      </c>
      <c r="R98" s="93">
        <f>SUM('3:4'!R98)</f>
        <v>0</v>
      </c>
      <c r="S98" s="93">
        <f>SUM('3:4'!S98)</f>
        <v>0</v>
      </c>
      <c r="T98" s="93">
        <f>SUM('3:4'!T98)</f>
        <v>0</v>
      </c>
      <c r="U98" s="93">
        <f>SUM('3:4'!U98)</f>
        <v>0</v>
      </c>
      <c r="V98" s="207">
        <f>SUM(X98:AA98)</f>
        <v>0</v>
      </c>
      <c r="W98" s="33" t="str">
        <f>IF(ISERROR(V98/G98),"",V98/G98)</f>
        <v/>
      </c>
      <c r="X98" s="93">
        <f>SUM('3:4'!X98)</f>
        <v>0</v>
      </c>
      <c r="Y98" s="93">
        <f>SUM('3:4'!Y98)</f>
        <v>0</v>
      </c>
      <c r="Z98" s="93">
        <f>SUM('3:4'!Z98)</f>
        <v>0</v>
      </c>
      <c r="AA98" s="93">
        <f>SUM('3:4'!AA98)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304">
        <v>30400030</v>
      </c>
      <c r="B99" s="215" t="s">
        <v>220</v>
      </c>
      <c r="C99" s="16" t="s">
        <v>53</v>
      </c>
      <c r="D99" s="17">
        <v>5.03</v>
      </c>
      <c r="E99" s="17"/>
      <c r="F99" s="6"/>
      <c r="G99" s="93">
        <f>SUM('3:4'!G99)</f>
        <v>0</v>
      </c>
      <c r="H99" s="93">
        <f>SUM('3:4'!H99)</f>
        <v>0</v>
      </c>
      <c r="I99" s="93">
        <f>SUM('3:4'!I99)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32">IF(ISERROR(I99-K99),"",I99-K99)</f>
        <v>0</v>
      </c>
      <c r="N99" s="93">
        <f>SUM('3:4'!N99)</f>
        <v>0</v>
      </c>
      <c r="O99" s="93">
        <f>SUM('3:4'!O99)</f>
        <v>0</v>
      </c>
      <c r="P99" s="93">
        <f>SUM('3:4'!P99)</f>
        <v>0</v>
      </c>
      <c r="Q99" s="93">
        <f>SUM('3:4'!Q99)</f>
        <v>0</v>
      </c>
      <c r="R99" s="93">
        <f>SUM('3:4'!R99)</f>
        <v>0</v>
      </c>
      <c r="S99" s="93">
        <f>SUM('3:4'!S99)</f>
        <v>0</v>
      </c>
      <c r="T99" s="93">
        <f>SUM('3:4'!T99)</f>
        <v>0</v>
      </c>
      <c r="U99" s="93">
        <f>SUM('3:4'!U99)</f>
        <v>0</v>
      </c>
      <c r="V99" s="206">
        <f t="shared" ref="V99:V106" si="33">SUM(X99:AA99)</f>
        <v>0</v>
      </c>
      <c r="W99" s="33" t="str">
        <f t="shared" ref="W99:W106" si="34">IF(ISERROR(V99/G99),"",V99/G99)</f>
        <v/>
      </c>
      <c r="X99" s="93">
        <f>SUM('3:4'!X99)</f>
        <v>0</v>
      </c>
      <c r="Y99" s="93">
        <f>SUM('3:4'!Y99)</f>
        <v>0</v>
      </c>
      <c r="Z99" s="93">
        <f>SUM('3:4'!Z99)</f>
        <v>0</v>
      </c>
      <c r="AA99" s="93">
        <f>SUM('3:4'!AA99)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304"/>
      <c r="B100" s="65" t="s">
        <v>88</v>
      </c>
      <c r="C100" s="16" t="s">
        <v>72</v>
      </c>
      <c r="D100" s="17">
        <v>5.03</v>
      </c>
      <c r="E100" s="17"/>
      <c r="F100" s="6"/>
      <c r="G100" s="93">
        <f>SUM('3:4'!G100)</f>
        <v>0</v>
      </c>
      <c r="H100" s="93">
        <f>SUM('3:4'!H100)</f>
        <v>0</v>
      </c>
      <c r="I100" s="93">
        <f>SUM('3:4'!I100)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32"/>
        <v/>
      </c>
      <c r="N100" s="93">
        <f>SUM('3:4'!N100)</f>
        <v>0</v>
      </c>
      <c r="O100" s="93">
        <f>SUM('3:4'!O100)</f>
        <v>0</v>
      </c>
      <c r="P100" s="93">
        <f>SUM('3:4'!P100)</f>
        <v>0</v>
      </c>
      <c r="Q100" s="93">
        <f>SUM('3:4'!Q100)</f>
        <v>0</v>
      </c>
      <c r="R100" s="93">
        <f>SUM('3:4'!R100)</f>
        <v>0</v>
      </c>
      <c r="S100" s="93">
        <f>SUM('3:4'!S100)</f>
        <v>0</v>
      </c>
      <c r="T100" s="93">
        <f>SUM('3:4'!T100)</f>
        <v>0</v>
      </c>
      <c r="U100" s="93">
        <f>SUM('3:4'!U100)</f>
        <v>0</v>
      </c>
      <c r="V100" s="206">
        <f t="shared" si="33"/>
        <v>0</v>
      </c>
      <c r="W100" s="33" t="str">
        <f t="shared" si="34"/>
        <v/>
      </c>
      <c r="X100" s="93">
        <f>SUM('3:4'!X100)</f>
        <v>0</v>
      </c>
      <c r="Y100" s="93">
        <f>SUM('3:4'!Y100)</f>
        <v>0</v>
      </c>
      <c r="Z100" s="93">
        <f>SUM('3:4'!Z100)</f>
        <v>0</v>
      </c>
      <c r="AA100" s="93">
        <f>SUM('3:4'!AA100)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304"/>
      <c r="B101" s="65" t="s">
        <v>88</v>
      </c>
      <c r="C101" s="16" t="s">
        <v>60</v>
      </c>
      <c r="D101" s="17">
        <v>5.03</v>
      </c>
      <c r="E101" s="17"/>
      <c r="F101" s="6"/>
      <c r="G101" s="93">
        <f>SUM('3:4'!G101)</f>
        <v>0</v>
      </c>
      <c r="H101" s="93">
        <f>SUM('3:4'!H101)</f>
        <v>0</v>
      </c>
      <c r="I101" s="93">
        <f>SUM('3:4'!I101)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32"/>
        <v/>
      </c>
      <c r="N101" s="93">
        <f>SUM('3:4'!N101)</f>
        <v>0</v>
      </c>
      <c r="O101" s="93">
        <f>SUM('3:4'!O101)</f>
        <v>0</v>
      </c>
      <c r="P101" s="93">
        <f>SUM('3:4'!P101)</f>
        <v>0</v>
      </c>
      <c r="Q101" s="93">
        <f>SUM('3:4'!Q101)</f>
        <v>0</v>
      </c>
      <c r="R101" s="93">
        <f>SUM('3:4'!R101)</f>
        <v>0</v>
      </c>
      <c r="S101" s="93">
        <f>SUM('3:4'!S101)</f>
        <v>0</v>
      </c>
      <c r="T101" s="93">
        <f>SUM('3:4'!T101)</f>
        <v>0</v>
      </c>
      <c r="U101" s="93">
        <f>SUM('3:4'!U101)</f>
        <v>0</v>
      </c>
      <c r="V101" s="206">
        <f t="shared" si="33"/>
        <v>0</v>
      </c>
      <c r="W101" s="33" t="str">
        <f t="shared" si="34"/>
        <v/>
      </c>
      <c r="X101" s="93">
        <f>SUM('3:4'!X101)</f>
        <v>0</v>
      </c>
      <c r="Y101" s="93">
        <f>SUM('3:4'!Y101)</f>
        <v>0</v>
      </c>
      <c r="Z101" s="93">
        <f>SUM('3:4'!Z101)</f>
        <v>0</v>
      </c>
      <c r="AA101" s="93">
        <f>SUM('3:4'!AA101)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304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SUM('3:4'!G102)</f>
        <v>0</v>
      </c>
      <c r="H102" s="93">
        <f>SUM('3:4'!H102)</f>
        <v>0</v>
      </c>
      <c r="I102" s="93">
        <f>SUM('3:4'!I102)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32"/>
        <v/>
      </c>
      <c r="N102" s="93">
        <f>SUM('3:4'!N102)</f>
        <v>0</v>
      </c>
      <c r="O102" s="93">
        <f>SUM('3:4'!O102)</f>
        <v>0</v>
      </c>
      <c r="P102" s="93">
        <f>SUM('3:4'!P102)</f>
        <v>0</v>
      </c>
      <c r="Q102" s="93">
        <f>SUM('3:4'!Q102)</f>
        <v>0</v>
      </c>
      <c r="R102" s="93">
        <f>SUM('3:4'!R102)</f>
        <v>0</v>
      </c>
      <c r="S102" s="93">
        <f>SUM('3:4'!S102)</f>
        <v>0</v>
      </c>
      <c r="T102" s="93">
        <f>SUM('3:4'!T102)</f>
        <v>0</v>
      </c>
      <c r="U102" s="93">
        <f>SUM('3:4'!U102)</f>
        <v>0</v>
      </c>
      <c r="V102" s="206">
        <f t="shared" si="33"/>
        <v>0</v>
      </c>
      <c r="W102" s="33" t="str">
        <f t="shared" si="34"/>
        <v/>
      </c>
      <c r="X102" s="93">
        <f>SUM('3:4'!X102)</f>
        <v>0</v>
      </c>
      <c r="Y102" s="93">
        <f>SUM('3:4'!Y102)</f>
        <v>0</v>
      </c>
      <c r="Z102" s="93">
        <f>SUM('3:4'!Z102)</f>
        <v>0</v>
      </c>
      <c r="AA102" s="93">
        <f>SUM('3:4'!AA102)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304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SUM('3:4'!G103)</f>
        <v>0</v>
      </c>
      <c r="H103" s="93">
        <f>SUM('3:4'!H103)</f>
        <v>0</v>
      </c>
      <c r="I103" s="93">
        <f>SUM('3:4'!I103)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32"/>
        <v>0</v>
      </c>
      <c r="N103" s="93">
        <f>SUM('3:4'!N103)</f>
        <v>0</v>
      </c>
      <c r="O103" s="93">
        <f>SUM('3:4'!O103)</f>
        <v>0</v>
      </c>
      <c r="P103" s="93">
        <f>SUM('3:4'!P103)</f>
        <v>0</v>
      </c>
      <c r="Q103" s="93">
        <f>SUM('3:4'!Q103)</f>
        <v>0</v>
      </c>
      <c r="R103" s="93">
        <f>SUM('3:4'!R103)</f>
        <v>0</v>
      </c>
      <c r="S103" s="93">
        <f>SUM('3:4'!S103)</f>
        <v>0</v>
      </c>
      <c r="T103" s="93">
        <f>SUM('3:4'!T103)</f>
        <v>0</v>
      </c>
      <c r="U103" s="93">
        <f>SUM('3:4'!U103)</f>
        <v>0</v>
      </c>
      <c r="V103" s="206">
        <f t="shared" si="33"/>
        <v>0</v>
      </c>
      <c r="W103" s="33" t="str">
        <f t="shared" si="34"/>
        <v/>
      </c>
      <c r="X103" s="93">
        <f>SUM('3:4'!X103)</f>
        <v>0</v>
      </c>
      <c r="Y103" s="93">
        <f>SUM('3:4'!Y103)</f>
        <v>0</v>
      </c>
      <c r="Z103" s="93">
        <f>SUM('3:4'!Z103)</f>
        <v>0</v>
      </c>
      <c r="AA103" s="93">
        <f>SUM('3:4'!AA103)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304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SUM('3:4'!G104)</f>
        <v>0</v>
      </c>
      <c r="H104" s="93">
        <f>SUM('3:4'!H104)</f>
        <v>0</v>
      </c>
      <c r="I104" s="93">
        <f>SUM('3:4'!I104)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32"/>
        <v>0</v>
      </c>
      <c r="N104" s="93">
        <f>SUM('3:4'!N104)</f>
        <v>0</v>
      </c>
      <c r="O104" s="93">
        <f>SUM('3:4'!O104)</f>
        <v>0</v>
      </c>
      <c r="P104" s="93">
        <f>SUM('3:4'!P104)</f>
        <v>0</v>
      </c>
      <c r="Q104" s="93">
        <f>SUM('3:4'!Q104)</f>
        <v>0</v>
      </c>
      <c r="R104" s="93">
        <f>SUM('3:4'!R104)</f>
        <v>0</v>
      </c>
      <c r="S104" s="93">
        <f>SUM('3:4'!S104)</f>
        <v>0</v>
      </c>
      <c r="T104" s="93">
        <f>SUM('3:4'!T104)</f>
        <v>0</v>
      </c>
      <c r="U104" s="93">
        <f>SUM('3:4'!U104)</f>
        <v>0</v>
      </c>
      <c r="V104" s="206">
        <f t="shared" si="33"/>
        <v>0</v>
      </c>
      <c r="W104" s="33" t="str">
        <f t="shared" si="34"/>
        <v/>
      </c>
      <c r="X104" s="93">
        <f>SUM('3:4'!X104)</f>
        <v>0</v>
      </c>
      <c r="Y104" s="93">
        <f>SUM('3:4'!Y104)</f>
        <v>0</v>
      </c>
      <c r="Z104" s="93">
        <f>SUM('3:4'!Z104)</f>
        <v>0</v>
      </c>
      <c r="AA104" s="93">
        <f>SUM('3:4'!AA104)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304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SUM('3:4'!G105)</f>
        <v>0</v>
      </c>
      <c r="H105" s="93">
        <f>SUM('3:4'!H105)</f>
        <v>0</v>
      </c>
      <c r="I105" s="93">
        <f>SUM('3:4'!I105)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32"/>
        <v>0</v>
      </c>
      <c r="N105" s="93">
        <f>SUM('3:4'!N105)</f>
        <v>0</v>
      </c>
      <c r="O105" s="93">
        <f>SUM('3:4'!O105)</f>
        <v>0</v>
      </c>
      <c r="P105" s="93">
        <f>SUM('3:4'!P105)</f>
        <v>0</v>
      </c>
      <c r="Q105" s="93">
        <f>SUM('3:4'!Q105)</f>
        <v>0</v>
      </c>
      <c r="R105" s="93">
        <f>SUM('3:4'!R105)</f>
        <v>0</v>
      </c>
      <c r="S105" s="93">
        <f>SUM('3:4'!S105)</f>
        <v>0</v>
      </c>
      <c r="T105" s="93">
        <f>SUM('3:4'!T105)</f>
        <v>0</v>
      </c>
      <c r="U105" s="93">
        <f>SUM('3:4'!U105)</f>
        <v>0</v>
      </c>
      <c r="V105" s="206">
        <f t="shared" si="33"/>
        <v>0</v>
      </c>
      <c r="W105" s="33" t="str">
        <f t="shared" si="34"/>
        <v/>
      </c>
      <c r="X105" s="93">
        <f>SUM('3:4'!X105)</f>
        <v>0</v>
      </c>
      <c r="Y105" s="93">
        <f>SUM('3:4'!Y105)</f>
        <v>0</v>
      </c>
      <c r="Z105" s="93">
        <f>SUM('3:4'!Z105)</f>
        <v>0</v>
      </c>
      <c r="AA105" s="93">
        <f>SUM('3:4'!AA105)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304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SUM('3:4'!G106)</f>
        <v>0</v>
      </c>
      <c r="H106" s="93">
        <f>SUM('3:4'!H106)</f>
        <v>0</v>
      </c>
      <c r="I106" s="93">
        <f>SUM('3:4'!I106)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32"/>
        <v>0</v>
      </c>
      <c r="N106" s="93">
        <f>SUM('3:4'!N106)</f>
        <v>0</v>
      </c>
      <c r="O106" s="93">
        <f>SUM('3:4'!O106)</f>
        <v>0</v>
      </c>
      <c r="P106" s="93">
        <f>SUM('3:4'!P106)</f>
        <v>0</v>
      </c>
      <c r="Q106" s="93">
        <f>SUM('3:4'!Q106)</f>
        <v>0</v>
      </c>
      <c r="R106" s="93">
        <f>SUM('3:4'!R106)</f>
        <v>0</v>
      </c>
      <c r="S106" s="93">
        <f>SUM('3:4'!S106)</f>
        <v>0</v>
      </c>
      <c r="T106" s="93">
        <f>SUM('3:4'!T106)</f>
        <v>0</v>
      </c>
      <c r="U106" s="93">
        <f>SUM('3:4'!U106)</f>
        <v>0</v>
      </c>
      <c r="V106" s="206">
        <f t="shared" si="33"/>
        <v>0</v>
      </c>
      <c r="W106" s="33" t="str">
        <f t="shared" si="34"/>
        <v/>
      </c>
      <c r="X106" s="93">
        <f>SUM('3:4'!X106)</f>
        <v>0</v>
      </c>
      <c r="Y106" s="93">
        <f>SUM('3:4'!Y106)</f>
        <v>0</v>
      </c>
      <c r="Z106" s="93">
        <f>SUM('3:4'!Z106)</f>
        <v>0</v>
      </c>
      <c r="AA106" s="93">
        <f>SUM('3:4'!AA106)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99">
        <v>30400026</v>
      </c>
      <c r="B107" s="190" t="s">
        <v>393</v>
      </c>
      <c r="C107" s="187" t="s">
        <v>395</v>
      </c>
      <c r="D107" s="17">
        <v>5</v>
      </c>
      <c r="E107" s="17"/>
      <c r="F107" s="6"/>
      <c r="G107" s="93">
        <f>SUM('3:4'!G107)</f>
        <v>0</v>
      </c>
      <c r="H107" s="93">
        <f>SUM('3:4'!H107)</f>
        <v>0</v>
      </c>
      <c r="I107" s="93">
        <f>SUM('3:4'!I107)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32"/>
        <v>0</v>
      </c>
      <c r="N107" s="93">
        <f>SUM('3:4'!N107)</f>
        <v>0</v>
      </c>
      <c r="O107" s="93">
        <f>SUM('3:4'!O107)</f>
        <v>0</v>
      </c>
      <c r="P107" s="93">
        <f>SUM('3:4'!P107)</f>
        <v>0</v>
      </c>
      <c r="Q107" s="93">
        <f>SUM('3:4'!Q107)</f>
        <v>0</v>
      </c>
      <c r="R107" s="93">
        <f>SUM('3:4'!R107)</f>
        <v>0</v>
      </c>
      <c r="S107" s="93">
        <f>SUM('3:4'!S107)</f>
        <v>0</v>
      </c>
      <c r="T107" s="93">
        <f>SUM('3:4'!T107)</f>
        <v>0</v>
      </c>
      <c r="U107" s="93">
        <f>SUM('3:4'!U107)</f>
        <v>0</v>
      </c>
      <c r="V107" s="206"/>
      <c r="W107" s="33"/>
      <c r="X107" s="93">
        <f>SUM('3:4'!X107)</f>
        <v>0</v>
      </c>
      <c r="Y107" s="93">
        <f>SUM('3:4'!Y107)</f>
        <v>0</v>
      </c>
      <c r="Z107" s="93">
        <f>SUM('3:4'!Z107)</f>
        <v>0</v>
      </c>
      <c r="AA107" s="93">
        <f>SUM('3:4'!AA107)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99">
        <v>30400028</v>
      </c>
      <c r="B108" s="190" t="s">
        <v>393</v>
      </c>
      <c r="C108" s="187" t="s">
        <v>402</v>
      </c>
      <c r="D108" s="17">
        <v>5</v>
      </c>
      <c r="E108" s="17"/>
      <c r="F108" s="6"/>
      <c r="G108" s="93">
        <f>SUM('3:4'!G108)</f>
        <v>0</v>
      </c>
      <c r="H108" s="93">
        <f>SUM('3:4'!H108)</f>
        <v>0</v>
      </c>
      <c r="I108" s="93">
        <f>SUM('3:4'!I108)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32"/>
        <v>0</v>
      </c>
      <c r="N108" s="93">
        <f>SUM('3:4'!N108)</f>
        <v>0</v>
      </c>
      <c r="O108" s="93">
        <f>SUM('3:4'!O108)</f>
        <v>0</v>
      </c>
      <c r="P108" s="93">
        <f>SUM('3:4'!P108)</f>
        <v>0</v>
      </c>
      <c r="Q108" s="93">
        <f>SUM('3:4'!Q108)</f>
        <v>0</v>
      </c>
      <c r="R108" s="93">
        <f>SUM('3:4'!R108)</f>
        <v>0</v>
      </c>
      <c r="S108" s="93">
        <f>SUM('3:4'!S108)</f>
        <v>0</v>
      </c>
      <c r="T108" s="93">
        <f>SUM('3:4'!T108)</f>
        <v>0</v>
      </c>
      <c r="U108" s="93">
        <f>SUM('3:4'!U108)</f>
        <v>0</v>
      </c>
      <c r="V108" s="206"/>
      <c r="W108" s="33"/>
      <c r="X108" s="93">
        <f>SUM('3:4'!X108)</f>
        <v>0</v>
      </c>
      <c r="Y108" s="93">
        <f>SUM('3:4'!Y108)</f>
        <v>0</v>
      </c>
      <c r="Z108" s="93">
        <f>SUM('3:4'!Z108)</f>
        <v>0</v>
      </c>
      <c r="AA108" s="93">
        <f>SUM('3:4'!AA108)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99">
        <v>30400027</v>
      </c>
      <c r="B109" s="190" t="s">
        <v>404</v>
      </c>
      <c r="C109" s="187" t="s">
        <v>405</v>
      </c>
      <c r="D109" s="17">
        <v>5</v>
      </c>
      <c r="E109" s="17"/>
      <c r="F109" s="6"/>
      <c r="G109" s="93">
        <f>SUM('3:4'!G109)</f>
        <v>0</v>
      </c>
      <c r="H109" s="93">
        <f>SUM('3:4'!H109)</f>
        <v>0</v>
      </c>
      <c r="I109" s="93">
        <f>SUM('3:4'!I109)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32"/>
        <v>0</v>
      </c>
      <c r="N109" s="93">
        <f>SUM('3:4'!N109)</f>
        <v>0</v>
      </c>
      <c r="O109" s="93">
        <f>SUM('3:4'!O109)</f>
        <v>0</v>
      </c>
      <c r="P109" s="93">
        <f>SUM('3:4'!P109)</f>
        <v>0</v>
      </c>
      <c r="Q109" s="93">
        <f>SUM('3:4'!Q109)</f>
        <v>0</v>
      </c>
      <c r="R109" s="93">
        <f>SUM('3:4'!R109)</f>
        <v>0</v>
      </c>
      <c r="S109" s="93">
        <f>SUM('3:4'!S109)</f>
        <v>0</v>
      </c>
      <c r="T109" s="93">
        <f>SUM('3:4'!T109)</f>
        <v>0</v>
      </c>
      <c r="U109" s="93">
        <f>SUM('3:4'!U109)</f>
        <v>0</v>
      </c>
      <c r="V109" s="206"/>
      <c r="W109" s="33"/>
      <c r="X109" s="93">
        <f>SUM('3:4'!X109)</f>
        <v>0</v>
      </c>
      <c r="Y109" s="93">
        <f>SUM('3:4'!Y109)</f>
        <v>0</v>
      </c>
      <c r="Z109" s="93">
        <f>SUM('3:4'!Z109)</f>
        <v>0</v>
      </c>
      <c r="AA109" s="93">
        <f>SUM('3:4'!AA109)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99"/>
      <c r="B110" s="190" t="s">
        <v>492</v>
      </c>
      <c r="C110" s="187" t="s">
        <v>372</v>
      </c>
      <c r="D110" s="17">
        <v>5</v>
      </c>
      <c r="E110" s="17"/>
      <c r="F110" s="6"/>
      <c r="G110" s="93">
        <f>SUM('3:4'!G110)</f>
        <v>0</v>
      </c>
      <c r="H110" s="93">
        <f>SUM('3:4'!H110)</f>
        <v>0</v>
      </c>
      <c r="I110" s="93">
        <f>SUM('3:4'!I110)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32"/>
        <v>0</v>
      </c>
      <c r="N110" s="93">
        <f>SUM('3:4'!N110)</f>
        <v>0</v>
      </c>
      <c r="O110" s="93">
        <f>SUM('3:4'!O110)</f>
        <v>0</v>
      </c>
      <c r="P110" s="93">
        <f>SUM('3:4'!P110)</f>
        <v>0</v>
      </c>
      <c r="Q110" s="93">
        <f>SUM('3:4'!Q110)</f>
        <v>0</v>
      </c>
      <c r="R110" s="93">
        <f>SUM('3:4'!R110)</f>
        <v>0</v>
      </c>
      <c r="S110" s="93">
        <f>SUM('3:4'!S110)</f>
        <v>0</v>
      </c>
      <c r="T110" s="93">
        <f>SUM('3:4'!T110)</f>
        <v>0</v>
      </c>
      <c r="U110" s="93">
        <f>SUM('3:4'!U110)</f>
        <v>0</v>
      </c>
      <c r="V110" s="206"/>
      <c r="W110" s="33"/>
      <c r="X110" s="93">
        <f>SUM('3:4'!X110)</f>
        <v>0</v>
      </c>
      <c r="Y110" s="93">
        <f>SUM('3:4'!Y110)</f>
        <v>0</v>
      </c>
      <c r="Z110" s="93">
        <f>SUM('3:4'!Z110)</f>
        <v>0</v>
      </c>
      <c r="AA110" s="93">
        <f>SUM('3:4'!AA110)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99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SUM('3:4'!G111)</f>
        <v>0</v>
      </c>
      <c r="H111" s="93">
        <f>SUM('3:4'!H111)</f>
        <v>0</v>
      </c>
      <c r="I111" s="93">
        <f>SUM('3:4'!I111)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32"/>
        <v>0</v>
      </c>
      <c r="N111" s="93">
        <f>SUM('3:4'!N111)</f>
        <v>0</v>
      </c>
      <c r="O111" s="93">
        <f>SUM('3:4'!O111)</f>
        <v>0</v>
      </c>
      <c r="P111" s="93">
        <f>SUM('3:4'!P111)</f>
        <v>0</v>
      </c>
      <c r="Q111" s="93">
        <f>SUM('3:4'!Q111)</f>
        <v>0</v>
      </c>
      <c r="R111" s="93">
        <f>SUM('3:4'!R111)</f>
        <v>0</v>
      </c>
      <c r="S111" s="93">
        <f>SUM('3:4'!S111)</f>
        <v>0</v>
      </c>
      <c r="T111" s="93">
        <f>SUM('3:4'!T111)</f>
        <v>0</v>
      </c>
      <c r="U111" s="93">
        <f>SUM('3:4'!U111)</f>
        <v>0</v>
      </c>
      <c r="V111" s="206"/>
      <c r="W111" s="33"/>
      <c r="X111" s="93">
        <f>SUM('3:4'!X111)</f>
        <v>0</v>
      </c>
      <c r="Y111" s="93">
        <f>SUM('3:4'!Y111)</f>
        <v>0</v>
      </c>
      <c r="Z111" s="93">
        <f>SUM('3:4'!Z111)</f>
        <v>0</v>
      </c>
      <c r="AA111" s="93">
        <f>SUM('3:4'!AA111)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99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SUM('3:4'!G112)</f>
        <v>0</v>
      </c>
      <c r="H112" s="93">
        <f>SUM('3:4'!H112)</f>
        <v>0</v>
      </c>
      <c r="I112" s="93">
        <f>SUM('3:4'!I112)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32"/>
        <v>0</v>
      </c>
      <c r="N112" s="93">
        <f>SUM('3:4'!N112)</f>
        <v>0</v>
      </c>
      <c r="O112" s="93">
        <f>SUM('3:4'!O112)</f>
        <v>0</v>
      </c>
      <c r="P112" s="93">
        <f>SUM('3:4'!P112)</f>
        <v>0</v>
      </c>
      <c r="Q112" s="93">
        <f>SUM('3:4'!Q112)</f>
        <v>0</v>
      </c>
      <c r="R112" s="93">
        <f>SUM('3:4'!R112)</f>
        <v>0</v>
      </c>
      <c r="S112" s="93">
        <f>SUM('3:4'!S112)</f>
        <v>0</v>
      </c>
      <c r="T112" s="93">
        <f>SUM('3:4'!T112)</f>
        <v>0</v>
      </c>
      <c r="U112" s="93">
        <f>SUM('3:4'!U112)</f>
        <v>0</v>
      </c>
      <c r="V112" s="206"/>
      <c r="W112" s="33"/>
      <c r="X112" s="93">
        <f>SUM('3:4'!X112)</f>
        <v>0</v>
      </c>
      <c r="Y112" s="93">
        <f>SUM('3:4'!Y112)</f>
        <v>0</v>
      </c>
      <c r="Z112" s="93">
        <f>SUM('3:4'!Z112)</f>
        <v>0</v>
      </c>
      <c r="AA112" s="93">
        <f>SUM('3:4'!AA112)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99">
        <v>30400001</v>
      </c>
      <c r="B113" s="65" t="s">
        <v>514</v>
      </c>
      <c r="C113" s="16" t="s">
        <v>61</v>
      </c>
      <c r="D113" s="17">
        <v>5.0599999999999996</v>
      </c>
      <c r="E113" s="17"/>
      <c r="F113" s="6"/>
      <c r="G113" s="93">
        <f>SUM('3:4'!G113)</f>
        <v>100</v>
      </c>
      <c r="H113" s="93">
        <f>SUM('3:4'!H113)</f>
        <v>505.99999999999994</v>
      </c>
      <c r="I113" s="93">
        <f>SUM('3:4'!I113)</f>
        <v>6.5</v>
      </c>
      <c r="J113" s="31">
        <f t="array" ref="J113">IF(ISERROR(G113/I113),"",G113/I113)</f>
        <v>15.384615384615385</v>
      </c>
      <c r="K113" s="35">
        <f t="array" ref="K113">IF(ISERROR(G113/L113),"",G113/L113)</f>
        <v>6.4516129032258061</v>
      </c>
      <c r="L113" s="87">
        <v>15.5</v>
      </c>
      <c r="M113" s="36">
        <f t="shared" si="32"/>
        <v>4.8387096774193949E-2</v>
      </c>
      <c r="N113" s="93">
        <f>SUM('3:4'!N113)</f>
        <v>0</v>
      </c>
      <c r="O113" s="93">
        <f>SUM('3:4'!O113)</f>
        <v>0</v>
      </c>
      <c r="P113" s="93">
        <f>SUM('3:4'!P113)</f>
        <v>0</v>
      </c>
      <c r="Q113" s="93">
        <f>SUM('3:4'!Q113)</f>
        <v>0</v>
      </c>
      <c r="R113" s="93">
        <f>SUM('3:4'!R113)</f>
        <v>0</v>
      </c>
      <c r="S113" s="93">
        <f>SUM('3:4'!S113)</f>
        <v>0</v>
      </c>
      <c r="T113" s="93">
        <f>SUM('3:4'!T113)</f>
        <v>0</v>
      </c>
      <c r="U113" s="93">
        <f>SUM('3:4'!U113)</f>
        <v>0</v>
      </c>
      <c r="V113" s="206">
        <f t="shared" ref="V113:V114" si="35">SUM(X113:AA113)</f>
        <v>0</v>
      </c>
      <c r="W113" s="33">
        <f t="shared" ref="W113:W114" si="36">IF(ISERROR(V113/G113),"",V113/G113)</f>
        <v>0</v>
      </c>
      <c r="X113" s="93">
        <f>SUM('3:4'!X113)</f>
        <v>0</v>
      </c>
      <c r="Y113" s="93">
        <f>SUM('3:4'!Y113)</f>
        <v>0</v>
      </c>
      <c r="Z113" s="93">
        <f>SUM('3:4'!Z113)</f>
        <v>0</v>
      </c>
      <c r="AA113" s="93">
        <f>SUM('3:4'!AA113)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99">
        <v>30400002</v>
      </c>
      <c r="B114" s="65" t="s">
        <v>514</v>
      </c>
      <c r="C114" s="16" t="s">
        <v>72</v>
      </c>
      <c r="D114" s="17">
        <v>5.0599999999999996</v>
      </c>
      <c r="E114" s="17"/>
      <c r="F114" s="6"/>
      <c r="G114" s="93">
        <f>SUM('3:4'!G114)</f>
        <v>76</v>
      </c>
      <c r="H114" s="93">
        <f>SUM('3:4'!H114)</f>
        <v>384.55999999999995</v>
      </c>
      <c r="I114" s="93">
        <f>SUM('3:4'!I114)</f>
        <v>5</v>
      </c>
      <c r="J114" s="31">
        <f t="array" ref="J114">IF(ISERROR(G114/I114),"",G114/I114)</f>
        <v>15.2</v>
      </c>
      <c r="K114" s="35">
        <f t="array" ref="K114">IF(ISERROR(G114/L114),"",G114/L114)</f>
        <v>4.903225806451613</v>
      </c>
      <c r="L114" s="87">
        <v>15.5</v>
      </c>
      <c r="M114" s="36">
        <f t="shared" si="32"/>
        <v>9.6774193548387011E-2</v>
      </c>
      <c r="N114" s="93">
        <f>SUM('3:4'!N114)</f>
        <v>0</v>
      </c>
      <c r="O114" s="93">
        <f>SUM('3:4'!O114)</f>
        <v>0</v>
      </c>
      <c r="P114" s="93">
        <f>SUM('3:4'!P114)</f>
        <v>0</v>
      </c>
      <c r="Q114" s="93">
        <f>SUM('3:4'!Q114)</f>
        <v>0</v>
      </c>
      <c r="R114" s="93">
        <f>SUM('3:4'!R114)</f>
        <v>0</v>
      </c>
      <c r="S114" s="93">
        <f>SUM('3:4'!S114)</f>
        <v>0</v>
      </c>
      <c r="T114" s="93">
        <f>SUM('3:4'!T114)</f>
        <v>0</v>
      </c>
      <c r="U114" s="93">
        <f>SUM('3:4'!U114)</f>
        <v>0</v>
      </c>
      <c r="V114" s="206">
        <f t="shared" si="35"/>
        <v>0</v>
      </c>
      <c r="W114" s="33">
        <f t="shared" si="36"/>
        <v>0</v>
      </c>
      <c r="X114" s="93">
        <f>SUM('3:4'!X114)</f>
        <v>0</v>
      </c>
      <c r="Y114" s="93">
        <f>SUM('3:4'!Y114)</f>
        <v>0</v>
      </c>
      <c r="Z114" s="93">
        <f>SUM('3:4'!Z114)</f>
        <v>0</v>
      </c>
      <c r="AA114" s="93">
        <f>SUM('3:4'!AA114)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99">
        <v>30400004</v>
      </c>
      <c r="B115" s="215" t="s">
        <v>419</v>
      </c>
      <c r="C115" s="187" t="s">
        <v>73</v>
      </c>
      <c r="D115" s="17"/>
      <c r="E115" s="17"/>
      <c r="F115" s="6"/>
      <c r="G115" s="93">
        <f>SUM('3:4'!G115)</f>
        <v>0</v>
      </c>
      <c r="H115" s="93">
        <f>SUM('3:4'!H115)</f>
        <v>0</v>
      </c>
      <c r="I115" s="93">
        <f>SUM('3:4'!I115)</f>
        <v>0</v>
      </c>
      <c r="J115" s="31"/>
      <c r="K115" s="35">
        <f t="array" ref="K115">IF(ISERROR(G115/L115),"",G115/L115)</f>
        <v>0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99">
        <v>30400003</v>
      </c>
      <c r="B116" s="215" t="s">
        <v>419</v>
      </c>
      <c r="C116" s="187" t="s">
        <v>60</v>
      </c>
      <c r="D116" s="17"/>
      <c r="E116" s="17"/>
      <c r="F116" s="6"/>
      <c r="G116" s="93">
        <f>SUM('3:4'!G116)</f>
        <v>380</v>
      </c>
      <c r="H116" s="93">
        <f>SUM('3:4'!H116)</f>
        <v>1900</v>
      </c>
      <c r="I116" s="93">
        <f>SUM('3:4'!I116)</f>
        <v>16</v>
      </c>
      <c r="J116" s="31"/>
      <c r="K116" s="35">
        <f t="array" ref="K116">IF(ISERROR(G116/L116),"",G116/L116)</f>
        <v>15.833333333333334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99">
        <v>30400005</v>
      </c>
      <c r="B117" s="215" t="s">
        <v>419</v>
      </c>
      <c r="C117" s="187" t="s">
        <v>422</v>
      </c>
      <c r="D117" s="17"/>
      <c r="E117" s="17"/>
      <c r="F117" s="6"/>
      <c r="G117" s="93">
        <f>SUM('3:4'!G117)</f>
        <v>0</v>
      </c>
      <c r="H117" s="93">
        <f>SUM('3:4'!H117)</f>
        <v>0</v>
      </c>
      <c r="I117" s="93">
        <f>SUM('3:4'!I117)</f>
        <v>0</v>
      </c>
      <c r="J117" s="31"/>
      <c r="K117" s="35">
        <f t="array" ref="K117">IF(ISERROR(G117/L117),"",G117/L117)</f>
        <v>0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99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SUM('3:4'!G118)</f>
        <v>0</v>
      </c>
      <c r="H118" s="93">
        <f>SUM('3:4'!H118)</f>
        <v>0</v>
      </c>
      <c r="I118" s="93">
        <f>SUM('3:4'!I118)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 t="shared" ref="M118:M120" si="37">IF(ISERROR(I118-K118),"",I118-K118)</f>
        <v>0</v>
      </c>
      <c r="N118" s="93">
        <f>SUM('3:4'!N118)</f>
        <v>0</v>
      </c>
      <c r="O118" s="93">
        <f>SUM('3:4'!O118)</f>
        <v>0</v>
      </c>
      <c r="P118" s="93">
        <f>SUM('3:4'!P118)</f>
        <v>0</v>
      </c>
      <c r="Q118" s="93">
        <f>SUM('3:4'!Q118)</f>
        <v>0</v>
      </c>
      <c r="R118" s="93">
        <f>SUM('3:4'!R118)</f>
        <v>0</v>
      </c>
      <c r="S118" s="93">
        <f>SUM('3:4'!S118)</f>
        <v>0</v>
      </c>
      <c r="T118" s="93">
        <f>SUM('3:4'!T118)</f>
        <v>0</v>
      </c>
      <c r="U118" s="93">
        <f>SUM('3:4'!U118)</f>
        <v>0</v>
      </c>
      <c r="V118" s="206">
        <f t="shared" ref="V118:V120" si="38">SUM(X118:AA118)</f>
        <v>0</v>
      </c>
      <c r="W118" s="33" t="str">
        <f t="shared" ref="W118" si="39">IF(ISERROR(V118/G118),"",V118/G118)</f>
        <v/>
      </c>
      <c r="X118" s="93">
        <f>SUM('3:4'!X118)</f>
        <v>0</v>
      </c>
      <c r="Y118" s="93">
        <f>SUM('3:4'!Y118)</f>
        <v>0</v>
      </c>
      <c r="Z118" s="93">
        <f>SUM('3:4'!Z118)</f>
        <v>0</v>
      </c>
      <c r="AA118" s="93">
        <f>SUM('3:4'!AA118)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99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SUM('3:4'!G119)</f>
        <v>0</v>
      </c>
      <c r="H119" s="93">
        <f>SUM('3:4'!H119)</f>
        <v>0</v>
      </c>
      <c r="I119" s="93">
        <f>SUM('3:4'!I119)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 t="shared" si="37"/>
        <v>0</v>
      </c>
      <c r="N119" s="93">
        <f>SUM('3:4'!N119)</f>
        <v>0</v>
      </c>
      <c r="O119" s="93">
        <f>SUM('3:4'!O119)</f>
        <v>0</v>
      </c>
      <c r="P119" s="93">
        <f>SUM('3:4'!P119)</f>
        <v>0</v>
      </c>
      <c r="Q119" s="93">
        <f>SUM('3:4'!Q119)</f>
        <v>0</v>
      </c>
      <c r="R119" s="93">
        <f>SUM('3:4'!R119)</f>
        <v>0</v>
      </c>
      <c r="S119" s="93">
        <f>SUM('3:4'!S119)</f>
        <v>0</v>
      </c>
      <c r="T119" s="93">
        <f>SUM('3:4'!T119)</f>
        <v>0</v>
      </c>
      <c r="U119" s="93">
        <f>SUM('3:4'!U119)</f>
        <v>0</v>
      </c>
      <c r="V119" s="206">
        <f t="shared" si="38"/>
        <v>0</v>
      </c>
      <c r="W119" s="33" t="str">
        <f>IF(ISERROR(V119/G119),"",V119/G119)</f>
        <v/>
      </c>
      <c r="X119" s="93">
        <f>SUM('3:4'!X119)</f>
        <v>0</v>
      </c>
      <c r="Y119" s="93">
        <f>SUM('3:4'!Y119)</f>
        <v>0</v>
      </c>
      <c r="Z119" s="93">
        <f>SUM('3:4'!Z119)</f>
        <v>0</v>
      </c>
      <c r="AA119" s="93">
        <f>SUM('3:4'!AA119)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99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SUM('3:4'!G120)</f>
        <v>0</v>
      </c>
      <c r="H120" s="93">
        <f>SUM('3:4'!H120)</f>
        <v>0</v>
      </c>
      <c r="I120" s="93">
        <f>SUM('3:4'!I120)</f>
        <v>0</v>
      </c>
      <c r="J120" s="31" t="str">
        <f t="array" ref="J120">IF(ISERROR(G120/I120),"",G120/I120)</f>
        <v/>
      </c>
      <c r="K120" s="364">
        <f t="array" ref="K120">IF(ISERROR(G120/L120),"",G120/L120)</f>
        <v>0</v>
      </c>
      <c r="L120" s="87">
        <v>9</v>
      </c>
      <c r="M120" s="36">
        <f t="shared" si="37"/>
        <v>0</v>
      </c>
      <c r="N120" s="93">
        <f>SUM('3:4'!N120)</f>
        <v>0</v>
      </c>
      <c r="O120" s="93">
        <f>SUM('3:4'!O120)</f>
        <v>0</v>
      </c>
      <c r="P120" s="93">
        <f>SUM('3:4'!P120)</f>
        <v>0</v>
      </c>
      <c r="Q120" s="93">
        <f>SUM('3:4'!Q120)</f>
        <v>0</v>
      </c>
      <c r="R120" s="93">
        <f>SUM('3:4'!R120)</f>
        <v>0</v>
      </c>
      <c r="S120" s="93">
        <f>SUM('3:4'!S120)</f>
        <v>0</v>
      </c>
      <c r="T120" s="93">
        <f>SUM('3:4'!T120)</f>
        <v>0</v>
      </c>
      <c r="U120" s="93">
        <f>SUM('3:4'!U120)</f>
        <v>0</v>
      </c>
      <c r="V120" s="206">
        <f t="shared" si="38"/>
        <v>0</v>
      </c>
      <c r="W120" s="33" t="str">
        <f>IF(ISERROR(V120/G120),"",V120/G120)</f>
        <v/>
      </c>
      <c r="X120" s="93">
        <f>SUM('3:4'!X120)</f>
        <v>0</v>
      </c>
      <c r="Y120" s="93">
        <f>SUM('3:4'!Y120)</f>
        <v>0</v>
      </c>
      <c r="Z120" s="93">
        <f>SUM('3:4'!Z120)</f>
        <v>0</v>
      </c>
      <c r="AA120" s="93">
        <f>SUM('3:4'!AA120)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725" t="s">
        <v>92</v>
      </c>
      <c r="B121" s="726"/>
      <c r="C121" s="359" t="s">
        <v>71</v>
      </c>
      <c r="D121" s="20"/>
      <c r="E121" s="20"/>
      <c r="F121" s="32"/>
      <c r="G121" s="99">
        <f>SUM(G87:G120)</f>
        <v>556</v>
      </c>
      <c r="H121" s="30">
        <f>SUM(H87:H120)</f>
        <v>2790.56</v>
      </c>
      <c r="I121" s="30">
        <f>SUM(I87:I120)</f>
        <v>27.5</v>
      </c>
      <c r="J121" s="31">
        <f t="array" ref="J121">IF(ISERROR(G121/I121),"",G121/I121)</f>
        <v>20.218181818181819</v>
      </c>
      <c r="K121" s="30">
        <f>SUM(K87:K120)</f>
        <v>27.188172043010752</v>
      </c>
      <c r="L121" s="98"/>
      <c r="M121" s="89">
        <f t="shared" ref="M121:V121" si="40">SUM(M87:M120)</f>
        <v>0.14516129032258096</v>
      </c>
      <c r="N121" s="30">
        <f t="shared" si="40"/>
        <v>0</v>
      </c>
      <c r="O121" s="91">
        <f t="shared" si="40"/>
        <v>0</v>
      </c>
      <c r="P121" s="91">
        <f t="shared" si="40"/>
        <v>0</v>
      </c>
      <c r="Q121" s="91">
        <f t="shared" si="40"/>
        <v>0</v>
      </c>
      <c r="R121" s="91">
        <f t="shared" si="40"/>
        <v>0</v>
      </c>
      <c r="S121" s="92">
        <f t="shared" si="40"/>
        <v>0</v>
      </c>
      <c r="T121" s="91">
        <f t="shared" si="40"/>
        <v>0</v>
      </c>
      <c r="U121" s="91">
        <f t="shared" si="40"/>
        <v>0</v>
      </c>
      <c r="V121" s="206">
        <f t="shared" si="40"/>
        <v>0</v>
      </c>
      <c r="W121" s="33">
        <f t="shared" ref="W121:W142" si="4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99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SUM('3:4'!G122)</f>
        <v>0</v>
      </c>
      <c r="H122" s="93">
        <f>SUM('3:4'!H122)</f>
        <v>0</v>
      </c>
      <c r="I122" s="93">
        <f>SUM('3:4'!I122)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87">
        <v>25</v>
      </c>
      <c r="M122" s="36">
        <f t="shared" ref="M122:M136" si="42">IF(ISERROR(I122-K122),"",I122-K122)</f>
        <v>0</v>
      </c>
      <c r="N122" s="93">
        <f>SUM('3:4'!N122)</f>
        <v>0</v>
      </c>
      <c r="O122" s="93">
        <f>SUM('3:4'!O122)</f>
        <v>0</v>
      </c>
      <c r="P122" s="93">
        <f>SUM('3:4'!P122)</f>
        <v>0</v>
      </c>
      <c r="Q122" s="93">
        <f>SUM('3:4'!Q122)</f>
        <v>0</v>
      </c>
      <c r="R122" s="93">
        <f>SUM('3:4'!R122)</f>
        <v>0</v>
      </c>
      <c r="S122" s="93">
        <f>SUM('3:4'!S122)</f>
        <v>0</v>
      </c>
      <c r="T122" s="93">
        <f>SUM('3:4'!T122)</f>
        <v>0</v>
      </c>
      <c r="U122" s="93">
        <f>SUM('3:4'!U122)</f>
        <v>0</v>
      </c>
      <c r="V122" s="206">
        <f t="shared" ref="V122:V136" si="43">SUM(X122:AA122)</f>
        <v>0</v>
      </c>
      <c r="W122" s="33" t="str">
        <f t="shared" si="41"/>
        <v/>
      </c>
      <c r="X122" s="93">
        <f>SUM('3:4'!X122)</f>
        <v>0</v>
      </c>
      <c r="Y122" s="93">
        <f>SUM('3:4'!Y122)</f>
        <v>0</v>
      </c>
      <c r="Z122" s="93">
        <f>SUM('3:4'!Z122)</f>
        <v>0</v>
      </c>
      <c r="AA122" s="93">
        <f>SUM('3:4'!AA122)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99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SUM('3:4'!G123)</f>
        <v>0</v>
      </c>
      <c r="H123" s="93">
        <f>SUM('3:4'!H123)</f>
        <v>0</v>
      </c>
      <c r="I123" s="93">
        <f>SUM('3:4'!I123)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87">
        <v>25</v>
      </c>
      <c r="M123" s="36">
        <f t="shared" si="42"/>
        <v>0</v>
      </c>
      <c r="N123" s="93">
        <f>SUM('3:4'!N123)</f>
        <v>0</v>
      </c>
      <c r="O123" s="93">
        <f>SUM('3:4'!O123)</f>
        <v>0</v>
      </c>
      <c r="P123" s="93">
        <f>SUM('3:4'!P123)</f>
        <v>0</v>
      </c>
      <c r="Q123" s="93">
        <f>SUM('3:4'!Q123)</f>
        <v>0</v>
      </c>
      <c r="R123" s="93">
        <f>SUM('3:4'!R123)</f>
        <v>0</v>
      </c>
      <c r="S123" s="93">
        <f>SUM('3:4'!S123)</f>
        <v>0</v>
      </c>
      <c r="T123" s="93">
        <f>SUM('3:4'!T123)</f>
        <v>0</v>
      </c>
      <c r="U123" s="93">
        <f>SUM('3:4'!U123)</f>
        <v>0</v>
      </c>
      <c r="V123" s="206">
        <f t="shared" si="43"/>
        <v>0</v>
      </c>
      <c r="W123" s="33" t="str">
        <f t="shared" si="41"/>
        <v/>
      </c>
      <c r="X123" s="93">
        <f>SUM('3:4'!X123)</f>
        <v>0</v>
      </c>
      <c r="Y123" s="93">
        <f>SUM('3:4'!Y123)</f>
        <v>0</v>
      </c>
      <c r="Z123" s="93">
        <f>SUM('3:4'!Z123)</f>
        <v>0</v>
      </c>
      <c r="AA123" s="93">
        <f>SUM('3:4'!AA123)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99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SUM('3:4'!G124)</f>
        <v>0</v>
      </c>
      <c r="H124" s="93">
        <f>SUM('3:4'!H124)</f>
        <v>0</v>
      </c>
      <c r="I124" s="93">
        <f>SUM('3:4'!I124)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42"/>
        <v>0</v>
      </c>
      <c r="N124" s="93">
        <f>SUM('3:4'!N124)</f>
        <v>0</v>
      </c>
      <c r="O124" s="93">
        <f>SUM('3:4'!O124)</f>
        <v>0</v>
      </c>
      <c r="P124" s="93">
        <f>SUM('3:4'!P124)</f>
        <v>0</v>
      </c>
      <c r="Q124" s="93">
        <f>SUM('3:4'!Q124)</f>
        <v>0</v>
      </c>
      <c r="R124" s="93">
        <f>SUM('3:4'!R124)</f>
        <v>0</v>
      </c>
      <c r="S124" s="93">
        <f>SUM('3:4'!S124)</f>
        <v>0</v>
      </c>
      <c r="T124" s="93">
        <f>SUM('3:4'!T124)</f>
        <v>0</v>
      </c>
      <c r="U124" s="93">
        <f>SUM('3:4'!U124)</f>
        <v>0</v>
      </c>
      <c r="V124" s="206">
        <f t="shared" si="43"/>
        <v>0</v>
      </c>
      <c r="W124" s="33" t="str">
        <f t="shared" si="41"/>
        <v/>
      </c>
      <c r="X124" s="93">
        <f>SUM('3:4'!X124)</f>
        <v>0</v>
      </c>
      <c r="Y124" s="93">
        <f>SUM('3:4'!Y124)</f>
        <v>0</v>
      </c>
      <c r="Z124" s="93">
        <f>SUM('3:4'!Z124)</f>
        <v>0</v>
      </c>
      <c r="AA124" s="93">
        <f>SUM('3:4'!AA124)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99"/>
      <c r="B125" s="189" t="s">
        <v>227</v>
      </c>
      <c r="C125" s="16" t="s">
        <v>82</v>
      </c>
      <c r="D125" s="17">
        <v>5.03</v>
      </c>
      <c r="E125" s="17"/>
      <c r="F125" s="6"/>
      <c r="G125" s="93">
        <f>SUM('3:4'!G125)</f>
        <v>0</v>
      </c>
      <c r="H125" s="93">
        <f>SUM('3:4'!H125)</f>
        <v>0</v>
      </c>
      <c r="I125" s="93">
        <f>SUM('3:4'!I125)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42"/>
        <v>0</v>
      </c>
      <c r="N125" s="93">
        <f>SUM('3:4'!N125)</f>
        <v>0</v>
      </c>
      <c r="O125" s="93">
        <f>SUM('3:4'!O125)</f>
        <v>0</v>
      </c>
      <c r="P125" s="93">
        <f>SUM('3:4'!P125)</f>
        <v>0</v>
      </c>
      <c r="Q125" s="93">
        <f>SUM('3:4'!Q125)</f>
        <v>0</v>
      </c>
      <c r="R125" s="93">
        <f>SUM('3:4'!R125)</f>
        <v>0</v>
      </c>
      <c r="S125" s="93">
        <f>SUM('3:4'!S125)</f>
        <v>0</v>
      </c>
      <c r="T125" s="93">
        <f>SUM('3:4'!T125)</f>
        <v>0</v>
      </c>
      <c r="U125" s="93">
        <f>SUM('3:4'!U125)</f>
        <v>0</v>
      </c>
      <c r="V125" s="206">
        <f t="shared" si="43"/>
        <v>0</v>
      </c>
      <c r="W125" s="33" t="str">
        <f t="shared" si="41"/>
        <v/>
      </c>
      <c r="X125" s="93">
        <f>SUM('3:4'!X125)</f>
        <v>0</v>
      </c>
      <c r="Y125" s="93">
        <f>SUM('3:4'!Y125)</f>
        <v>0</v>
      </c>
      <c r="Z125" s="93">
        <f>SUM('3:4'!Z125)</f>
        <v>0</v>
      </c>
      <c r="AA125" s="93">
        <f>SUM('3:4'!AA125)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99">
        <v>30100054</v>
      </c>
      <c r="B126" s="63" t="s">
        <v>95</v>
      </c>
      <c r="C126" s="365" t="s">
        <v>72</v>
      </c>
      <c r="D126" s="17">
        <v>5.03</v>
      </c>
      <c r="E126" s="17"/>
      <c r="F126" s="6"/>
      <c r="G126" s="93">
        <f>SUM('3:4'!G126)</f>
        <v>0</v>
      </c>
      <c r="H126" s="93">
        <f>SUM('3:4'!H126)</f>
        <v>0</v>
      </c>
      <c r="I126" s="93">
        <f>SUM('3:4'!I126)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42"/>
        <v>0</v>
      </c>
      <c r="N126" s="93">
        <f>SUM('3:4'!N126)</f>
        <v>0</v>
      </c>
      <c r="O126" s="93">
        <f>SUM('3:4'!O126)</f>
        <v>0</v>
      </c>
      <c r="P126" s="93">
        <f>SUM('3:4'!P126)</f>
        <v>0</v>
      </c>
      <c r="Q126" s="93">
        <f>SUM('3:4'!Q126)</f>
        <v>0</v>
      </c>
      <c r="R126" s="93">
        <f>SUM('3:4'!R126)</f>
        <v>0</v>
      </c>
      <c r="S126" s="93">
        <f>SUM('3:4'!S126)</f>
        <v>0</v>
      </c>
      <c r="T126" s="93">
        <f>SUM('3:4'!T126)</f>
        <v>0</v>
      </c>
      <c r="U126" s="93">
        <f>SUM('3:4'!U126)</f>
        <v>0</v>
      </c>
      <c r="V126" s="206">
        <f t="shared" si="43"/>
        <v>0</v>
      </c>
      <c r="W126" s="33" t="str">
        <f t="shared" si="41"/>
        <v/>
      </c>
      <c r="X126" s="93">
        <f>SUM('3:4'!X126)</f>
        <v>0</v>
      </c>
      <c r="Y126" s="93">
        <f>SUM('3:4'!Y126)</f>
        <v>0</v>
      </c>
      <c r="Z126" s="93">
        <f>SUM('3:4'!Z126)</f>
        <v>0</v>
      </c>
      <c r="AA126" s="93">
        <f>SUM('3:4'!AA126)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9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SUM('3:4'!G127)</f>
        <v>0</v>
      </c>
      <c r="H127" s="93">
        <f>SUM('3:4'!H127)</f>
        <v>0</v>
      </c>
      <c r="I127" s="93">
        <f>SUM('3:4'!I127)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42"/>
        <v>0</v>
      </c>
      <c r="N127" s="93">
        <f>SUM('3:4'!N127)</f>
        <v>0</v>
      </c>
      <c r="O127" s="93">
        <f>SUM('3:4'!O127)</f>
        <v>0</v>
      </c>
      <c r="P127" s="93">
        <f>SUM('3:4'!P127)</f>
        <v>0</v>
      </c>
      <c r="Q127" s="93">
        <f>SUM('3:4'!Q127)</f>
        <v>0</v>
      </c>
      <c r="R127" s="93">
        <f>SUM('3:4'!R127)</f>
        <v>0</v>
      </c>
      <c r="S127" s="93">
        <f>SUM('3:4'!S127)</f>
        <v>0</v>
      </c>
      <c r="T127" s="93">
        <f>SUM('3:4'!T127)</f>
        <v>0</v>
      </c>
      <c r="U127" s="93">
        <f>SUM('3:4'!U127)</f>
        <v>0</v>
      </c>
      <c r="V127" s="206">
        <f t="shared" si="43"/>
        <v>0</v>
      </c>
      <c r="W127" s="33" t="str">
        <f t="shared" si="41"/>
        <v/>
      </c>
      <c r="X127" s="93">
        <f>SUM('3:4'!X127)</f>
        <v>0</v>
      </c>
      <c r="Y127" s="93">
        <f>SUM('3:4'!Y127)</f>
        <v>0</v>
      </c>
      <c r="Z127" s="93">
        <f>SUM('3:4'!Z127)</f>
        <v>0</v>
      </c>
      <c r="AA127" s="93">
        <f>SUM('3:4'!AA127)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99"/>
      <c r="B128" s="63" t="s">
        <v>95</v>
      </c>
      <c r="C128" s="16" t="s">
        <v>60</v>
      </c>
      <c r="D128" s="17">
        <v>5.03</v>
      </c>
      <c r="E128" s="17"/>
      <c r="F128" s="6"/>
      <c r="G128" s="93">
        <f>SUM('3:4'!G128)</f>
        <v>0</v>
      </c>
      <c r="H128" s="93">
        <f>SUM('3:4'!H128)</f>
        <v>0</v>
      </c>
      <c r="I128" s="93">
        <f>SUM('3:4'!I128)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42"/>
        <v>0</v>
      </c>
      <c r="N128" s="93">
        <f>SUM('3:4'!N128)</f>
        <v>0</v>
      </c>
      <c r="O128" s="93">
        <f>SUM('3:4'!O128)</f>
        <v>0</v>
      </c>
      <c r="P128" s="93">
        <f>SUM('3:4'!P128)</f>
        <v>0</v>
      </c>
      <c r="Q128" s="93">
        <f>SUM('3:4'!Q128)</f>
        <v>0</v>
      </c>
      <c r="R128" s="93">
        <f>SUM('3:4'!R128)</f>
        <v>0</v>
      </c>
      <c r="S128" s="93">
        <f>SUM('3:4'!S128)</f>
        <v>0</v>
      </c>
      <c r="T128" s="93">
        <f>SUM('3:4'!T128)</f>
        <v>0</v>
      </c>
      <c r="U128" s="93">
        <f>SUM('3:4'!U128)</f>
        <v>0</v>
      </c>
      <c r="V128" s="206">
        <f t="shared" si="43"/>
        <v>0</v>
      </c>
      <c r="W128" s="33" t="str">
        <f t="shared" si="41"/>
        <v/>
      </c>
      <c r="X128" s="93">
        <f>SUM('3:4'!X128)</f>
        <v>0</v>
      </c>
      <c r="Y128" s="93">
        <f>SUM('3:4'!Y128)</f>
        <v>0</v>
      </c>
      <c r="Z128" s="93">
        <f>SUM('3:4'!Z128)</f>
        <v>0</v>
      </c>
      <c r="AA128" s="93">
        <f>SUM('3:4'!AA128)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99"/>
      <c r="B129" s="63" t="s">
        <v>95</v>
      </c>
      <c r="C129" s="365" t="s">
        <v>96</v>
      </c>
      <c r="D129" s="17">
        <v>5.03</v>
      </c>
      <c r="E129" s="17"/>
      <c r="F129" s="6"/>
      <c r="G129" s="93">
        <f>SUM('3:4'!G129)</f>
        <v>0</v>
      </c>
      <c r="H129" s="93">
        <f>SUM('3:4'!H129)</f>
        <v>0</v>
      </c>
      <c r="I129" s="93">
        <f>SUM('3:4'!I129)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42"/>
        <v>0</v>
      </c>
      <c r="N129" s="93">
        <f>SUM('3:4'!N129)</f>
        <v>0</v>
      </c>
      <c r="O129" s="93">
        <f>SUM('3:4'!O129)</f>
        <v>0</v>
      </c>
      <c r="P129" s="93">
        <f>SUM('3:4'!P129)</f>
        <v>0</v>
      </c>
      <c r="Q129" s="93">
        <f>SUM('3:4'!Q129)</f>
        <v>0</v>
      </c>
      <c r="R129" s="93">
        <f>SUM('3:4'!R129)</f>
        <v>0</v>
      </c>
      <c r="S129" s="93">
        <f>SUM('3:4'!S129)</f>
        <v>0</v>
      </c>
      <c r="T129" s="93">
        <f>SUM('3:4'!T129)</f>
        <v>0</v>
      </c>
      <c r="U129" s="93">
        <f>SUM('3:4'!U129)</f>
        <v>0</v>
      </c>
      <c r="V129" s="206">
        <f t="shared" si="43"/>
        <v>0</v>
      </c>
      <c r="W129" s="33" t="str">
        <f t="shared" si="41"/>
        <v/>
      </c>
      <c r="X129" s="93">
        <f>SUM('3:4'!X129)</f>
        <v>0</v>
      </c>
      <c r="Y129" s="93">
        <f>SUM('3:4'!Y129)</f>
        <v>0</v>
      </c>
      <c r="Z129" s="93">
        <f>SUM('3:4'!Z129)</f>
        <v>0</v>
      </c>
      <c r="AA129" s="93">
        <f>SUM('3:4'!AA129)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99">
        <v>30101067</v>
      </c>
      <c r="B130" s="189" t="s">
        <v>229</v>
      </c>
      <c r="C130" s="365" t="s">
        <v>82</v>
      </c>
      <c r="D130" s="17">
        <v>5.03</v>
      </c>
      <c r="E130" s="17"/>
      <c r="F130" s="6"/>
      <c r="G130" s="93">
        <f>SUM('3:4'!G130)</f>
        <v>0</v>
      </c>
      <c r="H130" s="93">
        <f>SUM('3:4'!H130)</f>
        <v>0</v>
      </c>
      <c r="I130" s="93">
        <f>SUM('3:4'!I130)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42"/>
        <v/>
      </c>
      <c r="N130" s="93">
        <f>SUM('3:4'!N130)</f>
        <v>0</v>
      </c>
      <c r="O130" s="93">
        <f>SUM('3:4'!O130)</f>
        <v>0</v>
      </c>
      <c r="P130" s="93">
        <f>SUM('3:4'!P130)</f>
        <v>0</v>
      </c>
      <c r="Q130" s="93">
        <f>SUM('3:4'!Q130)</f>
        <v>0</v>
      </c>
      <c r="R130" s="93">
        <f>SUM('3:4'!R130)</f>
        <v>0</v>
      </c>
      <c r="S130" s="93">
        <f>SUM('3:4'!S130)</f>
        <v>0</v>
      </c>
      <c r="T130" s="93">
        <f>SUM('3:4'!T130)</f>
        <v>0</v>
      </c>
      <c r="U130" s="93">
        <f>SUM('3:4'!U130)</f>
        <v>0</v>
      </c>
      <c r="V130" s="206">
        <f t="shared" si="43"/>
        <v>0</v>
      </c>
      <c r="W130" s="33" t="str">
        <f t="shared" si="41"/>
        <v/>
      </c>
      <c r="X130" s="93">
        <f>SUM('3:4'!X130)</f>
        <v>0</v>
      </c>
      <c r="Y130" s="93">
        <f>SUM('3:4'!Y130)</f>
        <v>0</v>
      </c>
      <c r="Z130" s="93">
        <f>SUM('3:4'!Z130)</f>
        <v>0</v>
      </c>
      <c r="AA130" s="93">
        <f>SUM('3:4'!AA130)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99">
        <v>30101068</v>
      </c>
      <c r="B131" s="63" t="s">
        <v>97</v>
      </c>
      <c r="C131" s="365" t="s">
        <v>72</v>
      </c>
      <c r="D131" s="17">
        <v>5.03</v>
      </c>
      <c r="E131" s="17"/>
      <c r="F131" s="6"/>
      <c r="G131" s="93">
        <f>SUM('3:4'!G131)</f>
        <v>0</v>
      </c>
      <c r="H131" s="93">
        <f>SUM('3:4'!H131)</f>
        <v>0</v>
      </c>
      <c r="I131" s="93">
        <f>SUM('3:4'!I131)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42"/>
        <v/>
      </c>
      <c r="N131" s="93">
        <f>SUM('3:4'!N131)</f>
        <v>0</v>
      </c>
      <c r="O131" s="93">
        <f>SUM('3:4'!O131)</f>
        <v>0</v>
      </c>
      <c r="P131" s="93">
        <f>SUM('3:4'!P131)</f>
        <v>0</v>
      </c>
      <c r="Q131" s="93">
        <f>SUM('3:4'!Q131)</f>
        <v>0</v>
      </c>
      <c r="R131" s="93">
        <f>SUM('3:4'!R131)</f>
        <v>0</v>
      </c>
      <c r="S131" s="93">
        <f>SUM('3:4'!S131)</f>
        <v>0</v>
      </c>
      <c r="T131" s="93">
        <f>SUM('3:4'!T131)</f>
        <v>0</v>
      </c>
      <c r="U131" s="93">
        <f>SUM('3:4'!U131)</f>
        <v>0</v>
      </c>
      <c r="V131" s="206">
        <f t="shared" si="43"/>
        <v>0</v>
      </c>
      <c r="W131" s="33" t="str">
        <f t="shared" si="41"/>
        <v/>
      </c>
      <c r="X131" s="93">
        <f>SUM('3:4'!X131)</f>
        <v>0</v>
      </c>
      <c r="Y131" s="93">
        <f>SUM('3:4'!Y131)</f>
        <v>0</v>
      </c>
      <c r="Z131" s="93">
        <f>SUM('3:4'!Z131)</f>
        <v>0</v>
      </c>
      <c r="AA131" s="93">
        <f>SUM('3:4'!AA131)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99">
        <v>30101069</v>
      </c>
      <c r="B132" s="63" t="s">
        <v>97</v>
      </c>
      <c r="C132" s="365" t="s">
        <v>60</v>
      </c>
      <c r="D132" s="17">
        <v>5.03</v>
      </c>
      <c r="E132" s="17"/>
      <c r="F132" s="6"/>
      <c r="G132" s="93">
        <f>SUM('3:4'!G132)</f>
        <v>0</v>
      </c>
      <c r="H132" s="93">
        <f>SUM('3:4'!H132)</f>
        <v>0</v>
      </c>
      <c r="I132" s="93">
        <f>SUM('3:4'!I132)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42"/>
        <v/>
      </c>
      <c r="N132" s="93">
        <f>SUM('3:4'!N132)</f>
        <v>0</v>
      </c>
      <c r="O132" s="93">
        <f>SUM('3:4'!O132)</f>
        <v>0</v>
      </c>
      <c r="P132" s="93">
        <f>SUM('3:4'!P132)</f>
        <v>0</v>
      </c>
      <c r="Q132" s="93">
        <f>SUM('3:4'!Q132)</f>
        <v>0</v>
      </c>
      <c r="R132" s="93">
        <f>SUM('3:4'!R132)</f>
        <v>0</v>
      </c>
      <c r="S132" s="93">
        <f>SUM('3:4'!S132)</f>
        <v>0</v>
      </c>
      <c r="T132" s="93">
        <f>SUM('3:4'!T132)</f>
        <v>0</v>
      </c>
      <c r="U132" s="93">
        <f>SUM('3:4'!U132)</f>
        <v>0</v>
      </c>
      <c r="V132" s="206">
        <f t="shared" si="43"/>
        <v>0</v>
      </c>
      <c r="W132" s="33" t="str">
        <f t="shared" si="41"/>
        <v/>
      </c>
      <c r="X132" s="93">
        <f>SUM('3:4'!X132)</f>
        <v>0</v>
      </c>
      <c r="Y132" s="93">
        <f>SUM('3:4'!Y132)</f>
        <v>0</v>
      </c>
      <c r="Z132" s="93">
        <f>SUM('3:4'!Z132)</f>
        <v>0</v>
      </c>
      <c r="AA132" s="93">
        <f>SUM('3:4'!AA132)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99">
        <v>30101070</v>
      </c>
      <c r="B133" s="63" t="s">
        <v>97</v>
      </c>
      <c r="C133" s="365" t="s">
        <v>96</v>
      </c>
      <c r="D133" s="17">
        <v>5.03</v>
      </c>
      <c r="E133" s="17"/>
      <c r="F133" s="6"/>
      <c r="G133" s="93">
        <f>SUM('3:4'!G133)</f>
        <v>0</v>
      </c>
      <c r="H133" s="93">
        <f>SUM('3:4'!H133)</f>
        <v>0</v>
      </c>
      <c r="I133" s="93">
        <f>SUM('3:4'!I133)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42"/>
        <v/>
      </c>
      <c r="N133" s="93">
        <f>SUM('3:4'!N133)</f>
        <v>0</v>
      </c>
      <c r="O133" s="93">
        <f>SUM('3:4'!O133)</f>
        <v>0</v>
      </c>
      <c r="P133" s="93">
        <f>SUM('3:4'!P133)</f>
        <v>0</v>
      </c>
      <c r="Q133" s="93">
        <f>SUM('3:4'!Q133)</f>
        <v>0</v>
      </c>
      <c r="R133" s="93">
        <f>SUM('3:4'!R133)</f>
        <v>0</v>
      </c>
      <c r="S133" s="93">
        <f>SUM('3:4'!S133)</f>
        <v>0</v>
      </c>
      <c r="T133" s="93">
        <f>SUM('3:4'!T133)</f>
        <v>0</v>
      </c>
      <c r="U133" s="93">
        <f>SUM('3:4'!U133)</f>
        <v>0</v>
      </c>
      <c r="V133" s="206">
        <f t="shared" si="43"/>
        <v>0</v>
      </c>
      <c r="W133" s="33" t="str">
        <f t="shared" si="41"/>
        <v/>
      </c>
      <c r="X133" s="93">
        <f>SUM('3:4'!X133)</f>
        <v>0</v>
      </c>
      <c r="Y133" s="93">
        <f>SUM('3:4'!Y133)</f>
        <v>0</v>
      </c>
      <c r="Z133" s="93">
        <f>SUM('3:4'!Z133)</f>
        <v>0</v>
      </c>
      <c r="AA133" s="93">
        <f>SUM('3:4'!AA133)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99">
        <v>30101071</v>
      </c>
      <c r="B134" s="63" t="s">
        <v>97</v>
      </c>
      <c r="C134" s="365" t="s">
        <v>73</v>
      </c>
      <c r="D134" s="17">
        <v>5.03</v>
      </c>
      <c r="E134" s="17"/>
      <c r="F134" s="6"/>
      <c r="G134" s="93">
        <f>SUM('3:4'!G134)</f>
        <v>0</v>
      </c>
      <c r="H134" s="93">
        <f>SUM('3:4'!H134)</f>
        <v>0</v>
      </c>
      <c r="I134" s="93">
        <f>SUM('3:4'!I134)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42"/>
        <v/>
      </c>
      <c r="N134" s="93">
        <f>SUM('3:4'!N134)</f>
        <v>0</v>
      </c>
      <c r="O134" s="93">
        <f>SUM('3:4'!O134)</f>
        <v>0</v>
      </c>
      <c r="P134" s="93">
        <f>SUM('3:4'!P134)</f>
        <v>0</v>
      </c>
      <c r="Q134" s="93">
        <f>SUM('3:4'!Q134)</f>
        <v>0</v>
      </c>
      <c r="R134" s="93">
        <f>SUM('3:4'!R134)</f>
        <v>0</v>
      </c>
      <c r="S134" s="93">
        <f>SUM('3:4'!S134)</f>
        <v>0</v>
      </c>
      <c r="T134" s="93">
        <f>SUM('3:4'!T134)</f>
        <v>0</v>
      </c>
      <c r="U134" s="93">
        <f>SUM('3:4'!U134)</f>
        <v>0</v>
      </c>
      <c r="V134" s="206">
        <f t="shared" si="43"/>
        <v>0</v>
      </c>
      <c r="W134" s="33" t="str">
        <f t="shared" si="41"/>
        <v/>
      </c>
      <c r="X134" s="93">
        <f>SUM('3:4'!X134)</f>
        <v>0</v>
      </c>
      <c r="Y134" s="93">
        <f>SUM('3:4'!Y134)</f>
        <v>0</v>
      </c>
      <c r="Z134" s="93">
        <f>SUM('3:4'!Z134)</f>
        <v>0</v>
      </c>
      <c r="AA134" s="93">
        <f>SUM('3:4'!AA134)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300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SUM('3:4'!G135)</f>
        <v>0</v>
      </c>
      <c r="H135" s="93">
        <f>SUM('3:4'!H135)</f>
        <v>0</v>
      </c>
      <c r="I135" s="93">
        <f>SUM('3:4'!I135)</f>
        <v>0</v>
      </c>
      <c r="J135" s="31" t="str">
        <f t="array" ref="J135">IF(ISERROR(G135/I135),"",G135/I135)</f>
        <v/>
      </c>
      <c r="K135" s="35">
        <f t="array" ref="K135">IF(ISERROR(G135/L135),"",G135/L135)</f>
        <v>0</v>
      </c>
      <c r="L135" s="87">
        <v>25</v>
      </c>
      <c r="M135" s="36">
        <f t="shared" si="42"/>
        <v>0</v>
      </c>
      <c r="N135" s="93">
        <f>SUM('3:4'!N135)</f>
        <v>0</v>
      </c>
      <c r="O135" s="93">
        <f>SUM('3:4'!O135)</f>
        <v>0</v>
      </c>
      <c r="P135" s="93">
        <f>SUM('3:4'!P135)</f>
        <v>0</v>
      </c>
      <c r="Q135" s="93">
        <f>SUM('3:4'!Q135)</f>
        <v>0</v>
      </c>
      <c r="R135" s="93">
        <f>SUM('3:4'!R135)</f>
        <v>0</v>
      </c>
      <c r="S135" s="93">
        <f>SUM('3:4'!S135)</f>
        <v>0</v>
      </c>
      <c r="T135" s="93">
        <f>SUM('3:4'!T135)</f>
        <v>0</v>
      </c>
      <c r="U135" s="93">
        <f>SUM('3:4'!U135)</f>
        <v>0</v>
      </c>
      <c r="V135" s="206">
        <f t="shared" si="43"/>
        <v>0</v>
      </c>
      <c r="W135" s="33" t="str">
        <f t="shared" si="41"/>
        <v/>
      </c>
      <c r="X135" s="93">
        <f>SUM('3:4'!X135)</f>
        <v>0</v>
      </c>
      <c r="Y135" s="93">
        <f>SUM('3:4'!Y135)</f>
        <v>0</v>
      </c>
      <c r="Z135" s="93">
        <f>SUM('3:4'!Z135)</f>
        <v>0</v>
      </c>
      <c r="AA135" s="93">
        <f>SUM('3:4'!AA135)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300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SUM('3:4'!G136)</f>
        <v>0</v>
      </c>
      <c r="H136" s="93">
        <f>SUM('3:4'!H136)</f>
        <v>0</v>
      </c>
      <c r="I136" s="93">
        <f>SUM('3:4'!I136)</f>
        <v>0</v>
      </c>
      <c r="J136" s="31" t="str">
        <f t="array" ref="J136">IF(ISERROR(G136/I136),"",G136/I136)</f>
        <v/>
      </c>
      <c r="K136" s="35">
        <f t="array" ref="K136">IF(ISERROR(G136/L136),"",G136/L136)</f>
        <v>0</v>
      </c>
      <c r="L136" s="87">
        <v>23</v>
      </c>
      <c r="M136" s="36">
        <f t="shared" si="42"/>
        <v>0</v>
      </c>
      <c r="N136" s="93">
        <f>SUM('3:4'!N136)</f>
        <v>0</v>
      </c>
      <c r="O136" s="93">
        <f>SUM('3:4'!O136)</f>
        <v>0</v>
      </c>
      <c r="P136" s="93">
        <f>SUM('3:4'!P136)</f>
        <v>0</v>
      </c>
      <c r="Q136" s="93">
        <f>SUM('3:4'!Q136)</f>
        <v>0</v>
      </c>
      <c r="R136" s="93">
        <f>SUM('3:4'!R136)</f>
        <v>0</v>
      </c>
      <c r="S136" s="93">
        <f>SUM('3:4'!S136)</f>
        <v>0</v>
      </c>
      <c r="T136" s="93">
        <f>SUM('3:4'!T136)</f>
        <v>0</v>
      </c>
      <c r="U136" s="93">
        <f>SUM('3:4'!U136)</f>
        <v>0</v>
      </c>
      <c r="V136" s="206">
        <f t="shared" si="43"/>
        <v>0</v>
      </c>
      <c r="W136" s="33" t="str">
        <f t="shared" si="41"/>
        <v/>
      </c>
      <c r="X136" s="93">
        <f>SUM('3:4'!X136)</f>
        <v>0</v>
      </c>
      <c r="Y136" s="93">
        <f>SUM('3:4'!Y136)</f>
        <v>0</v>
      </c>
      <c r="Z136" s="93">
        <f>SUM('3:4'!Z136)</f>
        <v>0</v>
      </c>
      <c r="AA136" s="93">
        <f>SUM('3:4'!AA136)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725" t="s">
        <v>99</v>
      </c>
      <c r="B137" s="726"/>
      <c r="C137" s="359" t="s">
        <v>71</v>
      </c>
      <c r="D137" s="20"/>
      <c r="E137" s="20"/>
      <c r="F137" s="32"/>
      <c r="G137" s="99">
        <f>SUM(G122:G136)</f>
        <v>0</v>
      </c>
      <c r="H137" s="30">
        <f>SUM(H122:H136)</f>
        <v>0</v>
      </c>
      <c r="I137" s="30">
        <f>SUM(I122:I136)</f>
        <v>0</v>
      </c>
      <c r="J137" s="31" t="str">
        <f t="array" ref="J137">IF(ISERROR(G137/I137),"",G137/I137)</f>
        <v/>
      </c>
      <c r="K137" s="30">
        <f>SUM(K122:K136)</f>
        <v>0</v>
      </c>
      <c r="L137" s="98"/>
      <c r="M137" s="89">
        <f>SUM(M122:M136)</f>
        <v>0</v>
      </c>
      <c r="N137" s="30">
        <f>SUM(N122:N136)</f>
        <v>0</v>
      </c>
      <c r="O137" s="93">
        <f>SUM('3:4'!O137)</f>
        <v>0</v>
      </c>
      <c r="P137" s="93">
        <f>SUM('3:4'!P137)</f>
        <v>0</v>
      </c>
      <c r="Q137" s="93">
        <f>SUM('3:4'!Q137)</f>
        <v>0</v>
      </c>
      <c r="R137" s="93">
        <f>SUM('3:4'!R137)</f>
        <v>0</v>
      </c>
      <c r="S137" s="93">
        <f>SUM('3:4'!S137)</f>
        <v>0</v>
      </c>
      <c r="T137" s="93">
        <f>SUM('3:4'!T137)</f>
        <v>0</v>
      </c>
      <c r="U137" s="93">
        <f>SUM('3:4'!U137)</f>
        <v>0</v>
      </c>
      <c r="V137" s="208">
        <f t="shared" ref="V137" si="44">SUM(V122:V136)</f>
        <v>0</v>
      </c>
      <c r="W137" s="33" t="str">
        <f t="shared" si="41"/>
        <v/>
      </c>
      <c r="X137" s="93">
        <f>SUM('3:4'!X137)</f>
        <v>0</v>
      </c>
      <c r="Y137" s="93">
        <f>SUM('3:4'!Y137)</f>
        <v>0</v>
      </c>
      <c r="Z137" s="93">
        <f>SUM('3:4'!Z137)</f>
        <v>0</v>
      </c>
      <c r="AA137" s="93">
        <f>SUM('3:4'!AA137)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30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SUM('3:4'!G138)</f>
        <v>272</v>
      </c>
      <c r="H138" s="93">
        <f>SUM('3:4'!H138)</f>
        <v>1370.88</v>
      </c>
      <c r="I138" s="93">
        <f>SUM('3:4'!I138)</f>
        <v>12.5</v>
      </c>
      <c r="J138" s="31">
        <f t="array" ref="J138">IF(ISERROR(G138/I138),"",G138/I138)</f>
        <v>21.76</v>
      </c>
      <c r="K138" s="35">
        <f t="array" ref="K138">IF(ISERROR(G138/L138),"",G138/L138)</f>
        <v>12.363636363636363</v>
      </c>
      <c r="L138" s="87">
        <v>22</v>
      </c>
      <c r="M138" s="36">
        <f t="shared" ref="M138:M142" si="45">IF(ISERROR(I138-K138),"",I138-K138)</f>
        <v>0.13636363636363669</v>
      </c>
      <c r="N138" s="93">
        <f>SUM('3:4'!N138)</f>
        <v>0</v>
      </c>
      <c r="O138" s="93">
        <f>SUM('3:4'!O138)</f>
        <v>0</v>
      </c>
      <c r="P138" s="93">
        <f>SUM('3:4'!P138)</f>
        <v>0</v>
      </c>
      <c r="Q138" s="93">
        <f>SUM('3:4'!Q138)</f>
        <v>0</v>
      </c>
      <c r="R138" s="93">
        <f>SUM('3:4'!R138)</f>
        <v>0</v>
      </c>
      <c r="S138" s="93">
        <f>SUM('3:4'!S138)</f>
        <v>0</v>
      </c>
      <c r="T138" s="93">
        <f>SUM('3:4'!T138)</f>
        <v>0</v>
      </c>
      <c r="U138" s="93">
        <f>SUM('3:4'!U138)</f>
        <v>0</v>
      </c>
      <c r="V138" s="206">
        <f t="shared" ref="V138:V142" si="46">SUM(X138:AA138)</f>
        <v>0</v>
      </c>
      <c r="W138" s="33">
        <f t="shared" si="41"/>
        <v>0</v>
      </c>
      <c r="X138" s="93">
        <f>SUM('3:4'!X138)</f>
        <v>0</v>
      </c>
      <c r="Y138" s="93">
        <f>SUM('3:4'!Y138)</f>
        <v>0</v>
      </c>
      <c r="Z138" s="93">
        <f>SUM('3:4'!Z138)</f>
        <v>0</v>
      </c>
      <c r="AA138" s="93">
        <f>SUM('3:4'!AA138)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300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SUM('3:4'!G139)</f>
        <v>0</v>
      </c>
      <c r="H139" s="93">
        <f>SUM('3:4'!H139)</f>
        <v>0</v>
      </c>
      <c r="I139" s="93">
        <f>SUM('3:4'!I139)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45"/>
        <v>0</v>
      </c>
      <c r="N139" s="93">
        <f>SUM('3:4'!N139)</f>
        <v>0</v>
      </c>
      <c r="O139" s="93">
        <f>SUM('3:4'!O139)</f>
        <v>0</v>
      </c>
      <c r="P139" s="93">
        <f>SUM('3:4'!P139)</f>
        <v>0</v>
      </c>
      <c r="Q139" s="93">
        <f>SUM('3:4'!Q139)</f>
        <v>0</v>
      </c>
      <c r="R139" s="93">
        <f>SUM('3:4'!R139)</f>
        <v>0</v>
      </c>
      <c r="S139" s="93">
        <f>SUM('3:4'!S139)</f>
        <v>0</v>
      </c>
      <c r="T139" s="93">
        <f>SUM('3:4'!T139)</f>
        <v>0</v>
      </c>
      <c r="U139" s="93">
        <f>SUM('3:4'!U139)</f>
        <v>0</v>
      </c>
      <c r="V139" s="206">
        <f t="shared" si="46"/>
        <v>0</v>
      </c>
      <c r="W139" s="33" t="str">
        <f t="shared" si="41"/>
        <v/>
      </c>
      <c r="X139" s="93">
        <f>SUM('3:4'!X139)</f>
        <v>0</v>
      </c>
      <c r="Y139" s="93">
        <f>SUM('3:4'!Y139)</f>
        <v>0</v>
      </c>
      <c r="Z139" s="93">
        <f>SUM('3:4'!Z139)</f>
        <v>0</v>
      </c>
      <c r="AA139" s="93">
        <f>SUM('3:4'!AA139)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300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SUM('3:4'!G140)</f>
        <v>0</v>
      </c>
      <c r="H140" s="93">
        <f>SUM('3:4'!H140)</f>
        <v>0</v>
      </c>
      <c r="I140" s="93">
        <f>SUM('3:4'!I140)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45"/>
        <v>0</v>
      </c>
      <c r="N140" s="93">
        <f>SUM('3:4'!N140)</f>
        <v>0</v>
      </c>
      <c r="O140" s="93">
        <f>SUM('3:4'!O140)</f>
        <v>0</v>
      </c>
      <c r="P140" s="93">
        <f>SUM('3:4'!P140)</f>
        <v>0</v>
      </c>
      <c r="Q140" s="93">
        <f>SUM('3:4'!Q140)</f>
        <v>0</v>
      </c>
      <c r="R140" s="93">
        <f>SUM('3:4'!R140)</f>
        <v>0</v>
      </c>
      <c r="S140" s="93">
        <f>SUM('3:4'!S140)</f>
        <v>0</v>
      </c>
      <c r="T140" s="93">
        <f>SUM('3:4'!T140)</f>
        <v>0</v>
      </c>
      <c r="U140" s="93">
        <f>SUM('3:4'!U140)</f>
        <v>0</v>
      </c>
      <c r="V140" s="206">
        <f t="shared" si="46"/>
        <v>0</v>
      </c>
      <c r="W140" s="33" t="str">
        <f t="shared" si="41"/>
        <v/>
      </c>
      <c r="X140" s="93">
        <f>SUM('3:4'!X140)</f>
        <v>0</v>
      </c>
      <c r="Y140" s="93">
        <f>SUM('3:4'!Y140)</f>
        <v>0</v>
      </c>
      <c r="Z140" s="93">
        <f>SUM('3:4'!Z140)</f>
        <v>0</v>
      </c>
      <c r="AA140" s="93">
        <f>SUM('3:4'!AA140)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300"/>
      <c r="B141" s="192" t="s">
        <v>232</v>
      </c>
      <c r="C141" s="16" t="s">
        <v>66</v>
      </c>
      <c r="D141" s="17">
        <v>5.04</v>
      </c>
      <c r="E141" s="17"/>
      <c r="F141" s="6"/>
      <c r="G141" s="93">
        <f>SUM('3:4'!G141)</f>
        <v>0</v>
      </c>
      <c r="H141" s="93">
        <f>SUM('3:4'!H141)</f>
        <v>0</v>
      </c>
      <c r="I141" s="93">
        <f>SUM('3:4'!I141)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45"/>
        <v>0</v>
      </c>
      <c r="N141" s="93">
        <f>SUM('3:4'!N141)</f>
        <v>0</v>
      </c>
      <c r="O141" s="93">
        <f>SUM('3:4'!O141)</f>
        <v>0</v>
      </c>
      <c r="P141" s="93">
        <f>SUM('3:4'!P141)</f>
        <v>0</v>
      </c>
      <c r="Q141" s="93">
        <f>SUM('3:4'!Q141)</f>
        <v>0</v>
      </c>
      <c r="R141" s="93">
        <f>SUM('3:4'!R141)</f>
        <v>0</v>
      </c>
      <c r="S141" s="93">
        <f>SUM('3:4'!S141)</f>
        <v>0</v>
      </c>
      <c r="T141" s="93">
        <f>SUM('3:4'!T141)</f>
        <v>0</v>
      </c>
      <c r="U141" s="93">
        <f>SUM('3:4'!U141)</f>
        <v>0</v>
      </c>
      <c r="V141" s="206">
        <f t="shared" si="46"/>
        <v>0</v>
      </c>
      <c r="W141" s="33" t="str">
        <f t="shared" si="41"/>
        <v/>
      </c>
      <c r="X141" s="93">
        <f>SUM('3:4'!X141)</f>
        <v>0</v>
      </c>
      <c r="Y141" s="93">
        <f>SUM('3:4'!Y141)</f>
        <v>0</v>
      </c>
      <c r="Z141" s="93">
        <f>SUM('3:4'!Z141)</f>
        <v>0</v>
      </c>
      <c r="AA141" s="93">
        <f>SUM('3:4'!AA141)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300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SUM('3:4'!G142)</f>
        <v>0</v>
      </c>
      <c r="H142" s="93">
        <f>SUM('3:4'!H142)</f>
        <v>0</v>
      </c>
      <c r="I142" s="93">
        <f>SUM('3:4'!I142)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45"/>
        <v>0</v>
      </c>
      <c r="N142" s="93">
        <f>SUM('3:4'!N142)</f>
        <v>0</v>
      </c>
      <c r="O142" s="93">
        <f>SUM('3:4'!O142)</f>
        <v>0</v>
      </c>
      <c r="P142" s="93">
        <f>SUM('3:4'!P142)</f>
        <v>0</v>
      </c>
      <c r="Q142" s="93">
        <f>SUM('3:4'!Q142)</f>
        <v>0</v>
      </c>
      <c r="R142" s="93">
        <f>SUM('3:4'!R142)</f>
        <v>0</v>
      </c>
      <c r="S142" s="93">
        <f>SUM('3:4'!S142)</f>
        <v>0</v>
      </c>
      <c r="T142" s="93">
        <f>SUM('3:4'!T142)</f>
        <v>0</v>
      </c>
      <c r="U142" s="93">
        <f>SUM('3:4'!U142)</f>
        <v>0</v>
      </c>
      <c r="V142" s="206">
        <f t="shared" si="46"/>
        <v>0</v>
      </c>
      <c r="W142" s="33" t="str">
        <f t="shared" si="41"/>
        <v/>
      </c>
      <c r="X142" s="93">
        <f>SUM('3:4'!X142)</f>
        <v>0</v>
      </c>
      <c r="Y142" s="93">
        <f>SUM('3:4'!Y142)</f>
        <v>0</v>
      </c>
      <c r="Z142" s="93">
        <f>SUM('3:4'!Z142)</f>
        <v>0</v>
      </c>
      <c r="AA142" s="93">
        <f>SUM('3:4'!AA142)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300">
        <v>30400019</v>
      </c>
      <c r="B143" s="192" t="s">
        <v>439</v>
      </c>
      <c r="C143" s="187" t="s">
        <v>441</v>
      </c>
      <c r="D143" s="17">
        <v>5.04</v>
      </c>
      <c r="E143" s="17"/>
      <c r="F143" s="6"/>
      <c r="G143" s="93">
        <f>SUM('3:4'!G143)</f>
        <v>0</v>
      </c>
      <c r="H143" s="93">
        <f>SUM('3:4'!H143)</f>
        <v>0</v>
      </c>
      <c r="I143" s="93">
        <f>SUM('3:4'!I143)</f>
        <v>0</v>
      </c>
      <c r="J143" s="31"/>
      <c r="K143" s="35">
        <f t="array" ref="K143">IF(ISERROR(G143/L143),"",G143/L143)</f>
        <v>0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300">
        <v>30400020</v>
      </c>
      <c r="B144" s="192" t="s">
        <v>439</v>
      </c>
      <c r="C144" s="187" t="s">
        <v>523</v>
      </c>
      <c r="D144" s="17">
        <v>5.04</v>
      </c>
      <c r="E144" s="17"/>
      <c r="F144" s="6"/>
      <c r="G144" s="93"/>
      <c r="H144" s="93">
        <f>SUM('3:4'!H144)</f>
        <v>0</v>
      </c>
      <c r="I144" s="93"/>
      <c r="J144" s="31"/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6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300">
        <v>30040021</v>
      </c>
      <c r="B145" s="192" t="s">
        <v>439</v>
      </c>
      <c r="C145" s="187" t="s">
        <v>525</v>
      </c>
      <c r="D145" s="17">
        <v>5.04</v>
      </c>
      <c r="E145" s="17"/>
      <c r="F145" s="6"/>
      <c r="G145" s="93"/>
      <c r="H145" s="93">
        <f>SUM('3:4'!H145)</f>
        <v>0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6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300">
        <v>30400022</v>
      </c>
      <c r="B146" s="62" t="s">
        <v>100</v>
      </c>
      <c r="C146" s="16" t="s">
        <v>55</v>
      </c>
      <c r="D146" s="17">
        <v>5.04</v>
      </c>
      <c r="E146" s="17"/>
      <c r="F146" s="6"/>
      <c r="G146" s="93">
        <f>SUM('3:4'!G146)</f>
        <v>922</v>
      </c>
      <c r="H146" s="93">
        <f>SUM('3:4'!H146)</f>
        <v>4646.88</v>
      </c>
      <c r="I146" s="93">
        <f>SUM('3:4'!I146)</f>
        <v>44</v>
      </c>
      <c r="J146" s="31">
        <f t="array" ref="J146">IF(ISERROR(G146/I146),"",G146/I146)</f>
        <v>20.954545454545453</v>
      </c>
      <c r="K146" s="35">
        <f t="array" ref="K146">IF(ISERROR(G146/L146),"",G146/L146)</f>
        <v>41.909090909090907</v>
      </c>
      <c r="L146" s="87">
        <v>22</v>
      </c>
      <c r="M146" s="36">
        <f t="shared" ref="M146" si="47">IF(ISERROR(I146-K146),"",I146-K146)</f>
        <v>2.0909090909090935</v>
      </c>
      <c r="N146" s="93">
        <f>SUM('3:4'!N146)</f>
        <v>0</v>
      </c>
      <c r="O146" s="93">
        <f>SUM('3:4'!O146)</f>
        <v>0</v>
      </c>
      <c r="P146" s="93">
        <f>SUM('3:4'!P146)</f>
        <v>0</v>
      </c>
      <c r="Q146" s="93">
        <f>SUM('3:4'!Q146)</f>
        <v>0</v>
      </c>
      <c r="R146" s="93">
        <f>SUM('3:4'!R146)</f>
        <v>0</v>
      </c>
      <c r="S146" s="93">
        <f>SUM('3:4'!S146)</f>
        <v>0</v>
      </c>
      <c r="T146" s="93">
        <f>SUM('3:4'!T146)</f>
        <v>0</v>
      </c>
      <c r="U146" s="93">
        <f>SUM('3:4'!U146)</f>
        <v>0</v>
      </c>
      <c r="V146" s="206">
        <f t="shared" ref="V146" si="48">SUM(X146:AA146)</f>
        <v>0</v>
      </c>
      <c r="W146" s="33">
        <f t="shared" ref="W146:W151" si="49">IF(ISERROR(V146/G146),"",V146/G146)</f>
        <v>0</v>
      </c>
      <c r="X146" s="93">
        <f>SUM('3:4'!X146)</f>
        <v>0</v>
      </c>
      <c r="Y146" s="93">
        <f>SUM('3:4'!Y146)</f>
        <v>0</v>
      </c>
      <c r="Z146" s="93">
        <f>SUM('3:4'!Z146)</f>
        <v>0</v>
      </c>
      <c r="AA146" s="93">
        <f>SUM('3:4'!AA146)</f>
        <v>0</v>
      </c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725" t="s">
        <v>102</v>
      </c>
      <c r="B147" s="726"/>
      <c r="C147" s="359" t="s">
        <v>71</v>
      </c>
      <c r="D147" s="20"/>
      <c r="E147" s="20"/>
      <c r="F147" s="32"/>
      <c r="G147" s="99">
        <f>SUM(G138:G146)</f>
        <v>1194</v>
      </c>
      <c r="H147" s="99">
        <f>SUM(H138:H146)</f>
        <v>6017.76</v>
      </c>
      <c r="I147" s="99">
        <f>SUM(I138:I146)</f>
        <v>56.5</v>
      </c>
      <c r="J147" s="31">
        <f t="array" ref="J147">IF(ISERROR(G147/I147),"",G147/I147)</f>
        <v>21.13274336283186</v>
      </c>
      <c r="K147" s="30">
        <f>SUM(K138:K146)</f>
        <v>54.272727272727266</v>
      </c>
      <c r="L147" s="98"/>
      <c r="M147" s="89">
        <f>SUM(M138:M146)</f>
        <v>2.2272727272727302</v>
      </c>
      <c r="N147" s="30">
        <f>SUM(N138:N146)</f>
        <v>0</v>
      </c>
      <c r="O147" s="91">
        <f>SUM(O138:O146)</f>
        <v>0</v>
      </c>
      <c r="P147" s="91">
        <f>SUM(P138:P146)</f>
        <v>0</v>
      </c>
      <c r="Q147" s="91">
        <f>SUM(Q138:Q146)</f>
        <v>0</v>
      </c>
      <c r="R147" s="91"/>
      <c r="S147" s="92">
        <f>SUM(S138:S146)</f>
        <v>0</v>
      </c>
      <c r="T147" s="91">
        <f>SUM(T138:T146)</f>
        <v>0</v>
      </c>
      <c r="U147" s="91">
        <f>SUM(U138:U146)</f>
        <v>0</v>
      </c>
      <c r="V147" s="206">
        <f>SUM(V138:V146)</f>
        <v>0</v>
      </c>
      <c r="W147" s="33">
        <f t="shared" si="49"/>
        <v>0</v>
      </c>
      <c r="X147" s="92">
        <f>SUM(X138:X146)</f>
        <v>0</v>
      </c>
      <c r="Y147" s="92">
        <f>SUM(Y138:Y146)</f>
        <v>0</v>
      </c>
      <c r="Z147" s="92">
        <f>SUM(Z138:Z146)</f>
        <v>0</v>
      </c>
      <c r="AA147" s="92">
        <f>SUM(AA138:AA146)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299">
        <v>30700013</v>
      </c>
      <c r="B148" s="64" t="s">
        <v>103</v>
      </c>
      <c r="C148" s="358"/>
      <c r="D148" s="17">
        <v>3.65</v>
      </c>
      <c r="E148" s="17"/>
      <c r="F148" s="53"/>
      <c r="G148" s="93">
        <f>SUM('3:4'!G148)</f>
        <v>0</v>
      </c>
      <c r="H148" s="93">
        <f>SUM('3:4'!H148)</f>
        <v>0</v>
      </c>
      <c r="I148" s="93">
        <f>SUM('3:4'!I148)</f>
        <v>0</v>
      </c>
      <c r="J148" s="31" t="str">
        <f t="array" ref="J148">IF(ISERROR(G148/I148),"",G148/I148)</f>
        <v/>
      </c>
      <c r="K148" s="364">
        <f t="array" ref="K148">IF(ISERROR(G148/L148),"",G148/L148)</f>
        <v>0</v>
      </c>
      <c r="L148" s="87">
        <v>5</v>
      </c>
      <c r="M148" s="36">
        <f t="shared" ref="M148:M151" si="50">IF(ISERROR(I148-K148),"",I148-K148)</f>
        <v>0</v>
      </c>
      <c r="N148" s="93">
        <f>SUM('3:4'!N148)</f>
        <v>0</v>
      </c>
      <c r="O148" s="93">
        <f>SUM('3:4'!O148)</f>
        <v>0</v>
      </c>
      <c r="P148" s="93">
        <f>SUM('3:4'!P148)</f>
        <v>0</v>
      </c>
      <c r="Q148" s="93">
        <f>SUM('3:4'!Q148)</f>
        <v>0</v>
      </c>
      <c r="R148" s="93">
        <f>SUM('3:4'!R148)</f>
        <v>0</v>
      </c>
      <c r="S148" s="93">
        <f>SUM('3:4'!S148)</f>
        <v>0</v>
      </c>
      <c r="T148" s="93">
        <f>SUM('3:4'!T148)</f>
        <v>0</v>
      </c>
      <c r="U148" s="93">
        <f>SUM('3:4'!U148)</f>
        <v>0</v>
      </c>
      <c r="V148" s="206">
        <f t="shared" ref="V148:V151" si="51">SUM(X148:AA148)</f>
        <v>0</v>
      </c>
      <c r="W148" s="33" t="str">
        <f t="shared" si="49"/>
        <v/>
      </c>
      <c r="X148" s="93">
        <f>SUM('3:4'!X148)</f>
        <v>0</v>
      </c>
      <c r="Y148" s="93">
        <f>SUM('3:4'!Y148)</f>
        <v>0</v>
      </c>
      <c r="Z148" s="93">
        <f>SUM('3:4'!Z148)</f>
        <v>0</v>
      </c>
      <c r="AA148" s="93">
        <f>SUM('3:4'!AA148)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99">
        <v>30700014</v>
      </c>
      <c r="B149" s="64" t="s">
        <v>0</v>
      </c>
      <c r="C149" s="358"/>
      <c r="D149" s="17">
        <v>6.58</v>
      </c>
      <c r="E149" s="17"/>
      <c r="F149" s="6"/>
      <c r="G149" s="93">
        <f>SUM('3:4'!G149)</f>
        <v>0</v>
      </c>
      <c r="H149" s="93">
        <f>SUM('3:4'!H149)</f>
        <v>0</v>
      </c>
      <c r="I149" s="93">
        <f>SUM('3:4'!I149)</f>
        <v>0</v>
      </c>
      <c r="J149" s="31" t="str">
        <f t="array" ref="J149">IF(ISERROR(G149/I149),"",G149/I149)</f>
        <v/>
      </c>
      <c r="K149" s="35">
        <f t="array" ref="K149">IF(ISERROR(G149/L149),"",G149/L149)</f>
        <v>0</v>
      </c>
      <c r="L149" s="87">
        <v>5</v>
      </c>
      <c r="M149" s="36">
        <f t="shared" si="50"/>
        <v>0</v>
      </c>
      <c r="N149" s="93">
        <f>SUM('3:4'!N149)</f>
        <v>0</v>
      </c>
      <c r="O149" s="93">
        <f>SUM('3:4'!O149)</f>
        <v>0</v>
      </c>
      <c r="P149" s="93">
        <f>SUM('3:4'!P149)</f>
        <v>0</v>
      </c>
      <c r="Q149" s="93">
        <f>SUM('3:4'!Q149)</f>
        <v>0</v>
      </c>
      <c r="R149" s="93">
        <f>SUM('3:4'!R149)</f>
        <v>0</v>
      </c>
      <c r="S149" s="93">
        <f>SUM('3:4'!S149)</f>
        <v>0</v>
      </c>
      <c r="T149" s="93">
        <f>SUM('3:4'!T149)</f>
        <v>0</v>
      </c>
      <c r="U149" s="93">
        <f>SUM('3:4'!U149)</f>
        <v>0</v>
      </c>
      <c r="V149" s="206">
        <f t="shared" si="51"/>
        <v>0</v>
      </c>
      <c r="W149" s="33" t="str">
        <f t="shared" si="49"/>
        <v/>
      </c>
      <c r="X149" s="93">
        <f>SUM('3:4'!X149)</f>
        <v>0</v>
      </c>
      <c r="Y149" s="93">
        <f>SUM('3:4'!Y149)</f>
        <v>0</v>
      </c>
      <c r="Z149" s="93">
        <f>SUM('3:4'!Z149)</f>
        <v>0</v>
      </c>
      <c r="AA149" s="93">
        <f>SUM('3:4'!AA149)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 ht="19.5" customHeight="1">
      <c r="A150" s="299">
        <v>30700016</v>
      </c>
      <c r="B150" s="64" t="s">
        <v>1</v>
      </c>
      <c r="C150" s="358"/>
      <c r="D150" s="17">
        <v>7.8</v>
      </c>
      <c r="E150" s="17"/>
      <c r="F150" s="6"/>
      <c r="G150" s="93">
        <f>SUM('3:4'!G150)</f>
        <v>0</v>
      </c>
      <c r="H150" s="93">
        <f>SUM('3:4'!H150)</f>
        <v>0</v>
      </c>
      <c r="I150" s="93">
        <f>SUM('3:4'!I150)</f>
        <v>0</v>
      </c>
      <c r="J150" s="31" t="str">
        <f t="array" ref="J150">IF(ISERROR(G150/I150),"",G150/I150)</f>
        <v/>
      </c>
      <c r="K150" s="35">
        <f t="array" ref="K150">IF(ISERROR(G150/L150),"",G150/L150)</f>
        <v>0</v>
      </c>
      <c r="L150" s="87">
        <v>4.5999999999999996</v>
      </c>
      <c r="M150" s="36">
        <f t="shared" si="50"/>
        <v>0</v>
      </c>
      <c r="N150" s="93">
        <f>SUM('3:4'!N150)</f>
        <v>0</v>
      </c>
      <c r="O150" s="93">
        <f>SUM('3:4'!O150)</f>
        <v>0</v>
      </c>
      <c r="P150" s="93">
        <f>SUM('3:4'!P150)</f>
        <v>0</v>
      </c>
      <c r="Q150" s="93">
        <f>SUM('3:4'!Q150)</f>
        <v>0</v>
      </c>
      <c r="R150" s="93">
        <f>SUM('3:4'!R150)</f>
        <v>0</v>
      </c>
      <c r="S150" s="93">
        <f>SUM('3:4'!S150)</f>
        <v>0</v>
      </c>
      <c r="T150" s="93">
        <f>SUM('3:4'!T150)</f>
        <v>0</v>
      </c>
      <c r="U150" s="93">
        <f>SUM('3:4'!U150)</f>
        <v>0</v>
      </c>
      <c r="V150" s="206">
        <f t="shared" si="51"/>
        <v>0</v>
      </c>
      <c r="W150" s="33" t="str">
        <f t="shared" si="49"/>
        <v/>
      </c>
      <c r="X150" s="93">
        <f>SUM('3:4'!X150)</f>
        <v>0</v>
      </c>
      <c r="Y150" s="93">
        <f>SUM('3:4'!Y150)</f>
        <v>0</v>
      </c>
      <c r="Z150" s="93">
        <f>SUM('3:4'!Z150)</f>
        <v>0</v>
      </c>
      <c r="AA150" s="93">
        <f>SUM('3:4'!AA150)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>
      <c r="A151" s="299">
        <v>30700017</v>
      </c>
      <c r="B151" s="64" t="s">
        <v>2</v>
      </c>
      <c r="C151" s="358"/>
      <c r="D151" s="17">
        <v>4.4000000000000004</v>
      </c>
      <c r="E151" s="17"/>
      <c r="F151" s="6"/>
      <c r="G151" s="93">
        <f>SUM('3:4'!G151)</f>
        <v>216</v>
      </c>
      <c r="H151" s="93">
        <f>SUM('3:4'!H151)</f>
        <v>950.40000000000009</v>
      </c>
      <c r="I151" s="93">
        <f>SUM('3:4'!I151)</f>
        <v>60.5</v>
      </c>
      <c r="J151" s="31">
        <f t="array" ref="J151">IF(ISERROR(G151/I151),"",G151/I151)</f>
        <v>3.5702479338842976</v>
      </c>
      <c r="K151" s="35">
        <f t="array" ref="K151">IF(ISERROR(G151/L151),"",G151/L151)</f>
        <v>37.241379310344826</v>
      </c>
      <c r="L151" s="87">
        <v>5.8</v>
      </c>
      <c r="M151" s="36">
        <f t="shared" si="50"/>
        <v>23.258620689655174</v>
      </c>
      <c r="N151" s="93">
        <f>SUM('3:4'!N151)</f>
        <v>0</v>
      </c>
      <c r="O151" s="93">
        <f>SUM('3:4'!O151)</f>
        <v>0</v>
      </c>
      <c r="P151" s="93">
        <f>SUM('3:4'!P151)</f>
        <v>0</v>
      </c>
      <c r="Q151" s="93">
        <f>SUM('3:4'!Q151)</f>
        <v>0</v>
      </c>
      <c r="R151" s="93">
        <f>SUM('3:4'!R151)</f>
        <v>0</v>
      </c>
      <c r="S151" s="93">
        <f>SUM('3:4'!S151)</f>
        <v>0</v>
      </c>
      <c r="T151" s="93">
        <f>SUM('3:4'!T151)</f>
        <v>0</v>
      </c>
      <c r="U151" s="93">
        <f>SUM('3:4'!U151)</f>
        <v>0</v>
      </c>
      <c r="V151" s="206">
        <f t="shared" si="51"/>
        <v>0</v>
      </c>
      <c r="W151" s="33">
        <f t="shared" si="49"/>
        <v>0</v>
      </c>
      <c r="X151" s="93">
        <f>SUM('3:4'!X151)</f>
        <v>0</v>
      </c>
      <c r="Y151" s="93">
        <f>SUM('3:4'!Y151)</f>
        <v>0</v>
      </c>
      <c r="Z151" s="93">
        <f>SUM('3:4'!Z151)</f>
        <v>0</v>
      </c>
      <c r="AA151" s="93">
        <f>SUM('3:4'!AA151)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99">
        <v>30700001</v>
      </c>
      <c r="B152" s="191" t="s">
        <v>359</v>
      </c>
      <c r="C152" s="188"/>
      <c r="D152" s="17"/>
      <c r="E152" s="17"/>
      <c r="F152" s="6"/>
      <c r="G152" s="93">
        <f>SUM('3:4'!G152)</f>
        <v>0</v>
      </c>
      <c r="H152" s="93">
        <f>SUM('3:4'!H152)</f>
        <v>0</v>
      </c>
      <c r="I152" s="93">
        <f>SUM('3:4'!I152)</f>
        <v>0</v>
      </c>
      <c r="J152" s="31"/>
      <c r="K152" s="35"/>
      <c r="L152" s="87">
        <v>6</v>
      </c>
      <c r="M152" s="36"/>
      <c r="N152" s="93">
        <f>SUM('3:4'!N152)</f>
        <v>0</v>
      </c>
      <c r="O152" s="93">
        <f>SUM('3:4'!O152)</f>
        <v>0</v>
      </c>
      <c r="P152" s="93">
        <f>SUM('3:4'!P152)</f>
        <v>0</v>
      </c>
      <c r="Q152" s="93">
        <f>SUM('3:4'!Q152)</f>
        <v>0</v>
      </c>
      <c r="R152" s="93">
        <f>SUM('3:4'!R152)</f>
        <v>0</v>
      </c>
      <c r="S152" s="93">
        <f>SUM('3:4'!S152)</f>
        <v>0</v>
      </c>
      <c r="T152" s="93">
        <f>SUM('3:4'!T152)</f>
        <v>0</v>
      </c>
      <c r="U152" s="93">
        <f>SUM('3:4'!U152)</f>
        <v>0</v>
      </c>
      <c r="V152" s="206"/>
      <c r="W152" s="33"/>
      <c r="X152" s="93">
        <f>SUM('3:4'!X152)</f>
        <v>0</v>
      </c>
      <c r="Y152" s="93">
        <f>SUM('3:4'!Y152)</f>
        <v>0</v>
      </c>
      <c r="Z152" s="93">
        <f>SUM('3:4'!Z152)</f>
        <v>0</v>
      </c>
      <c r="AA152" s="93">
        <f>SUM('3:4'!AA152)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305"/>
      <c r="B153" s="281" t="s">
        <v>239</v>
      </c>
      <c r="C153" s="358" t="s">
        <v>53</v>
      </c>
      <c r="D153" s="17">
        <v>6.04</v>
      </c>
      <c r="E153" s="17"/>
      <c r="F153" s="6"/>
      <c r="G153" s="93">
        <f>SUM('3:4'!G153)</f>
        <v>0</v>
      </c>
      <c r="H153" s="93">
        <f>SUM('3:4'!H153)</f>
        <v>0</v>
      </c>
      <c r="I153" s="93">
        <f>SUM('3:4'!I153)</f>
        <v>0</v>
      </c>
      <c r="J153" s="31" t="str">
        <f t="array" ref="J153">IF(ISERROR(G153/I153),"",G153/I153)</f>
        <v/>
      </c>
      <c r="K153" s="35">
        <f t="array" ref="K153">IF(ISERROR(G153/L153),"",G153/L153)</f>
        <v>0</v>
      </c>
      <c r="L153" s="87">
        <v>6</v>
      </c>
      <c r="M153" s="36">
        <f t="shared" ref="M153:M154" si="52">IF(ISERROR(I153-K153),"",I153-K153)</f>
        <v>0</v>
      </c>
      <c r="N153" s="93">
        <f>SUM('3:4'!N153)</f>
        <v>0</v>
      </c>
      <c r="O153" s="93">
        <f>SUM('3:4'!O153)</f>
        <v>0</v>
      </c>
      <c r="P153" s="93">
        <f>SUM('3:4'!P153)</f>
        <v>0</v>
      </c>
      <c r="Q153" s="93">
        <f>SUM('3:4'!Q153)</f>
        <v>0</v>
      </c>
      <c r="R153" s="93">
        <f>SUM('3:4'!R153)</f>
        <v>0</v>
      </c>
      <c r="S153" s="93">
        <f>SUM('3:4'!S153)</f>
        <v>0</v>
      </c>
      <c r="T153" s="93">
        <f>SUM('3:4'!T153)</f>
        <v>0</v>
      </c>
      <c r="U153" s="93">
        <f>SUM('3:4'!U153)</f>
        <v>0</v>
      </c>
      <c r="V153" s="206">
        <f t="shared" ref="V153:V154" si="53">SUM(X153:AA153)</f>
        <v>0</v>
      </c>
      <c r="W153" s="33" t="str">
        <f t="shared" ref="W153:W154" si="54">IF(ISERROR(V153/G153),"",V153/G153)</f>
        <v/>
      </c>
      <c r="X153" s="93">
        <f>SUM('3:4'!X153)</f>
        <v>0</v>
      </c>
      <c r="Y153" s="93">
        <f>SUM('3:4'!Y153)</f>
        <v>0</v>
      </c>
      <c r="Z153" s="93">
        <f>SUM('3:4'!Z153)</f>
        <v>0</v>
      </c>
      <c r="AA153" s="93">
        <f>SUM('3:4'!AA153)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305">
        <v>30700019</v>
      </c>
      <c r="B154" s="66" t="s">
        <v>104</v>
      </c>
      <c r="C154" s="358" t="s">
        <v>60</v>
      </c>
      <c r="D154" s="17">
        <v>6.04</v>
      </c>
      <c r="E154" s="17"/>
      <c r="F154" s="6"/>
      <c r="G154" s="93">
        <f>SUM('3:4'!G154)</f>
        <v>0</v>
      </c>
      <c r="H154" s="93">
        <f>SUM('3:4'!H154)</f>
        <v>0</v>
      </c>
      <c r="I154" s="93">
        <f>SUM('3:4'!I154)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 t="shared" si="52"/>
        <v>0</v>
      </c>
      <c r="N154" s="93">
        <f>SUM('3:4'!N154)</f>
        <v>0</v>
      </c>
      <c r="O154" s="93">
        <f>SUM('3:4'!O154)</f>
        <v>0</v>
      </c>
      <c r="P154" s="93">
        <f>SUM('3:4'!P154)</f>
        <v>0</v>
      </c>
      <c r="Q154" s="93">
        <f>SUM('3:4'!Q154)</f>
        <v>0</v>
      </c>
      <c r="R154" s="93">
        <f>SUM('3:4'!R154)</f>
        <v>0</v>
      </c>
      <c r="S154" s="93">
        <f>SUM('3:4'!S154)</f>
        <v>0</v>
      </c>
      <c r="T154" s="93">
        <f>SUM('3:4'!T154)</f>
        <v>0</v>
      </c>
      <c r="U154" s="93">
        <f>SUM('3:4'!U154)</f>
        <v>0</v>
      </c>
      <c r="V154" s="206">
        <f t="shared" si="53"/>
        <v>0</v>
      </c>
      <c r="W154" s="33" t="str">
        <f t="shared" si="54"/>
        <v/>
      </c>
      <c r="X154" s="93">
        <f>SUM('3:4'!X154)</f>
        <v>0</v>
      </c>
      <c r="Y154" s="93">
        <f>SUM('3:4'!Y154)</f>
        <v>0</v>
      </c>
      <c r="Z154" s="93">
        <f>SUM('3:4'!Z154)</f>
        <v>0</v>
      </c>
      <c r="AA154" s="93">
        <f>SUM('3:4'!AA154)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305">
        <v>30601015</v>
      </c>
      <c r="B155" s="281" t="s">
        <v>443</v>
      </c>
      <c r="C155" s="358" t="s">
        <v>53</v>
      </c>
      <c r="D155" s="17">
        <v>6</v>
      </c>
      <c r="E155" s="17"/>
      <c r="F155" s="6"/>
      <c r="G155" s="93">
        <f>SUM('3:4'!G155)</f>
        <v>0</v>
      </c>
      <c r="H155" s="93">
        <f>SUM('3:4'!H155)</f>
        <v>0</v>
      </c>
      <c r="I155" s="93">
        <f>SUM('3:4'!I155)</f>
        <v>0</v>
      </c>
      <c r="J155" s="31"/>
      <c r="K155" s="35"/>
      <c r="L155" s="87"/>
      <c r="M155" s="36"/>
      <c r="N155" s="93"/>
      <c r="O155" s="93"/>
      <c r="P155" s="93"/>
      <c r="Q155" s="93"/>
      <c r="R155" s="93"/>
      <c r="S155" s="93"/>
      <c r="T155" s="93"/>
      <c r="U155" s="93"/>
      <c r="V155" s="206"/>
      <c r="W155" s="33"/>
      <c r="X155" s="93"/>
      <c r="Y155" s="93"/>
      <c r="Z155" s="93"/>
      <c r="AA155" s="93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305">
        <v>30101016</v>
      </c>
      <c r="B156" s="281" t="s">
        <v>443</v>
      </c>
      <c r="C156" s="358" t="s">
        <v>60</v>
      </c>
      <c r="D156" s="17">
        <v>6</v>
      </c>
      <c r="E156" s="17"/>
      <c r="F156" s="6"/>
      <c r="G156" s="93">
        <f>SUM('3:4'!G156)</f>
        <v>0</v>
      </c>
      <c r="H156" s="93">
        <f>SUM('3:4'!H156)</f>
        <v>0</v>
      </c>
      <c r="I156" s="93"/>
      <c r="J156" s="31"/>
      <c r="K156" s="35"/>
      <c r="L156" s="87">
        <v>6</v>
      </c>
      <c r="M156" s="36"/>
      <c r="N156" s="93"/>
      <c r="O156" s="93"/>
      <c r="P156" s="93"/>
      <c r="Q156" s="93"/>
      <c r="R156" s="93"/>
      <c r="S156" s="93"/>
      <c r="T156" s="93"/>
      <c r="U156" s="93"/>
      <c r="V156" s="206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299">
        <v>30700018</v>
      </c>
      <c r="B157" s="61" t="s">
        <v>159</v>
      </c>
      <c r="C157" s="16"/>
      <c r="D157" s="17">
        <v>7.3</v>
      </c>
      <c r="E157" s="17"/>
      <c r="F157" s="6"/>
      <c r="G157" s="93">
        <f>SUM('3:4'!G157)</f>
        <v>0</v>
      </c>
      <c r="H157" s="93">
        <f>SUM('3:4'!H157)</f>
        <v>0</v>
      </c>
      <c r="I157" s="93">
        <f>SUM('3:4'!I157)</f>
        <v>0</v>
      </c>
      <c r="J157" s="31" t="str">
        <f t="array" ref="J157">IF(ISERROR(G157/I157),"",G157/I157)</f>
        <v/>
      </c>
      <c r="K157" s="35" t="str">
        <f t="array" ref="K157">IF(ISERROR(G157/L157),"",G157/L157)</f>
        <v/>
      </c>
      <c r="L157" s="87"/>
      <c r="M157" s="36" t="str">
        <f t="shared" ref="M157:M158" si="55">IF(ISERROR(I157-K157),"",I157-K157)</f>
        <v/>
      </c>
      <c r="N157" s="93">
        <f>SUM('3:4'!N157)</f>
        <v>0</v>
      </c>
      <c r="O157" s="93">
        <f>SUM('3:4'!O157)</f>
        <v>0</v>
      </c>
      <c r="P157" s="93">
        <f>SUM('3:4'!P157)</f>
        <v>0</v>
      </c>
      <c r="Q157" s="93">
        <f>SUM('3:4'!Q157)</f>
        <v>0</v>
      </c>
      <c r="R157" s="93">
        <f>SUM('3:4'!R157)</f>
        <v>0</v>
      </c>
      <c r="S157" s="93">
        <f>SUM('3:4'!S157)</f>
        <v>0</v>
      </c>
      <c r="T157" s="93">
        <f>SUM('3:4'!T157)</f>
        <v>0</v>
      </c>
      <c r="U157" s="93">
        <f>SUM('3:4'!U157)</f>
        <v>0</v>
      </c>
      <c r="V157" s="206">
        <f t="shared" ref="V157:V158" si="56">SUM(X157:AA157)</f>
        <v>0</v>
      </c>
      <c r="W157" s="33" t="str">
        <f t="shared" ref="W157:W158" si="57">IF(ISERROR(V157/G157),"",V157/G157)</f>
        <v/>
      </c>
      <c r="X157" s="93">
        <f>SUM('3:4'!X157)</f>
        <v>0</v>
      </c>
      <c r="Y157" s="93">
        <f>SUM('3:4'!Y157)</f>
        <v>0</v>
      </c>
      <c r="Z157" s="93">
        <f>SUM('3:4'!Z157)</f>
        <v>0</v>
      </c>
      <c r="AA157" s="93">
        <f>SUM('3:4'!AA157)</f>
        <v>0</v>
      </c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99">
        <v>30700010</v>
      </c>
      <c r="B158" s="61" t="s">
        <v>105</v>
      </c>
      <c r="C158" s="16"/>
      <c r="D158" s="17">
        <f>78*120/1000</f>
        <v>9.36</v>
      </c>
      <c r="E158" s="17"/>
      <c r="F158" s="6"/>
      <c r="G158" s="93">
        <f>SUM('3:4'!G158)</f>
        <v>0</v>
      </c>
      <c r="H158" s="93">
        <f>SUM('3:4'!H158)</f>
        <v>0</v>
      </c>
      <c r="I158" s="93">
        <f>SUM('3:4'!I158)</f>
        <v>0</v>
      </c>
      <c r="J158" s="31" t="str">
        <f t="array" ref="J158">IF(ISERROR(G158/I158),"",G158/I158)</f>
        <v/>
      </c>
      <c r="K158" s="35">
        <f t="array" ref="K158">IF(ISERROR(G158/L158),"",G158/L158)</f>
        <v>0</v>
      </c>
      <c r="L158" s="87">
        <v>5.5</v>
      </c>
      <c r="M158" s="36">
        <f t="shared" si="55"/>
        <v>0</v>
      </c>
      <c r="N158" s="93">
        <f>SUM('3:4'!N158)</f>
        <v>0</v>
      </c>
      <c r="O158" s="93">
        <f>SUM('3:4'!O158)</f>
        <v>0</v>
      </c>
      <c r="P158" s="93">
        <f>SUM('3:4'!P158)</f>
        <v>0</v>
      </c>
      <c r="Q158" s="93">
        <f>SUM('3:4'!Q158)</f>
        <v>0</v>
      </c>
      <c r="R158" s="93">
        <f>SUM('3:4'!R158)</f>
        <v>0</v>
      </c>
      <c r="S158" s="93">
        <f>SUM('3:4'!S158)</f>
        <v>0</v>
      </c>
      <c r="T158" s="93">
        <f>SUM('3:4'!T158)</f>
        <v>0</v>
      </c>
      <c r="U158" s="93">
        <f>SUM('3:4'!U158)</f>
        <v>0</v>
      </c>
      <c r="V158" s="206">
        <f t="shared" si="56"/>
        <v>0</v>
      </c>
      <c r="W158" s="33" t="str">
        <f t="shared" si="57"/>
        <v/>
      </c>
      <c r="X158" s="93">
        <f>SUM('3:4'!X158)</f>
        <v>0</v>
      </c>
      <c r="Y158" s="93">
        <f>SUM('3:4'!Y158)</f>
        <v>0</v>
      </c>
      <c r="Z158" s="93">
        <f>SUM('3:4'!Z158)</f>
        <v>0</v>
      </c>
      <c r="AA158" s="93">
        <f>SUM('3:4'!AA158)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99">
        <v>30700015</v>
      </c>
      <c r="B159" s="360" t="s">
        <v>159</v>
      </c>
      <c r="C159" s="16"/>
      <c r="D159" s="17">
        <v>4.5</v>
      </c>
      <c r="E159" s="17"/>
      <c r="F159" s="6"/>
      <c r="G159" s="93">
        <f>SUM('3:4'!G159)</f>
        <v>0</v>
      </c>
      <c r="H159" s="93">
        <f>SUM('3:4'!H159)</f>
        <v>0</v>
      </c>
      <c r="I159" s="93">
        <f>SUM('3:4'!I159)</f>
        <v>0</v>
      </c>
      <c r="J159" s="31"/>
      <c r="K159" s="35">
        <f t="array" ref="K159">IF(ISERROR(G159/L159),"",G159/L159)</f>
        <v>0</v>
      </c>
      <c r="L159" s="87">
        <v>6.5</v>
      </c>
      <c r="M159" s="36">
        <f>IF(ISERROR(I159-K159),"",I159-K159)</f>
        <v>0</v>
      </c>
      <c r="N159" s="93">
        <f>SUM('3:4'!N159)</f>
        <v>0</v>
      </c>
      <c r="O159" s="93">
        <f>SUM('3:4'!O159)</f>
        <v>0</v>
      </c>
      <c r="P159" s="93">
        <f>SUM('3:4'!P159)</f>
        <v>0</v>
      </c>
      <c r="Q159" s="93">
        <f>SUM('3:4'!Q159)</f>
        <v>0</v>
      </c>
      <c r="R159" s="93">
        <f>SUM('3:4'!R159)</f>
        <v>0</v>
      </c>
      <c r="S159" s="93">
        <f>SUM('3:4'!S159)</f>
        <v>0</v>
      </c>
      <c r="T159" s="93">
        <f>SUM('3:4'!T159)</f>
        <v>0</v>
      </c>
      <c r="U159" s="93">
        <f>SUM('3:4'!U159)</f>
        <v>0</v>
      </c>
      <c r="V159" s="206"/>
      <c r="W159" s="33"/>
      <c r="X159" s="93">
        <f>SUM('3:4'!X159)</f>
        <v>0</v>
      </c>
      <c r="Y159" s="93">
        <f>SUM('3:4'!Y159)</f>
        <v>0</v>
      </c>
      <c r="Z159" s="93">
        <f>SUM('3:4'!Z159)</f>
        <v>0</v>
      </c>
      <c r="AA159" s="93">
        <f>SUM('3:4'!AA159)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99">
        <v>30700012</v>
      </c>
      <c r="B160" s="360" t="s">
        <v>160</v>
      </c>
      <c r="C160" s="16"/>
      <c r="D160" s="17">
        <v>4.5</v>
      </c>
      <c r="E160" s="17"/>
      <c r="F160" s="6"/>
      <c r="G160" s="93">
        <f>SUM('3:4'!G160)</f>
        <v>0</v>
      </c>
      <c r="H160" s="93">
        <f>SUM('3:4'!H160)</f>
        <v>0</v>
      </c>
      <c r="I160" s="93">
        <f>SUM('3:4'!I160)</f>
        <v>0</v>
      </c>
      <c r="J160" s="31"/>
      <c r="K160" s="35">
        <f t="array" ref="K160">IF(ISERROR(G160/L160),"",G160/L160)</f>
        <v>0</v>
      </c>
      <c r="L160" s="87">
        <v>7.5</v>
      </c>
      <c r="M160" s="36">
        <f>IF(ISERROR(I160-K160),"",I160-K160)</f>
        <v>0</v>
      </c>
      <c r="N160" s="93">
        <f>SUM('3:4'!N160)</f>
        <v>0</v>
      </c>
      <c r="O160" s="93">
        <f>SUM('3:4'!O160)</f>
        <v>0</v>
      </c>
      <c r="P160" s="93">
        <f>SUM('3:4'!P160)</f>
        <v>0</v>
      </c>
      <c r="Q160" s="93">
        <f>SUM('3:4'!Q160)</f>
        <v>0</v>
      </c>
      <c r="R160" s="93">
        <f>SUM('3:4'!R160)</f>
        <v>0</v>
      </c>
      <c r="S160" s="93">
        <f>SUM('3:4'!S160)</f>
        <v>0</v>
      </c>
      <c r="T160" s="93">
        <f>SUM('3:4'!T160)</f>
        <v>0</v>
      </c>
      <c r="U160" s="93">
        <f>SUM('3:4'!U160)</f>
        <v>0</v>
      </c>
      <c r="V160" s="206"/>
      <c r="W160" s="33"/>
      <c r="X160" s="93">
        <f>SUM('3:4'!X160)</f>
        <v>0</v>
      </c>
      <c r="Y160" s="93">
        <f>SUM('3:4'!Y160)</f>
        <v>0</v>
      </c>
      <c r="Z160" s="93">
        <f>SUM('3:4'!Z160)</f>
        <v>0</v>
      </c>
      <c r="AA160" s="93">
        <f>SUM('3:4'!AA160)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306">
        <v>30101063</v>
      </c>
      <c r="B161" s="254" t="s">
        <v>436</v>
      </c>
      <c r="C161" s="16"/>
      <c r="D161" s="17">
        <v>5.03</v>
      </c>
      <c r="E161" s="17"/>
      <c r="F161" s="6"/>
      <c r="G161" s="93">
        <f>SUM('3:4'!G161)</f>
        <v>0</v>
      </c>
      <c r="H161" s="93">
        <f>SUM('3:4'!H161)</f>
        <v>0</v>
      </c>
      <c r="I161" s="93">
        <f>SUM('3:4'!I161)</f>
        <v>0</v>
      </c>
      <c r="J161" s="31"/>
      <c r="K161" s="35"/>
      <c r="L161" s="87"/>
      <c r="M161" s="36"/>
      <c r="N161" s="93"/>
      <c r="O161" s="93"/>
      <c r="P161" s="93"/>
      <c r="Q161" s="93"/>
      <c r="R161" s="93"/>
      <c r="S161" s="93"/>
      <c r="T161" s="93"/>
      <c r="U161" s="93"/>
      <c r="V161" s="206"/>
      <c r="W161" s="33"/>
      <c r="X161" s="93"/>
      <c r="Y161" s="93"/>
      <c r="Z161" s="93"/>
      <c r="AA161" s="93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725" t="s">
        <v>106</v>
      </c>
      <c r="B162" s="726"/>
      <c r="C162" s="359" t="s">
        <v>71</v>
      </c>
      <c r="D162" s="20"/>
      <c r="E162" s="20"/>
      <c r="F162" s="32"/>
      <c r="G162" s="94">
        <f>SUM(G148:G161)</f>
        <v>216</v>
      </c>
      <c r="H162" s="30">
        <f>SUM(H148:H161)</f>
        <v>950.40000000000009</v>
      </c>
      <c r="I162" s="30">
        <f>SUM(I148:I161)</f>
        <v>60.5</v>
      </c>
      <c r="J162" s="31">
        <f t="array" ref="J162">IF(ISERROR(G162/I162),"",G162/I162)</f>
        <v>3.5702479338842976</v>
      </c>
      <c r="K162" s="30">
        <f>SUM(K148:K158)</f>
        <v>37.241379310344826</v>
      </c>
      <c r="L162" s="98"/>
      <c r="M162" s="89">
        <f t="shared" ref="M162:V162" si="58">SUM(M148:M158)</f>
        <v>23.258620689655174</v>
      </c>
      <c r="N162" s="20">
        <f t="shared" si="58"/>
        <v>0</v>
      </c>
      <c r="O162" s="91">
        <f t="shared" si="58"/>
        <v>0</v>
      </c>
      <c r="P162" s="91">
        <f t="shared" si="58"/>
        <v>0</v>
      </c>
      <c r="Q162" s="91">
        <f t="shared" si="58"/>
        <v>0</v>
      </c>
      <c r="R162" s="91">
        <f t="shared" si="58"/>
        <v>0</v>
      </c>
      <c r="S162" s="92">
        <f t="shared" si="58"/>
        <v>0</v>
      </c>
      <c r="T162" s="91">
        <f t="shared" si="58"/>
        <v>0</v>
      </c>
      <c r="U162" s="91">
        <f t="shared" si="58"/>
        <v>0</v>
      </c>
      <c r="V162" s="206">
        <f t="shared" si="58"/>
        <v>0</v>
      </c>
      <c r="W162" s="33">
        <f t="shared" ref="W162" si="59">IF(ISERROR(V162/G162),"",V162/G162)</f>
        <v>0</v>
      </c>
      <c r="X162" s="92">
        <f>SUM(X148:X158)</f>
        <v>0</v>
      </c>
      <c r="Y162" s="92">
        <f>SUM(Y148:Y158)</f>
        <v>0</v>
      </c>
      <c r="Z162" s="92">
        <f>SUM(Z148:Z158)</f>
        <v>0</v>
      </c>
      <c r="AA162" s="92">
        <f>SUM(AA148:AA158)</f>
        <v>0</v>
      </c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736" t="s">
        <v>108</v>
      </c>
      <c r="B163" s="737"/>
      <c r="C163" s="737"/>
      <c r="D163" s="737"/>
      <c r="E163" s="737"/>
      <c r="F163" s="738"/>
      <c r="G163" s="193">
        <f>SUM(G28,G86,G121,G137,G147,G162)</f>
        <v>1966</v>
      </c>
      <c r="H163" s="193">
        <f>SUM(H28,H86,H121,H137,H147,H162)</f>
        <v>9758.7199999999993</v>
      </c>
      <c r="I163" s="193">
        <f>SUM(I28,I86,I121,I137,I147,I162)</f>
        <v>144.5</v>
      </c>
      <c r="J163" s="52">
        <f t="array" ref="J163">IF(ISERROR(G163/I163),"",G163/I163)</f>
        <v>13.605536332179931</v>
      </c>
      <c r="K163" s="193">
        <f>SUM(K28,K86,K121,K137,K147,K162)</f>
        <v>118.70227862608284</v>
      </c>
      <c r="L163" s="52">
        <f>IF(ISERROR(G163/K163),"",G163/K163)</f>
        <v>16.562445327549124</v>
      </c>
      <c r="M163" s="193">
        <f t="shared" ref="M163:AA163" si="60">SUM(M28,M86,M121,M137,M147,M162)</f>
        <v>25.631054707250485</v>
      </c>
      <c r="N163" s="193">
        <f t="shared" si="60"/>
        <v>0</v>
      </c>
      <c r="O163" s="193">
        <f t="shared" si="60"/>
        <v>0</v>
      </c>
      <c r="P163" s="193">
        <f t="shared" si="60"/>
        <v>0</v>
      </c>
      <c r="Q163" s="193">
        <f t="shared" si="60"/>
        <v>0</v>
      </c>
      <c r="R163" s="193">
        <f t="shared" si="60"/>
        <v>0</v>
      </c>
      <c r="S163" s="193">
        <f t="shared" si="60"/>
        <v>0</v>
      </c>
      <c r="T163" s="193">
        <f t="shared" si="60"/>
        <v>0</v>
      </c>
      <c r="U163" s="193">
        <f t="shared" si="60"/>
        <v>0</v>
      </c>
      <c r="V163" s="193">
        <f t="shared" si="60"/>
        <v>0</v>
      </c>
      <c r="W163" s="193">
        <f t="shared" si="60"/>
        <v>0</v>
      </c>
      <c r="X163" s="193">
        <f t="shared" si="60"/>
        <v>0</v>
      </c>
      <c r="Y163" s="193">
        <f t="shared" si="60"/>
        <v>0</v>
      </c>
      <c r="Z163" s="193">
        <f t="shared" si="60"/>
        <v>0</v>
      </c>
      <c r="AA163" s="193">
        <f t="shared" si="60"/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 ht="15.75" customHeight="1">
      <c r="A164" s="635" t="s">
        <v>503</v>
      </c>
      <c r="B164" s="362" t="s">
        <v>110</v>
      </c>
      <c r="C164" s="739" t="s">
        <v>111</v>
      </c>
      <c r="D164" s="739"/>
      <c r="E164" s="718" t="s">
        <v>112</v>
      </c>
      <c r="F164" s="718"/>
      <c r="G164" s="729" t="s">
        <v>113</v>
      </c>
      <c r="H164" s="729"/>
      <c r="I164" s="718" t="s">
        <v>114</v>
      </c>
      <c r="J164" s="718"/>
      <c r="K164" s="718" t="s">
        <v>36</v>
      </c>
      <c r="L164" s="718"/>
      <c r="M164" s="718" t="s">
        <v>115</v>
      </c>
      <c r="N164" s="718"/>
      <c r="O164" s="718" t="s">
        <v>116</v>
      </c>
      <c r="P164" s="729" t="s">
        <v>117</v>
      </c>
      <c r="Q164" s="729"/>
      <c r="R164" s="729" t="s">
        <v>36</v>
      </c>
      <c r="S164" s="729"/>
      <c r="T164" s="729" t="s">
        <v>118</v>
      </c>
      <c r="U164" s="729"/>
      <c r="V164" s="729" t="s">
        <v>119</v>
      </c>
      <c r="W164" s="729"/>
      <c r="X164" s="729" t="s">
        <v>36</v>
      </c>
      <c r="Y164" s="729"/>
      <c r="Z164" s="729" t="s">
        <v>118</v>
      </c>
      <c r="AA164" s="729"/>
      <c r="AE164" s="14"/>
      <c r="AF164" s="14"/>
      <c r="AG164" s="3"/>
      <c r="AH164" s="368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21"/>
      <c r="AV164" s="21"/>
      <c r="AW164" s="21"/>
      <c r="AX164" s="21"/>
      <c r="AY164" s="21"/>
      <c r="AZ164" s="21"/>
      <c r="BA164" s="21"/>
    </row>
    <row r="165" spans="1:106" ht="13.5" customHeight="1">
      <c r="A165" s="636"/>
      <c r="B165" s="362" t="s">
        <v>120</v>
      </c>
      <c r="C165" s="740">
        <f>SUM('3:4'!C165)</f>
        <v>2</v>
      </c>
      <c r="D165" s="741"/>
      <c r="E165" s="742">
        <f>D165*11</f>
        <v>0</v>
      </c>
      <c r="F165" s="742"/>
      <c r="G165" s="740">
        <f>SUM('3:4'!G165)</f>
        <v>2</v>
      </c>
      <c r="H165" s="741"/>
      <c r="I165" s="718">
        <f>G165*11</f>
        <v>22</v>
      </c>
      <c r="J165" s="718"/>
      <c r="K165" s="718">
        <f>E165-I165</f>
        <v>-22</v>
      </c>
      <c r="L165" s="718"/>
      <c r="M165" s="743" t="str">
        <f>IF(ISERROR(K165/E165),"",K165/E165)</f>
        <v/>
      </c>
      <c r="N165" s="743"/>
      <c r="O165" s="718"/>
      <c r="P165" s="729" t="s">
        <v>70</v>
      </c>
      <c r="Q165" s="729"/>
      <c r="R165" s="744">
        <f>SUM(O28:U28)</f>
        <v>0</v>
      </c>
      <c r="S165" s="744"/>
      <c r="T165" s="745" t="str">
        <f t="array" ref="T165">IF(ISERROR(R165/R172),"",R165/R172)</f>
        <v/>
      </c>
      <c r="U165" s="745"/>
      <c r="V165" s="729" t="s">
        <v>41</v>
      </c>
      <c r="W165" s="729"/>
      <c r="X165" s="744">
        <f>SUM(P27,P85,P120,P136,P146,P160)</f>
        <v>0</v>
      </c>
      <c r="Y165" s="744"/>
      <c r="Z165" s="745" t="str">
        <f t="array" ref="Z165">IF(ISERROR(X165/X172),"",X165/X172)</f>
        <v/>
      </c>
      <c r="AA165" s="745"/>
      <c r="AE165" s="14"/>
      <c r="AF165" s="14"/>
      <c r="AG165" s="3"/>
      <c r="AH165" s="370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>
      <c r="A166" s="636"/>
      <c r="B166" s="362" t="s">
        <v>121</v>
      </c>
      <c r="C166" s="740">
        <f>SUM('3:4'!C166)</f>
        <v>2</v>
      </c>
      <c r="D166" s="741"/>
      <c r="E166" s="742">
        <f>D166*11</f>
        <v>0</v>
      </c>
      <c r="F166" s="742"/>
      <c r="G166" s="740">
        <f>SUM('3:4'!G166)</f>
        <v>2</v>
      </c>
      <c r="H166" s="741"/>
      <c r="I166" s="718">
        <f>G166*11</f>
        <v>22</v>
      </c>
      <c r="J166" s="718"/>
      <c r="K166" s="718">
        <f>E166-I166</f>
        <v>-22</v>
      </c>
      <c r="L166" s="718"/>
      <c r="M166" s="743" t="str">
        <f>IF(ISERROR(K166/E166),"",K166/E166)</f>
        <v/>
      </c>
      <c r="N166" s="743"/>
      <c r="O166" s="718"/>
      <c r="P166" s="729" t="s">
        <v>86</v>
      </c>
      <c r="Q166" s="729"/>
      <c r="R166" s="744">
        <f>SUM(O86:U86)</f>
        <v>0</v>
      </c>
      <c r="S166" s="744"/>
      <c r="T166" s="745" t="str">
        <f>IF(ISERROR(R166/R172),"",R166/R172)</f>
        <v/>
      </c>
      <c r="U166" s="745"/>
      <c r="V166" s="729" t="s">
        <v>42</v>
      </c>
      <c r="W166" s="729"/>
      <c r="X166" s="744">
        <f>SUM(P28,P86,P121,P137,P147,P162)</f>
        <v>0</v>
      </c>
      <c r="Y166" s="744"/>
      <c r="Z166" s="745" t="str">
        <f>IF(ISERROR(X166/X172),"",X166/X172)</f>
        <v/>
      </c>
      <c r="AA166" s="745"/>
      <c r="AE166" s="14"/>
      <c r="AF166" s="14"/>
      <c r="AG166" s="3"/>
      <c r="AH166" s="370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636"/>
      <c r="B167" s="362" t="s">
        <v>122</v>
      </c>
      <c r="C167" s="740">
        <f>SUM('3:4'!C167)</f>
        <v>2</v>
      </c>
      <c r="D167" s="741"/>
      <c r="E167" s="742">
        <f>D167*11</f>
        <v>0</v>
      </c>
      <c r="F167" s="742"/>
      <c r="G167" s="740">
        <f>SUM('3:4'!G167)</f>
        <v>2</v>
      </c>
      <c r="H167" s="741"/>
      <c r="I167" s="718">
        <f>G167*8</f>
        <v>16</v>
      </c>
      <c r="J167" s="718"/>
      <c r="K167" s="718">
        <f>E167-I167</f>
        <v>-16</v>
      </c>
      <c r="L167" s="718"/>
      <c r="M167" s="743" t="str">
        <f>IF(ISERROR(K167/E167),"",K167/E167)</f>
        <v/>
      </c>
      <c r="N167" s="743"/>
      <c r="O167" s="718"/>
      <c r="P167" s="729" t="s">
        <v>92</v>
      </c>
      <c r="Q167" s="729"/>
      <c r="R167" s="744">
        <f>SUM(O121:U121)</f>
        <v>0</v>
      </c>
      <c r="S167" s="744"/>
      <c r="T167" s="745" t="str">
        <f>IF(ISERROR(R167/R172),"",R167/R172)</f>
        <v/>
      </c>
      <c r="U167" s="745"/>
      <c r="V167" s="729" t="s">
        <v>43</v>
      </c>
      <c r="W167" s="729"/>
      <c r="X167" s="744">
        <f>SUM(P29,P87,P122,P138,P148,P163)</f>
        <v>0</v>
      </c>
      <c r="Y167" s="744"/>
      <c r="Z167" s="745" t="str">
        <f>IF(ISERROR(X167/X172),"",X167/X172)</f>
        <v/>
      </c>
      <c r="AA167" s="745"/>
      <c r="AE167" s="14"/>
      <c r="AF167" s="14"/>
      <c r="AG167" s="370"/>
      <c r="AH167" s="370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636"/>
      <c r="B168" s="362" t="s">
        <v>47</v>
      </c>
      <c r="C168" s="740">
        <f>SUM('3:4'!C168)</f>
        <v>2</v>
      </c>
      <c r="D168" s="741"/>
      <c r="E168" s="742">
        <f>D168*11</f>
        <v>0</v>
      </c>
      <c r="F168" s="742"/>
      <c r="G168" s="740">
        <f>SUM('3:4'!G168)</f>
        <v>2</v>
      </c>
      <c r="H168" s="741"/>
      <c r="I168" s="718">
        <f>G168*11</f>
        <v>22</v>
      </c>
      <c r="J168" s="718"/>
      <c r="K168" s="718">
        <f>E168-I168</f>
        <v>-22</v>
      </c>
      <c r="L168" s="718"/>
      <c r="M168" s="743" t="str">
        <f>IF(ISERROR(K168/E168),"",K168/E168)</f>
        <v/>
      </c>
      <c r="N168" s="743"/>
      <c r="O168" s="718"/>
      <c r="P168" s="729" t="s">
        <v>99</v>
      </c>
      <c r="Q168" s="729"/>
      <c r="R168" s="744">
        <f>SUM(O137:U137)</f>
        <v>0</v>
      </c>
      <c r="S168" s="744"/>
      <c r="T168" s="745" t="str">
        <f>IF(ISERROR(R168/R172),"",R168/R172)</f>
        <v/>
      </c>
      <c r="U168" s="745"/>
      <c r="V168" s="729" t="s">
        <v>44</v>
      </c>
      <c r="W168" s="729"/>
      <c r="X168" s="744">
        <f>SUM(P31,P88,P123,P139,P149,P164)</f>
        <v>0</v>
      </c>
      <c r="Y168" s="744"/>
      <c r="Z168" s="745" t="str">
        <f>IF(ISERROR(X168/X172),"",X168/X172)</f>
        <v/>
      </c>
      <c r="AA168" s="745"/>
      <c r="AE168" s="14"/>
      <c r="AF168" s="14"/>
      <c r="AG168" s="370"/>
      <c r="AH168" s="370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637"/>
      <c r="B169" s="362" t="s">
        <v>123</v>
      </c>
      <c r="C169" s="747">
        <f>SUM(C165:D168)</f>
        <v>8</v>
      </c>
      <c r="D169" s="718"/>
      <c r="E169" s="718">
        <f>SUM(F165:F168)</f>
        <v>0</v>
      </c>
      <c r="F169" s="718"/>
      <c r="G169" s="747">
        <f>SUM(G165:H168)</f>
        <v>8</v>
      </c>
      <c r="H169" s="718"/>
      <c r="I169" s="718">
        <f>SUM(I165:J168)</f>
        <v>82</v>
      </c>
      <c r="J169" s="718"/>
      <c r="K169" s="718">
        <f>SUM(K165:L168)</f>
        <v>-82</v>
      </c>
      <c r="L169" s="718"/>
      <c r="M169" s="743" t="str">
        <f>IF(ISERROR(K169/E169),"",K169/E169)</f>
        <v/>
      </c>
      <c r="N169" s="743"/>
      <c r="O169" s="718"/>
      <c r="P169" s="729" t="s">
        <v>102</v>
      </c>
      <c r="Q169" s="729"/>
      <c r="R169" s="744">
        <f>SUM(O147:U147)</f>
        <v>0</v>
      </c>
      <c r="S169" s="744"/>
      <c r="T169" s="745" t="str">
        <f>IF(ISERROR(R169/R172),"",R169/R172)</f>
        <v/>
      </c>
      <c r="U169" s="745"/>
      <c r="V169" s="729" t="s">
        <v>45</v>
      </c>
      <c r="W169" s="729"/>
      <c r="X169" s="744">
        <f>SUM(P32,P89,P124,P140,P150,P165)</f>
        <v>0</v>
      </c>
      <c r="Y169" s="744"/>
      <c r="Z169" s="745" t="str">
        <f>IF(ISERROR(X169/X172),"",X169/X172)</f>
        <v/>
      </c>
      <c r="AA169" s="745"/>
      <c r="AE169" s="14"/>
      <c r="AF169" s="14"/>
      <c r="AG169" s="370"/>
      <c r="AH169" s="370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367"/>
      <c r="AV169" s="367"/>
      <c r="AW169" s="367"/>
      <c r="AX169" s="367"/>
      <c r="AY169" s="367"/>
      <c r="AZ169" s="367"/>
      <c r="BA169" s="367"/>
    </row>
    <row r="170" spans="1:106" ht="17.25">
      <c r="A170" s="309" t="s">
        <v>504</v>
      </c>
      <c r="B170" s="362">
        <f>G163</f>
        <v>1966</v>
      </c>
      <c r="C170" s="744" t="s">
        <v>155</v>
      </c>
      <c r="D170" s="744"/>
      <c r="E170" s="729">
        <f>H163</f>
        <v>9758.7199999999993</v>
      </c>
      <c r="F170" s="729"/>
      <c r="G170" s="729" t="s">
        <v>34</v>
      </c>
      <c r="H170" s="729"/>
      <c r="I170" s="746">
        <f>L163</f>
        <v>16.562445327549124</v>
      </c>
      <c r="J170" s="746"/>
      <c r="K170" s="718" t="s">
        <v>32</v>
      </c>
      <c r="L170" s="718"/>
      <c r="M170" s="746">
        <f>J163</f>
        <v>13.605536332179931</v>
      </c>
      <c r="N170" s="746"/>
      <c r="O170" s="718"/>
      <c r="P170" s="729" t="s">
        <v>106</v>
      </c>
      <c r="Q170" s="729"/>
      <c r="R170" s="744">
        <f>SUM(O162:U162)</f>
        <v>0</v>
      </c>
      <c r="S170" s="744"/>
      <c r="T170" s="745" t="str">
        <f>IF(ISERROR(R170/R172),"",R170/R172)</f>
        <v/>
      </c>
      <c r="U170" s="745"/>
      <c r="V170" s="729" t="s">
        <v>46</v>
      </c>
      <c r="W170" s="729"/>
      <c r="X170" s="744">
        <f>SUM(P33,P90,P125,P141,P151,P166)</f>
        <v>0</v>
      </c>
      <c r="Y170" s="744"/>
      <c r="Z170" s="745" t="str">
        <f>IF(ISERROR(X170/X172),"",X170/X172)</f>
        <v/>
      </c>
      <c r="AA170" s="745"/>
      <c r="AE170" s="14"/>
      <c r="AF170" s="14"/>
      <c r="AG170" s="370"/>
      <c r="AH170" s="370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67"/>
      <c r="AV170" s="367"/>
      <c r="AW170" s="367"/>
      <c r="AX170" s="367"/>
      <c r="AY170" s="367"/>
      <c r="AZ170" s="367"/>
      <c r="BA170" s="367"/>
    </row>
    <row r="171" spans="1:106" ht="17.25">
      <c r="A171" s="310" t="s">
        <v>505</v>
      </c>
      <c r="B171" s="362">
        <f>I163+C169</f>
        <v>152.5</v>
      </c>
      <c r="C171" s="729" t="s">
        <v>114</v>
      </c>
      <c r="D171" s="729"/>
      <c r="E171" s="739">
        <f>K163+I169</f>
        <v>200.70227862608283</v>
      </c>
      <c r="F171" s="739"/>
      <c r="G171" s="729" t="s">
        <v>150</v>
      </c>
      <c r="H171" s="729"/>
      <c r="I171" s="746">
        <f>B171-E171</f>
        <v>-48.20227862608283</v>
      </c>
      <c r="J171" s="746"/>
      <c r="K171" s="718" t="s">
        <v>151</v>
      </c>
      <c r="L171" s="718"/>
      <c r="M171" s="743">
        <f>IF(ISERROR(I171/B171),"",I171/B171)</f>
        <v>-0.31608051558087102</v>
      </c>
      <c r="N171" s="743"/>
      <c r="O171" s="718"/>
      <c r="P171" s="729" t="s">
        <v>107</v>
      </c>
      <c r="Q171" s="729"/>
      <c r="R171" s="744"/>
      <c r="S171" s="744"/>
      <c r="T171" s="745" t="str">
        <f>IF(ISERROR(R171/R172),"",R171/R172)</f>
        <v/>
      </c>
      <c r="U171" s="745"/>
      <c r="V171" s="729" t="s">
        <v>47</v>
      </c>
      <c r="W171" s="729"/>
      <c r="X171" s="744"/>
      <c r="Y171" s="744"/>
      <c r="Z171" s="745" t="str">
        <f>IF(ISERROR(X171/X172),"",X171/X172)</f>
        <v/>
      </c>
      <c r="AA171" s="745"/>
      <c r="AE171" s="14"/>
      <c r="AF171" s="14"/>
      <c r="AG171" s="370"/>
      <c r="AH171" s="370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367"/>
      <c r="AV171" s="367"/>
      <c r="AW171" s="367"/>
      <c r="AX171" s="367"/>
      <c r="AY171" s="367"/>
      <c r="AZ171" s="367"/>
      <c r="BA171" s="367"/>
    </row>
    <row r="172" spans="1:106" ht="15.75" customHeight="1">
      <c r="A172" s="310" t="s">
        <v>507</v>
      </c>
      <c r="B172" s="362">
        <f>N163</f>
        <v>0</v>
      </c>
      <c r="C172" s="729" t="s">
        <v>149</v>
      </c>
      <c r="D172" s="729"/>
      <c r="E172" s="745">
        <f>IF(ISERROR(B172/B171),"",B172/B171)</f>
        <v>0</v>
      </c>
      <c r="F172" s="745"/>
      <c r="G172" s="729" t="s">
        <v>158</v>
      </c>
      <c r="H172" s="729"/>
      <c r="I172" s="718">
        <f>V163</f>
        <v>0</v>
      </c>
      <c r="J172" s="718"/>
      <c r="K172" s="718" t="s">
        <v>156</v>
      </c>
      <c r="L172" s="718"/>
      <c r="M172" s="743">
        <f t="array" ref="M172">IF(ISERROR(I172/B170),"",I172/B170)</f>
        <v>0</v>
      </c>
      <c r="N172" s="743"/>
      <c r="O172" s="718"/>
      <c r="P172" s="729" t="s">
        <v>123</v>
      </c>
      <c r="Q172" s="729"/>
      <c r="R172" s="744">
        <f>SUM(R165:S171)</f>
        <v>0</v>
      </c>
      <c r="S172" s="744"/>
      <c r="T172" s="745">
        <f>SUM(T165:U171)</f>
        <v>0</v>
      </c>
      <c r="U172" s="745"/>
      <c r="V172" s="729" t="s">
        <v>123</v>
      </c>
      <c r="W172" s="729"/>
      <c r="X172" s="744">
        <f>SUM(X165:Y171)</f>
        <v>0</v>
      </c>
      <c r="Y172" s="744"/>
      <c r="Z172" s="745">
        <f>SUM(Z165:AA171)</f>
        <v>0</v>
      </c>
      <c r="AA172" s="745"/>
      <c r="AE172" s="14"/>
      <c r="AF172" s="14"/>
      <c r="AG172" s="370"/>
      <c r="AH172" s="370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367"/>
      <c r="AV172" s="367"/>
      <c r="AW172" s="367"/>
      <c r="AX172" s="367"/>
      <c r="AY172" s="367"/>
      <c r="AZ172" s="367"/>
      <c r="BA172" s="367"/>
    </row>
    <row r="173" spans="1:106">
      <c r="A173" s="748" t="s">
        <v>128</v>
      </c>
      <c r="B173" s="748"/>
      <c r="C173" s="748"/>
      <c r="D173" s="748"/>
      <c r="E173" s="748"/>
      <c r="F173" s="748"/>
      <c r="G173" s="748"/>
      <c r="H173" s="748"/>
      <c r="I173" s="748"/>
      <c r="J173" s="749"/>
      <c r="K173" s="748"/>
      <c r="L173" s="748"/>
      <c r="M173" s="748"/>
      <c r="N173" s="748"/>
      <c r="O173" s="748"/>
      <c r="P173" s="748"/>
      <c r="Q173" s="748"/>
      <c r="R173" s="748"/>
      <c r="S173" s="748"/>
      <c r="T173" s="748"/>
      <c r="U173" s="748"/>
      <c r="V173" s="748"/>
      <c r="W173" s="748"/>
      <c r="X173" s="748"/>
      <c r="Y173" s="748"/>
      <c r="Z173" s="748"/>
      <c r="AA173" s="748"/>
      <c r="AB173" s="748"/>
      <c r="AC173" s="748"/>
      <c r="AD173" s="748"/>
      <c r="AE173" s="748"/>
      <c r="AF173" s="748"/>
      <c r="AG173" s="748"/>
      <c r="AH173" s="748"/>
      <c r="AI173" s="748"/>
      <c r="AJ173" s="748"/>
      <c r="AK173" s="748"/>
      <c r="AL173" s="748"/>
      <c r="AM173" s="748"/>
      <c r="AN173" s="748"/>
      <c r="AO173" s="748"/>
      <c r="AP173" s="748"/>
      <c r="AQ173" s="748"/>
      <c r="AR173" s="748"/>
      <c r="AS173" s="748"/>
      <c r="AT173" s="748"/>
      <c r="AU173" s="748"/>
      <c r="AV173" s="748"/>
      <c r="AW173" s="748"/>
      <c r="AX173" s="748"/>
      <c r="AY173" s="748"/>
      <c r="AZ173" s="748"/>
      <c r="BA173" s="748"/>
    </row>
    <row r="174" spans="1:106">
      <c r="A174" s="656" t="s">
        <v>502</v>
      </c>
      <c r="B174" s="709" t="s">
        <v>25</v>
      </c>
      <c r="C174" s="709" t="s">
        <v>26</v>
      </c>
      <c r="D174" s="709" t="s">
        <v>27</v>
      </c>
      <c r="E174" s="712" t="s">
        <v>28</v>
      </c>
      <c r="F174" s="715" t="s">
        <v>29</v>
      </c>
      <c r="G174" s="718" t="s">
        <v>30</v>
      </c>
      <c r="H174" s="718"/>
      <c r="I174" s="709" t="s">
        <v>31</v>
      </c>
      <c r="J174" s="719" t="s">
        <v>32</v>
      </c>
      <c r="K174" s="730" t="s">
        <v>33</v>
      </c>
      <c r="L174" s="709" t="s">
        <v>34</v>
      </c>
      <c r="M174" s="733" t="s">
        <v>35</v>
      </c>
      <c r="N174" s="727" t="s">
        <v>36</v>
      </c>
      <c r="O174" s="718" t="s">
        <v>37</v>
      </c>
      <c r="P174" s="718"/>
      <c r="Q174" s="718"/>
      <c r="R174" s="718"/>
      <c r="S174" s="718"/>
      <c r="T174" s="718"/>
      <c r="U174" s="718"/>
      <c r="V174" s="735" t="s">
        <v>38</v>
      </c>
      <c r="W174" s="727" t="s">
        <v>39</v>
      </c>
      <c r="X174" s="718" t="s">
        <v>40</v>
      </c>
      <c r="Y174" s="718"/>
      <c r="Z174" s="718"/>
      <c r="AA174" s="718"/>
      <c r="AB174" s="21"/>
      <c r="AC174" s="21"/>
      <c r="AD174" s="21"/>
      <c r="AE174" s="21"/>
      <c r="AF174" s="21"/>
      <c r="AG174" s="21"/>
      <c r="AH174" s="21"/>
      <c r="AI174" s="752"/>
      <c r="AJ174" s="750"/>
      <c r="AK174" s="750"/>
      <c r="AL174" s="750"/>
      <c r="AM174" s="750"/>
      <c r="AN174" s="750"/>
      <c r="AO174" s="750"/>
      <c r="AP174" s="750"/>
      <c r="AQ174" s="750"/>
      <c r="AR174" s="750"/>
      <c r="AS174" s="750"/>
      <c r="AT174" s="750"/>
      <c r="AU174" s="750"/>
      <c r="AV174" s="750"/>
      <c r="AW174" s="750"/>
      <c r="AX174" s="750"/>
      <c r="AY174" s="750"/>
      <c r="AZ174" s="750"/>
      <c r="BA174" s="750"/>
    </row>
    <row r="175" spans="1:106" ht="15.75" customHeight="1">
      <c r="A175" s="657"/>
      <c r="B175" s="710"/>
      <c r="C175" s="710"/>
      <c r="D175" s="710"/>
      <c r="E175" s="713"/>
      <c r="F175" s="716"/>
      <c r="G175" s="718"/>
      <c r="H175" s="718"/>
      <c r="I175" s="710"/>
      <c r="J175" s="720"/>
      <c r="K175" s="731"/>
      <c r="L175" s="710"/>
      <c r="M175" s="734"/>
      <c r="N175" s="727"/>
      <c r="O175" s="718" t="s">
        <v>41</v>
      </c>
      <c r="P175" s="718" t="s">
        <v>42</v>
      </c>
      <c r="Q175" s="718" t="s">
        <v>43</v>
      </c>
      <c r="R175" s="728" t="s">
        <v>44</v>
      </c>
      <c r="S175" s="729" t="s">
        <v>45</v>
      </c>
      <c r="T175" s="718" t="s">
        <v>46</v>
      </c>
      <c r="U175" s="718" t="s">
        <v>47</v>
      </c>
      <c r="V175" s="735"/>
      <c r="W175" s="727"/>
      <c r="X175" s="718" t="s">
        <v>13</v>
      </c>
      <c r="Y175" s="718" t="s">
        <v>48</v>
      </c>
      <c r="Z175" s="718" t="s">
        <v>49</v>
      </c>
      <c r="AA175" s="718" t="s">
        <v>47</v>
      </c>
      <c r="AB175" s="21"/>
      <c r="AC175" s="21"/>
      <c r="AD175" s="21"/>
      <c r="AE175" s="21"/>
      <c r="AF175" s="21"/>
      <c r="AG175" s="21"/>
      <c r="AH175" s="21"/>
      <c r="AI175" s="752"/>
      <c r="AJ175" s="750"/>
      <c r="AK175" s="750"/>
      <c r="AL175" s="750"/>
      <c r="AM175" s="750"/>
      <c r="AN175" s="750"/>
      <c r="AO175" s="750"/>
      <c r="AP175" s="750"/>
      <c r="AQ175" s="750"/>
      <c r="AR175" s="750"/>
      <c r="AS175" s="751"/>
      <c r="AT175" s="751"/>
      <c r="AU175" s="751"/>
      <c r="AV175" s="751"/>
      <c r="AW175" s="751"/>
      <c r="AX175" s="751"/>
      <c r="AY175" s="751"/>
      <c r="AZ175" s="751"/>
      <c r="BA175" s="751"/>
    </row>
    <row r="176" spans="1:106" ht="15.75" customHeight="1">
      <c r="A176" s="658"/>
      <c r="B176" s="711"/>
      <c r="C176" s="711"/>
      <c r="D176" s="711"/>
      <c r="E176" s="714"/>
      <c r="F176" s="717"/>
      <c r="G176" s="358" t="s">
        <v>50</v>
      </c>
      <c r="H176" s="358" t="s">
        <v>51</v>
      </c>
      <c r="I176" s="711"/>
      <c r="J176" s="721"/>
      <c r="K176" s="732"/>
      <c r="L176" s="711"/>
      <c r="M176" s="734"/>
      <c r="N176" s="727"/>
      <c r="O176" s="718"/>
      <c r="P176" s="718"/>
      <c r="Q176" s="718"/>
      <c r="R176" s="728"/>
      <c r="S176" s="729"/>
      <c r="T176" s="718"/>
      <c r="U176" s="718"/>
      <c r="V176" s="735"/>
      <c r="W176" s="727"/>
      <c r="X176" s="718"/>
      <c r="Y176" s="718"/>
      <c r="Z176" s="718"/>
      <c r="AA176" s="718"/>
      <c r="AB176" s="21"/>
      <c r="AC176" s="21"/>
      <c r="AD176" s="21"/>
      <c r="AE176" s="21"/>
      <c r="AF176" s="21"/>
      <c r="AG176" s="21"/>
      <c r="AH176" s="21"/>
      <c r="AI176" s="752"/>
      <c r="AJ176" s="750"/>
      <c r="AK176" s="750"/>
      <c r="AL176" s="367"/>
      <c r="AM176" s="367"/>
      <c r="AN176" s="367"/>
      <c r="AO176" s="367"/>
      <c r="AP176" s="367"/>
      <c r="AQ176" s="367"/>
      <c r="AR176" s="367"/>
      <c r="AS176" s="21"/>
      <c r="AT176" s="21"/>
      <c r="AU176" s="21"/>
      <c r="AV176" s="368"/>
      <c r="AW176" s="367"/>
      <c r="AX176" s="367"/>
      <c r="AY176" s="367"/>
      <c r="AZ176" s="367"/>
      <c r="BA176" s="367"/>
    </row>
    <row r="177" spans="1:53">
      <c r="A177" s="315">
        <v>30100030</v>
      </c>
      <c r="B177" s="82" t="s">
        <v>52</v>
      </c>
      <c r="C177" s="81" t="s">
        <v>53</v>
      </c>
      <c r="D177" s="80">
        <v>5.03</v>
      </c>
      <c r="E177" s="80"/>
      <c r="F177" s="83"/>
      <c r="G177" s="93">
        <f>SUM('3:4'!G177)</f>
        <v>0</v>
      </c>
      <c r="H177" s="95">
        <f t="shared" ref="H177:H182" si="61">D177*G177</f>
        <v>0</v>
      </c>
      <c r="I177" s="93">
        <f>SUM('3:4'!I177)</f>
        <v>0</v>
      </c>
      <c r="J177" s="31" t="str">
        <f t="array" ref="J177">IF(ISERROR(G177/I177),"",G177/I177)</f>
        <v/>
      </c>
      <c r="K177" s="96">
        <f t="array" ref="K177">IF(ISERROR(G177/L177),"",G177/L177)</f>
        <v>0</v>
      </c>
      <c r="L177" s="84">
        <v>16</v>
      </c>
      <c r="M177" s="97">
        <f t="shared" ref="M177:M188" si="62">IF(ISERROR(I177-K177),"",I177-K177)</f>
        <v>0</v>
      </c>
      <c r="N177" s="93">
        <f>SUM('3:4'!N177)</f>
        <v>0</v>
      </c>
      <c r="O177" s="93">
        <f>SUM('3:4'!O177)</f>
        <v>0</v>
      </c>
      <c r="P177" s="93">
        <f>SUM('3:4'!P177)</f>
        <v>0</v>
      </c>
      <c r="Q177" s="93">
        <f>SUM('3:4'!Q177)</f>
        <v>0</v>
      </c>
      <c r="R177" s="93">
        <f>SUM('3:4'!R177)</f>
        <v>0</v>
      </c>
      <c r="S177" s="93">
        <f>SUM('3:4'!S177)</f>
        <v>0</v>
      </c>
      <c r="T177" s="93">
        <f>SUM('3:4'!T177)</f>
        <v>0</v>
      </c>
      <c r="U177" s="93">
        <f>SUM('3:4'!U177)</f>
        <v>0</v>
      </c>
      <c r="V177" s="206">
        <f t="shared" ref="V177:V188" si="63">SUM(X177:AA177)</f>
        <v>0</v>
      </c>
      <c r="W177" s="33" t="str">
        <f t="shared" ref="W177:W188" si="64">IF(ISERROR(V177/G177),"",V177/G177)</f>
        <v/>
      </c>
      <c r="X177" s="93">
        <f>SUM('3:4'!X177)</f>
        <v>0</v>
      </c>
      <c r="Y177" s="93">
        <f>SUM('3:4'!Y177)</f>
        <v>0</v>
      </c>
      <c r="Z177" s="93">
        <f>SUM('3:4'!Z177)</f>
        <v>0</v>
      </c>
      <c r="AA177" s="93">
        <f>SUM('3:4'!AA177)</f>
        <v>0</v>
      </c>
      <c r="AB177" s="73"/>
      <c r="AC177" s="54"/>
      <c r="AD177" s="370"/>
      <c r="AE177" s="54"/>
      <c r="AF177" s="54"/>
      <c r="AG177" s="54"/>
      <c r="AH177" s="54"/>
      <c r="AI177" s="57"/>
      <c r="AJ177" s="57"/>
      <c r="AK177" s="57"/>
      <c r="AL177" s="369"/>
      <c r="AM177" s="54"/>
      <c r="AN177" s="369"/>
      <c r="AO177" s="369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</row>
    <row r="178" spans="1:53">
      <c r="A178" s="300"/>
      <c r="B178" s="62" t="s">
        <v>54</v>
      </c>
      <c r="C178" s="16" t="s">
        <v>53</v>
      </c>
      <c r="D178" s="17">
        <v>5.03</v>
      </c>
      <c r="E178" s="17"/>
      <c r="F178" s="6"/>
      <c r="G178" s="93">
        <f>SUM('3:4'!G178)</f>
        <v>0</v>
      </c>
      <c r="H178" s="95">
        <f t="shared" si="61"/>
        <v>0</v>
      </c>
      <c r="I178" s="93">
        <f>SUM('3:4'!I178)</f>
        <v>0</v>
      </c>
      <c r="J178" s="31" t="str">
        <f t="array" ref="J178">IF(ISERROR(G178/I178),"",G178/I178)</f>
        <v/>
      </c>
      <c r="K178" s="35">
        <f t="array" ref="K178">IF(ISERROR(G178/L178),"",G178/L178)</f>
        <v>0</v>
      </c>
      <c r="L178" s="87">
        <v>19</v>
      </c>
      <c r="M178" s="36">
        <f t="shared" si="62"/>
        <v>0</v>
      </c>
      <c r="N178" s="93">
        <f>SUM('3:4'!N178)</f>
        <v>0</v>
      </c>
      <c r="O178" s="93">
        <f>SUM('3:4'!O178)</f>
        <v>0</v>
      </c>
      <c r="P178" s="93">
        <f>SUM('3:4'!P178)</f>
        <v>0</v>
      </c>
      <c r="Q178" s="93">
        <f>SUM('3:4'!Q178)</f>
        <v>0</v>
      </c>
      <c r="R178" s="93">
        <f>SUM('3:4'!R178)</f>
        <v>0</v>
      </c>
      <c r="S178" s="93">
        <f>SUM('3:4'!S178)</f>
        <v>0</v>
      </c>
      <c r="T178" s="93">
        <f>SUM('3:4'!T178)</f>
        <v>0</v>
      </c>
      <c r="U178" s="93">
        <f>SUM('3:4'!U178)</f>
        <v>0</v>
      </c>
      <c r="V178" s="206">
        <f t="shared" si="63"/>
        <v>0</v>
      </c>
      <c r="W178" s="33" t="str">
        <f t="shared" si="64"/>
        <v/>
      </c>
      <c r="X178" s="93">
        <f>SUM('3:4'!X178)</f>
        <v>0</v>
      </c>
      <c r="Y178" s="93">
        <f>SUM('3:4'!Y178)</f>
        <v>0</v>
      </c>
      <c r="Z178" s="93">
        <f>SUM('3:4'!Z178)</f>
        <v>0</v>
      </c>
      <c r="AA178" s="93">
        <f>SUM('3:4'!AA178)</f>
        <v>0</v>
      </c>
      <c r="AB178" s="73"/>
      <c r="AC178" s="54"/>
      <c r="AD178" s="370"/>
      <c r="AE178" s="54"/>
      <c r="AF178" s="54"/>
      <c r="AG178" s="54"/>
      <c r="AH178" s="54"/>
      <c r="AI178" s="57"/>
      <c r="AJ178" s="57"/>
      <c r="AK178" s="57"/>
      <c r="AL178" s="54"/>
      <c r="AM178" s="54"/>
      <c r="AN178" s="369"/>
      <c r="AO178" s="54"/>
      <c r="AP178" s="369"/>
      <c r="AQ178" s="54"/>
      <c r="AR178" s="54"/>
      <c r="AS178" s="369"/>
      <c r="AT178" s="369"/>
      <c r="AU178" s="369"/>
      <c r="AV178" s="369"/>
      <c r="AW178" s="55"/>
      <c r="AX178" s="54"/>
      <c r="AY178" s="54"/>
      <c r="AZ178" s="54"/>
      <c r="BA178" s="54"/>
    </row>
    <row r="179" spans="1:53">
      <c r="A179" s="301"/>
      <c r="B179" s="62" t="s">
        <v>54</v>
      </c>
      <c r="C179" s="16" t="s">
        <v>55</v>
      </c>
      <c r="D179" s="17">
        <v>5.03</v>
      </c>
      <c r="E179" s="17"/>
      <c r="F179" s="6"/>
      <c r="G179" s="93">
        <f>SUM('3:4'!G179)</f>
        <v>0</v>
      </c>
      <c r="H179" s="95">
        <f t="shared" si="61"/>
        <v>0</v>
      </c>
      <c r="I179" s="93">
        <f>SUM('3:4'!I179)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62"/>
        <v>0</v>
      </c>
      <c r="N179" s="93">
        <f>SUM('3:4'!N179)</f>
        <v>0</v>
      </c>
      <c r="O179" s="93">
        <f>SUM('3:4'!O179)</f>
        <v>0</v>
      </c>
      <c r="P179" s="93">
        <f>SUM('3:4'!P179)</f>
        <v>0</v>
      </c>
      <c r="Q179" s="93">
        <f>SUM('3:4'!Q179)</f>
        <v>0</v>
      </c>
      <c r="R179" s="93">
        <f>SUM('3:4'!R179)</f>
        <v>0</v>
      </c>
      <c r="S179" s="93">
        <f>SUM('3:4'!S179)</f>
        <v>0</v>
      </c>
      <c r="T179" s="93">
        <f>SUM('3:4'!T179)</f>
        <v>0</v>
      </c>
      <c r="U179" s="93">
        <f>SUM('3:4'!U179)</f>
        <v>0</v>
      </c>
      <c r="V179" s="206">
        <f t="shared" si="63"/>
        <v>0</v>
      </c>
      <c r="W179" s="33" t="str">
        <f t="shared" si="64"/>
        <v/>
      </c>
      <c r="X179" s="93">
        <f>SUM('3:4'!X179)</f>
        <v>0</v>
      </c>
      <c r="Y179" s="93">
        <f>SUM('3:4'!Y179)</f>
        <v>0</v>
      </c>
      <c r="Z179" s="93">
        <f>SUM('3:4'!Z179)</f>
        <v>0</v>
      </c>
      <c r="AA179" s="93">
        <f>SUM('3:4'!AA179)</f>
        <v>0</v>
      </c>
      <c r="AB179" s="73"/>
      <c r="AC179" s="54"/>
      <c r="AD179" s="370"/>
      <c r="AE179" s="54"/>
      <c r="AF179" s="54"/>
      <c r="AG179" s="54"/>
      <c r="AH179" s="54"/>
      <c r="AI179" s="57"/>
      <c r="AJ179" s="57"/>
      <c r="AK179" s="57"/>
      <c r="AL179" s="54"/>
      <c r="AM179" s="54"/>
      <c r="AN179" s="54"/>
      <c r="AO179" s="369"/>
      <c r="AP179" s="54"/>
      <c r="AQ179" s="54"/>
      <c r="AR179" s="54"/>
      <c r="AS179" s="56"/>
      <c r="AT179" s="56"/>
      <c r="AU179" s="56"/>
      <c r="AV179" s="54"/>
      <c r="AW179" s="54"/>
      <c r="AX179" s="54"/>
      <c r="AY179" s="54"/>
      <c r="AZ179" s="54"/>
      <c r="BA179" s="54"/>
    </row>
    <row r="180" spans="1:53">
      <c r="A180" s="315">
        <v>30100048</v>
      </c>
      <c r="B180" s="62" t="s">
        <v>56</v>
      </c>
      <c r="C180" s="16" t="s">
        <v>53</v>
      </c>
      <c r="D180" s="17">
        <v>5.03</v>
      </c>
      <c r="E180" s="17"/>
      <c r="F180" s="6"/>
      <c r="G180" s="93">
        <f>SUM('3:4'!G180)</f>
        <v>0</v>
      </c>
      <c r="H180" s="95">
        <f t="shared" si="61"/>
        <v>0</v>
      </c>
      <c r="I180" s="93">
        <f>SUM('3:4'!I180)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62"/>
        <v>0</v>
      </c>
      <c r="N180" s="93">
        <f>SUM('3:4'!N180)</f>
        <v>0</v>
      </c>
      <c r="O180" s="93">
        <f>SUM('3:4'!O180)</f>
        <v>0</v>
      </c>
      <c r="P180" s="93">
        <f>SUM('3:4'!P180)</f>
        <v>0</v>
      </c>
      <c r="Q180" s="93">
        <f>SUM('3:4'!Q180)</f>
        <v>0</v>
      </c>
      <c r="R180" s="93">
        <f>SUM('3:4'!R180)</f>
        <v>0</v>
      </c>
      <c r="S180" s="93">
        <f>SUM('3:4'!S180)</f>
        <v>0</v>
      </c>
      <c r="T180" s="93">
        <f>SUM('3:4'!T180)</f>
        <v>0</v>
      </c>
      <c r="U180" s="93">
        <f>SUM('3:4'!U180)</f>
        <v>0</v>
      </c>
      <c r="V180" s="206">
        <f t="shared" si="63"/>
        <v>0</v>
      </c>
      <c r="W180" s="33" t="str">
        <f t="shared" si="64"/>
        <v/>
      </c>
      <c r="X180" s="93">
        <f>SUM('3:4'!X180)</f>
        <v>0</v>
      </c>
      <c r="Y180" s="93">
        <f>SUM('3:4'!Y180)</f>
        <v>0</v>
      </c>
      <c r="Z180" s="93">
        <f>SUM('3:4'!Z180)</f>
        <v>0</v>
      </c>
      <c r="AA180" s="93">
        <f>SUM('3:4'!AA180)</f>
        <v>0</v>
      </c>
      <c r="AB180" s="73"/>
      <c r="AC180" s="54"/>
      <c r="AD180" s="370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5"/>
      <c r="AW180" s="55"/>
      <c r="AX180" s="55"/>
      <c r="AY180" s="54"/>
      <c r="AZ180" s="54"/>
      <c r="BA180" s="54"/>
    </row>
    <row r="181" spans="1:53">
      <c r="A181" s="315">
        <v>30100047</v>
      </c>
      <c r="B181" s="62" t="s">
        <v>56</v>
      </c>
      <c r="C181" s="16" t="s">
        <v>57</v>
      </c>
      <c r="D181" s="17">
        <v>5.03</v>
      </c>
      <c r="E181" s="17"/>
      <c r="F181" s="6"/>
      <c r="G181" s="93">
        <f>SUM('3:4'!G181)</f>
        <v>0</v>
      </c>
      <c r="H181" s="95">
        <f t="shared" si="61"/>
        <v>0</v>
      </c>
      <c r="I181" s="93">
        <f>SUM('3:4'!I181)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87">
        <v>20</v>
      </c>
      <c r="M181" s="36">
        <f t="shared" si="62"/>
        <v>0</v>
      </c>
      <c r="N181" s="93">
        <f>SUM('3:4'!N181)</f>
        <v>0</v>
      </c>
      <c r="O181" s="93">
        <f>SUM('3:4'!O181)</f>
        <v>0</v>
      </c>
      <c r="P181" s="93">
        <f>SUM('3:4'!P181)</f>
        <v>0</v>
      </c>
      <c r="Q181" s="93">
        <f>SUM('3:4'!Q181)</f>
        <v>0</v>
      </c>
      <c r="R181" s="93">
        <f>SUM('3:4'!R181)</f>
        <v>0</v>
      </c>
      <c r="S181" s="93">
        <f>SUM('3:4'!S181)</f>
        <v>0</v>
      </c>
      <c r="T181" s="93">
        <f>SUM('3:4'!T181)</f>
        <v>0</v>
      </c>
      <c r="U181" s="93">
        <f>SUM('3:4'!U181)</f>
        <v>0</v>
      </c>
      <c r="V181" s="206">
        <f t="shared" si="63"/>
        <v>0</v>
      </c>
      <c r="W181" s="33" t="str">
        <f t="shared" si="64"/>
        <v/>
      </c>
      <c r="X181" s="93">
        <f>SUM('3:4'!X181)</f>
        <v>0</v>
      </c>
      <c r="Y181" s="93">
        <f>SUM('3:4'!Y181)</f>
        <v>0</v>
      </c>
      <c r="Z181" s="93">
        <f>SUM('3:4'!Z181)</f>
        <v>0</v>
      </c>
      <c r="AA181" s="93">
        <f>SUM('3:4'!AA181)</f>
        <v>0</v>
      </c>
      <c r="AB181" s="73"/>
      <c r="AC181" s="54"/>
      <c r="AD181" s="370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</row>
    <row r="182" spans="1:53">
      <c r="A182" s="315">
        <v>30100052</v>
      </c>
      <c r="B182" s="62" t="s">
        <v>58</v>
      </c>
      <c r="C182" s="16" t="s">
        <v>53</v>
      </c>
      <c r="D182" s="17">
        <v>5.04</v>
      </c>
      <c r="E182" s="17"/>
      <c r="F182" s="6"/>
      <c r="G182" s="93">
        <f>SUM('3:4'!G182)</f>
        <v>0</v>
      </c>
      <c r="H182" s="95">
        <f t="shared" si="61"/>
        <v>0</v>
      </c>
      <c r="I182" s="93">
        <f>SUM('3:4'!I182)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19</v>
      </c>
      <c r="M182" s="36">
        <f t="shared" si="62"/>
        <v>0</v>
      </c>
      <c r="N182" s="93">
        <f>SUM('3:4'!N182)</f>
        <v>0</v>
      </c>
      <c r="O182" s="93">
        <f>SUM('3:4'!O182)</f>
        <v>0</v>
      </c>
      <c r="P182" s="93">
        <f>SUM('3:4'!P182)</f>
        <v>0</v>
      </c>
      <c r="Q182" s="93">
        <f>SUM('3:4'!Q182)</f>
        <v>0</v>
      </c>
      <c r="R182" s="93">
        <f>SUM('3:4'!R182)</f>
        <v>0</v>
      </c>
      <c r="S182" s="93">
        <f>SUM('3:4'!S182)</f>
        <v>0</v>
      </c>
      <c r="T182" s="93">
        <f>SUM('3:4'!T182)</f>
        <v>0</v>
      </c>
      <c r="U182" s="93">
        <f>SUM('3:4'!U182)</f>
        <v>0</v>
      </c>
      <c r="V182" s="206">
        <f t="shared" si="63"/>
        <v>0</v>
      </c>
      <c r="W182" s="33" t="str">
        <f t="shared" si="64"/>
        <v/>
      </c>
      <c r="X182" s="93">
        <f>SUM('3:4'!X182)</f>
        <v>0</v>
      </c>
      <c r="Y182" s="93">
        <f>SUM('3:4'!Y182)</f>
        <v>0</v>
      </c>
      <c r="Z182" s="93">
        <f>SUM('3:4'!Z182)</f>
        <v>0</v>
      </c>
      <c r="AA182" s="93">
        <f>SUM('3:4'!AA182)</f>
        <v>0</v>
      </c>
      <c r="AB182" s="73"/>
      <c r="AC182" s="54"/>
      <c r="AD182" s="370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332">
        <v>30100059</v>
      </c>
      <c r="B183" s="62" t="s">
        <v>59</v>
      </c>
      <c r="C183" s="16" t="s">
        <v>60</v>
      </c>
      <c r="D183" s="17">
        <v>5.03</v>
      </c>
      <c r="E183" s="17"/>
      <c r="F183" s="6"/>
      <c r="G183" s="93">
        <f>SUM('3:4'!G183)</f>
        <v>0</v>
      </c>
      <c r="H183" s="95">
        <f>D183*G183</f>
        <v>0</v>
      </c>
      <c r="I183" s="93">
        <f>SUM('3:4'!I183)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3</v>
      </c>
      <c r="M183" s="36">
        <f t="shared" si="62"/>
        <v>0</v>
      </c>
      <c r="N183" s="93">
        <f>SUM('3:4'!N183)</f>
        <v>0</v>
      </c>
      <c r="O183" s="93">
        <f>SUM('3:4'!O183)</f>
        <v>0</v>
      </c>
      <c r="P183" s="93">
        <f>SUM('3:4'!P183)</f>
        <v>0</v>
      </c>
      <c r="Q183" s="93">
        <f>SUM('3:4'!Q183)</f>
        <v>0</v>
      </c>
      <c r="R183" s="93">
        <f>SUM('3:4'!R183)</f>
        <v>0</v>
      </c>
      <c r="S183" s="93">
        <f>SUM('3:4'!S183)</f>
        <v>0</v>
      </c>
      <c r="T183" s="93">
        <f>SUM('3:4'!T183)</f>
        <v>0</v>
      </c>
      <c r="U183" s="93">
        <f>SUM('3:4'!U183)</f>
        <v>0</v>
      </c>
      <c r="V183" s="206">
        <f t="shared" si="63"/>
        <v>0</v>
      </c>
      <c r="W183" s="33" t="str">
        <f t="shared" si="64"/>
        <v/>
      </c>
      <c r="X183" s="93">
        <f>SUM('3:4'!X183)</f>
        <v>0</v>
      </c>
      <c r="Y183" s="93">
        <f>SUM('3:4'!Y183)</f>
        <v>0</v>
      </c>
      <c r="Z183" s="93">
        <f>SUM('3:4'!Z183)</f>
        <v>0</v>
      </c>
      <c r="AA183" s="93">
        <f>SUM('3:4'!AA183)</f>
        <v>0</v>
      </c>
      <c r="AB183" s="73"/>
      <c r="AC183" s="54"/>
      <c r="AD183" s="370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302">
        <v>30100060</v>
      </c>
      <c r="B184" s="62" t="s">
        <v>59</v>
      </c>
      <c r="C184" s="16" t="s">
        <v>61</v>
      </c>
      <c r="D184" s="17">
        <v>5.03</v>
      </c>
      <c r="E184" s="17"/>
      <c r="F184" s="6"/>
      <c r="G184" s="93">
        <f>SUM('3:4'!G184)</f>
        <v>0</v>
      </c>
      <c r="H184" s="95">
        <f t="shared" ref="H184:H197" si="65">D184*G184</f>
        <v>0</v>
      </c>
      <c r="I184" s="93">
        <f>SUM('3:4'!I184)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62"/>
        <v>0</v>
      </c>
      <c r="N184" s="93">
        <f>SUM('3:4'!N184)</f>
        <v>0</v>
      </c>
      <c r="O184" s="93">
        <f>SUM('3:4'!O184)</f>
        <v>0</v>
      </c>
      <c r="P184" s="93">
        <f>SUM('3:4'!P184)</f>
        <v>0</v>
      </c>
      <c r="Q184" s="93">
        <f>SUM('3:4'!Q184)</f>
        <v>0</v>
      </c>
      <c r="R184" s="93">
        <f>SUM('3:4'!R184)</f>
        <v>0</v>
      </c>
      <c r="S184" s="93">
        <f>SUM('3:4'!S184)</f>
        <v>0</v>
      </c>
      <c r="T184" s="93">
        <f>SUM('3:4'!T184)</f>
        <v>0</v>
      </c>
      <c r="U184" s="93">
        <f>SUM('3:4'!U184)</f>
        <v>0</v>
      </c>
      <c r="V184" s="206">
        <f t="shared" si="63"/>
        <v>0</v>
      </c>
      <c r="W184" s="33" t="str">
        <f t="shared" si="64"/>
        <v/>
      </c>
      <c r="X184" s="93">
        <f>SUM('3:4'!X184)</f>
        <v>0</v>
      </c>
      <c r="Y184" s="93">
        <f>SUM('3:4'!Y184)</f>
        <v>0</v>
      </c>
      <c r="Z184" s="93">
        <f>SUM('3:4'!Z184)</f>
        <v>0</v>
      </c>
      <c r="AA184" s="93">
        <f>SUM('3:4'!AA184)</f>
        <v>0</v>
      </c>
      <c r="AB184" s="73"/>
      <c r="AC184" s="54"/>
      <c r="AD184" s="370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300">
        <v>30200006</v>
      </c>
      <c r="B185" s="62" t="s">
        <v>62</v>
      </c>
      <c r="C185" s="16" t="s">
        <v>63</v>
      </c>
      <c r="D185" s="17">
        <v>5.04</v>
      </c>
      <c r="E185" s="17"/>
      <c r="F185" s="79"/>
      <c r="G185" s="93">
        <f>SUM('3:4'!G185)</f>
        <v>0</v>
      </c>
      <c r="H185" s="95">
        <f t="shared" si="65"/>
        <v>0</v>
      </c>
      <c r="I185" s="93">
        <f>SUM('3:4'!I185)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17</v>
      </c>
      <c r="M185" s="36">
        <f t="shared" si="62"/>
        <v>0</v>
      </c>
      <c r="N185" s="93">
        <f>SUM('3:4'!N185)</f>
        <v>0</v>
      </c>
      <c r="O185" s="93">
        <f>SUM('3:4'!O185)</f>
        <v>0</v>
      </c>
      <c r="P185" s="93">
        <f>SUM('3:4'!P185)</f>
        <v>0</v>
      </c>
      <c r="Q185" s="93">
        <f>SUM('3:4'!Q185)</f>
        <v>0</v>
      </c>
      <c r="R185" s="93">
        <f>SUM('3:4'!R185)</f>
        <v>0</v>
      </c>
      <c r="S185" s="93">
        <f>SUM('3:4'!S185)</f>
        <v>0</v>
      </c>
      <c r="T185" s="93">
        <f>SUM('3:4'!T185)</f>
        <v>0</v>
      </c>
      <c r="U185" s="93">
        <f>SUM('3:4'!U185)</f>
        <v>0</v>
      </c>
      <c r="V185" s="206">
        <f t="shared" si="63"/>
        <v>0</v>
      </c>
      <c r="W185" s="33" t="str">
        <f t="shared" si="64"/>
        <v/>
      </c>
      <c r="X185" s="93">
        <f>SUM('3:4'!X185)</f>
        <v>0</v>
      </c>
      <c r="Y185" s="93">
        <f>SUM('3:4'!Y185)</f>
        <v>0</v>
      </c>
      <c r="Z185" s="93">
        <f>SUM('3:4'!Z185)</f>
        <v>0</v>
      </c>
      <c r="AA185" s="93">
        <f>SUM('3:4'!AA185)</f>
        <v>0</v>
      </c>
      <c r="AB185" s="73"/>
      <c r="AC185" s="54"/>
      <c r="AD185" s="370"/>
      <c r="AE185" s="54"/>
      <c r="AF185" s="54"/>
      <c r="AG185" s="54"/>
      <c r="AH185" s="54"/>
      <c r="AI185" s="57"/>
      <c r="AJ185" s="57"/>
      <c r="AK185" s="57"/>
      <c r="AL185" s="369"/>
      <c r="AM185" s="54"/>
      <c r="AN185" s="54"/>
      <c r="AO185" s="54"/>
      <c r="AP185" s="369"/>
      <c r="AQ185" s="369"/>
      <c r="AR185" s="369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300">
        <v>30200005</v>
      </c>
      <c r="B186" s="62" t="s">
        <v>62</v>
      </c>
      <c r="C186" s="16" t="s">
        <v>64</v>
      </c>
      <c r="D186" s="17">
        <v>5.04</v>
      </c>
      <c r="E186" s="17"/>
      <c r="F186" s="79"/>
      <c r="G186" s="93">
        <f>SUM('3:4'!G186)</f>
        <v>0</v>
      </c>
      <c r="H186" s="95">
        <f t="shared" si="65"/>
        <v>0</v>
      </c>
      <c r="I186" s="93">
        <f>SUM('3:4'!I186)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62"/>
        <v>0</v>
      </c>
      <c r="N186" s="93">
        <f>SUM('3:4'!N186)</f>
        <v>0</v>
      </c>
      <c r="O186" s="93">
        <f>SUM('3:4'!O186)</f>
        <v>0</v>
      </c>
      <c r="P186" s="93">
        <f>SUM('3:4'!P186)</f>
        <v>0</v>
      </c>
      <c r="Q186" s="93">
        <f>SUM('3:4'!Q186)</f>
        <v>0</v>
      </c>
      <c r="R186" s="93">
        <f>SUM('3:4'!R186)</f>
        <v>0</v>
      </c>
      <c r="S186" s="93">
        <f>SUM('3:4'!S186)</f>
        <v>0</v>
      </c>
      <c r="T186" s="93">
        <f>SUM('3:4'!T186)</f>
        <v>0</v>
      </c>
      <c r="U186" s="93">
        <f>SUM('3:4'!U186)</f>
        <v>0</v>
      </c>
      <c r="V186" s="206">
        <f t="shared" si="63"/>
        <v>0</v>
      </c>
      <c r="W186" s="33" t="str">
        <f t="shared" si="64"/>
        <v/>
      </c>
      <c r="X186" s="93">
        <f>SUM('3:4'!X186)</f>
        <v>0</v>
      </c>
      <c r="Y186" s="93">
        <f>SUM('3:4'!Y186)</f>
        <v>0</v>
      </c>
      <c r="Z186" s="93">
        <f>SUM('3:4'!Z186)</f>
        <v>0</v>
      </c>
      <c r="AA186" s="93">
        <f>SUM('3:4'!AA186)</f>
        <v>0</v>
      </c>
      <c r="AB186" s="73"/>
      <c r="AC186" s="54"/>
      <c r="AD186" s="370"/>
      <c r="AE186" s="54"/>
      <c r="AF186" s="54"/>
      <c r="AG186" s="54"/>
      <c r="AH186" s="54"/>
      <c r="AI186" s="57"/>
      <c r="AJ186" s="57"/>
      <c r="AK186" s="57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302">
        <v>30100063</v>
      </c>
      <c r="B187" s="202" t="s">
        <v>171</v>
      </c>
      <c r="C187" s="16" t="s">
        <v>172</v>
      </c>
      <c r="D187" s="108"/>
      <c r="E187" s="17"/>
      <c r="F187" s="6"/>
      <c r="G187" s="93">
        <f>SUM('3:4'!G187)</f>
        <v>0</v>
      </c>
      <c r="H187" s="95">
        <f t="shared" si="65"/>
        <v>0</v>
      </c>
      <c r="I187" s="93">
        <f>SUM('3:4'!I187)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17</v>
      </c>
      <c r="M187" s="36">
        <f t="shared" si="62"/>
        <v>0</v>
      </c>
      <c r="N187" s="93">
        <f>SUM('3:4'!N187)</f>
        <v>0</v>
      </c>
      <c r="O187" s="93">
        <f>SUM('3:4'!O187)</f>
        <v>0</v>
      </c>
      <c r="P187" s="93">
        <f>SUM('3:4'!P187)</f>
        <v>0</v>
      </c>
      <c r="Q187" s="93">
        <f>SUM('3:4'!Q187)</f>
        <v>0</v>
      </c>
      <c r="R187" s="93">
        <f>SUM('3:4'!R187)</f>
        <v>0</v>
      </c>
      <c r="S187" s="93">
        <f>SUM('3:4'!S187)</f>
        <v>0</v>
      </c>
      <c r="T187" s="93">
        <f>SUM('3:4'!T187)</f>
        <v>0</v>
      </c>
      <c r="U187" s="93">
        <f>SUM('3:4'!U187)</f>
        <v>0</v>
      </c>
      <c r="V187" s="206">
        <f t="shared" si="63"/>
        <v>0</v>
      </c>
      <c r="W187" s="33" t="str">
        <f t="shared" si="64"/>
        <v/>
      </c>
      <c r="X187" s="93">
        <f>SUM('3:4'!X187)</f>
        <v>0</v>
      </c>
      <c r="Y187" s="93">
        <f>SUM('3:4'!Y187)</f>
        <v>0</v>
      </c>
      <c r="Z187" s="93">
        <f>SUM('3:4'!Z187)</f>
        <v>0</v>
      </c>
      <c r="AA187" s="93">
        <f>SUM('3:4'!AA187)</f>
        <v>0</v>
      </c>
      <c r="AB187" s="73"/>
      <c r="AC187" s="54"/>
      <c r="AD187" s="370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302">
        <v>30100061</v>
      </c>
      <c r="B188" s="202" t="s">
        <v>171</v>
      </c>
      <c r="C188" s="16" t="s">
        <v>173</v>
      </c>
      <c r="D188" s="108"/>
      <c r="E188" s="17"/>
      <c r="F188" s="6"/>
      <c r="G188" s="93">
        <f>SUM('3:4'!G188)</f>
        <v>0</v>
      </c>
      <c r="H188" s="95">
        <f t="shared" si="65"/>
        <v>0</v>
      </c>
      <c r="I188" s="93">
        <f>SUM('3:4'!I188)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62"/>
        <v>0</v>
      </c>
      <c r="N188" s="93">
        <f>SUM('3:4'!N188)</f>
        <v>0</v>
      </c>
      <c r="O188" s="93">
        <f>SUM('3:4'!O188)</f>
        <v>0</v>
      </c>
      <c r="P188" s="93">
        <f>SUM('3:4'!P188)</f>
        <v>0</v>
      </c>
      <c r="Q188" s="93">
        <f>SUM('3:4'!Q188)</f>
        <v>0</v>
      </c>
      <c r="R188" s="93">
        <f>SUM('3:4'!R188)</f>
        <v>0</v>
      </c>
      <c r="S188" s="93">
        <f>SUM('3:4'!S188)</f>
        <v>0</v>
      </c>
      <c r="T188" s="93">
        <f>SUM('3:4'!T188)</f>
        <v>0</v>
      </c>
      <c r="U188" s="93">
        <f>SUM('3:4'!U188)</f>
        <v>0</v>
      </c>
      <c r="V188" s="206">
        <f t="shared" si="63"/>
        <v>0</v>
      </c>
      <c r="W188" s="33" t="str">
        <f t="shared" si="64"/>
        <v/>
      </c>
      <c r="X188" s="93">
        <f>SUM('3:4'!X188)</f>
        <v>0</v>
      </c>
      <c r="Y188" s="93">
        <f>SUM('3:4'!Y188)</f>
        <v>0</v>
      </c>
      <c r="Z188" s="93">
        <f>SUM('3:4'!Z188)</f>
        <v>0</v>
      </c>
      <c r="AA188" s="93">
        <f>SUM('3:4'!AA188)</f>
        <v>0</v>
      </c>
      <c r="AB188" s="73"/>
      <c r="AC188" s="54"/>
      <c r="AD188" s="370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300">
        <v>30200001</v>
      </c>
      <c r="B189" s="202" t="s">
        <v>67</v>
      </c>
      <c r="C189" s="16" t="s">
        <v>63</v>
      </c>
      <c r="D189" s="108">
        <v>5.0599999999999996</v>
      </c>
      <c r="E189" s="17"/>
      <c r="F189" s="6"/>
      <c r="G189" s="93">
        <f>SUM('3:4'!G189)</f>
        <v>0</v>
      </c>
      <c r="H189" s="95">
        <f t="shared" si="65"/>
        <v>0</v>
      </c>
      <c r="I189" s="93">
        <f>SUM('3:4'!I189)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19</v>
      </c>
      <c r="M189" s="36">
        <f>IF(ISERROR(I189-K189),"",I189-K189)</f>
        <v>0</v>
      </c>
      <c r="N189" s="93">
        <f>SUM('3:4'!N189)</f>
        <v>0</v>
      </c>
      <c r="O189" s="93">
        <f>SUM('3:4'!O189)</f>
        <v>0</v>
      </c>
      <c r="P189" s="93">
        <f>SUM('3:4'!P189)</f>
        <v>0</v>
      </c>
      <c r="Q189" s="93">
        <f>SUM('3:4'!Q189)</f>
        <v>0</v>
      </c>
      <c r="R189" s="93">
        <f>SUM('3:4'!R189)</f>
        <v>0</v>
      </c>
      <c r="S189" s="93">
        <f>SUM('3:4'!S189)</f>
        <v>0</v>
      </c>
      <c r="T189" s="93">
        <f>SUM('3:4'!T189)</f>
        <v>0</v>
      </c>
      <c r="U189" s="93">
        <f>SUM('3:4'!U189)</f>
        <v>0</v>
      </c>
      <c r="V189" s="206">
        <f>SUM(X189:AA189)</f>
        <v>0</v>
      </c>
      <c r="W189" s="33" t="str">
        <f>IF(ISERROR(V189/G189),"",V189/G189)</f>
        <v/>
      </c>
      <c r="X189" s="93">
        <f>SUM('3:4'!X189)</f>
        <v>0</v>
      </c>
      <c r="Y189" s="93">
        <f>SUM('3:4'!Y189)</f>
        <v>0</v>
      </c>
      <c r="Z189" s="93">
        <f>SUM('3:4'!Z189)</f>
        <v>0</v>
      </c>
      <c r="AA189" s="93">
        <f>SUM('3:4'!AA189)</f>
        <v>0</v>
      </c>
      <c r="AB189" s="73"/>
      <c r="AC189" s="54"/>
      <c r="AD189" s="370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300">
        <v>30200002</v>
      </c>
      <c r="B190" s="62" t="s">
        <v>68</v>
      </c>
      <c r="C190" s="16" t="s">
        <v>63</v>
      </c>
      <c r="D190" s="17">
        <v>5.09</v>
      </c>
      <c r="E190" s="17"/>
      <c r="F190" s="6"/>
      <c r="G190" s="93">
        <f>SUM('3:4'!G190)</f>
        <v>0</v>
      </c>
      <c r="H190" s="95">
        <f t="shared" si="65"/>
        <v>0</v>
      </c>
      <c r="I190" s="93">
        <f>SUM('3:4'!I190)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87">
        <v>23</v>
      </c>
      <c r="M190" s="36">
        <f t="shared" ref="M190:M193" si="66">IF(ISERROR(I190-K190),"",I190-K190)</f>
        <v>0</v>
      </c>
      <c r="N190" s="93">
        <f>SUM('3:4'!N190)</f>
        <v>0</v>
      </c>
      <c r="O190" s="93">
        <f>SUM('3:4'!O190)</f>
        <v>0</v>
      </c>
      <c r="P190" s="93">
        <f>SUM('3:4'!P190)</f>
        <v>0</v>
      </c>
      <c r="Q190" s="93">
        <f>SUM('3:4'!Q190)</f>
        <v>0</v>
      </c>
      <c r="R190" s="93">
        <f>SUM('3:4'!R190)</f>
        <v>0</v>
      </c>
      <c r="S190" s="93">
        <f>SUM('3:4'!S190)</f>
        <v>0</v>
      </c>
      <c r="T190" s="93">
        <f>SUM('3:4'!T190)</f>
        <v>0</v>
      </c>
      <c r="U190" s="93">
        <f>SUM('3:4'!U190)</f>
        <v>0</v>
      </c>
      <c r="V190" s="206">
        <f t="shared" ref="V190:V193" si="67">SUM(X190:AA190)</f>
        <v>0</v>
      </c>
      <c r="W190" s="33" t="str">
        <f t="shared" ref="W190:W193" si="68">IF(ISERROR(V190/G190),"",V190/G190)</f>
        <v/>
      </c>
      <c r="X190" s="93">
        <f>SUM('3:4'!X190)</f>
        <v>0</v>
      </c>
      <c r="Y190" s="93">
        <f>SUM('3:4'!Y190)</f>
        <v>0</v>
      </c>
      <c r="Z190" s="93">
        <f>SUM('3:4'!Z190)</f>
        <v>0</v>
      </c>
      <c r="AA190" s="93">
        <f>SUM('3:4'!AA190)</f>
        <v>0</v>
      </c>
      <c r="AB190" s="73"/>
      <c r="AC190" s="54"/>
      <c r="AD190" s="370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300">
        <v>30200003</v>
      </c>
      <c r="B191" s="62" t="s">
        <v>68</v>
      </c>
      <c r="C191" s="16" t="s">
        <v>64</v>
      </c>
      <c r="D191" s="17">
        <v>5.09</v>
      </c>
      <c r="E191" s="17"/>
      <c r="F191" s="6"/>
      <c r="G191" s="93">
        <f>SUM('3:4'!G191)</f>
        <v>0</v>
      </c>
      <c r="H191" s="95">
        <f t="shared" si="65"/>
        <v>0</v>
      </c>
      <c r="I191" s="93">
        <f>SUM('3:4'!I191)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23</v>
      </c>
      <c r="M191" s="36">
        <f t="shared" si="66"/>
        <v>0</v>
      </c>
      <c r="N191" s="93">
        <f>SUM('3:4'!N191)</f>
        <v>0</v>
      </c>
      <c r="O191" s="93">
        <f>SUM('3:4'!O191)</f>
        <v>0</v>
      </c>
      <c r="P191" s="93">
        <f>SUM('3:4'!P191)</f>
        <v>0</v>
      </c>
      <c r="Q191" s="93">
        <f>SUM('3:4'!Q191)</f>
        <v>0</v>
      </c>
      <c r="R191" s="93">
        <f>SUM('3:4'!R191)</f>
        <v>0</v>
      </c>
      <c r="S191" s="93">
        <f>SUM('3:4'!S191)</f>
        <v>0</v>
      </c>
      <c r="T191" s="93">
        <f>SUM('3:4'!T191)</f>
        <v>0</v>
      </c>
      <c r="U191" s="93">
        <f>SUM('3:4'!U191)</f>
        <v>0</v>
      </c>
      <c r="V191" s="206">
        <f t="shared" si="67"/>
        <v>0</v>
      </c>
      <c r="W191" s="33" t="str">
        <f t="shared" si="68"/>
        <v/>
      </c>
      <c r="X191" s="93">
        <f>SUM('3:4'!X191)</f>
        <v>0</v>
      </c>
      <c r="Y191" s="93">
        <f>SUM('3:4'!Y191)</f>
        <v>0</v>
      </c>
      <c r="Z191" s="93">
        <f>SUM('3:4'!Z191)</f>
        <v>0</v>
      </c>
      <c r="AA191" s="93">
        <f>SUM('3:4'!AA191)</f>
        <v>0</v>
      </c>
      <c r="AB191" s="73"/>
      <c r="AC191" s="54"/>
      <c r="AD191" s="370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300">
        <v>30100003</v>
      </c>
      <c r="B192" s="141" t="s">
        <v>198</v>
      </c>
      <c r="C192" s="356" t="s">
        <v>190</v>
      </c>
      <c r="D192" s="108">
        <v>4.8</v>
      </c>
      <c r="E192" s="17"/>
      <c r="F192" s="6"/>
      <c r="G192" s="93">
        <f>SUM('3:4'!G192)</f>
        <v>0</v>
      </c>
      <c r="H192" s="95">
        <f t="shared" si="65"/>
        <v>0</v>
      </c>
      <c r="I192" s="93">
        <f>SUM('3:4'!I192)</f>
        <v>0</v>
      </c>
      <c r="J192" s="31" t="str">
        <f t="array" ref="J192">IF(ISERROR(G192/I192),"",G192/I192)</f>
        <v/>
      </c>
      <c r="K192" s="35">
        <f t="array" ref="K192">IF(ISERROR(G192/L192),"",G192/L192)</f>
        <v>0</v>
      </c>
      <c r="L192" s="87">
        <v>4</v>
      </c>
      <c r="M192" s="36">
        <f t="shared" si="66"/>
        <v>0</v>
      </c>
      <c r="N192" s="93">
        <f>SUM('3:4'!N192)</f>
        <v>0</v>
      </c>
      <c r="O192" s="93">
        <f>SUM('3:4'!O192)</f>
        <v>0</v>
      </c>
      <c r="P192" s="93">
        <f>SUM('3:4'!P192)</f>
        <v>0</v>
      </c>
      <c r="Q192" s="93">
        <f>SUM('3:4'!Q192)</f>
        <v>0</v>
      </c>
      <c r="R192" s="93">
        <f>SUM('3:4'!R192)</f>
        <v>0</v>
      </c>
      <c r="S192" s="93">
        <f>SUM('3:4'!S192)</f>
        <v>0</v>
      </c>
      <c r="T192" s="93">
        <f>SUM('3:4'!T192)</f>
        <v>0</v>
      </c>
      <c r="U192" s="93">
        <f>SUM('3:4'!U192)</f>
        <v>0</v>
      </c>
      <c r="V192" s="206">
        <f t="shared" si="67"/>
        <v>0</v>
      </c>
      <c r="W192" s="33" t="str">
        <f t="shared" si="68"/>
        <v/>
      </c>
      <c r="X192" s="93">
        <f>SUM('3:4'!X192)</f>
        <v>0</v>
      </c>
      <c r="Y192" s="93">
        <f>SUM('3:4'!Y192)</f>
        <v>0</v>
      </c>
      <c r="Z192" s="93">
        <f>SUM('3:4'!Z192)</f>
        <v>0</v>
      </c>
      <c r="AA192" s="93">
        <f>SUM('3:4'!AA192)</f>
        <v>0</v>
      </c>
      <c r="AB192" s="73"/>
      <c r="AC192" s="54"/>
      <c r="AD192" s="370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300">
        <v>30100004</v>
      </c>
      <c r="B193" s="141" t="s">
        <v>198</v>
      </c>
      <c r="C193" s="356" t="s">
        <v>187</v>
      </c>
      <c r="D193" s="108">
        <v>4.8</v>
      </c>
      <c r="E193" s="17"/>
      <c r="F193" s="13"/>
      <c r="G193" s="93">
        <f>SUM('3:4'!G193)</f>
        <v>0</v>
      </c>
      <c r="H193" s="95">
        <f t="shared" si="65"/>
        <v>0</v>
      </c>
      <c r="I193" s="93">
        <f>SUM('3:4'!I193)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66"/>
        <v>0</v>
      </c>
      <c r="N193" s="93">
        <f>SUM('3:4'!N193)</f>
        <v>0</v>
      </c>
      <c r="O193" s="93">
        <f>SUM('3:4'!O193)</f>
        <v>0</v>
      </c>
      <c r="P193" s="93">
        <f>SUM('3:4'!P193)</f>
        <v>0</v>
      </c>
      <c r="Q193" s="93">
        <f>SUM('3:4'!Q193)</f>
        <v>0</v>
      </c>
      <c r="R193" s="93">
        <f>SUM('3:4'!R193)</f>
        <v>0</v>
      </c>
      <c r="S193" s="93">
        <f>SUM('3:4'!S193)</f>
        <v>0</v>
      </c>
      <c r="T193" s="93">
        <f>SUM('3:4'!T193)</f>
        <v>0</v>
      </c>
      <c r="U193" s="93">
        <f>SUM('3:4'!U193)</f>
        <v>0</v>
      </c>
      <c r="V193" s="206">
        <f t="shared" si="67"/>
        <v>0</v>
      </c>
      <c r="W193" s="33" t="str">
        <f t="shared" si="68"/>
        <v/>
      </c>
      <c r="X193" s="93">
        <f>SUM('3:4'!X193)</f>
        <v>0</v>
      </c>
      <c r="Y193" s="93">
        <f>SUM('3:4'!Y193)</f>
        <v>0</v>
      </c>
      <c r="Z193" s="93">
        <f>SUM('3:4'!Z193)</f>
        <v>0</v>
      </c>
      <c r="AA193" s="93">
        <f>SUM('3:4'!AA193)</f>
        <v>0</v>
      </c>
      <c r="AB193" s="73"/>
      <c r="AC193" s="54"/>
      <c r="AD193" s="370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300">
        <v>30100006</v>
      </c>
      <c r="B194" s="141" t="s">
        <v>198</v>
      </c>
      <c r="C194" s="356" t="s">
        <v>179</v>
      </c>
      <c r="D194" s="108">
        <v>4.8</v>
      </c>
      <c r="E194" s="17"/>
      <c r="F194" s="13"/>
      <c r="G194" s="93">
        <f>SUM('3:4'!G194)</f>
        <v>0</v>
      </c>
      <c r="H194" s="95">
        <f t="shared" si="65"/>
        <v>0</v>
      </c>
      <c r="I194" s="93">
        <f>SUM('3:4'!I194)</f>
        <v>0</v>
      </c>
      <c r="J194" s="31"/>
      <c r="K194" s="35">
        <f t="array" ref="K194">IF(ISERROR(G194/L194),"",G194/L194)</f>
        <v>0</v>
      </c>
      <c r="L194" s="87">
        <v>4</v>
      </c>
      <c r="M194" s="36">
        <f>IF(ISERROR(I194-K194),"",I194-K194)</f>
        <v>0</v>
      </c>
      <c r="N194" s="93">
        <f>SUM('3:4'!N194)</f>
        <v>0</v>
      </c>
      <c r="O194" s="93">
        <f>SUM('3:4'!O194)</f>
        <v>0</v>
      </c>
      <c r="P194" s="93">
        <f>SUM('3:4'!P194)</f>
        <v>0</v>
      </c>
      <c r="Q194" s="93">
        <f>SUM('3:4'!Q194)</f>
        <v>0</v>
      </c>
      <c r="R194" s="93">
        <f>SUM('3:4'!R194)</f>
        <v>0</v>
      </c>
      <c r="S194" s="93">
        <f>SUM('3:4'!S194)</f>
        <v>0</v>
      </c>
      <c r="T194" s="93">
        <f>SUM('3:4'!T194)</f>
        <v>0</v>
      </c>
      <c r="U194" s="93">
        <f>SUM('3:4'!U194)</f>
        <v>0</v>
      </c>
      <c r="V194" s="206"/>
      <c r="W194" s="33"/>
      <c r="X194" s="93">
        <f>SUM('3:4'!X194)</f>
        <v>0</v>
      </c>
      <c r="Y194" s="93">
        <f>SUM('3:4'!Y194)</f>
        <v>0</v>
      </c>
      <c r="Z194" s="93">
        <f>SUM('3:4'!Z194)</f>
        <v>0</v>
      </c>
      <c r="AA194" s="93">
        <f>SUM('3:4'!AA194)</f>
        <v>0</v>
      </c>
      <c r="AB194" s="73"/>
      <c r="AC194" s="54"/>
      <c r="AD194" s="370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300">
        <v>30100005</v>
      </c>
      <c r="B195" s="141" t="s">
        <v>198</v>
      </c>
      <c r="C195" s="356" t="s">
        <v>199</v>
      </c>
      <c r="D195" s="108">
        <v>4.8</v>
      </c>
      <c r="E195" s="17"/>
      <c r="F195" s="13"/>
      <c r="G195" s="93">
        <f>SUM('3:4'!G195)</f>
        <v>0</v>
      </c>
      <c r="H195" s="95">
        <f t="shared" si="65"/>
        <v>0</v>
      </c>
      <c r="I195" s="93">
        <f>SUM('3:4'!I195)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>IF(ISERROR(I195-K195),"",I195-K195)</f>
        <v>0</v>
      </c>
      <c r="N195" s="93">
        <f>SUM('3:4'!N195)</f>
        <v>0</v>
      </c>
      <c r="O195" s="93">
        <f>SUM('3:4'!O195)</f>
        <v>0</v>
      </c>
      <c r="P195" s="93">
        <f>SUM('3:4'!P195)</f>
        <v>0</v>
      </c>
      <c r="Q195" s="93">
        <f>SUM('3:4'!Q195)</f>
        <v>0</v>
      </c>
      <c r="R195" s="93">
        <f>SUM('3:4'!R195)</f>
        <v>0</v>
      </c>
      <c r="S195" s="93">
        <f>SUM('3:4'!S195)</f>
        <v>0</v>
      </c>
      <c r="T195" s="93">
        <f>SUM('3:4'!T195)</f>
        <v>0</v>
      </c>
      <c r="U195" s="93">
        <f>SUM('3:4'!U195)</f>
        <v>0</v>
      </c>
      <c r="V195" s="206"/>
      <c r="W195" s="33"/>
      <c r="X195" s="93">
        <f>SUM('3:4'!X195)</f>
        <v>0</v>
      </c>
      <c r="Y195" s="93">
        <f>SUM('3:4'!Y195)</f>
        <v>0</v>
      </c>
      <c r="Z195" s="93">
        <f>SUM('3:4'!Z195)</f>
        <v>0</v>
      </c>
      <c r="AA195" s="93">
        <f>SUM('3:4'!AA195)</f>
        <v>0</v>
      </c>
      <c r="AB195" s="73"/>
      <c r="AC195" s="54"/>
      <c r="AD195" s="370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300">
        <v>30100009</v>
      </c>
      <c r="B196" s="141" t="s">
        <v>200</v>
      </c>
      <c r="C196" s="126" t="s">
        <v>190</v>
      </c>
      <c r="D196" s="108">
        <v>4.99</v>
      </c>
      <c r="E196" s="17"/>
      <c r="F196" s="13"/>
      <c r="G196" s="93">
        <f>SUM('3:4'!G196)</f>
        <v>0</v>
      </c>
      <c r="H196" s="95">
        <f t="shared" si="65"/>
        <v>0</v>
      </c>
      <c r="I196" s="93">
        <f>SUM('3:4'!I196)</f>
        <v>0</v>
      </c>
      <c r="J196" s="31"/>
      <c r="K196" s="35">
        <f t="array" ref="K196">IF(ISERROR(G196/L196),"",G196/L196)</f>
        <v>0</v>
      </c>
      <c r="L196" s="87">
        <v>23.5</v>
      </c>
      <c r="M196" s="36">
        <f>IF(ISERROR(I196-K196),"",I196-K196)</f>
        <v>0</v>
      </c>
      <c r="N196" s="93">
        <f>SUM('3:4'!N196)</f>
        <v>0</v>
      </c>
      <c r="O196" s="93">
        <f>SUM('3:4'!O196)</f>
        <v>0</v>
      </c>
      <c r="P196" s="93">
        <f>SUM('3:4'!P196)</f>
        <v>0</v>
      </c>
      <c r="Q196" s="93">
        <f>SUM('3:4'!Q196)</f>
        <v>0</v>
      </c>
      <c r="R196" s="93">
        <f>SUM('3:4'!R196)</f>
        <v>0</v>
      </c>
      <c r="S196" s="93">
        <f>SUM('3:4'!S196)</f>
        <v>0</v>
      </c>
      <c r="T196" s="93">
        <f>SUM('3:4'!T196)</f>
        <v>0</v>
      </c>
      <c r="U196" s="93">
        <f>SUM('3:4'!U196)</f>
        <v>0</v>
      </c>
      <c r="V196" s="206"/>
      <c r="W196" s="33"/>
      <c r="X196" s="93">
        <f>SUM('3:4'!X196)</f>
        <v>0</v>
      </c>
      <c r="Y196" s="93">
        <f>SUM('3:4'!Y196)</f>
        <v>0</v>
      </c>
      <c r="Z196" s="93">
        <f>SUM('3:4'!Z196)</f>
        <v>0</v>
      </c>
      <c r="AA196" s="93">
        <f>SUM('3:4'!AA196)</f>
        <v>0</v>
      </c>
      <c r="AB196" s="73"/>
      <c r="AC196" s="54"/>
      <c r="AD196" s="370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299">
        <v>30200004</v>
      </c>
      <c r="B197" s="141" t="s">
        <v>200</v>
      </c>
      <c r="C197" s="126" t="s">
        <v>189</v>
      </c>
      <c r="D197" s="108">
        <v>4.99</v>
      </c>
      <c r="E197" s="17"/>
      <c r="F197" s="13"/>
      <c r="G197" s="93">
        <f>SUM('3:4'!G197)</f>
        <v>0</v>
      </c>
      <c r="H197" s="95">
        <f t="shared" si="65"/>
        <v>0</v>
      </c>
      <c r="I197" s="93">
        <f>SUM('3:4'!I197)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>IF(ISERROR(I197-K197),"",I197-K197)</f>
        <v>0</v>
      </c>
      <c r="N197" s="93">
        <f>SUM('3:4'!N197)</f>
        <v>0</v>
      </c>
      <c r="O197" s="93">
        <f>SUM('3:4'!O197)</f>
        <v>0</v>
      </c>
      <c r="P197" s="93">
        <f>SUM('3:4'!P197)</f>
        <v>0</v>
      </c>
      <c r="Q197" s="93">
        <f>SUM('3:4'!Q197)</f>
        <v>0</v>
      </c>
      <c r="R197" s="93">
        <f>SUM('3:4'!R197)</f>
        <v>0</v>
      </c>
      <c r="S197" s="93">
        <f>SUM('3:4'!S197)</f>
        <v>0</v>
      </c>
      <c r="T197" s="93">
        <f>SUM('3:4'!T197)</f>
        <v>0</v>
      </c>
      <c r="U197" s="93">
        <f>SUM('3:4'!U197)</f>
        <v>0</v>
      </c>
      <c r="V197" s="206"/>
      <c r="W197" s="33"/>
      <c r="X197" s="93">
        <f>SUM('3:4'!X197)</f>
        <v>0</v>
      </c>
      <c r="Y197" s="93">
        <f>SUM('3:4'!Y197)</f>
        <v>0</v>
      </c>
      <c r="Z197" s="93">
        <f>SUM('3:4'!Z197)</f>
        <v>0</v>
      </c>
      <c r="AA197" s="93">
        <f>SUM('3:4'!AA197)</f>
        <v>0</v>
      </c>
      <c r="AB197" s="73"/>
      <c r="AC197" s="54"/>
      <c r="AD197" s="370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722" t="s">
        <v>70</v>
      </c>
      <c r="B198" s="723"/>
      <c r="C198" s="31" t="s">
        <v>71</v>
      </c>
      <c r="D198" s="30"/>
      <c r="E198" s="30"/>
      <c r="F198" s="30"/>
      <c r="G198" s="94">
        <f>SUM(G177:G197)</f>
        <v>0</v>
      </c>
      <c r="H198" s="30">
        <f>SUM(H177:H197)</f>
        <v>0</v>
      </c>
      <c r="I198" s="30">
        <f>SUM(I177:I197)</f>
        <v>0</v>
      </c>
      <c r="J198" s="31" t="str">
        <f t="array" ref="J198">IF(ISERROR(G198/I198),"",G198/I198)</f>
        <v/>
      </c>
      <c r="K198" s="30">
        <f>SUM(K177:K197)</f>
        <v>0</v>
      </c>
      <c r="L198" s="98"/>
      <c r="M198" s="89">
        <f t="shared" ref="M198:AA198" si="69">SUM(M177:M197)</f>
        <v>0</v>
      </c>
      <c r="N198" s="30">
        <f t="shared" si="69"/>
        <v>0</v>
      </c>
      <c r="O198" s="34">
        <f t="shared" si="69"/>
        <v>0</v>
      </c>
      <c r="P198" s="34">
        <f t="shared" si="69"/>
        <v>0</v>
      </c>
      <c r="Q198" s="34">
        <f t="shared" si="69"/>
        <v>0</v>
      </c>
      <c r="R198" s="34">
        <f t="shared" si="69"/>
        <v>0</v>
      </c>
      <c r="S198" s="34">
        <f t="shared" si="69"/>
        <v>0</v>
      </c>
      <c r="T198" s="34">
        <f t="shared" si="69"/>
        <v>0</v>
      </c>
      <c r="U198" s="34">
        <f t="shared" si="69"/>
        <v>0</v>
      </c>
      <c r="V198" s="206">
        <f t="shared" si="69"/>
        <v>0</v>
      </c>
      <c r="W198" s="33">
        <f t="shared" si="69"/>
        <v>0</v>
      </c>
      <c r="X198" s="92">
        <f t="shared" si="69"/>
        <v>0</v>
      </c>
      <c r="Y198" s="92">
        <f t="shared" si="69"/>
        <v>0</v>
      </c>
      <c r="Z198" s="92">
        <f t="shared" si="69"/>
        <v>0</v>
      </c>
      <c r="AA198" s="92">
        <f t="shared" si="69"/>
        <v>0</v>
      </c>
      <c r="AB198" s="70"/>
      <c r="AC198" s="70"/>
      <c r="AD198" s="58"/>
      <c r="AE198" s="70"/>
      <c r="AF198" s="70"/>
      <c r="AG198" s="70"/>
      <c r="AH198" s="70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</row>
    <row r="199" spans="1:53">
      <c r="A199" s="300">
        <v>30100012</v>
      </c>
      <c r="B199" s="61" t="s">
        <v>76</v>
      </c>
      <c r="C199" s="16" t="s">
        <v>73</v>
      </c>
      <c r="D199" s="17">
        <v>5.03</v>
      </c>
      <c r="E199" s="17"/>
      <c r="F199" s="6"/>
      <c r="G199" s="93">
        <f>SUM('3:4'!G199)</f>
        <v>0</v>
      </c>
      <c r="H199" s="364">
        <f t="shared" ref="H199:H255" si="70">D199*G199</f>
        <v>0</v>
      </c>
      <c r="I199" s="93">
        <f>SUM('3:4'!I199)</f>
        <v>0</v>
      </c>
      <c r="J199" s="31" t="str">
        <f t="array" ref="J199">IF(ISERROR(G199/I199),"",G199/I199)</f>
        <v/>
      </c>
      <c r="K199" s="35">
        <f t="array" ref="K199">IF(ISERROR(G199/L199),"",G199/L199)</f>
        <v>0</v>
      </c>
      <c r="L199" s="87">
        <v>52</v>
      </c>
      <c r="M199" s="36">
        <f t="shared" ref="M199" si="71">IF(ISERROR(I199-K199),"",I199-K199)</f>
        <v>0</v>
      </c>
      <c r="N199" s="93">
        <f>SUM('3:4'!N199)</f>
        <v>0</v>
      </c>
      <c r="O199" s="93">
        <f>SUM('3:4'!O199)</f>
        <v>0</v>
      </c>
      <c r="P199" s="93">
        <f>SUM('3:4'!P199)</f>
        <v>0</v>
      </c>
      <c r="Q199" s="93">
        <f>SUM('3:4'!Q199)</f>
        <v>0</v>
      </c>
      <c r="R199" s="93">
        <f>SUM('3:4'!R199)</f>
        <v>0</v>
      </c>
      <c r="S199" s="93">
        <f>SUM('3:4'!S199)</f>
        <v>0</v>
      </c>
      <c r="T199" s="93">
        <f>SUM('3:4'!T199)</f>
        <v>0</v>
      </c>
      <c r="U199" s="93">
        <f>SUM('3:4'!U199)</f>
        <v>0</v>
      </c>
      <c r="V199" s="206">
        <f t="shared" ref="V199" si="72">SUM(X199:AA199)</f>
        <v>0</v>
      </c>
      <c r="W199" s="33" t="str">
        <f t="shared" ref="W199" si="73">IF(ISERROR(V199/G199),"",V199/G199)</f>
        <v/>
      </c>
      <c r="X199" s="93">
        <f>SUM('3:4'!X199)</f>
        <v>0</v>
      </c>
      <c r="Y199" s="93">
        <f>SUM('3:4'!Y199)</f>
        <v>0</v>
      </c>
      <c r="Z199" s="93">
        <f>SUM('3:4'!Z199)</f>
        <v>0</v>
      </c>
      <c r="AA199" s="93">
        <f>SUM('3:4'!AA199)</f>
        <v>0</v>
      </c>
      <c r="AB199" s="25"/>
      <c r="AC199" s="54"/>
      <c r="AD199" s="370"/>
      <c r="AE199" s="54"/>
      <c r="AF199" s="54"/>
      <c r="AG199" s="54"/>
      <c r="AH199" s="54"/>
      <c r="AI199" s="57"/>
      <c r="AJ199" s="57"/>
      <c r="AK199" s="57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</row>
    <row r="200" spans="1:53">
      <c r="A200" s="300">
        <v>30100011</v>
      </c>
      <c r="B200" s="190" t="s">
        <v>425</v>
      </c>
      <c r="C200" s="187" t="s">
        <v>427</v>
      </c>
      <c r="D200" s="17">
        <v>5.03</v>
      </c>
      <c r="E200" s="17"/>
      <c r="F200" s="6"/>
      <c r="G200" s="93">
        <f>SUM('3:4'!G200)</f>
        <v>0</v>
      </c>
      <c r="H200" s="364">
        <f t="shared" si="70"/>
        <v>0</v>
      </c>
      <c r="I200" s="93">
        <f>SUM('3:4'!I200)</f>
        <v>0</v>
      </c>
      <c r="J200" s="31"/>
      <c r="K200" s="35"/>
      <c r="L200" s="87">
        <v>52</v>
      </c>
      <c r="M200" s="36"/>
      <c r="N200" s="93"/>
      <c r="O200" s="93"/>
      <c r="P200" s="93"/>
      <c r="Q200" s="93"/>
      <c r="R200" s="93"/>
      <c r="S200" s="93"/>
      <c r="T200" s="93"/>
      <c r="U200" s="93"/>
      <c r="V200" s="206"/>
      <c r="W200" s="33"/>
      <c r="X200" s="93"/>
      <c r="Y200" s="93"/>
      <c r="Z200" s="93"/>
      <c r="AA200" s="93"/>
      <c r="AB200" s="25"/>
      <c r="AC200" s="54"/>
      <c r="AD200" s="370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 ht="17.25" customHeight="1">
      <c r="A201" s="300">
        <v>30100010</v>
      </c>
      <c r="B201" s="61" t="s">
        <v>76</v>
      </c>
      <c r="C201" s="16" t="s">
        <v>60</v>
      </c>
      <c r="D201" s="17">
        <v>5.03</v>
      </c>
      <c r="E201" s="17"/>
      <c r="F201" s="6"/>
      <c r="G201" s="93">
        <f>SUM('3:4'!G201)</f>
        <v>0</v>
      </c>
      <c r="H201" s="364">
        <f t="shared" si="70"/>
        <v>0</v>
      </c>
      <c r="I201" s="93">
        <f>SUM('3:4'!I201)</f>
        <v>0</v>
      </c>
      <c r="J201" s="31" t="str">
        <f t="array" ref="J201">IF(ISERROR(G201/I201),"",G201/I201)</f>
        <v/>
      </c>
      <c r="K201" s="35">
        <f t="array" ref="K201">IF(ISERROR(G201/L201),"",G201/L201)</f>
        <v>0</v>
      </c>
      <c r="L201" s="87">
        <v>52</v>
      </c>
      <c r="M201" s="36">
        <f t="shared" ref="M201" si="74">IF(ISERROR(I201-K201),"",I201-K201)</f>
        <v>0</v>
      </c>
      <c r="N201" s="93">
        <f>SUM('3:4'!N201)</f>
        <v>0</v>
      </c>
      <c r="O201" s="93">
        <f>SUM('3:4'!O201)</f>
        <v>0</v>
      </c>
      <c r="P201" s="93">
        <f>SUM('3:4'!P201)</f>
        <v>0</v>
      </c>
      <c r="Q201" s="93">
        <f>SUM('3:4'!Q201)</f>
        <v>0</v>
      </c>
      <c r="R201" s="93">
        <f>SUM('3:4'!R201)</f>
        <v>0</v>
      </c>
      <c r="S201" s="93">
        <f>SUM('3:4'!S201)</f>
        <v>0</v>
      </c>
      <c r="T201" s="93">
        <f>SUM('3:4'!T201)</f>
        <v>0</v>
      </c>
      <c r="U201" s="93">
        <f>SUM('3:4'!U201)</f>
        <v>0</v>
      </c>
      <c r="V201" s="206">
        <f t="shared" ref="V201:V203" si="75">SUM(X201:AA201)</f>
        <v>0</v>
      </c>
      <c r="W201" s="33" t="str">
        <f t="shared" ref="W201:W203" si="76">IF(ISERROR(V201/G201),"",V201/G201)</f>
        <v/>
      </c>
      <c r="X201" s="93">
        <f>SUM('3:4'!X201)</f>
        <v>0</v>
      </c>
      <c r="Y201" s="93">
        <f>SUM('3:4'!Y201)</f>
        <v>0</v>
      </c>
      <c r="Z201" s="93">
        <f>SUM('3:4'!Z201)</f>
        <v>0</v>
      </c>
      <c r="AA201" s="93">
        <f>SUM('3:4'!AA201)</f>
        <v>0</v>
      </c>
      <c r="AB201" s="25"/>
      <c r="AC201" s="54"/>
      <c r="AD201" s="370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>
      <c r="A202" s="300">
        <v>30100014</v>
      </c>
      <c r="B202" s="61" t="s">
        <v>76</v>
      </c>
      <c r="C202" s="16" t="s">
        <v>72</v>
      </c>
      <c r="D202" s="17">
        <v>5.03</v>
      </c>
      <c r="E202" s="17"/>
      <c r="F202" s="6"/>
      <c r="G202" s="93">
        <f>SUM('3:4'!G202)</f>
        <v>0</v>
      </c>
      <c r="H202" s="364">
        <f t="shared" si="70"/>
        <v>0</v>
      </c>
      <c r="I202" s="93">
        <f>SUM('3:4'!I202)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>IF(ISERROR(I202-K202),"",I202-K202)</f>
        <v>0</v>
      </c>
      <c r="N202" s="93">
        <f>SUM('3:4'!N202)</f>
        <v>0</v>
      </c>
      <c r="O202" s="93">
        <f>SUM('3:4'!O202)</f>
        <v>0</v>
      </c>
      <c r="P202" s="93">
        <f>SUM('3:4'!P202)</f>
        <v>0</v>
      </c>
      <c r="Q202" s="93">
        <f>SUM('3:4'!Q202)</f>
        <v>0</v>
      </c>
      <c r="R202" s="93">
        <f>SUM('3:4'!R202)</f>
        <v>0</v>
      </c>
      <c r="S202" s="93">
        <f>SUM('3:4'!S202)</f>
        <v>0</v>
      </c>
      <c r="T202" s="93">
        <f>SUM('3:4'!T202)</f>
        <v>0</v>
      </c>
      <c r="U202" s="93">
        <f>SUM('3:4'!U202)</f>
        <v>0</v>
      </c>
      <c r="V202" s="206">
        <f t="shared" si="75"/>
        <v>0</v>
      </c>
      <c r="W202" s="33" t="str">
        <f t="shared" si="76"/>
        <v/>
      </c>
      <c r="X202" s="93">
        <f>SUM('3:4'!X202)</f>
        <v>0</v>
      </c>
      <c r="Y202" s="93">
        <f>SUM('3:4'!Y202)</f>
        <v>0</v>
      </c>
      <c r="Z202" s="93">
        <f>SUM('3:4'!Z202)</f>
        <v>0</v>
      </c>
      <c r="AA202" s="93">
        <f>SUM('3:4'!AA202)</f>
        <v>0</v>
      </c>
      <c r="AB202" s="25"/>
      <c r="AC202" s="54"/>
      <c r="AD202" s="370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300">
        <v>30100013</v>
      </c>
      <c r="B203" s="61" t="s">
        <v>76</v>
      </c>
      <c r="C203" s="16" t="s">
        <v>77</v>
      </c>
      <c r="D203" s="17">
        <v>5.03</v>
      </c>
      <c r="E203" s="17"/>
      <c r="F203" s="6"/>
      <c r="G203" s="93">
        <f>SUM('3:4'!G203)</f>
        <v>0</v>
      </c>
      <c r="H203" s="364">
        <f t="shared" si="70"/>
        <v>0</v>
      </c>
      <c r="I203" s="93">
        <f>SUM('3:4'!I203)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 t="shared" ref="M203" si="77">IF(ISERROR(I203-K203),"",I203-K203)</f>
        <v>0</v>
      </c>
      <c r="N203" s="93">
        <f>SUM('3:4'!N203)</f>
        <v>0</v>
      </c>
      <c r="O203" s="93">
        <f>SUM('3:4'!O203)</f>
        <v>0</v>
      </c>
      <c r="P203" s="93">
        <f>SUM('3:4'!P203)</f>
        <v>0</v>
      </c>
      <c r="Q203" s="93">
        <f>SUM('3:4'!Q203)</f>
        <v>0</v>
      </c>
      <c r="R203" s="93">
        <f>SUM('3:4'!R203)</f>
        <v>0</v>
      </c>
      <c r="S203" s="93">
        <f>SUM('3:4'!S203)</f>
        <v>0</v>
      </c>
      <c r="T203" s="93">
        <f>SUM('3:4'!T203)</f>
        <v>0</v>
      </c>
      <c r="U203" s="93">
        <f>SUM('3:4'!U203)</f>
        <v>0</v>
      </c>
      <c r="V203" s="206">
        <f t="shared" si="75"/>
        <v>0</v>
      </c>
      <c r="W203" s="33" t="str">
        <f t="shared" si="76"/>
        <v/>
      </c>
      <c r="X203" s="93">
        <f>SUM('3:4'!X203)</f>
        <v>0</v>
      </c>
      <c r="Y203" s="93">
        <f>SUM('3:4'!Y203)</f>
        <v>0</v>
      </c>
      <c r="Z203" s="93">
        <f>SUM('3:4'!Z203)</f>
        <v>0</v>
      </c>
      <c r="AA203" s="93">
        <f>SUM('3:4'!AA203)</f>
        <v>0</v>
      </c>
      <c r="AB203" s="25"/>
      <c r="AC203" s="54"/>
      <c r="AD203" s="370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300">
        <v>30100016</v>
      </c>
      <c r="B204" s="355" t="s">
        <v>414</v>
      </c>
      <c r="C204" s="187" t="s">
        <v>415</v>
      </c>
      <c r="D204" s="17">
        <v>5.03</v>
      </c>
      <c r="E204" s="17"/>
      <c r="F204" s="6"/>
      <c r="G204" s="93">
        <f>SUM('3:4'!G204)</f>
        <v>0</v>
      </c>
      <c r="H204" s="364">
        <f t="shared" si="70"/>
        <v>0</v>
      </c>
      <c r="I204" s="93">
        <f>SUM('3:4'!I204)</f>
        <v>0</v>
      </c>
      <c r="J204" s="31"/>
      <c r="K204" s="35"/>
      <c r="L204" s="87">
        <v>52</v>
      </c>
      <c r="M204" s="36"/>
      <c r="N204" s="93"/>
      <c r="O204" s="93"/>
      <c r="P204" s="93"/>
      <c r="Q204" s="93"/>
      <c r="R204" s="93"/>
      <c r="S204" s="93"/>
      <c r="T204" s="93"/>
      <c r="U204" s="93"/>
      <c r="V204" s="206"/>
      <c r="W204" s="33"/>
      <c r="X204" s="93"/>
      <c r="Y204" s="93"/>
      <c r="Z204" s="93"/>
      <c r="AA204" s="93"/>
      <c r="AB204" s="25"/>
      <c r="AC204" s="54"/>
      <c r="AD204" s="370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300">
        <v>30100017</v>
      </c>
      <c r="B205" s="355" t="s">
        <v>414</v>
      </c>
      <c r="C205" s="187" t="s">
        <v>416</v>
      </c>
      <c r="D205" s="17">
        <v>5.03</v>
      </c>
      <c r="E205" s="17"/>
      <c r="F205" s="6"/>
      <c r="G205" s="93">
        <f>SUM('3:4'!G205)</f>
        <v>0</v>
      </c>
      <c r="H205" s="364">
        <f t="shared" si="70"/>
        <v>0</v>
      </c>
      <c r="I205" s="93">
        <f>SUM('3:4'!I205)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6"/>
      <c r="W205" s="33"/>
      <c r="X205" s="93"/>
      <c r="Y205" s="93"/>
      <c r="Z205" s="93"/>
      <c r="AA205" s="93"/>
      <c r="AB205" s="25"/>
      <c r="AC205" s="54"/>
      <c r="AD205" s="370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300">
        <v>30100015</v>
      </c>
      <c r="B206" s="355" t="s">
        <v>414</v>
      </c>
      <c r="C206" s="187" t="s">
        <v>61</v>
      </c>
      <c r="D206" s="17">
        <v>5.03</v>
      </c>
      <c r="E206" s="17"/>
      <c r="F206" s="6"/>
      <c r="G206" s="93">
        <f>SUM('3:4'!G206)</f>
        <v>0</v>
      </c>
      <c r="H206" s="364">
        <f t="shared" si="70"/>
        <v>0</v>
      </c>
      <c r="I206" s="93">
        <f>SUM('3:4'!I206)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6"/>
      <c r="W206" s="33"/>
      <c r="X206" s="93"/>
      <c r="Y206" s="93"/>
      <c r="Z206" s="93"/>
      <c r="AA206" s="93"/>
      <c r="AB206" s="25"/>
      <c r="AC206" s="54"/>
      <c r="AD206" s="370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300">
        <v>30100027</v>
      </c>
      <c r="B207" s="61" t="s">
        <v>78</v>
      </c>
      <c r="C207" s="16" t="s">
        <v>53</v>
      </c>
      <c r="D207" s="17">
        <v>5.08</v>
      </c>
      <c r="E207" s="17"/>
      <c r="F207" s="6"/>
      <c r="G207" s="93">
        <f>SUM('3:4'!G207)</f>
        <v>0</v>
      </c>
      <c r="H207" s="364">
        <f t="shared" si="70"/>
        <v>0</v>
      </c>
      <c r="I207" s="93">
        <f>SUM('3:4'!I207)</f>
        <v>0</v>
      </c>
      <c r="J207" s="31" t="str">
        <f t="array" ref="J207">IF(ISERROR(G207/I207),"",G207/I207)</f>
        <v/>
      </c>
      <c r="K207" s="35">
        <f t="array" ref="K207">IF(ISERROR(G207/L207),"",G207/L207)</f>
        <v>0</v>
      </c>
      <c r="L207" s="87">
        <v>21</v>
      </c>
      <c r="M207" s="36">
        <f t="shared" ref="M207:M236" si="78">IF(ISERROR(I207-K207),"",I207-K207)</f>
        <v>0</v>
      </c>
      <c r="N207" s="93">
        <f>SUM('3:4'!N207)</f>
        <v>0</v>
      </c>
      <c r="O207" s="93">
        <f>SUM('3:4'!O207)</f>
        <v>0</v>
      </c>
      <c r="P207" s="93">
        <f>SUM('3:4'!P207)</f>
        <v>0</v>
      </c>
      <c r="Q207" s="93">
        <f>SUM('3:4'!Q207)</f>
        <v>0</v>
      </c>
      <c r="R207" s="93">
        <f>SUM('3:4'!R207)</f>
        <v>0</v>
      </c>
      <c r="S207" s="93">
        <f>SUM('3:4'!S207)</f>
        <v>0</v>
      </c>
      <c r="T207" s="93">
        <f>SUM('3:4'!T207)</f>
        <v>0</v>
      </c>
      <c r="U207" s="93">
        <f>SUM('3:4'!U207)</f>
        <v>0</v>
      </c>
      <c r="V207" s="206">
        <f t="shared" ref="V207:V218" si="79">SUM(X207:AA207)</f>
        <v>0</v>
      </c>
      <c r="W207" s="33" t="str">
        <f t="shared" ref="W207:W218" si="80">IF(ISERROR(V207/G207),"",V207/G207)</f>
        <v/>
      </c>
      <c r="X207" s="93">
        <f>SUM('3:4'!X207)</f>
        <v>0</v>
      </c>
      <c r="Y207" s="93">
        <f>SUM('3:4'!Y207)</f>
        <v>0</v>
      </c>
      <c r="Z207" s="93">
        <f>SUM('3:4'!Z207)</f>
        <v>0</v>
      </c>
      <c r="AA207" s="93">
        <f>SUM('3:4'!AA207)</f>
        <v>0</v>
      </c>
      <c r="AB207" s="25"/>
      <c r="AC207" s="54"/>
      <c r="AD207" s="370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300">
        <v>30100023</v>
      </c>
      <c r="B208" s="61" t="s">
        <v>78</v>
      </c>
      <c r="C208" s="16" t="s">
        <v>74</v>
      </c>
      <c r="D208" s="17">
        <v>5.08</v>
      </c>
      <c r="E208" s="17"/>
      <c r="F208" s="6"/>
      <c r="G208" s="93">
        <f>SUM('3:4'!G208)</f>
        <v>0</v>
      </c>
      <c r="H208" s="364">
        <f t="shared" si="70"/>
        <v>0</v>
      </c>
      <c r="I208" s="93">
        <f>SUM('3:4'!I208)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si="78"/>
        <v>0</v>
      </c>
      <c r="N208" s="93">
        <f>SUM('3:4'!N208)</f>
        <v>0</v>
      </c>
      <c r="O208" s="93">
        <f>SUM('3:4'!O208)</f>
        <v>0</v>
      </c>
      <c r="P208" s="93">
        <f>SUM('3:4'!P208)</f>
        <v>0</v>
      </c>
      <c r="Q208" s="93">
        <f>SUM('3:4'!Q208)</f>
        <v>0</v>
      </c>
      <c r="R208" s="93">
        <f>SUM('3:4'!R208)</f>
        <v>0</v>
      </c>
      <c r="S208" s="93">
        <f>SUM('3:4'!S208)</f>
        <v>0</v>
      </c>
      <c r="T208" s="93">
        <f>SUM('3:4'!T208)</f>
        <v>0</v>
      </c>
      <c r="U208" s="93">
        <f>SUM('3:4'!U208)</f>
        <v>0</v>
      </c>
      <c r="V208" s="206">
        <f t="shared" si="79"/>
        <v>0</v>
      </c>
      <c r="W208" s="33" t="str">
        <f t="shared" si="80"/>
        <v/>
      </c>
      <c r="X208" s="93">
        <f>SUM('3:4'!X208)</f>
        <v>0</v>
      </c>
      <c r="Y208" s="93">
        <f>SUM('3:4'!Y208)</f>
        <v>0</v>
      </c>
      <c r="Z208" s="93">
        <f>SUM('3:4'!Z208)</f>
        <v>0</v>
      </c>
      <c r="AA208" s="93">
        <f>SUM('3:4'!AA208)</f>
        <v>0</v>
      </c>
      <c r="AB208" s="25"/>
      <c r="AC208" s="54"/>
      <c r="AD208" s="370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300">
        <v>30100024</v>
      </c>
      <c r="B209" s="61" t="s">
        <v>78</v>
      </c>
      <c r="C209" s="16" t="s">
        <v>75</v>
      </c>
      <c r="D209" s="17">
        <v>5.08</v>
      </c>
      <c r="E209" s="17"/>
      <c r="F209" s="6"/>
      <c r="G209" s="93">
        <f>SUM('3:4'!G209)</f>
        <v>0</v>
      </c>
      <c r="H209" s="364">
        <f t="shared" si="70"/>
        <v>0</v>
      </c>
      <c r="I209" s="93">
        <f>SUM('3:4'!I209)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78"/>
        <v>0</v>
      </c>
      <c r="N209" s="93">
        <f>SUM('3:4'!N209)</f>
        <v>0</v>
      </c>
      <c r="O209" s="93">
        <f>SUM('3:4'!O209)</f>
        <v>0</v>
      </c>
      <c r="P209" s="93">
        <f>SUM('3:4'!P209)</f>
        <v>0</v>
      </c>
      <c r="Q209" s="93">
        <f>SUM('3:4'!Q209)</f>
        <v>0</v>
      </c>
      <c r="R209" s="93">
        <f>SUM('3:4'!R209)</f>
        <v>0</v>
      </c>
      <c r="S209" s="93">
        <f>SUM('3:4'!S209)</f>
        <v>0</v>
      </c>
      <c r="T209" s="93">
        <f>SUM('3:4'!T209)</f>
        <v>0</v>
      </c>
      <c r="U209" s="93">
        <f>SUM('3:4'!U209)</f>
        <v>0</v>
      </c>
      <c r="V209" s="206">
        <f t="shared" si="79"/>
        <v>0</v>
      </c>
      <c r="W209" s="33" t="str">
        <f t="shared" si="80"/>
        <v/>
      </c>
      <c r="X209" s="93">
        <f>SUM('3:4'!X209)</f>
        <v>0</v>
      </c>
      <c r="Y209" s="93">
        <f>SUM('3:4'!Y209)</f>
        <v>0</v>
      </c>
      <c r="Z209" s="93">
        <f>SUM('3:4'!Z209)</f>
        <v>0</v>
      </c>
      <c r="AA209" s="93">
        <f>SUM('3:4'!AA209)</f>
        <v>0</v>
      </c>
      <c r="AB209" s="25"/>
      <c r="AC209" s="54"/>
      <c r="AD209" s="370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300">
        <v>30100022</v>
      </c>
      <c r="B210" s="61" t="s">
        <v>78</v>
      </c>
      <c r="C210" s="16" t="s">
        <v>60</v>
      </c>
      <c r="D210" s="17">
        <v>5.08</v>
      </c>
      <c r="E210" s="17"/>
      <c r="F210" s="6"/>
      <c r="G210" s="93">
        <f>SUM('3:4'!G210)</f>
        <v>0</v>
      </c>
      <c r="H210" s="364">
        <f t="shared" si="70"/>
        <v>0</v>
      </c>
      <c r="I210" s="93">
        <f>SUM('3:4'!I210)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78"/>
        <v>0</v>
      </c>
      <c r="N210" s="93">
        <f>SUM('3:4'!N210)</f>
        <v>0</v>
      </c>
      <c r="O210" s="93">
        <f>SUM('3:4'!O210)</f>
        <v>0</v>
      </c>
      <c r="P210" s="93">
        <f>SUM('3:4'!P210)</f>
        <v>0</v>
      </c>
      <c r="Q210" s="93">
        <f>SUM('3:4'!Q210)</f>
        <v>0</v>
      </c>
      <c r="R210" s="93">
        <f>SUM('3:4'!R210)</f>
        <v>0</v>
      </c>
      <c r="S210" s="93">
        <f>SUM('3:4'!S210)</f>
        <v>0</v>
      </c>
      <c r="T210" s="93">
        <f>SUM('3:4'!T210)</f>
        <v>0</v>
      </c>
      <c r="U210" s="93">
        <f>SUM('3:4'!U210)</f>
        <v>0</v>
      </c>
      <c r="V210" s="206">
        <f t="shared" si="79"/>
        <v>0</v>
      </c>
      <c r="W210" s="33" t="str">
        <f t="shared" si="80"/>
        <v/>
      </c>
      <c r="X210" s="93">
        <f>SUM('3:4'!X210)</f>
        <v>0</v>
      </c>
      <c r="Y210" s="93">
        <f>SUM('3:4'!Y210)</f>
        <v>0</v>
      </c>
      <c r="Z210" s="93">
        <f>SUM('3:4'!Z210)</f>
        <v>0</v>
      </c>
      <c r="AA210" s="93">
        <f>SUM('3:4'!AA210)</f>
        <v>0</v>
      </c>
      <c r="AB210" s="25"/>
      <c r="AC210" s="54"/>
      <c r="AD210" s="370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300">
        <v>30100029</v>
      </c>
      <c r="B211" s="61" t="s">
        <v>78</v>
      </c>
      <c r="C211" s="16" t="s">
        <v>72</v>
      </c>
      <c r="D211" s="17">
        <v>5.08</v>
      </c>
      <c r="E211" s="17"/>
      <c r="F211" s="6"/>
      <c r="G211" s="93">
        <f>SUM('3:4'!G211)</f>
        <v>0</v>
      </c>
      <c r="H211" s="364">
        <f t="shared" si="70"/>
        <v>0</v>
      </c>
      <c r="I211" s="93">
        <f>SUM('3:4'!I211)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78"/>
        <v>0</v>
      </c>
      <c r="N211" s="93">
        <f>SUM('3:4'!N211)</f>
        <v>0</v>
      </c>
      <c r="O211" s="93">
        <f>SUM('3:4'!O211)</f>
        <v>0</v>
      </c>
      <c r="P211" s="93">
        <f>SUM('3:4'!P211)</f>
        <v>0</v>
      </c>
      <c r="Q211" s="93">
        <f>SUM('3:4'!Q211)</f>
        <v>0</v>
      </c>
      <c r="R211" s="93">
        <f>SUM('3:4'!R211)</f>
        <v>0</v>
      </c>
      <c r="S211" s="93">
        <f>SUM('3:4'!S211)</f>
        <v>0</v>
      </c>
      <c r="T211" s="93">
        <f>SUM('3:4'!T211)</f>
        <v>0</v>
      </c>
      <c r="U211" s="93">
        <f>SUM('3:4'!U211)</f>
        <v>0</v>
      </c>
      <c r="V211" s="206">
        <f t="shared" si="79"/>
        <v>0</v>
      </c>
      <c r="W211" s="33" t="str">
        <f t="shared" si="80"/>
        <v/>
      </c>
      <c r="X211" s="93">
        <f>SUM('3:4'!X211)</f>
        <v>0</v>
      </c>
      <c r="Y211" s="93">
        <f>SUM('3:4'!Y211)</f>
        <v>0</v>
      </c>
      <c r="Z211" s="93">
        <f>SUM('3:4'!Z211)</f>
        <v>0</v>
      </c>
      <c r="AA211" s="93">
        <f>SUM('3:4'!AA211)</f>
        <v>0</v>
      </c>
      <c r="AB211" s="25"/>
      <c r="AC211" s="54"/>
      <c r="AD211" s="370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300">
        <v>30100026</v>
      </c>
      <c r="B212" s="61" t="s">
        <v>78</v>
      </c>
      <c r="C212" s="16" t="s">
        <v>73</v>
      </c>
      <c r="D212" s="17">
        <v>5.08</v>
      </c>
      <c r="E212" s="17"/>
      <c r="F212" s="6"/>
      <c r="G212" s="93">
        <f>SUM('3:4'!G212)</f>
        <v>0</v>
      </c>
      <c r="H212" s="364">
        <f t="shared" si="70"/>
        <v>0</v>
      </c>
      <c r="I212" s="93">
        <f>SUM('3:4'!I212)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78"/>
        <v>0</v>
      </c>
      <c r="N212" s="93">
        <f>SUM('3:4'!N212)</f>
        <v>0</v>
      </c>
      <c r="O212" s="93">
        <f>SUM('3:4'!O212)</f>
        <v>0</v>
      </c>
      <c r="P212" s="93">
        <f>SUM('3:4'!P212)</f>
        <v>0</v>
      </c>
      <c r="Q212" s="93">
        <f>SUM('3:4'!Q212)</f>
        <v>0</v>
      </c>
      <c r="R212" s="93">
        <f>SUM('3:4'!R212)</f>
        <v>0</v>
      </c>
      <c r="S212" s="93">
        <f>SUM('3:4'!S212)</f>
        <v>0</v>
      </c>
      <c r="T212" s="93">
        <f>SUM('3:4'!T212)</f>
        <v>0</v>
      </c>
      <c r="U212" s="93">
        <f>SUM('3:4'!U212)</f>
        <v>0</v>
      </c>
      <c r="V212" s="206">
        <f t="shared" si="79"/>
        <v>0</v>
      </c>
      <c r="W212" s="33" t="str">
        <f t="shared" si="80"/>
        <v/>
      </c>
      <c r="X212" s="93">
        <f>SUM('3:4'!X212)</f>
        <v>0</v>
      </c>
      <c r="Y212" s="93">
        <f>SUM('3:4'!Y212)</f>
        <v>0</v>
      </c>
      <c r="Z212" s="93">
        <f>SUM('3:4'!Z212)</f>
        <v>0</v>
      </c>
      <c r="AA212" s="93">
        <f>SUM('3:4'!AA212)</f>
        <v>0</v>
      </c>
      <c r="AB212" s="73"/>
      <c r="AC212" s="54"/>
      <c r="AD212" s="370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300">
        <v>30100025</v>
      </c>
      <c r="B213" s="61" t="s">
        <v>78</v>
      </c>
      <c r="C213" s="16" t="s">
        <v>61</v>
      </c>
      <c r="D213" s="17">
        <v>5.08</v>
      </c>
      <c r="E213" s="17"/>
      <c r="F213" s="6"/>
      <c r="G213" s="93">
        <f>SUM('3:4'!G213)</f>
        <v>0</v>
      </c>
      <c r="H213" s="364">
        <f t="shared" si="70"/>
        <v>0</v>
      </c>
      <c r="I213" s="93">
        <f>SUM('3:4'!I213)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78"/>
        <v>0</v>
      </c>
      <c r="N213" s="93">
        <f>SUM('3:4'!N213)</f>
        <v>0</v>
      </c>
      <c r="O213" s="93">
        <f>SUM('3:4'!O213)</f>
        <v>0</v>
      </c>
      <c r="P213" s="93">
        <f>SUM('3:4'!P213)</f>
        <v>0</v>
      </c>
      <c r="Q213" s="93">
        <f>SUM('3:4'!Q213)</f>
        <v>0</v>
      </c>
      <c r="R213" s="93">
        <f>SUM('3:4'!R213)</f>
        <v>0</v>
      </c>
      <c r="S213" s="93">
        <f>SUM('3:4'!S213)</f>
        <v>0</v>
      </c>
      <c r="T213" s="93">
        <f>SUM('3:4'!T213)</f>
        <v>0</v>
      </c>
      <c r="U213" s="93">
        <f>SUM('3:4'!U213)</f>
        <v>0</v>
      </c>
      <c r="V213" s="206">
        <f t="shared" si="79"/>
        <v>0</v>
      </c>
      <c r="W213" s="33" t="str">
        <f t="shared" si="80"/>
        <v/>
      </c>
      <c r="X213" s="93">
        <f>SUM('3:4'!X213)</f>
        <v>0</v>
      </c>
      <c r="Y213" s="93">
        <f>SUM('3:4'!Y213)</f>
        <v>0</v>
      </c>
      <c r="Z213" s="93">
        <f>SUM('3:4'!Z213)</f>
        <v>0</v>
      </c>
      <c r="AA213" s="93">
        <f>SUM('3:4'!AA213)</f>
        <v>0</v>
      </c>
      <c r="AB213" s="25"/>
      <c r="AC213" s="54"/>
      <c r="AD213" s="370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300">
        <v>30100028</v>
      </c>
      <c r="B214" s="61" t="s">
        <v>78</v>
      </c>
      <c r="C214" s="16" t="s">
        <v>77</v>
      </c>
      <c r="D214" s="17">
        <v>5.08</v>
      </c>
      <c r="E214" s="17"/>
      <c r="F214" s="6"/>
      <c r="G214" s="93">
        <f>SUM('3:4'!G214)</f>
        <v>0</v>
      </c>
      <c r="H214" s="364">
        <f t="shared" si="70"/>
        <v>0</v>
      </c>
      <c r="I214" s="93">
        <f>SUM('3:4'!I214)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78"/>
        <v>0</v>
      </c>
      <c r="N214" s="93">
        <f>SUM('3:4'!N214)</f>
        <v>0</v>
      </c>
      <c r="O214" s="93">
        <f>SUM('3:4'!O214)</f>
        <v>0</v>
      </c>
      <c r="P214" s="93">
        <f>SUM('3:4'!P214)</f>
        <v>0</v>
      </c>
      <c r="Q214" s="93">
        <f>SUM('3:4'!Q214)</f>
        <v>0</v>
      </c>
      <c r="R214" s="93">
        <f>SUM('3:4'!R214)</f>
        <v>0</v>
      </c>
      <c r="S214" s="93">
        <f>SUM('3:4'!S214)</f>
        <v>0</v>
      </c>
      <c r="T214" s="93">
        <f>SUM('3:4'!T214)</f>
        <v>0</v>
      </c>
      <c r="U214" s="93">
        <f>SUM('3:4'!U214)</f>
        <v>0</v>
      </c>
      <c r="V214" s="206">
        <f t="shared" si="79"/>
        <v>0</v>
      </c>
      <c r="W214" s="33" t="str">
        <f t="shared" si="80"/>
        <v/>
      </c>
      <c r="X214" s="93">
        <f>SUM('3:4'!X214)</f>
        <v>0</v>
      </c>
      <c r="Y214" s="93">
        <f>SUM('3:4'!Y214)</f>
        <v>0</v>
      </c>
      <c r="Z214" s="93">
        <f>SUM('3:4'!Z214)</f>
        <v>0</v>
      </c>
      <c r="AA214" s="93">
        <f>SUM('3:4'!AA214)</f>
        <v>0</v>
      </c>
      <c r="AB214" s="73"/>
      <c r="AC214" s="54"/>
      <c r="AD214" s="370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300">
        <v>30100032</v>
      </c>
      <c r="B215" s="61" t="s">
        <v>79</v>
      </c>
      <c r="C215" s="16" t="s">
        <v>65</v>
      </c>
      <c r="D215" s="17">
        <v>5.03</v>
      </c>
      <c r="E215" s="17"/>
      <c r="F215" s="6"/>
      <c r="G215" s="93">
        <f>SUM('3:4'!G215)</f>
        <v>0</v>
      </c>
      <c r="H215" s="364">
        <f t="shared" si="70"/>
        <v>0</v>
      </c>
      <c r="I215" s="93">
        <f>SUM('3:4'!I215)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56</v>
      </c>
      <c r="M215" s="36">
        <f t="shared" si="78"/>
        <v>0</v>
      </c>
      <c r="N215" s="93">
        <f>SUM('3:4'!N215)</f>
        <v>0</v>
      </c>
      <c r="O215" s="93">
        <f>SUM('3:4'!O215)</f>
        <v>0</v>
      </c>
      <c r="P215" s="93">
        <f>SUM('3:4'!P215)</f>
        <v>0</v>
      </c>
      <c r="Q215" s="93">
        <f>SUM('3:4'!Q215)</f>
        <v>0</v>
      </c>
      <c r="R215" s="93">
        <f>SUM('3:4'!R215)</f>
        <v>0</v>
      </c>
      <c r="S215" s="93">
        <f>SUM('3:4'!S215)</f>
        <v>0</v>
      </c>
      <c r="T215" s="93">
        <f>SUM('3:4'!T215)</f>
        <v>0</v>
      </c>
      <c r="U215" s="93">
        <f>SUM('3:4'!U215)</f>
        <v>0</v>
      </c>
      <c r="V215" s="206">
        <f t="shared" si="79"/>
        <v>0</v>
      </c>
      <c r="W215" s="33" t="str">
        <f t="shared" si="80"/>
        <v/>
      </c>
      <c r="X215" s="93">
        <f>SUM('3:4'!X215)</f>
        <v>0</v>
      </c>
      <c r="Y215" s="93">
        <f>SUM('3:4'!Y215)</f>
        <v>0</v>
      </c>
      <c r="Z215" s="93">
        <f>SUM('3:4'!Z215)</f>
        <v>0</v>
      </c>
      <c r="AA215" s="93">
        <f>SUM('3:4'!AA215)</f>
        <v>0</v>
      </c>
      <c r="AB215" s="25"/>
      <c r="AC215" s="54"/>
      <c r="AD215" s="370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300">
        <v>30100033</v>
      </c>
      <c r="B216" s="61" t="s">
        <v>79</v>
      </c>
      <c r="C216" s="16" t="s">
        <v>53</v>
      </c>
      <c r="D216" s="17">
        <v>5.03</v>
      </c>
      <c r="E216" s="17"/>
      <c r="F216" s="6"/>
      <c r="G216" s="93">
        <f>SUM('3:4'!G216)</f>
        <v>0</v>
      </c>
      <c r="H216" s="364">
        <f t="shared" si="70"/>
        <v>0</v>
      </c>
      <c r="I216" s="93">
        <f>SUM('3:4'!I216)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87">
        <v>56</v>
      </c>
      <c r="M216" s="36">
        <f t="shared" si="78"/>
        <v>0</v>
      </c>
      <c r="N216" s="93">
        <f>SUM('3:4'!N216)</f>
        <v>0</v>
      </c>
      <c r="O216" s="93">
        <f>SUM('3:4'!O216)</f>
        <v>0</v>
      </c>
      <c r="P216" s="93">
        <f>SUM('3:4'!P216)</f>
        <v>0</v>
      </c>
      <c r="Q216" s="93">
        <f>SUM('3:4'!Q216)</f>
        <v>0</v>
      </c>
      <c r="R216" s="93">
        <f>SUM('3:4'!R216)</f>
        <v>0</v>
      </c>
      <c r="S216" s="93">
        <f>SUM('3:4'!S216)</f>
        <v>0</v>
      </c>
      <c r="T216" s="93">
        <f>SUM('3:4'!T216)</f>
        <v>0</v>
      </c>
      <c r="U216" s="93">
        <f>SUM('3:4'!U216)</f>
        <v>0</v>
      </c>
      <c r="V216" s="206">
        <f t="shared" si="79"/>
        <v>0</v>
      </c>
      <c r="W216" s="33" t="str">
        <f t="shared" si="80"/>
        <v/>
      </c>
      <c r="X216" s="93">
        <f>SUM('3:4'!X216)</f>
        <v>0</v>
      </c>
      <c r="Y216" s="93">
        <f>SUM('3:4'!Y216)</f>
        <v>0</v>
      </c>
      <c r="Z216" s="93">
        <f>SUM('3:4'!Z216)</f>
        <v>0</v>
      </c>
      <c r="AA216" s="93">
        <f>SUM('3:4'!AA216)</f>
        <v>0</v>
      </c>
      <c r="AB216" s="25"/>
      <c r="AC216" s="54"/>
      <c r="AD216" s="370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300">
        <v>30100062</v>
      </c>
      <c r="B217" s="61" t="s">
        <v>79</v>
      </c>
      <c r="C217" s="16" t="s">
        <v>66</v>
      </c>
      <c r="D217" s="17">
        <v>5.03</v>
      </c>
      <c r="E217" s="17"/>
      <c r="F217" s="6"/>
      <c r="G217" s="93">
        <f>SUM('3:4'!G217)</f>
        <v>0</v>
      </c>
      <c r="H217" s="364">
        <f t="shared" si="70"/>
        <v>0</v>
      </c>
      <c r="I217" s="93">
        <f>SUM('3:4'!I217)</f>
        <v>0</v>
      </c>
      <c r="J217" s="31" t="str">
        <f t="array" ref="J217">IF(ISERROR(G217/I217),"",G217/I217)</f>
        <v/>
      </c>
      <c r="K217" s="35">
        <f t="array" ref="K217">IF(ISERROR(G217/L217),"",G217/L217)</f>
        <v>0</v>
      </c>
      <c r="L217" s="87">
        <v>56</v>
      </c>
      <c r="M217" s="36">
        <f t="shared" si="78"/>
        <v>0</v>
      </c>
      <c r="N217" s="93">
        <f>SUM('3:4'!N217)</f>
        <v>0</v>
      </c>
      <c r="O217" s="93">
        <f>SUM('3:4'!O217)</f>
        <v>0</v>
      </c>
      <c r="P217" s="93">
        <f>SUM('3:4'!P217)</f>
        <v>0</v>
      </c>
      <c r="Q217" s="93">
        <f>SUM('3:4'!Q217)</f>
        <v>0</v>
      </c>
      <c r="R217" s="93">
        <f>SUM('3:4'!R217)</f>
        <v>0</v>
      </c>
      <c r="S217" s="93">
        <f>SUM('3:4'!S217)</f>
        <v>0</v>
      </c>
      <c r="T217" s="93">
        <f>SUM('3:4'!T217)</f>
        <v>0</v>
      </c>
      <c r="U217" s="93">
        <f>SUM('3:4'!U217)</f>
        <v>0</v>
      </c>
      <c r="V217" s="206">
        <f t="shared" si="79"/>
        <v>0</v>
      </c>
      <c r="W217" s="33" t="str">
        <f t="shared" si="80"/>
        <v/>
      </c>
      <c r="X217" s="93">
        <f>SUM('3:4'!X217)</f>
        <v>0</v>
      </c>
      <c r="Y217" s="93">
        <f>SUM('3:4'!Y217)</f>
        <v>0</v>
      </c>
      <c r="Z217" s="93">
        <f>SUM('3:4'!Z217)</f>
        <v>0</v>
      </c>
      <c r="AA217" s="93">
        <f>SUM('3:4'!AA217)</f>
        <v>0</v>
      </c>
      <c r="AB217" s="25"/>
      <c r="AC217" s="54"/>
      <c r="AD217" s="370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300">
        <v>30100031</v>
      </c>
      <c r="B218" s="61" t="s">
        <v>79</v>
      </c>
      <c r="C218" s="16" t="s">
        <v>74</v>
      </c>
      <c r="D218" s="17">
        <v>5.03</v>
      </c>
      <c r="E218" s="17"/>
      <c r="F218" s="6"/>
      <c r="G218" s="93">
        <f>SUM('3:4'!G218)</f>
        <v>0</v>
      </c>
      <c r="H218" s="364">
        <f t="shared" si="70"/>
        <v>0</v>
      </c>
      <c r="I218" s="93">
        <f>SUM('3:4'!I218)</f>
        <v>0</v>
      </c>
      <c r="J218" s="31" t="str">
        <f t="array" ref="J218">IF(ISERROR(G218/I218),"",G218/I218)</f>
        <v/>
      </c>
      <c r="K218" s="35">
        <f t="array" ref="K218">IF(ISERROR(G218/L218),"",G218/L218)</f>
        <v>0</v>
      </c>
      <c r="L218" s="87">
        <v>56</v>
      </c>
      <c r="M218" s="36">
        <f t="shared" si="78"/>
        <v>0</v>
      </c>
      <c r="N218" s="93">
        <f>SUM('3:4'!N218)</f>
        <v>0</v>
      </c>
      <c r="O218" s="93">
        <f>SUM('3:4'!O218)</f>
        <v>0</v>
      </c>
      <c r="P218" s="93">
        <f>SUM('3:4'!P218)</f>
        <v>0</v>
      </c>
      <c r="Q218" s="93">
        <f>SUM('3:4'!Q218)</f>
        <v>0</v>
      </c>
      <c r="R218" s="93">
        <f>SUM('3:4'!R218)</f>
        <v>0</v>
      </c>
      <c r="S218" s="93">
        <f>SUM('3:4'!S218)</f>
        <v>0</v>
      </c>
      <c r="T218" s="93">
        <f>SUM('3:4'!T218)</f>
        <v>0</v>
      </c>
      <c r="U218" s="93">
        <f>SUM('3:4'!U218)</f>
        <v>0</v>
      </c>
      <c r="V218" s="206">
        <f t="shared" si="79"/>
        <v>0</v>
      </c>
      <c r="W218" s="33" t="str">
        <f t="shared" si="80"/>
        <v/>
      </c>
      <c r="X218" s="93">
        <f>SUM('3:4'!X218)</f>
        <v>0</v>
      </c>
      <c r="Y218" s="93">
        <f>SUM('3:4'!Y218)</f>
        <v>0</v>
      </c>
      <c r="Z218" s="93">
        <f>SUM('3:4'!Z218)</f>
        <v>0</v>
      </c>
      <c r="AA218" s="93">
        <f>SUM('3:4'!AA218)</f>
        <v>0</v>
      </c>
      <c r="AB218" s="25"/>
      <c r="AC218" s="54"/>
      <c r="AD218" s="370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300">
        <v>30100019</v>
      </c>
      <c r="B219" s="61" t="s">
        <v>385</v>
      </c>
      <c r="C219" s="16" t="s">
        <v>386</v>
      </c>
      <c r="D219" s="17">
        <v>5.03</v>
      </c>
      <c r="E219" s="17"/>
      <c r="F219" s="6"/>
      <c r="G219" s="93">
        <f>SUM('3:4'!G219)</f>
        <v>0</v>
      </c>
      <c r="H219" s="364">
        <f t="shared" si="70"/>
        <v>0</v>
      </c>
      <c r="I219" s="93">
        <f>SUM('3:4'!I219)</f>
        <v>0</v>
      </c>
      <c r="J219" s="31"/>
      <c r="K219" s="35">
        <f t="array" ref="K219">IF(ISERROR(G219/L219),"",G219/L219)</f>
        <v>0</v>
      </c>
      <c r="L219" s="87">
        <v>54</v>
      </c>
      <c r="M219" s="36">
        <f t="shared" si="78"/>
        <v>0</v>
      </c>
      <c r="N219" s="93">
        <f>SUM('3:4'!N219)</f>
        <v>0</v>
      </c>
      <c r="O219" s="93">
        <f>SUM('3:4'!O219)</f>
        <v>0</v>
      </c>
      <c r="P219" s="93">
        <f>SUM('3:4'!P219)</f>
        <v>0</v>
      </c>
      <c r="Q219" s="93">
        <f>SUM('3:4'!Q219)</f>
        <v>0</v>
      </c>
      <c r="R219" s="93">
        <f>SUM('3:4'!R219)</f>
        <v>0</v>
      </c>
      <c r="S219" s="93">
        <f>SUM('3:4'!S219)</f>
        <v>0</v>
      </c>
      <c r="T219" s="93">
        <f>SUM('3:4'!T219)</f>
        <v>0</v>
      </c>
      <c r="U219" s="93">
        <f>SUM('3:4'!U219)</f>
        <v>0</v>
      </c>
      <c r="V219" s="206"/>
      <c r="W219" s="33"/>
      <c r="X219" s="93">
        <f>SUM('3:4'!X219)</f>
        <v>0</v>
      </c>
      <c r="Y219" s="93">
        <f>SUM('3:4'!Y219)</f>
        <v>0</v>
      </c>
      <c r="Z219" s="93">
        <f>SUM('3:4'!Z219)</f>
        <v>0</v>
      </c>
      <c r="AA219" s="93">
        <f>SUM('3:4'!AA219)</f>
        <v>0</v>
      </c>
      <c r="AB219" s="25"/>
      <c r="AC219" s="54"/>
      <c r="AD219" s="370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300">
        <v>30100020</v>
      </c>
      <c r="B220" s="61" t="s">
        <v>385</v>
      </c>
      <c r="C220" s="16" t="s">
        <v>387</v>
      </c>
      <c r="D220" s="17">
        <v>5.03</v>
      </c>
      <c r="E220" s="17"/>
      <c r="F220" s="6"/>
      <c r="G220" s="93">
        <f>SUM('3:4'!G220)</f>
        <v>0</v>
      </c>
      <c r="H220" s="364">
        <f t="shared" si="70"/>
        <v>0</v>
      </c>
      <c r="I220" s="93">
        <f>SUM('3:4'!I220)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78"/>
        <v>0</v>
      </c>
      <c r="N220" s="93">
        <f>SUM('3:4'!N220)</f>
        <v>0</v>
      </c>
      <c r="O220" s="93">
        <f>SUM('3:4'!O220)</f>
        <v>0</v>
      </c>
      <c r="P220" s="93">
        <f>SUM('3:4'!P220)</f>
        <v>0</v>
      </c>
      <c r="Q220" s="93">
        <f>SUM('3:4'!Q220)</f>
        <v>0</v>
      </c>
      <c r="R220" s="93">
        <f>SUM('3:4'!R220)</f>
        <v>0</v>
      </c>
      <c r="S220" s="93">
        <f>SUM('3:4'!S220)</f>
        <v>0</v>
      </c>
      <c r="T220" s="93">
        <f>SUM('3:4'!T220)</f>
        <v>0</v>
      </c>
      <c r="U220" s="93">
        <f>SUM('3:4'!U220)</f>
        <v>0</v>
      </c>
      <c r="V220" s="206"/>
      <c r="W220" s="33"/>
      <c r="X220" s="93">
        <f>SUM('3:4'!X220)</f>
        <v>0</v>
      </c>
      <c r="Y220" s="93">
        <f>SUM('3:4'!Y220)</f>
        <v>0</v>
      </c>
      <c r="Z220" s="93">
        <f>SUM('3:4'!Z220)</f>
        <v>0</v>
      </c>
      <c r="AA220" s="93">
        <f>SUM('3:4'!AA220)</f>
        <v>0</v>
      </c>
      <c r="AB220" s="25"/>
      <c r="AC220" s="54"/>
      <c r="AD220" s="370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300">
        <v>30100021</v>
      </c>
      <c r="B221" s="190" t="s">
        <v>382</v>
      </c>
      <c r="C221" s="16" t="s">
        <v>389</v>
      </c>
      <c r="D221" s="17">
        <v>5.03</v>
      </c>
      <c r="E221" s="17"/>
      <c r="F221" s="6"/>
      <c r="G221" s="93">
        <f>SUM('3:4'!G221)</f>
        <v>0</v>
      </c>
      <c r="H221" s="364">
        <f t="shared" si="70"/>
        <v>0</v>
      </c>
      <c r="I221" s="93">
        <f>SUM('3:4'!I221)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78"/>
        <v>0</v>
      </c>
      <c r="N221" s="93">
        <f>SUM('3:4'!N221)</f>
        <v>0</v>
      </c>
      <c r="O221" s="93">
        <f>SUM('3:4'!O221)</f>
        <v>0</v>
      </c>
      <c r="P221" s="93">
        <f>SUM('3:4'!P221)</f>
        <v>0</v>
      </c>
      <c r="Q221" s="93">
        <f>SUM('3:4'!Q221)</f>
        <v>0</v>
      </c>
      <c r="R221" s="93">
        <f>SUM('3:4'!R221)</f>
        <v>0</v>
      </c>
      <c r="S221" s="93">
        <f>SUM('3:4'!S221)</f>
        <v>0</v>
      </c>
      <c r="T221" s="93">
        <f>SUM('3:4'!T221)</f>
        <v>0</v>
      </c>
      <c r="U221" s="93">
        <f>SUM('3:4'!U221)</f>
        <v>0</v>
      </c>
      <c r="V221" s="206"/>
      <c r="W221" s="33"/>
      <c r="X221" s="93">
        <f>SUM('3:4'!X221)</f>
        <v>0</v>
      </c>
      <c r="Y221" s="93">
        <f>SUM('3:4'!Y221)</f>
        <v>0</v>
      </c>
      <c r="Z221" s="93">
        <f>SUM('3:4'!Z221)</f>
        <v>0</v>
      </c>
      <c r="AA221" s="93">
        <f>SUM('3:4'!AA221)</f>
        <v>0</v>
      </c>
      <c r="AB221" s="25"/>
      <c r="AC221" s="54"/>
      <c r="AD221" s="370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300">
        <v>30100018</v>
      </c>
      <c r="B222" s="190" t="s">
        <v>382</v>
      </c>
      <c r="C222" s="16" t="s">
        <v>391</v>
      </c>
      <c r="D222" s="17">
        <v>5.03</v>
      </c>
      <c r="E222" s="17"/>
      <c r="F222" s="6"/>
      <c r="G222" s="93">
        <f>SUM('3:4'!G222)</f>
        <v>0</v>
      </c>
      <c r="H222" s="364">
        <f t="shared" si="70"/>
        <v>0</v>
      </c>
      <c r="I222" s="93">
        <f>SUM('3:4'!I222)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78"/>
        <v>0</v>
      </c>
      <c r="N222" s="93">
        <f>SUM('3:4'!N222)</f>
        <v>0</v>
      </c>
      <c r="O222" s="93">
        <f>SUM('3:4'!O222)</f>
        <v>0</v>
      </c>
      <c r="P222" s="93">
        <f>SUM('3:4'!P222)</f>
        <v>0</v>
      </c>
      <c r="Q222" s="93">
        <f>SUM('3:4'!Q222)</f>
        <v>0</v>
      </c>
      <c r="R222" s="93">
        <f>SUM('3:4'!R222)</f>
        <v>0</v>
      </c>
      <c r="S222" s="93">
        <f>SUM('3:4'!S222)</f>
        <v>0</v>
      </c>
      <c r="T222" s="93">
        <f>SUM('3:4'!T222)</f>
        <v>0</v>
      </c>
      <c r="U222" s="93">
        <f>SUM('3:4'!U222)</f>
        <v>0</v>
      </c>
      <c r="V222" s="206"/>
      <c r="W222" s="33"/>
      <c r="X222" s="93">
        <f>SUM('3:4'!X222)</f>
        <v>0</v>
      </c>
      <c r="Y222" s="93">
        <f>SUM('3:4'!Y222)</f>
        <v>0</v>
      </c>
      <c r="Z222" s="93">
        <f>SUM('3:4'!Z222)</f>
        <v>0</v>
      </c>
      <c r="AA222" s="93">
        <f>SUM('3:4'!AA222)</f>
        <v>0</v>
      </c>
      <c r="AB222" s="25"/>
      <c r="AC222" s="54"/>
      <c r="AD222" s="370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303">
        <v>30700007</v>
      </c>
      <c r="B223" s="190" t="s">
        <v>418</v>
      </c>
      <c r="C223" s="187" t="s">
        <v>364</v>
      </c>
      <c r="D223" s="17">
        <v>5.03</v>
      </c>
      <c r="E223" s="17"/>
      <c r="F223" s="6"/>
      <c r="G223" s="93">
        <f>SUM('3:4'!G223)</f>
        <v>0</v>
      </c>
      <c r="H223" s="364">
        <f t="shared" si="70"/>
        <v>0</v>
      </c>
      <c r="I223" s="93">
        <f>SUM('3:4'!I223)</f>
        <v>0</v>
      </c>
      <c r="J223" s="31"/>
      <c r="K223" s="35">
        <f t="array" ref="K223">IF(ISERROR(G223/L223),"",G223/L223)</f>
        <v>0</v>
      </c>
      <c r="L223" s="87">
        <v>3</v>
      </c>
      <c r="M223" s="36">
        <f t="shared" si="78"/>
        <v>0</v>
      </c>
      <c r="N223" s="93">
        <f>SUM('3:4'!N223)</f>
        <v>0</v>
      </c>
      <c r="O223" s="93">
        <f>SUM('3:4'!O223)</f>
        <v>0</v>
      </c>
      <c r="P223" s="93">
        <f>SUM('3:4'!P223)</f>
        <v>0</v>
      </c>
      <c r="Q223" s="93">
        <f>SUM('3:4'!Q223)</f>
        <v>0</v>
      </c>
      <c r="R223" s="93">
        <f>SUM('3:4'!R223)</f>
        <v>0</v>
      </c>
      <c r="S223" s="93">
        <f>SUM('3:4'!S223)</f>
        <v>0</v>
      </c>
      <c r="T223" s="93">
        <f>SUM('3:4'!T223)</f>
        <v>0</v>
      </c>
      <c r="U223" s="93">
        <f>SUM('3:4'!U223)</f>
        <v>0</v>
      </c>
      <c r="V223" s="206"/>
      <c r="W223" s="33"/>
      <c r="X223" s="93">
        <f>SUM('3:4'!X223)</f>
        <v>0</v>
      </c>
      <c r="Y223" s="93">
        <f>SUM('3:4'!Y223)</f>
        <v>0</v>
      </c>
      <c r="Z223" s="93">
        <f>SUM('3:4'!Z223)</f>
        <v>0</v>
      </c>
      <c r="AA223" s="93">
        <f>SUM('3:4'!AA223)</f>
        <v>0</v>
      </c>
      <c r="AB223" s="25"/>
      <c r="AC223" s="54"/>
      <c r="AD223" s="370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303">
        <v>30700006</v>
      </c>
      <c r="B224" s="190" t="s">
        <v>418</v>
      </c>
      <c r="C224" s="187" t="s">
        <v>365</v>
      </c>
      <c r="D224" s="17">
        <v>5.03</v>
      </c>
      <c r="E224" s="17"/>
      <c r="F224" s="6"/>
      <c r="G224" s="93">
        <f>SUM('3:4'!G224)</f>
        <v>0</v>
      </c>
      <c r="H224" s="364">
        <f t="shared" si="70"/>
        <v>0</v>
      </c>
      <c r="I224" s="93">
        <f>SUM('3:4'!I224)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78"/>
        <v>0</v>
      </c>
      <c r="N224" s="93">
        <f>SUM('3:4'!N224)</f>
        <v>0</v>
      </c>
      <c r="O224" s="93">
        <f>SUM('3:4'!O224)</f>
        <v>0</v>
      </c>
      <c r="P224" s="93">
        <f>SUM('3:4'!P224)</f>
        <v>0</v>
      </c>
      <c r="Q224" s="93">
        <f>SUM('3:4'!Q224)</f>
        <v>0</v>
      </c>
      <c r="R224" s="93">
        <f>SUM('3:4'!R224)</f>
        <v>0</v>
      </c>
      <c r="S224" s="93">
        <f>SUM('3:4'!S224)</f>
        <v>0</v>
      </c>
      <c r="T224" s="93">
        <f>SUM('3:4'!T224)</f>
        <v>0</v>
      </c>
      <c r="U224" s="93">
        <f>SUM('3:4'!U224)</f>
        <v>0</v>
      </c>
      <c r="V224" s="206"/>
      <c r="W224" s="33"/>
      <c r="X224" s="93">
        <f>SUM('3:4'!X224)</f>
        <v>0</v>
      </c>
      <c r="Y224" s="93">
        <f>SUM('3:4'!Y224)</f>
        <v>0</v>
      </c>
      <c r="Z224" s="93">
        <f>SUM('3:4'!Z224)</f>
        <v>0</v>
      </c>
      <c r="AA224" s="93">
        <f>SUM('3:4'!AA224)</f>
        <v>0</v>
      </c>
      <c r="AB224" s="25"/>
      <c r="AC224" s="54"/>
      <c r="AD224" s="370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303">
        <v>30700008</v>
      </c>
      <c r="B225" s="190" t="s">
        <v>418</v>
      </c>
      <c r="C225" s="187" t="s">
        <v>366</v>
      </c>
      <c r="D225" s="17">
        <v>5.03</v>
      </c>
      <c r="E225" s="17"/>
      <c r="F225" s="6"/>
      <c r="G225" s="93">
        <f>SUM('3:4'!G225)</f>
        <v>0</v>
      </c>
      <c r="H225" s="364">
        <f t="shared" si="70"/>
        <v>0</v>
      </c>
      <c r="I225" s="93">
        <f>SUM('3:4'!I225)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78"/>
        <v>0</v>
      </c>
      <c r="N225" s="93">
        <f>SUM('3:4'!N225)</f>
        <v>0</v>
      </c>
      <c r="O225" s="93">
        <f>SUM('3:4'!O225)</f>
        <v>0</v>
      </c>
      <c r="P225" s="93">
        <f>SUM('3:4'!P225)</f>
        <v>0</v>
      </c>
      <c r="Q225" s="93">
        <f>SUM('3:4'!Q225)</f>
        <v>0</v>
      </c>
      <c r="R225" s="93">
        <f>SUM('3:4'!R225)</f>
        <v>0</v>
      </c>
      <c r="S225" s="93">
        <f>SUM('3:4'!S225)</f>
        <v>0</v>
      </c>
      <c r="T225" s="93">
        <f>SUM('3:4'!T225)</f>
        <v>0</v>
      </c>
      <c r="U225" s="93">
        <f>SUM('3:4'!U225)</f>
        <v>0</v>
      </c>
      <c r="V225" s="206"/>
      <c r="W225" s="33"/>
      <c r="X225" s="93">
        <f>SUM('3:4'!X225)</f>
        <v>0</v>
      </c>
      <c r="Y225" s="93">
        <f>SUM('3:4'!Y225)</f>
        <v>0</v>
      </c>
      <c r="Z225" s="93">
        <f>SUM('3:4'!Z225)</f>
        <v>0</v>
      </c>
      <c r="AA225" s="93">
        <f>SUM('3:4'!AA225)</f>
        <v>0</v>
      </c>
      <c r="AB225" s="25"/>
      <c r="AC225" s="54"/>
      <c r="AD225" s="370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303">
        <v>30700009</v>
      </c>
      <c r="B226" s="190" t="s">
        <v>418</v>
      </c>
      <c r="C226" s="187" t="s">
        <v>367</v>
      </c>
      <c r="D226" s="17">
        <v>5.03</v>
      </c>
      <c r="E226" s="17"/>
      <c r="F226" s="6"/>
      <c r="G226" s="93">
        <f>SUM('3:4'!G226)</f>
        <v>0</v>
      </c>
      <c r="H226" s="364">
        <f t="shared" si="70"/>
        <v>0</v>
      </c>
      <c r="I226" s="93">
        <f>SUM('3:4'!I226)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78"/>
        <v>0</v>
      </c>
      <c r="N226" s="93">
        <f>SUM('3:4'!N226)</f>
        <v>0</v>
      </c>
      <c r="O226" s="93">
        <f>SUM('3:4'!O226)</f>
        <v>0</v>
      </c>
      <c r="P226" s="93">
        <f>SUM('3:4'!P226)</f>
        <v>0</v>
      </c>
      <c r="Q226" s="93">
        <f>SUM('3:4'!Q226)</f>
        <v>0</v>
      </c>
      <c r="R226" s="93">
        <f>SUM('3:4'!R226)</f>
        <v>0</v>
      </c>
      <c r="S226" s="93">
        <f>SUM('3:4'!S226)</f>
        <v>0</v>
      </c>
      <c r="T226" s="93">
        <f>SUM('3:4'!T226)</f>
        <v>0</v>
      </c>
      <c r="U226" s="93">
        <f>SUM('3:4'!U226)</f>
        <v>0</v>
      </c>
      <c r="V226" s="206"/>
      <c r="W226" s="33"/>
      <c r="X226" s="93">
        <f>SUM('3:4'!X226)</f>
        <v>0</v>
      </c>
      <c r="Y226" s="93">
        <f>SUM('3:4'!Y226)</f>
        <v>0</v>
      </c>
      <c r="Z226" s="93">
        <f>SUM('3:4'!Z226)</f>
        <v>0</v>
      </c>
      <c r="AA226" s="93">
        <f>SUM('3:4'!AA226)</f>
        <v>0</v>
      </c>
      <c r="AB226" s="25"/>
      <c r="AC226" s="54"/>
      <c r="AD226" s="370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300">
        <v>30100036</v>
      </c>
      <c r="B227" s="62" t="s">
        <v>80</v>
      </c>
      <c r="C227" s="16" t="s">
        <v>61</v>
      </c>
      <c r="D227" s="17">
        <v>5.03</v>
      </c>
      <c r="E227" s="17"/>
      <c r="F227" s="6"/>
      <c r="G227" s="93">
        <f>SUM('3:4'!G227)</f>
        <v>0</v>
      </c>
      <c r="H227" s="364">
        <f t="shared" si="70"/>
        <v>0</v>
      </c>
      <c r="I227" s="93">
        <f>SUM('3:4'!I227)</f>
        <v>0</v>
      </c>
      <c r="J227" s="31" t="str">
        <f t="array" ref="J227">IF(ISERROR(G227/I227),"",G227/I227)</f>
        <v/>
      </c>
      <c r="K227" s="35">
        <f t="array" ref="K227">IF(ISERROR(G227/L227),"",G227/L227)</f>
        <v>0</v>
      </c>
      <c r="L227" s="87">
        <v>40</v>
      </c>
      <c r="M227" s="36">
        <f t="shared" si="78"/>
        <v>0</v>
      </c>
      <c r="N227" s="93">
        <f>SUM('3:4'!N227)</f>
        <v>0</v>
      </c>
      <c r="O227" s="93">
        <f>SUM('3:4'!O227)</f>
        <v>0</v>
      </c>
      <c r="P227" s="93">
        <f>SUM('3:4'!P227)</f>
        <v>0</v>
      </c>
      <c r="Q227" s="93">
        <f>SUM('3:4'!Q227)</f>
        <v>0</v>
      </c>
      <c r="R227" s="93">
        <f>SUM('3:4'!R227)</f>
        <v>0</v>
      </c>
      <c r="S227" s="93">
        <f>SUM('3:4'!S227)</f>
        <v>0</v>
      </c>
      <c r="T227" s="93">
        <f>SUM('3:4'!T227)</f>
        <v>0</v>
      </c>
      <c r="U227" s="93">
        <f>SUM('3:4'!U227)</f>
        <v>0</v>
      </c>
      <c r="V227" s="206">
        <f t="shared" ref="V227:V236" si="81">SUM(X227:AA227)</f>
        <v>0</v>
      </c>
      <c r="W227" s="33" t="str">
        <f t="shared" ref="W227:W236" si="82">IF(ISERROR(V227/G227),"",V227/G227)</f>
        <v/>
      </c>
      <c r="X227" s="93">
        <f>SUM('3:4'!X227)</f>
        <v>0</v>
      </c>
      <c r="Y227" s="93">
        <f>SUM('3:4'!Y227)</f>
        <v>0</v>
      </c>
      <c r="Z227" s="93">
        <f>SUM('3:4'!Z227)</f>
        <v>0</v>
      </c>
      <c r="AA227" s="93">
        <f>SUM('3:4'!AA227)</f>
        <v>0</v>
      </c>
      <c r="AB227" s="73"/>
      <c r="AC227" s="54"/>
      <c r="AD227" s="370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300">
        <v>30100034</v>
      </c>
      <c r="B228" s="62" t="s">
        <v>80</v>
      </c>
      <c r="C228" s="16" t="s">
        <v>60</v>
      </c>
      <c r="D228" s="17">
        <v>5.03</v>
      </c>
      <c r="E228" s="17"/>
      <c r="F228" s="6"/>
      <c r="G228" s="93">
        <f>SUM('3:4'!G228)</f>
        <v>0</v>
      </c>
      <c r="H228" s="364">
        <f t="shared" si="70"/>
        <v>0</v>
      </c>
      <c r="I228" s="93">
        <f>SUM('3:4'!I228)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78"/>
        <v>0</v>
      </c>
      <c r="N228" s="93">
        <f>SUM('3:4'!N228)</f>
        <v>0</v>
      </c>
      <c r="O228" s="93">
        <f>SUM('3:4'!O228)</f>
        <v>0</v>
      </c>
      <c r="P228" s="93">
        <f>SUM('3:4'!P228)</f>
        <v>0</v>
      </c>
      <c r="Q228" s="93">
        <f>SUM('3:4'!Q228)</f>
        <v>0</v>
      </c>
      <c r="R228" s="93">
        <f>SUM('3:4'!R228)</f>
        <v>0</v>
      </c>
      <c r="S228" s="93">
        <f>SUM('3:4'!S228)</f>
        <v>0</v>
      </c>
      <c r="T228" s="93">
        <f>SUM('3:4'!T228)</f>
        <v>0</v>
      </c>
      <c r="U228" s="93">
        <f>SUM('3:4'!U228)</f>
        <v>0</v>
      </c>
      <c r="V228" s="206">
        <f t="shared" si="81"/>
        <v>0</v>
      </c>
      <c r="W228" s="33" t="str">
        <f t="shared" si="82"/>
        <v/>
      </c>
      <c r="X228" s="93">
        <f>SUM('3:4'!X228)</f>
        <v>0</v>
      </c>
      <c r="Y228" s="93">
        <f>SUM('3:4'!Y228)</f>
        <v>0</v>
      </c>
      <c r="Z228" s="93">
        <f>SUM('3:4'!Z228)</f>
        <v>0</v>
      </c>
      <c r="AA228" s="93">
        <f>SUM('3:4'!AA228)</f>
        <v>0</v>
      </c>
      <c r="AB228" s="73"/>
      <c r="AC228" s="54"/>
      <c r="AD228" s="370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300">
        <v>30100035</v>
      </c>
      <c r="B229" s="62" t="s">
        <v>80</v>
      </c>
      <c r="C229" s="16" t="s">
        <v>65</v>
      </c>
      <c r="D229" s="17">
        <v>5.03</v>
      </c>
      <c r="E229" s="17"/>
      <c r="F229" s="6"/>
      <c r="G229" s="93">
        <f>SUM('3:4'!G229)</f>
        <v>0</v>
      </c>
      <c r="H229" s="364">
        <f t="shared" si="70"/>
        <v>0</v>
      </c>
      <c r="I229" s="93">
        <f>SUM('3:4'!I229)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78"/>
        <v>0</v>
      </c>
      <c r="N229" s="93">
        <f>SUM('3:4'!N229)</f>
        <v>0</v>
      </c>
      <c r="O229" s="93">
        <f>SUM('3:4'!O229)</f>
        <v>0</v>
      </c>
      <c r="P229" s="93">
        <f>SUM('3:4'!P229)</f>
        <v>0</v>
      </c>
      <c r="Q229" s="93">
        <f>SUM('3:4'!Q229)</f>
        <v>0</v>
      </c>
      <c r="R229" s="93">
        <f>SUM('3:4'!R229)</f>
        <v>0</v>
      </c>
      <c r="S229" s="93">
        <f>SUM('3:4'!S229)</f>
        <v>0</v>
      </c>
      <c r="T229" s="93">
        <f>SUM('3:4'!T229)</f>
        <v>0</v>
      </c>
      <c r="U229" s="93">
        <f>SUM('3:4'!U229)</f>
        <v>0</v>
      </c>
      <c r="V229" s="206">
        <f t="shared" si="81"/>
        <v>0</v>
      </c>
      <c r="W229" s="33" t="str">
        <f t="shared" si="82"/>
        <v/>
      </c>
      <c r="X229" s="93">
        <f>SUM('3:4'!X229)</f>
        <v>0</v>
      </c>
      <c r="Y229" s="93">
        <f>SUM('3:4'!Y229)</f>
        <v>0</v>
      </c>
      <c r="Z229" s="93">
        <f>SUM('3:4'!Z229)</f>
        <v>0</v>
      </c>
      <c r="AA229" s="93">
        <f>SUM('3:4'!AA229)</f>
        <v>0</v>
      </c>
      <c r="AB229" s="73"/>
      <c r="AC229" s="54"/>
      <c r="AD229" s="370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300">
        <v>30100040</v>
      </c>
      <c r="B230" s="62" t="s">
        <v>81</v>
      </c>
      <c r="C230" s="16" t="s">
        <v>82</v>
      </c>
      <c r="D230" s="17">
        <v>5.03</v>
      </c>
      <c r="E230" s="17"/>
      <c r="F230" s="6"/>
      <c r="G230" s="93">
        <f>SUM('3:4'!G230)</f>
        <v>0</v>
      </c>
      <c r="H230" s="364">
        <f t="shared" si="70"/>
        <v>0</v>
      </c>
      <c r="I230" s="93">
        <f>SUM('3:4'!I230)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50</v>
      </c>
      <c r="M230" s="36">
        <f t="shared" si="78"/>
        <v>0</v>
      </c>
      <c r="N230" s="93">
        <f>SUM('3:4'!N230)</f>
        <v>0</v>
      </c>
      <c r="O230" s="93">
        <f>SUM('3:4'!O230)</f>
        <v>0</v>
      </c>
      <c r="P230" s="93">
        <f>SUM('3:4'!P230)</f>
        <v>0</v>
      </c>
      <c r="Q230" s="93">
        <f>SUM('3:4'!Q230)</f>
        <v>0</v>
      </c>
      <c r="R230" s="93">
        <f>SUM('3:4'!R230)</f>
        <v>0</v>
      </c>
      <c r="S230" s="93">
        <f>SUM('3:4'!S230)</f>
        <v>0</v>
      </c>
      <c r="T230" s="93">
        <f>SUM('3:4'!T230)</f>
        <v>0</v>
      </c>
      <c r="U230" s="93">
        <f>SUM('3:4'!U230)</f>
        <v>0</v>
      </c>
      <c r="V230" s="206">
        <f t="shared" si="81"/>
        <v>0</v>
      </c>
      <c r="W230" s="33" t="str">
        <f t="shared" si="82"/>
        <v/>
      </c>
      <c r="X230" s="93">
        <f>SUM('3:4'!X230)</f>
        <v>0</v>
      </c>
      <c r="Y230" s="93">
        <f>SUM('3:4'!Y230)</f>
        <v>0</v>
      </c>
      <c r="Z230" s="93">
        <f>SUM('3:4'!Z230)</f>
        <v>0</v>
      </c>
      <c r="AA230" s="93">
        <f>SUM('3:4'!AA230)</f>
        <v>0</v>
      </c>
      <c r="AB230" s="73"/>
      <c r="AC230" s="54"/>
      <c r="AD230" s="370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300">
        <v>30100039</v>
      </c>
      <c r="B231" s="62" t="s">
        <v>81</v>
      </c>
      <c r="C231" s="16" t="s">
        <v>60</v>
      </c>
      <c r="D231" s="17">
        <v>5.03</v>
      </c>
      <c r="E231" s="17"/>
      <c r="F231" s="6"/>
      <c r="G231" s="93">
        <f>SUM('3:4'!G231)</f>
        <v>0</v>
      </c>
      <c r="H231" s="364">
        <f t="shared" si="70"/>
        <v>0</v>
      </c>
      <c r="I231" s="93">
        <f>SUM('3:4'!I231)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78"/>
        <v>0</v>
      </c>
      <c r="N231" s="93">
        <f>SUM('3:4'!N231)</f>
        <v>0</v>
      </c>
      <c r="O231" s="93">
        <f>SUM('3:4'!O231)</f>
        <v>0</v>
      </c>
      <c r="P231" s="93">
        <f>SUM('3:4'!P231)</f>
        <v>0</v>
      </c>
      <c r="Q231" s="93">
        <f>SUM('3:4'!Q231)</f>
        <v>0</v>
      </c>
      <c r="R231" s="93">
        <f>SUM('3:4'!R231)</f>
        <v>0</v>
      </c>
      <c r="S231" s="93">
        <f>SUM('3:4'!S231)</f>
        <v>0</v>
      </c>
      <c r="T231" s="93">
        <f>SUM('3:4'!T231)</f>
        <v>0</v>
      </c>
      <c r="U231" s="93">
        <f>SUM('3:4'!U231)</f>
        <v>0</v>
      </c>
      <c r="V231" s="206">
        <f t="shared" si="81"/>
        <v>0</v>
      </c>
      <c r="W231" s="33" t="str">
        <f t="shared" si="82"/>
        <v/>
      </c>
      <c r="X231" s="93">
        <f>SUM('3:4'!X231)</f>
        <v>0</v>
      </c>
      <c r="Y231" s="93">
        <f>SUM('3:4'!Y231)</f>
        <v>0</v>
      </c>
      <c r="Z231" s="93">
        <f>SUM('3:4'!Z231)</f>
        <v>0</v>
      </c>
      <c r="AA231" s="93">
        <f>SUM('3:4'!AA231)</f>
        <v>0</v>
      </c>
      <c r="AB231" s="73"/>
      <c r="AC231" s="54"/>
      <c r="AD231" s="370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300">
        <v>30100042</v>
      </c>
      <c r="B232" s="62" t="s">
        <v>81</v>
      </c>
      <c r="C232" s="16" t="s">
        <v>61</v>
      </c>
      <c r="D232" s="17">
        <v>5.03</v>
      </c>
      <c r="E232" s="17"/>
      <c r="F232" s="6"/>
      <c r="G232" s="93">
        <f>SUM('3:4'!G232)</f>
        <v>0</v>
      </c>
      <c r="H232" s="364">
        <f t="shared" si="70"/>
        <v>0</v>
      </c>
      <c r="I232" s="93">
        <f>SUM('3:4'!I232)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78"/>
        <v>0</v>
      </c>
      <c r="N232" s="93">
        <f>SUM('3:4'!N232)</f>
        <v>0</v>
      </c>
      <c r="O232" s="93">
        <f>SUM('3:4'!O232)</f>
        <v>0</v>
      </c>
      <c r="P232" s="93">
        <f>SUM('3:4'!P232)</f>
        <v>0</v>
      </c>
      <c r="Q232" s="93">
        <f>SUM('3:4'!Q232)</f>
        <v>0</v>
      </c>
      <c r="R232" s="93">
        <f>SUM('3:4'!R232)</f>
        <v>0</v>
      </c>
      <c r="S232" s="93">
        <f>SUM('3:4'!S232)</f>
        <v>0</v>
      </c>
      <c r="T232" s="93">
        <f>SUM('3:4'!T232)</f>
        <v>0</v>
      </c>
      <c r="U232" s="93">
        <f>SUM('3:4'!U232)</f>
        <v>0</v>
      </c>
      <c r="V232" s="206">
        <f t="shared" si="81"/>
        <v>0</v>
      </c>
      <c r="W232" s="33" t="str">
        <f t="shared" si="82"/>
        <v/>
      </c>
      <c r="X232" s="93">
        <f>SUM('3:4'!X232)</f>
        <v>0</v>
      </c>
      <c r="Y232" s="93">
        <f>SUM('3:4'!Y232)</f>
        <v>0</v>
      </c>
      <c r="Z232" s="93">
        <f>SUM('3:4'!Z232)</f>
        <v>0</v>
      </c>
      <c r="AA232" s="93">
        <f>SUM('3:4'!AA232)</f>
        <v>0</v>
      </c>
      <c r="AB232" s="73"/>
      <c r="AC232" s="54"/>
      <c r="AD232" s="370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300">
        <v>30100041</v>
      </c>
      <c r="B233" s="62" t="s">
        <v>81</v>
      </c>
      <c r="C233" s="16" t="s">
        <v>65</v>
      </c>
      <c r="D233" s="17">
        <v>5.03</v>
      </c>
      <c r="E233" s="17"/>
      <c r="F233" s="6"/>
      <c r="G233" s="93">
        <f>SUM('3:4'!G233)</f>
        <v>0</v>
      </c>
      <c r="H233" s="364">
        <f t="shared" si="70"/>
        <v>0</v>
      </c>
      <c r="I233" s="93">
        <f>SUM('3:4'!I233)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78"/>
        <v>0</v>
      </c>
      <c r="N233" s="93">
        <f>SUM('3:4'!N233)</f>
        <v>0</v>
      </c>
      <c r="O233" s="93">
        <f>SUM('3:4'!O233)</f>
        <v>0</v>
      </c>
      <c r="P233" s="93">
        <f>SUM('3:4'!P233)</f>
        <v>0</v>
      </c>
      <c r="Q233" s="93">
        <f>SUM('3:4'!Q233)</f>
        <v>0</v>
      </c>
      <c r="R233" s="93">
        <f>SUM('3:4'!R233)</f>
        <v>0</v>
      </c>
      <c r="S233" s="93">
        <f>SUM('3:4'!S233)</f>
        <v>0</v>
      </c>
      <c r="T233" s="93">
        <f>SUM('3:4'!T233)</f>
        <v>0</v>
      </c>
      <c r="U233" s="93">
        <f>SUM('3:4'!U233)</f>
        <v>0</v>
      </c>
      <c r="V233" s="206">
        <f t="shared" si="81"/>
        <v>0</v>
      </c>
      <c r="W233" s="33" t="str">
        <f t="shared" si="82"/>
        <v/>
      </c>
      <c r="X233" s="93">
        <f>SUM('3:4'!X233)</f>
        <v>0</v>
      </c>
      <c r="Y233" s="93">
        <f>SUM('3:4'!Y233)</f>
        <v>0</v>
      </c>
      <c r="Z233" s="93">
        <f>SUM('3:4'!Z233)</f>
        <v>0</v>
      </c>
      <c r="AA233" s="93">
        <f>SUM('3:4'!AA233)</f>
        <v>0</v>
      </c>
      <c r="AB233" s="73"/>
      <c r="AC233" s="54"/>
      <c r="AD233" s="370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300">
        <v>30100045</v>
      </c>
      <c r="B234" s="62" t="s">
        <v>83</v>
      </c>
      <c r="C234" s="16" t="s">
        <v>73</v>
      </c>
      <c r="D234" s="17">
        <v>5.03</v>
      </c>
      <c r="E234" s="17"/>
      <c r="F234" s="6"/>
      <c r="G234" s="93">
        <f>SUM('3:4'!G234)</f>
        <v>0</v>
      </c>
      <c r="H234" s="364">
        <f t="shared" si="70"/>
        <v>0</v>
      </c>
      <c r="I234" s="93">
        <f>SUM('3:4'!I234)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78"/>
        <v>0</v>
      </c>
      <c r="N234" s="93">
        <f>SUM('3:4'!N234)</f>
        <v>0</v>
      </c>
      <c r="O234" s="93">
        <f>SUM('3:4'!O234)</f>
        <v>0</v>
      </c>
      <c r="P234" s="93">
        <f>SUM('3:4'!P234)</f>
        <v>0</v>
      </c>
      <c r="Q234" s="93">
        <f>SUM('3:4'!Q234)</f>
        <v>0</v>
      </c>
      <c r="R234" s="93">
        <f>SUM('3:4'!R234)</f>
        <v>0</v>
      </c>
      <c r="S234" s="93">
        <f>SUM('3:4'!S234)</f>
        <v>0</v>
      </c>
      <c r="T234" s="93">
        <f>SUM('3:4'!T234)</f>
        <v>0</v>
      </c>
      <c r="U234" s="93">
        <f>SUM('3:4'!U234)</f>
        <v>0</v>
      </c>
      <c r="V234" s="206">
        <f t="shared" si="81"/>
        <v>0</v>
      </c>
      <c r="W234" s="33" t="str">
        <f t="shared" si="82"/>
        <v/>
      </c>
      <c r="X234" s="93">
        <f>SUM('3:4'!X234)</f>
        <v>0</v>
      </c>
      <c r="Y234" s="93">
        <f>SUM('3:4'!Y234)</f>
        <v>0</v>
      </c>
      <c r="Z234" s="93">
        <f>SUM('3:4'!Z234)</f>
        <v>0</v>
      </c>
      <c r="AA234" s="93">
        <f>SUM('3:4'!AA234)</f>
        <v>0</v>
      </c>
      <c r="AB234" s="73"/>
      <c r="AC234" s="54"/>
      <c r="AD234" s="370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300">
        <v>30100044</v>
      </c>
      <c r="B235" s="62" t="s">
        <v>83</v>
      </c>
      <c r="C235" s="16" t="s">
        <v>61</v>
      </c>
      <c r="D235" s="17">
        <v>5.03</v>
      </c>
      <c r="E235" s="17"/>
      <c r="F235" s="6"/>
      <c r="G235" s="93">
        <f>SUM('3:4'!G235)</f>
        <v>0</v>
      </c>
      <c r="H235" s="364">
        <f t="shared" si="70"/>
        <v>0</v>
      </c>
      <c r="I235" s="93">
        <f>SUM('3:4'!I235)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78"/>
        <v>0</v>
      </c>
      <c r="N235" s="93">
        <f>SUM('3:4'!N235)</f>
        <v>0</v>
      </c>
      <c r="O235" s="93">
        <f>SUM('3:4'!O235)</f>
        <v>0</v>
      </c>
      <c r="P235" s="93">
        <f>SUM('3:4'!P235)</f>
        <v>0</v>
      </c>
      <c r="Q235" s="93">
        <f>SUM('3:4'!Q235)</f>
        <v>0</v>
      </c>
      <c r="R235" s="93">
        <f>SUM('3:4'!R235)</f>
        <v>0</v>
      </c>
      <c r="S235" s="93">
        <f>SUM('3:4'!S235)</f>
        <v>0</v>
      </c>
      <c r="T235" s="93">
        <f>SUM('3:4'!T235)</f>
        <v>0</v>
      </c>
      <c r="U235" s="93">
        <f>SUM('3:4'!U235)</f>
        <v>0</v>
      </c>
      <c r="V235" s="206">
        <f t="shared" si="81"/>
        <v>0</v>
      </c>
      <c r="W235" s="33" t="str">
        <f t="shared" si="82"/>
        <v/>
      </c>
      <c r="X235" s="93">
        <f>SUM('3:4'!X235)</f>
        <v>0</v>
      </c>
      <c r="Y235" s="93">
        <f>SUM('3:4'!Y235)</f>
        <v>0</v>
      </c>
      <c r="Z235" s="93">
        <f>SUM('3:4'!Z235)</f>
        <v>0</v>
      </c>
      <c r="AA235" s="93">
        <f>SUM('3:4'!AA235)</f>
        <v>0</v>
      </c>
      <c r="AB235" s="73"/>
      <c r="AC235" s="54"/>
      <c r="AD235" s="370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300">
        <v>30100046</v>
      </c>
      <c r="B236" s="62" t="s">
        <v>83</v>
      </c>
      <c r="C236" s="16" t="s">
        <v>77</v>
      </c>
      <c r="D236" s="17">
        <v>5.03</v>
      </c>
      <c r="E236" s="17"/>
      <c r="F236" s="6"/>
      <c r="G236" s="93">
        <f>SUM('3:4'!G236)</f>
        <v>0</v>
      </c>
      <c r="H236" s="364">
        <f t="shared" si="70"/>
        <v>0</v>
      </c>
      <c r="I236" s="93">
        <f>SUM('3:4'!I236)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78"/>
        <v>0</v>
      </c>
      <c r="N236" s="93">
        <f>SUM('3:4'!N236)</f>
        <v>0</v>
      </c>
      <c r="O236" s="93">
        <f>SUM('3:4'!O236)</f>
        <v>0</v>
      </c>
      <c r="P236" s="93">
        <f>SUM('3:4'!P236)</f>
        <v>0</v>
      </c>
      <c r="Q236" s="93">
        <f>SUM('3:4'!Q236)</f>
        <v>0</v>
      </c>
      <c r="R236" s="93">
        <f>SUM('3:4'!R236)</f>
        <v>0</v>
      </c>
      <c r="S236" s="93">
        <f>SUM('3:4'!S236)</f>
        <v>0</v>
      </c>
      <c r="T236" s="93">
        <f>SUM('3:4'!T236)</f>
        <v>0</v>
      </c>
      <c r="U236" s="93">
        <f>SUM('3:4'!U236)</f>
        <v>0</v>
      </c>
      <c r="V236" s="206">
        <f t="shared" si="81"/>
        <v>0</v>
      </c>
      <c r="W236" s="33" t="str">
        <f t="shared" si="82"/>
        <v/>
      </c>
      <c r="X236" s="93">
        <f>SUM('3:4'!X236)</f>
        <v>0</v>
      </c>
      <c r="Y236" s="93">
        <f>SUM('3:4'!Y236)</f>
        <v>0</v>
      </c>
      <c r="Z236" s="93">
        <f>SUM('3:4'!Z236)</f>
        <v>0</v>
      </c>
      <c r="AA236" s="93">
        <f>SUM('3:4'!AA236)</f>
        <v>0</v>
      </c>
      <c r="AB236" s="73"/>
      <c r="AC236" s="54"/>
      <c r="AD236" s="370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300">
        <v>30100043</v>
      </c>
      <c r="B237" s="192" t="s">
        <v>429</v>
      </c>
      <c r="C237" s="187" t="s">
        <v>427</v>
      </c>
      <c r="D237" s="17">
        <v>5.03</v>
      </c>
      <c r="E237" s="17"/>
      <c r="F237" s="6"/>
      <c r="G237" s="93">
        <f>SUM('3:4'!G237)</f>
        <v>0</v>
      </c>
      <c r="H237" s="364">
        <f t="shared" si="70"/>
        <v>0</v>
      </c>
      <c r="I237" s="93">
        <f>SUM('3:4'!I237)</f>
        <v>0</v>
      </c>
      <c r="J237" s="31"/>
      <c r="K237" s="35"/>
      <c r="L237" s="87">
        <v>50</v>
      </c>
      <c r="M237" s="36"/>
      <c r="N237" s="93"/>
      <c r="O237" s="93"/>
      <c r="P237" s="93"/>
      <c r="Q237" s="93"/>
      <c r="R237" s="93"/>
      <c r="S237" s="93"/>
      <c r="T237" s="93"/>
      <c r="U237" s="93"/>
      <c r="V237" s="206"/>
      <c r="W237" s="33"/>
      <c r="X237" s="93"/>
      <c r="Y237" s="93"/>
      <c r="Z237" s="93"/>
      <c r="AA237" s="93"/>
      <c r="AB237" s="73"/>
      <c r="AC237" s="54"/>
      <c r="AD237" s="370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300">
        <v>30100064</v>
      </c>
      <c r="B238" s="192" t="s">
        <v>400</v>
      </c>
      <c r="C238" s="187" t="s">
        <v>398</v>
      </c>
      <c r="D238" s="17">
        <v>5</v>
      </c>
      <c r="E238" s="17"/>
      <c r="F238" s="6"/>
      <c r="G238" s="93">
        <f>SUM('3:4'!G238)</f>
        <v>0</v>
      </c>
      <c r="H238" s="364">
        <f t="shared" si="70"/>
        <v>0</v>
      </c>
      <c r="I238" s="93">
        <f>SUM('3:4'!I238)</f>
        <v>0</v>
      </c>
      <c r="J238" s="31"/>
      <c r="K238" s="35">
        <f t="array" ref="K238">IF(ISERROR(G238/L238),"",G238/L238)</f>
        <v>0</v>
      </c>
      <c r="L238" s="87">
        <v>50</v>
      </c>
      <c r="M238" s="36">
        <f t="shared" ref="M238:M249" si="83">IF(ISERROR(I238-K238),"",I238-K238)</f>
        <v>0</v>
      </c>
      <c r="N238" s="93">
        <f>SUM('3:4'!N238)</f>
        <v>0</v>
      </c>
      <c r="O238" s="93">
        <f>SUM('3:4'!O238)</f>
        <v>0</v>
      </c>
      <c r="P238" s="93">
        <f>SUM('3:4'!P238)</f>
        <v>0</v>
      </c>
      <c r="Q238" s="93">
        <f>SUM('3:4'!Q238)</f>
        <v>0</v>
      </c>
      <c r="R238" s="93">
        <f>SUM('3:4'!R238)</f>
        <v>0</v>
      </c>
      <c r="S238" s="93">
        <f>SUM('3:4'!S238)</f>
        <v>0</v>
      </c>
      <c r="T238" s="93">
        <f>SUM('3:4'!T238)</f>
        <v>0</v>
      </c>
      <c r="U238" s="93">
        <f>SUM('3:4'!U238)</f>
        <v>0</v>
      </c>
      <c r="V238" s="206"/>
      <c r="W238" s="33"/>
      <c r="X238" s="93">
        <f>SUM('3:4'!X238)</f>
        <v>0</v>
      </c>
      <c r="Y238" s="93">
        <f>SUM('3:4'!Y238)</f>
        <v>0</v>
      </c>
      <c r="Z238" s="93">
        <f>SUM('3:4'!Z238)</f>
        <v>0</v>
      </c>
      <c r="AA238" s="93">
        <f>SUM('3:4'!AA238)</f>
        <v>0</v>
      </c>
      <c r="AB238" s="73"/>
      <c r="AC238" s="54"/>
      <c r="AD238" s="370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300">
        <v>30100049</v>
      </c>
      <c r="B239" s="62" t="s">
        <v>84</v>
      </c>
      <c r="C239" s="16" t="s">
        <v>64</v>
      </c>
      <c r="D239" s="17">
        <v>5.03</v>
      </c>
      <c r="E239" s="17"/>
      <c r="F239" s="6"/>
      <c r="G239" s="93">
        <f>SUM('3:4'!G239)</f>
        <v>0</v>
      </c>
      <c r="H239" s="364">
        <f t="shared" si="70"/>
        <v>0</v>
      </c>
      <c r="I239" s="93">
        <f>SUM('3:4'!I239)</f>
        <v>0</v>
      </c>
      <c r="J239" s="31" t="str">
        <f t="array" ref="J239">IF(ISERROR(G239/I239),"",G239/I239)</f>
        <v/>
      </c>
      <c r="K239" s="35">
        <f t="array" ref="K239">IF(ISERROR(G239/L239),"",G239/L239)</f>
        <v>0</v>
      </c>
      <c r="L239" s="87">
        <v>21.5</v>
      </c>
      <c r="M239" s="36">
        <f t="shared" si="83"/>
        <v>0</v>
      </c>
      <c r="N239" s="93">
        <f>SUM('3:4'!N239)</f>
        <v>0</v>
      </c>
      <c r="O239" s="93">
        <f>SUM('3:4'!O239)</f>
        <v>0</v>
      </c>
      <c r="P239" s="93">
        <f>SUM('3:4'!P239)</f>
        <v>0</v>
      </c>
      <c r="Q239" s="93">
        <f>SUM('3:4'!Q239)</f>
        <v>0</v>
      </c>
      <c r="R239" s="93">
        <f>SUM('3:4'!R239)</f>
        <v>0</v>
      </c>
      <c r="S239" s="93">
        <f>SUM('3:4'!S239)</f>
        <v>0</v>
      </c>
      <c r="T239" s="93">
        <f>SUM('3:4'!T239)</f>
        <v>0</v>
      </c>
      <c r="U239" s="93">
        <f>SUM('3:4'!U239)</f>
        <v>0</v>
      </c>
      <c r="V239" s="206">
        <f t="shared" ref="V239:V240" si="84">SUM(X239:AA239)</f>
        <v>0</v>
      </c>
      <c r="W239" s="33" t="str">
        <f t="shared" ref="W239:W240" si="85">IF(ISERROR(V239/G239),"",V239/G239)</f>
        <v/>
      </c>
      <c r="X239" s="93">
        <f>SUM('3:4'!X239)</f>
        <v>0</v>
      </c>
      <c r="Y239" s="93">
        <f>SUM('3:4'!Y239)</f>
        <v>0</v>
      </c>
      <c r="Z239" s="93">
        <f>SUM('3:4'!Z239)</f>
        <v>0</v>
      </c>
      <c r="AA239" s="93">
        <f>SUM('3:4'!AA239)</f>
        <v>0</v>
      </c>
      <c r="AB239" s="73"/>
      <c r="AC239" s="54"/>
      <c r="AD239" s="370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300">
        <v>30100050</v>
      </c>
      <c r="B240" s="62" t="s">
        <v>84</v>
      </c>
      <c r="C240" s="16" t="s">
        <v>65</v>
      </c>
      <c r="D240" s="17">
        <v>5.03</v>
      </c>
      <c r="E240" s="17"/>
      <c r="F240" s="6"/>
      <c r="G240" s="93">
        <f>SUM('3:4'!G240)</f>
        <v>0</v>
      </c>
      <c r="H240" s="364">
        <f t="shared" si="70"/>
        <v>0</v>
      </c>
      <c r="I240" s="93">
        <f>SUM('3:4'!I240)</f>
        <v>0</v>
      </c>
      <c r="J240" s="31" t="str">
        <f t="array" ref="J240">IF(ISERROR(G240/I240),"",G240/I240)</f>
        <v/>
      </c>
      <c r="K240" s="35">
        <f t="array" ref="K240">IF(ISERROR(G240/L240),"",G240/L240)</f>
        <v>0</v>
      </c>
      <c r="L240" s="87">
        <v>21.5</v>
      </c>
      <c r="M240" s="36">
        <f t="shared" si="83"/>
        <v>0</v>
      </c>
      <c r="N240" s="93">
        <f>SUM('3:4'!N240)</f>
        <v>0</v>
      </c>
      <c r="O240" s="93">
        <f>SUM('3:4'!O240)</f>
        <v>0</v>
      </c>
      <c r="P240" s="93">
        <f>SUM('3:4'!P240)</f>
        <v>0</v>
      </c>
      <c r="Q240" s="93">
        <f>SUM('3:4'!Q240)</f>
        <v>0</v>
      </c>
      <c r="R240" s="93">
        <f>SUM('3:4'!R240)</f>
        <v>0</v>
      </c>
      <c r="S240" s="93">
        <f>SUM('3:4'!S240)</f>
        <v>0</v>
      </c>
      <c r="T240" s="93">
        <f>SUM('3:4'!T240)</f>
        <v>0</v>
      </c>
      <c r="U240" s="93">
        <f>SUM('3:4'!U240)</f>
        <v>0</v>
      </c>
      <c r="V240" s="206">
        <f t="shared" si="84"/>
        <v>0</v>
      </c>
      <c r="W240" s="33" t="str">
        <f t="shared" si="85"/>
        <v/>
      </c>
      <c r="X240" s="93">
        <f>SUM('3:4'!X240)</f>
        <v>0</v>
      </c>
      <c r="Y240" s="93">
        <f>SUM('3:4'!Y240)</f>
        <v>0</v>
      </c>
      <c r="Z240" s="93">
        <f>SUM('3:4'!Z240)</f>
        <v>0</v>
      </c>
      <c r="AA240" s="93">
        <f>SUM('3:4'!AA240)</f>
        <v>0</v>
      </c>
      <c r="AB240" s="73"/>
      <c r="AC240" s="54"/>
      <c r="AD240" s="370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300"/>
      <c r="B241" s="192" t="s">
        <v>360</v>
      </c>
      <c r="C241" s="187" t="s">
        <v>361</v>
      </c>
      <c r="D241" s="17"/>
      <c r="E241" s="17"/>
      <c r="F241" s="6"/>
      <c r="G241" s="93">
        <f>SUM('3:4'!G241)</f>
        <v>0</v>
      </c>
      <c r="H241" s="364">
        <f t="shared" si="70"/>
        <v>0</v>
      </c>
      <c r="I241" s="93">
        <f>SUM('3:4'!I241)</f>
        <v>0</v>
      </c>
      <c r="J241" s="31"/>
      <c r="K241" s="35"/>
      <c r="L241" s="87"/>
      <c r="M241" s="36">
        <f t="shared" si="83"/>
        <v>0</v>
      </c>
      <c r="N241" s="93">
        <f>SUM('3:4'!N241)</f>
        <v>0</v>
      </c>
      <c r="O241" s="93">
        <f>SUM('3:4'!O241)</f>
        <v>0</v>
      </c>
      <c r="P241" s="93">
        <f>SUM('3:4'!P241)</f>
        <v>0</v>
      </c>
      <c r="Q241" s="93">
        <f>SUM('3:4'!Q241)</f>
        <v>0</v>
      </c>
      <c r="R241" s="93">
        <f>SUM('3:4'!R241)</f>
        <v>0</v>
      </c>
      <c r="S241" s="93">
        <f>SUM('3:4'!S241)</f>
        <v>0</v>
      </c>
      <c r="T241" s="93">
        <f>SUM('3:4'!T241)</f>
        <v>0</v>
      </c>
      <c r="U241" s="93">
        <f>SUM('3:4'!U241)</f>
        <v>0</v>
      </c>
      <c r="V241" s="206"/>
      <c r="W241" s="33"/>
      <c r="X241" s="93">
        <f>SUM('3:4'!X241)</f>
        <v>0</v>
      </c>
      <c r="Y241" s="93">
        <f>SUM('3:4'!Y241)</f>
        <v>0</v>
      </c>
      <c r="Z241" s="93">
        <f>SUM('3:4'!Z241)</f>
        <v>0</v>
      </c>
      <c r="AA241" s="93">
        <f>SUM('3:4'!AA241)</f>
        <v>0</v>
      </c>
      <c r="AB241" s="73"/>
      <c r="AC241" s="54"/>
      <c r="AD241" s="370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300">
        <v>30100055</v>
      </c>
      <c r="B242" s="63" t="s">
        <v>85</v>
      </c>
      <c r="C242" s="16" t="s">
        <v>60</v>
      </c>
      <c r="D242" s="17">
        <v>5.0599999999999996</v>
      </c>
      <c r="E242" s="17"/>
      <c r="F242" s="6"/>
      <c r="G242" s="93">
        <f>SUM('3:4'!G242)</f>
        <v>0</v>
      </c>
      <c r="H242" s="364">
        <f t="shared" si="70"/>
        <v>0</v>
      </c>
      <c r="I242" s="93">
        <f>SUM('3:4'!I242)</f>
        <v>0</v>
      </c>
      <c r="J242" s="31" t="str">
        <f t="array" ref="J242">IF(ISERROR(G242/I242),"",G242/I242)</f>
        <v/>
      </c>
      <c r="K242" s="35" t="str">
        <f t="array" ref="K242">IF(ISERROR(G242/L242),"",G242/L242)</f>
        <v/>
      </c>
      <c r="L242" s="87"/>
      <c r="M242" s="36" t="str">
        <f t="shared" si="83"/>
        <v/>
      </c>
      <c r="N242" s="93">
        <f>SUM('3:4'!N242)</f>
        <v>0</v>
      </c>
      <c r="O242" s="93">
        <f>SUM('3:4'!O242)</f>
        <v>0</v>
      </c>
      <c r="P242" s="93">
        <f>SUM('3:4'!P242)</f>
        <v>0</v>
      </c>
      <c r="Q242" s="93">
        <f>SUM('3:4'!Q242)</f>
        <v>0</v>
      </c>
      <c r="R242" s="93">
        <f>SUM('3:4'!R242)</f>
        <v>0</v>
      </c>
      <c r="S242" s="93">
        <f>SUM('3:4'!S242)</f>
        <v>0</v>
      </c>
      <c r="T242" s="93">
        <f>SUM('3:4'!T242)</f>
        <v>0</v>
      </c>
      <c r="U242" s="93">
        <f>SUM('3:4'!U242)</f>
        <v>0</v>
      </c>
      <c r="V242" s="206">
        <f t="shared" ref="V242:V245" si="86">SUM(X242:AA242)</f>
        <v>0</v>
      </c>
      <c r="W242" s="33" t="str">
        <f t="shared" ref="W242:W245" si="87">IF(ISERROR(V242/G242),"",V242/G242)</f>
        <v/>
      </c>
      <c r="X242" s="93">
        <f>SUM('3:4'!X242)</f>
        <v>0</v>
      </c>
      <c r="Y242" s="93">
        <f>SUM('3:4'!Y242)</f>
        <v>0</v>
      </c>
      <c r="Z242" s="93">
        <f>SUM('3:4'!Z242)</f>
        <v>0</v>
      </c>
      <c r="AA242" s="93">
        <f>SUM('3:4'!AA242)</f>
        <v>0</v>
      </c>
      <c r="AB242" s="73"/>
      <c r="AC242" s="54"/>
      <c r="AD242" s="370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300">
        <v>30100056</v>
      </c>
      <c r="B243" s="63" t="s">
        <v>85</v>
      </c>
      <c r="C243" s="16" t="s">
        <v>74</v>
      </c>
      <c r="D243" s="17">
        <v>5.0599999999999996</v>
      </c>
      <c r="E243" s="17"/>
      <c r="F243" s="6"/>
      <c r="G243" s="93">
        <f>SUM('3:4'!G243)</f>
        <v>0</v>
      </c>
      <c r="H243" s="364">
        <f t="shared" si="70"/>
        <v>0</v>
      </c>
      <c r="I243" s="93">
        <f>SUM('3:4'!I243)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83"/>
        <v/>
      </c>
      <c r="N243" s="93">
        <f>SUM('3:4'!N243)</f>
        <v>0</v>
      </c>
      <c r="O243" s="93">
        <f>SUM('3:4'!O243)</f>
        <v>0</v>
      </c>
      <c r="P243" s="93">
        <f>SUM('3:4'!P243)</f>
        <v>0</v>
      </c>
      <c r="Q243" s="93">
        <f>SUM('3:4'!Q243)</f>
        <v>0</v>
      </c>
      <c r="R243" s="93">
        <f>SUM('3:4'!R243)</f>
        <v>0</v>
      </c>
      <c r="S243" s="93">
        <f>SUM('3:4'!S243)</f>
        <v>0</v>
      </c>
      <c r="T243" s="93">
        <f>SUM('3:4'!T243)</f>
        <v>0</v>
      </c>
      <c r="U243" s="93">
        <f>SUM('3:4'!U243)</f>
        <v>0</v>
      </c>
      <c r="V243" s="206">
        <f t="shared" si="86"/>
        <v>0</v>
      </c>
      <c r="W243" s="33" t="str">
        <f t="shared" si="87"/>
        <v/>
      </c>
      <c r="X243" s="93">
        <f>SUM('3:4'!X243)</f>
        <v>0</v>
      </c>
      <c r="Y243" s="93">
        <f>SUM('3:4'!Y243)</f>
        <v>0</v>
      </c>
      <c r="Z243" s="93">
        <f>SUM('3:4'!Z243)</f>
        <v>0</v>
      </c>
      <c r="AA243" s="93">
        <f>SUM('3:4'!AA243)</f>
        <v>0</v>
      </c>
      <c r="AB243" s="73"/>
      <c r="AC243" s="54"/>
      <c r="AD243" s="370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300">
        <v>30100057</v>
      </c>
      <c r="B244" s="63" t="s">
        <v>85</v>
      </c>
      <c r="C244" s="16" t="s">
        <v>65</v>
      </c>
      <c r="D244" s="17">
        <v>5.0599999999999996</v>
      </c>
      <c r="E244" s="17"/>
      <c r="F244" s="6"/>
      <c r="G244" s="93">
        <f>SUM('3:4'!G244)</f>
        <v>0</v>
      </c>
      <c r="H244" s="364">
        <f t="shared" si="70"/>
        <v>0</v>
      </c>
      <c r="I244" s="93">
        <f>SUM('3:4'!I244)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83"/>
        <v/>
      </c>
      <c r="N244" s="93">
        <f>SUM('3:4'!N244)</f>
        <v>0</v>
      </c>
      <c r="O244" s="93">
        <f>SUM('3:4'!O244)</f>
        <v>0</v>
      </c>
      <c r="P244" s="93">
        <f>SUM('3:4'!P244)</f>
        <v>0</v>
      </c>
      <c r="Q244" s="93">
        <f>SUM('3:4'!Q244)</f>
        <v>0</v>
      </c>
      <c r="R244" s="93">
        <f>SUM('3:4'!R244)</f>
        <v>0</v>
      </c>
      <c r="S244" s="93">
        <f>SUM('3:4'!S244)</f>
        <v>0</v>
      </c>
      <c r="T244" s="93">
        <f>SUM('3:4'!T244)</f>
        <v>0</v>
      </c>
      <c r="U244" s="93">
        <f>SUM('3:4'!U244)</f>
        <v>0</v>
      </c>
      <c r="V244" s="206">
        <f t="shared" si="86"/>
        <v>0</v>
      </c>
      <c r="W244" s="33" t="str">
        <f t="shared" si="87"/>
        <v/>
      </c>
      <c r="X244" s="93">
        <f>SUM('3:4'!X244)</f>
        <v>0</v>
      </c>
      <c r="Y244" s="93">
        <f>SUM('3:4'!Y244)</f>
        <v>0</v>
      </c>
      <c r="Z244" s="93">
        <f>SUM('3:4'!Z244)</f>
        <v>0</v>
      </c>
      <c r="AA244" s="93">
        <f>SUM('3:4'!AA244)</f>
        <v>0</v>
      </c>
      <c r="AB244" s="73"/>
      <c r="AC244" s="54"/>
      <c r="AD244" s="370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 ht="15" customHeight="1">
      <c r="A245" s="300">
        <v>30100058</v>
      </c>
      <c r="B245" s="63" t="s">
        <v>85</v>
      </c>
      <c r="C245" s="16" t="s">
        <v>61</v>
      </c>
      <c r="D245" s="17">
        <v>5.0599999999999996</v>
      </c>
      <c r="E245" s="17"/>
      <c r="F245" s="6"/>
      <c r="G245" s="93">
        <f>SUM('3:4'!G245)</f>
        <v>0</v>
      </c>
      <c r="H245" s="364">
        <f t="shared" si="70"/>
        <v>0</v>
      </c>
      <c r="I245" s="93">
        <f>SUM('3:4'!I245)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83"/>
        <v/>
      </c>
      <c r="N245" s="93">
        <f>SUM('3:4'!N245)</f>
        <v>0</v>
      </c>
      <c r="O245" s="93">
        <f>SUM('3:4'!O245)</f>
        <v>0</v>
      </c>
      <c r="P245" s="93">
        <f>SUM('3:4'!P245)</f>
        <v>0</v>
      </c>
      <c r="Q245" s="93">
        <f>SUM('3:4'!Q245)</f>
        <v>0</v>
      </c>
      <c r="R245" s="93">
        <f>SUM('3:4'!R245)</f>
        <v>0</v>
      </c>
      <c r="S245" s="93">
        <f>SUM('3:4'!S245)</f>
        <v>0</v>
      </c>
      <c r="T245" s="93">
        <f>SUM('3:4'!T245)</f>
        <v>0</v>
      </c>
      <c r="U245" s="93">
        <f>SUM('3:4'!U245)</f>
        <v>0</v>
      </c>
      <c r="V245" s="206">
        <f t="shared" si="86"/>
        <v>0</v>
      </c>
      <c r="W245" s="33" t="str">
        <f t="shared" si="87"/>
        <v/>
      </c>
      <c r="X245" s="93">
        <f>SUM('3:4'!X245)</f>
        <v>0</v>
      </c>
      <c r="Y245" s="93">
        <f>SUM('3:4'!Y245)</f>
        <v>0</v>
      </c>
      <c r="Z245" s="93">
        <f>SUM('3:4'!Z245)</f>
        <v>0</v>
      </c>
      <c r="AA245" s="93">
        <f>SUM('3:4'!AA245)</f>
        <v>0</v>
      </c>
      <c r="AB245" s="73"/>
      <c r="AC245" s="54"/>
      <c r="AD245" s="370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>
      <c r="A246" s="302">
        <v>30600013</v>
      </c>
      <c r="B246" s="197" t="s">
        <v>377</v>
      </c>
      <c r="C246" s="187" t="s">
        <v>374</v>
      </c>
      <c r="D246" s="17"/>
      <c r="E246" s="17"/>
      <c r="F246" s="6"/>
      <c r="G246" s="93">
        <f>SUM('3:4'!G246)</f>
        <v>0</v>
      </c>
      <c r="H246" s="364">
        <f t="shared" si="70"/>
        <v>0</v>
      </c>
      <c r="I246" s="93">
        <f>SUM('3:4'!I246)</f>
        <v>0</v>
      </c>
      <c r="J246" s="31"/>
      <c r="K246" s="35">
        <f t="array" ref="K246">IF(ISERROR(G246/L246),"",G246/L246)</f>
        <v>0</v>
      </c>
      <c r="L246" s="87">
        <v>24</v>
      </c>
      <c r="M246" s="36">
        <f t="shared" si="83"/>
        <v>0</v>
      </c>
      <c r="N246" s="93">
        <f>SUM('3:4'!N246)</f>
        <v>0</v>
      </c>
      <c r="O246" s="93">
        <f>SUM('3:4'!O246)</f>
        <v>0</v>
      </c>
      <c r="P246" s="93">
        <f>SUM('3:4'!P246)</f>
        <v>0</v>
      </c>
      <c r="Q246" s="93">
        <f>SUM('3:4'!Q246)</f>
        <v>0</v>
      </c>
      <c r="R246" s="93">
        <f>SUM('3:4'!R246)</f>
        <v>0</v>
      </c>
      <c r="S246" s="93">
        <f>SUM('3:4'!S246)</f>
        <v>0</v>
      </c>
      <c r="T246" s="93">
        <f>SUM('3:4'!T246)</f>
        <v>0</v>
      </c>
      <c r="U246" s="93">
        <f>SUM('3:4'!U246)</f>
        <v>0</v>
      </c>
      <c r="V246" s="206"/>
      <c r="W246" s="33"/>
      <c r="X246" s="93">
        <f>SUM('3:4'!X246)</f>
        <v>0</v>
      </c>
      <c r="Y246" s="93">
        <f>SUM('3:4'!Y246)</f>
        <v>0</v>
      </c>
      <c r="Z246" s="93">
        <f>SUM('3:4'!Z246)</f>
        <v>0</v>
      </c>
      <c r="AA246" s="93">
        <f>SUM('3:4'!AA246)</f>
        <v>0</v>
      </c>
      <c r="AB246" s="73"/>
      <c r="AC246" s="54"/>
      <c r="AD246" s="370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302">
        <v>30600014</v>
      </c>
      <c r="B247" s="197" t="s">
        <v>377</v>
      </c>
      <c r="C247" s="187" t="s">
        <v>369</v>
      </c>
      <c r="D247" s="17"/>
      <c r="E247" s="17"/>
      <c r="F247" s="6"/>
      <c r="G247" s="93">
        <f>SUM('3:4'!G247)</f>
        <v>0</v>
      </c>
      <c r="H247" s="364">
        <f t="shared" si="70"/>
        <v>0</v>
      </c>
      <c r="I247" s="93">
        <f>SUM('3:4'!I247)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83"/>
        <v>0</v>
      </c>
      <c r="N247" s="93">
        <f>SUM('3:4'!N247)</f>
        <v>0</v>
      </c>
      <c r="O247" s="93">
        <f>SUM('3:4'!O247)</f>
        <v>0</v>
      </c>
      <c r="P247" s="93">
        <f>SUM('3:4'!P247)</f>
        <v>0</v>
      </c>
      <c r="Q247" s="93">
        <f>SUM('3:4'!Q247)</f>
        <v>0</v>
      </c>
      <c r="R247" s="93">
        <f>SUM('3:4'!R247)</f>
        <v>0</v>
      </c>
      <c r="S247" s="93">
        <f>SUM('3:4'!S247)</f>
        <v>0</v>
      </c>
      <c r="T247" s="93">
        <f>SUM('3:4'!T247)</f>
        <v>0</v>
      </c>
      <c r="U247" s="93">
        <f>SUM('3:4'!U247)</f>
        <v>0</v>
      </c>
      <c r="V247" s="206"/>
      <c r="W247" s="33"/>
      <c r="X247" s="93">
        <f>SUM('3:4'!X247)</f>
        <v>0</v>
      </c>
      <c r="Y247" s="93">
        <f>SUM('3:4'!Y247)</f>
        <v>0</v>
      </c>
      <c r="Z247" s="93">
        <f>SUM('3:4'!Z247)</f>
        <v>0</v>
      </c>
      <c r="AA247" s="93">
        <f>SUM('3:4'!AA247)</f>
        <v>0</v>
      </c>
      <c r="AB247" s="73"/>
      <c r="AC247" s="54"/>
      <c r="AD247" s="370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302">
        <v>30600012</v>
      </c>
      <c r="B248" s="197" t="s">
        <v>377</v>
      </c>
      <c r="C248" s="187" t="s">
        <v>370</v>
      </c>
      <c r="D248" s="17"/>
      <c r="E248" s="17"/>
      <c r="F248" s="6"/>
      <c r="G248" s="93">
        <f>SUM('3:4'!G248)</f>
        <v>0</v>
      </c>
      <c r="H248" s="364">
        <f t="shared" si="70"/>
        <v>0</v>
      </c>
      <c r="I248" s="93">
        <f>SUM('3:4'!I248)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83"/>
        <v>0</v>
      </c>
      <c r="N248" s="93">
        <f>SUM('3:4'!N248)</f>
        <v>0</v>
      </c>
      <c r="O248" s="93">
        <f>SUM('3:4'!O248)</f>
        <v>0</v>
      </c>
      <c r="P248" s="93">
        <f>SUM('3:4'!P248)</f>
        <v>0</v>
      </c>
      <c r="Q248" s="93">
        <f>SUM('3:4'!Q248)</f>
        <v>0</v>
      </c>
      <c r="R248" s="93">
        <f>SUM('3:4'!R248)</f>
        <v>0</v>
      </c>
      <c r="S248" s="93">
        <f>SUM('3:4'!S248)</f>
        <v>0</v>
      </c>
      <c r="T248" s="93">
        <f>SUM('3:4'!T248)</f>
        <v>0</v>
      </c>
      <c r="U248" s="93">
        <f>SUM('3:4'!U248)</f>
        <v>0</v>
      </c>
      <c r="V248" s="206"/>
      <c r="W248" s="33"/>
      <c r="X248" s="93">
        <f>SUM('3:4'!X248)</f>
        <v>0</v>
      </c>
      <c r="Y248" s="93">
        <f>SUM('3:4'!Y248)</f>
        <v>0</v>
      </c>
      <c r="Z248" s="93">
        <f>SUM('3:4'!Z248)</f>
        <v>0</v>
      </c>
      <c r="AA248" s="93">
        <f>SUM('3:4'!AA248)</f>
        <v>0</v>
      </c>
      <c r="AB248" s="73"/>
      <c r="AC248" s="54"/>
      <c r="AD248" s="370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302">
        <v>30600011</v>
      </c>
      <c r="B249" s="197" t="s">
        <v>377</v>
      </c>
      <c r="C249" s="187" t="s">
        <v>371</v>
      </c>
      <c r="D249" s="17"/>
      <c r="E249" s="17"/>
      <c r="F249" s="6"/>
      <c r="G249" s="93">
        <f>SUM('3:4'!G249)</f>
        <v>0</v>
      </c>
      <c r="H249" s="364">
        <f t="shared" si="70"/>
        <v>0</v>
      </c>
      <c r="I249" s="93">
        <f>SUM('3:4'!I249)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83"/>
        <v>0</v>
      </c>
      <c r="N249" s="93">
        <f>SUM('3:4'!N249)</f>
        <v>0</v>
      </c>
      <c r="O249" s="93">
        <f>SUM('3:4'!O249)</f>
        <v>0</v>
      </c>
      <c r="P249" s="93">
        <f>SUM('3:4'!P249)</f>
        <v>0</v>
      </c>
      <c r="Q249" s="93">
        <f>SUM('3:4'!Q249)</f>
        <v>0</v>
      </c>
      <c r="R249" s="93">
        <f>SUM('3:4'!R249)</f>
        <v>0</v>
      </c>
      <c r="S249" s="93">
        <f>SUM('3:4'!S249)</f>
        <v>0</v>
      </c>
      <c r="T249" s="93">
        <f>SUM('3:4'!T249)</f>
        <v>0</v>
      </c>
      <c r="U249" s="93">
        <f>SUM('3:4'!U249)</f>
        <v>0</v>
      </c>
      <c r="V249" s="206"/>
      <c r="W249" s="33"/>
      <c r="X249" s="93">
        <f>SUM('3:4'!X249)</f>
        <v>0</v>
      </c>
      <c r="Y249" s="93">
        <f>SUM('3:4'!Y249)</f>
        <v>0</v>
      </c>
      <c r="Z249" s="93">
        <f>SUM('3:4'!Z249)</f>
        <v>0</v>
      </c>
      <c r="AA249" s="93">
        <f>SUM('3:4'!AA249)</f>
        <v>0</v>
      </c>
      <c r="AB249" s="73"/>
      <c r="AC249" s="54"/>
      <c r="AD249" s="370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302">
        <v>30300002</v>
      </c>
      <c r="B250" s="197" t="s">
        <v>407</v>
      </c>
      <c r="C250" s="187" t="s">
        <v>408</v>
      </c>
      <c r="D250" s="17"/>
      <c r="E250" s="17"/>
      <c r="F250" s="6"/>
      <c r="G250" s="93">
        <f>SUM('3:4'!G250)</f>
        <v>0</v>
      </c>
      <c r="H250" s="364">
        <f t="shared" si="70"/>
        <v>0</v>
      </c>
      <c r="I250" s="93">
        <f>SUM('3:4'!I250)</f>
        <v>0</v>
      </c>
      <c r="J250" s="31"/>
      <c r="K250" s="35"/>
      <c r="L250" s="87">
        <v>4</v>
      </c>
      <c r="M250" s="36"/>
      <c r="N250" s="31"/>
      <c r="O250" s="93"/>
      <c r="P250" s="93"/>
      <c r="Q250" s="93"/>
      <c r="R250" s="93"/>
      <c r="S250" s="93"/>
      <c r="T250" s="93"/>
      <c r="U250" s="93"/>
      <c r="V250" s="206"/>
      <c r="W250" s="33"/>
      <c r="X250" s="93"/>
      <c r="Y250" s="93"/>
      <c r="Z250" s="93"/>
      <c r="AA250" s="93"/>
      <c r="AB250" s="73"/>
      <c r="AC250" s="54"/>
      <c r="AD250" s="370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302">
        <v>30300001</v>
      </c>
      <c r="B251" s="197" t="s">
        <v>407</v>
      </c>
      <c r="C251" s="187" t="s">
        <v>409</v>
      </c>
      <c r="D251" s="17"/>
      <c r="E251" s="17"/>
      <c r="F251" s="6"/>
      <c r="G251" s="93">
        <f>SUM('3:4'!G251)</f>
        <v>0</v>
      </c>
      <c r="H251" s="364">
        <f t="shared" si="70"/>
        <v>0</v>
      </c>
      <c r="I251" s="93">
        <f>SUM('3:4'!I251)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6"/>
      <c r="W251" s="33"/>
      <c r="X251" s="93"/>
      <c r="Y251" s="93"/>
      <c r="Z251" s="93"/>
      <c r="AA251" s="93"/>
      <c r="AB251" s="73"/>
      <c r="AC251" s="54"/>
      <c r="AD251" s="370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302">
        <v>30300003</v>
      </c>
      <c r="B252" s="197" t="s">
        <v>407</v>
      </c>
      <c r="C252" s="187" t="s">
        <v>410</v>
      </c>
      <c r="D252" s="17"/>
      <c r="E252" s="17"/>
      <c r="F252" s="6"/>
      <c r="G252" s="93">
        <f>SUM('3:4'!G252)</f>
        <v>0</v>
      </c>
      <c r="H252" s="364">
        <f t="shared" si="70"/>
        <v>0</v>
      </c>
      <c r="I252" s="93">
        <f>SUM('3:4'!I252)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6"/>
      <c r="W252" s="33"/>
      <c r="X252" s="93"/>
      <c r="Y252" s="93"/>
      <c r="Z252" s="93"/>
      <c r="AA252" s="93"/>
      <c r="AB252" s="73"/>
      <c r="AC252" s="54"/>
      <c r="AD252" s="370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302">
        <v>30300005</v>
      </c>
      <c r="B253" s="189" t="s">
        <v>363</v>
      </c>
      <c r="C253" s="16" t="s">
        <v>337</v>
      </c>
      <c r="D253" s="17"/>
      <c r="E253" s="17"/>
      <c r="F253" s="6"/>
      <c r="G253" s="93">
        <f>SUM('3:4'!G253)</f>
        <v>0</v>
      </c>
      <c r="H253" s="364">
        <f t="shared" si="70"/>
        <v>0</v>
      </c>
      <c r="I253" s="93">
        <f>SUM('3:4'!I253)</f>
        <v>0</v>
      </c>
      <c r="J253" s="31"/>
      <c r="K253" s="35"/>
      <c r="L253" s="87">
        <v>4</v>
      </c>
      <c r="M253" s="36"/>
      <c r="N253" s="31"/>
      <c r="O253" s="93">
        <f>SUM('3:4'!O253)</f>
        <v>0</v>
      </c>
      <c r="P253" s="93">
        <f>SUM('3:4'!P253)</f>
        <v>0</v>
      </c>
      <c r="Q253" s="93">
        <f>SUM('3:4'!Q253)</f>
        <v>0</v>
      </c>
      <c r="R253" s="93">
        <f>SUM('3:4'!R253)</f>
        <v>0</v>
      </c>
      <c r="S253" s="93">
        <f>SUM('3:4'!S253)</f>
        <v>0</v>
      </c>
      <c r="T253" s="93">
        <f>SUM('3:4'!T253)</f>
        <v>0</v>
      </c>
      <c r="U253" s="93">
        <f>SUM('3:4'!U253)</f>
        <v>0</v>
      </c>
      <c r="V253" s="206"/>
      <c r="W253" s="33"/>
      <c r="X253" s="93">
        <f>SUM('3:4'!X253)</f>
        <v>0</v>
      </c>
      <c r="Y253" s="93">
        <f>SUM('3:4'!Y253)</f>
        <v>0</v>
      </c>
      <c r="Z253" s="93">
        <f>SUM('3:4'!Z253)</f>
        <v>0</v>
      </c>
      <c r="AA253" s="93">
        <f>SUM('3:4'!AA253)</f>
        <v>0</v>
      </c>
      <c r="AB253" s="73"/>
      <c r="AC253" s="54"/>
      <c r="AD253" s="370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302">
        <v>30300004</v>
      </c>
      <c r="B254" s="189" t="s">
        <v>363</v>
      </c>
      <c r="C254" s="16" t="s">
        <v>339</v>
      </c>
      <c r="D254" s="17"/>
      <c r="E254" s="17"/>
      <c r="F254" s="6"/>
      <c r="G254" s="93">
        <f>SUM('3:4'!G254)</f>
        <v>0</v>
      </c>
      <c r="H254" s="364">
        <f t="shared" si="70"/>
        <v>0</v>
      </c>
      <c r="I254" s="93">
        <f>SUM('3:4'!I254)</f>
        <v>0</v>
      </c>
      <c r="J254" s="31"/>
      <c r="K254" s="35"/>
      <c r="L254" s="87">
        <v>4</v>
      </c>
      <c r="M254" s="36"/>
      <c r="N254" s="31"/>
      <c r="O254" s="93">
        <f>SUM('3:4'!O254)</f>
        <v>0</v>
      </c>
      <c r="P254" s="93">
        <f>SUM('3:4'!P254)</f>
        <v>0</v>
      </c>
      <c r="Q254" s="93">
        <f>SUM('3:4'!Q254)</f>
        <v>0</v>
      </c>
      <c r="R254" s="93">
        <f>SUM('3:4'!R254)</f>
        <v>0</v>
      </c>
      <c r="S254" s="93">
        <f>SUM('3:4'!S254)</f>
        <v>0</v>
      </c>
      <c r="T254" s="93">
        <f>SUM('3:4'!T254)</f>
        <v>0</v>
      </c>
      <c r="U254" s="93">
        <f>SUM('3:4'!U254)</f>
        <v>0</v>
      </c>
      <c r="V254" s="206"/>
      <c r="W254" s="33"/>
      <c r="X254" s="93">
        <f>SUM('3:4'!X254)</f>
        <v>0</v>
      </c>
      <c r="Y254" s="93">
        <f>SUM('3:4'!Y254)</f>
        <v>0</v>
      </c>
      <c r="Z254" s="93">
        <f>SUM('3:4'!Z254)</f>
        <v>0</v>
      </c>
      <c r="AA254" s="93">
        <f>SUM('3:4'!AA254)</f>
        <v>0</v>
      </c>
      <c r="AB254" s="73"/>
      <c r="AC254" s="54"/>
      <c r="AD254" s="370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302">
        <v>30300006</v>
      </c>
      <c r="B255" s="189" t="s">
        <v>363</v>
      </c>
      <c r="C255" s="16" t="s">
        <v>341</v>
      </c>
      <c r="D255" s="17"/>
      <c r="E255" s="17"/>
      <c r="F255" s="6"/>
      <c r="G255" s="93">
        <f>SUM('3:4'!G255)</f>
        <v>0</v>
      </c>
      <c r="H255" s="364">
        <f t="shared" si="70"/>
        <v>0</v>
      </c>
      <c r="I255" s="93">
        <f>SUM('3:4'!I255)</f>
        <v>0</v>
      </c>
      <c r="J255" s="31"/>
      <c r="K255" s="35"/>
      <c r="L255" s="87">
        <v>4</v>
      </c>
      <c r="M255" s="36"/>
      <c r="N255" s="31"/>
      <c r="O255" s="93">
        <f>SUM('3:4'!O255)</f>
        <v>0</v>
      </c>
      <c r="P255" s="93">
        <f>SUM('3:4'!P255)</f>
        <v>0</v>
      </c>
      <c r="Q255" s="93">
        <f>SUM('3:4'!Q255)</f>
        <v>0</v>
      </c>
      <c r="R255" s="93">
        <f>SUM('3:4'!R255)</f>
        <v>0</v>
      </c>
      <c r="S255" s="93">
        <f>SUM('3:4'!S255)</f>
        <v>0</v>
      </c>
      <c r="T255" s="93">
        <f>SUM('3:4'!T255)</f>
        <v>0</v>
      </c>
      <c r="U255" s="93">
        <f>SUM('3:4'!U255)</f>
        <v>0</v>
      </c>
      <c r="V255" s="206"/>
      <c r="W255" s="33"/>
      <c r="X255" s="93">
        <f>SUM('3:4'!X255)</f>
        <v>0</v>
      </c>
      <c r="Y255" s="93">
        <f>SUM('3:4'!Y255)</f>
        <v>0</v>
      </c>
      <c r="Z255" s="93">
        <f>SUM('3:4'!Z255)</f>
        <v>0</v>
      </c>
      <c r="AA255" s="93">
        <f>SUM('3:4'!AA255)</f>
        <v>0</v>
      </c>
      <c r="AB255" s="73"/>
      <c r="AC255" s="54"/>
      <c r="AD255" s="370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724" t="s">
        <v>86</v>
      </c>
      <c r="B256" s="724"/>
      <c r="C256" s="359" t="s">
        <v>71</v>
      </c>
      <c r="D256" s="20"/>
      <c r="E256" s="20"/>
      <c r="F256" s="32"/>
      <c r="G256" s="94">
        <f>SUM(G199:G255)</f>
        <v>0</v>
      </c>
      <c r="H256" s="30">
        <f>SUM(H199:H255)</f>
        <v>0</v>
      </c>
      <c r="I256" s="30">
        <f>SUM(I199:I255)</f>
        <v>0</v>
      </c>
      <c r="J256" s="31" t="str">
        <f t="array" ref="J256">IF(ISERROR(G256/I256),"",G256/I256)</f>
        <v/>
      </c>
      <c r="K256" s="30">
        <f>SUM(K199:K255)</f>
        <v>0</v>
      </c>
      <c r="L256" s="98"/>
      <c r="M256" s="89">
        <f t="shared" ref="M256:V256" si="88">SUM(M199:M255)</f>
        <v>0</v>
      </c>
      <c r="N256" s="30">
        <f t="shared" si="88"/>
        <v>0</v>
      </c>
      <c r="O256" s="91">
        <f t="shared" si="88"/>
        <v>0</v>
      </c>
      <c r="P256" s="91">
        <f t="shared" si="88"/>
        <v>0</v>
      </c>
      <c r="Q256" s="91">
        <f t="shared" si="88"/>
        <v>0</v>
      </c>
      <c r="R256" s="91">
        <f t="shared" si="88"/>
        <v>0</v>
      </c>
      <c r="S256" s="92">
        <f t="shared" si="88"/>
        <v>0</v>
      </c>
      <c r="T256" s="91">
        <f t="shared" si="88"/>
        <v>0</v>
      </c>
      <c r="U256" s="91">
        <f t="shared" si="88"/>
        <v>0</v>
      </c>
      <c r="V256" s="206">
        <f t="shared" si="88"/>
        <v>0</v>
      </c>
      <c r="W256" s="33" t="str">
        <f t="shared" ref="W256:W263" si="89">IF(ISERROR(V256/G256),"",V256/G256)</f>
        <v/>
      </c>
      <c r="X256" s="92">
        <f>SUM(X199:X255)</f>
        <v>0</v>
      </c>
      <c r="Y256" s="92">
        <f>SUM(Y199:Y255)</f>
        <v>0</v>
      </c>
      <c r="Z256" s="92">
        <f>SUM(Z199:Z255)</f>
        <v>0</v>
      </c>
      <c r="AA256" s="92">
        <f>SUM(AA199:AA255)</f>
        <v>0</v>
      </c>
      <c r="AB256" s="75"/>
      <c r="AC256" s="70"/>
      <c r="AD256" s="370"/>
      <c r="AE256" s="74"/>
      <c r="AF256" s="74"/>
      <c r="AG256" s="74"/>
      <c r="AH256" s="7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299">
        <v>30400012</v>
      </c>
      <c r="B257" s="61" t="s">
        <v>87</v>
      </c>
      <c r="C257" s="16" t="s">
        <v>53</v>
      </c>
      <c r="D257" s="17">
        <v>5.03</v>
      </c>
      <c r="E257" s="17"/>
      <c r="F257" s="6"/>
      <c r="G257" s="93">
        <f>SUM('3:4'!G257)</f>
        <v>0</v>
      </c>
      <c r="H257" s="364">
        <f>D257*G257</f>
        <v>0</v>
      </c>
      <c r="I257" s="93">
        <f>SUM('3:4'!I257)</f>
        <v>0</v>
      </c>
      <c r="J257" s="31" t="str">
        <f t="array" ref="J257">IF(ISERROR(G257/I257),"",G257/I257)</f>
        <v/>
      </c>
      <c r="K257" s="35">
        <f t="array" ref="K257">IF(ISERROR(G257/L257),"",G257/L257)</f>
        <v>0</v>
      </c>
      <c r="L257" s="87">
        <v>8.8000000000000007</v>
      </c>
      <c r="M257" s="36">
        <f t="shared" ref="M257:M264" si="90">IF(ISERROR(I257-K257),"",I257-K257)</f>
        <v>0</v>
      </c>
      <c r="N257" s="31">
        <f t="shared" ref="N257:N264" si="91">SUM(O257:U257)</f>
        <v>0</v>
      </c>
      <c r="O257" s="93">
        <f>SUM('3:4'!O257)</f>
        <v>0</v>
      </c>
      <c r="P257" s="93">
        <f>SUM('3:4'!P257)</f>
        <v>0</v>
      </c>
      <c r="Q257" s="93">
        <f>SUM('3:4'!Q257)</f>
        <v>0</v>
      </c>
      <c r="R257" s="93">
        <f>SUM('3:4'!R257)</f>
        <v>0</v>
      </c>
      <c r="S257" s="93">
        <f>SUM('3:4'!S257)</f>
        <v>0</v>
      </c>
      <c r="T257" s="93">
        <f>SUM('3:4'!T257)</f>
        <v>0</v>
      </c>
      <c r="U257" s="93">
        <f>SUM('3:4'!U257)</f>
        <v>0</v>
      </c>
      <c r="V257" s="206">
        <f t="shared" ref="V257:V263" si="92">SUM(X257:AA257)</f>
        <v>0</v>
      </c>
      <c r="W257" s="33" t="str">
        <f t="shared" si="89"/>
        <v/>
      </c>
      <c r="X257" s="93">
        <f>SUM('3:4'!X257)</f>
        <v>0</v>
      </c>
      <c r="Y257" s="93">
        <f>SUM('3:4'!Y257)</f>
        <v>0</v>
      </c>
      <c r="Z257" s="93">
        <f>SUM('3:4'!Z257)</f>
        <v>0</v>
      </c>
      <c r="AA257" s="93">
        <f>SUM('3:4'!AA257)</f>
        <v>0</v>
      </c>
      <c r="AB257" s="73"/>
      <c r="AC257" s="54"/>
      <c r="AD257" s="370"/>
      <c r="AE257" s="54"/>
      <c r="AF257" s="54"/>
      <c r="AG257" s="54"/>
      <c r="AH257" s="5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99">
        <v>30400010</v>
      </c>
      <c r="B258" s="61" t="s">
        <v>87</v>
      </c>
      <c r="C258" s="16" t="s">
        <v>60</v>
      </c>
      <c r="D258" s="17">
        <v>5.03</v>
      </c>
      <c r="E258" s="17"/>
      <c r="F258" s="6"/>
      <c r="G258" s="93">
        <f>SUM('3:4'!G258)</f>
        <v>0</v>
      </c>
      <c r="H258" s="364">
        <f t="shared" ref="H258:H290" si="93">D258*G258</f>
        <v>0</v>
      </c>
      <c r="I258" s="93">
        <f>SUM('3:4'!I258)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si="90"/>
        <v>0</v>
      </c>
      <c r="N258" s="31">
        <f t="shared" si="91"/>
        <v>0</v>
      </c>
      <c r="O258" s="93">
        <f>SUM('3:4'!O258)</f>
        <v>0</v>
      </c>
      <c r="P258" s="93">
        <f>SUM('3:4'!P258)</f>
        <v>0</v>
      </c>
      <c r="Q258" s="93">
        <f>SUM('3:4'!Q258)</f>
        <v>0</v>
      </c>
      <c r="R258" s="93">
        <f>SUM('3:4'!R258)</f>
        <v>0</v>
      </c>
      <c r="S258" s="93">
        <f>SUM('3:4'!S258)</f>
        <v>0</v>
      </c>
      <c r="T258" s="93">
        <f>SUM('3:4'!T258)</f>
        <v>0</v>
      </c>
      <c r="U258" s="93">
        <f>SUM('3:4'!U258)</f>
        <v>0</v>
      </c>
      <c r="V258" s="206">
        <f t="shared" si="92"/>
        <v>0</v>
      </c>
      <c r="W258" s="33" t="str">
        <f t="shared" si="89"/>
        <v/>
      </c>
      <c r="X258" s="93">
        <f>SUM('3:4'!X258)</f>
        <v>0</v>
      </c>
      <c r="Y258" s="93">
        <f>SUM('3:4'!Y258)</f>
        <v>0</v>
      </c>
      <c r="Z258" s="93">
        <f>SUM('3:4'!Z258)</f>
        <v>0</v>
      </c>
      <c r="AA258" s="93">
        <f>SUM('3:4'!AA258)</f>
        <v>0</v>
      </c>
      <c r="AB258" s="73"/>
      <c r="AC258" s="54"/>
      <c r="AD258" s="370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99">
        <v>30400011</v>
      </c>
      <c r="B259" s="61" t="s">
        <v>87</v>
      </c>
      <c r="C259" s="16" t="s">
        <v>74</v>
      </c>
      <c r="D259" s="17">
        <v>5.03</v>
      </c>
      <c r="E259" s="17"/>
      <c r="F259" s="6"/>
      <c r="G259" s="93">
        <f>SUM('3:4'!G259)</f>
        <v>0</v>
      </c>
      <c r="H259" s="364">
        <f t="shared" si="93"/>
        <v>0</v>
      </c>
      <c r="I259" s="93">
        <f>SUM('3:4'!I259)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90"/>
        <v>0</v>
      </c>
      <c r="N259" s="31">
        <f t="shared" si="91"/>
        <v>0</v>
      </c>
      <c r="O259" s="93">
        <f>SUM('3:4'!O259)</f>
        <v>0</v>
      </c>
      <c r="P259" s="93">
        <f>SUM('3:4'!P259)</f>
        <v>0</v>
      </c>
      <c r="Q259" s="93">
        <f>SUM('3:4'!Q259)</f>
        <v>0</v>
      </c>
      <c r="R259" s="93">
        <f>SUM('3:4'!R259)</f>
        <v>0</v>
      </c>
      <c r="S259" s="93">
        <f>SUM('3:4'!S259)</f>
        <v>0</v>
      </c>
      <c r="T259" s="93">
        <f>SUM('3:4'!T259)</f>
        <v>0</v>
      </c>
      <c r="U259" s="93">
        <f>SUM('3:4'!U259)</f>
        <v>0</v>
      </c>
      <c r="V259" s="206">
        <f t="shared" si="92"/>
        <v>0</v>
      </c>
      <c r="W259" s="33" t="str">
        <f t="shared" si="89"/>
        <v/>
      </c>
      <c r="X259" s="93">
        <f>SUM('3:4'!X259)</f>
        <v>0</v>
      </c>
      <c r="Y259" s="93">
        <f>SUM('3:4'!Y259)</f>
        <v>0</v>
      </c>
      <c r="Z259" s="93">
        <f>SUM('3:4'!Z259)</f>
        <v>0</v>
      </c>
      <c r="AA259" s="93">
        <f>SUM('3:4'!AA259)</f>
        <v>0</v>
      </c>
      <c r="AB259" s="73"/>
      <c r="AC259" s="54"/>
      <c r="AD259" s="370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99">
        <v>30400014</v>
      </c>
      <c r="B260" s="215" t="s">
        <v>513</v>
      </c>
      <c r="C260" s="16" t="s">
        <v>53</v>
      </c>
      <c r="D260" s="17">
        <v>5.03</v>
      </c>
      <c r="E260" s="17"/>
      <c r="F260" s="6"/>
      <c r="G260" s="93">
        <f>SUM('3:4'!G260)</f>
        <v>0</v>
      </c>
      <c r="H260" s="364">
        <f t="shared" si="93"/>
        <v>0</v>
      </c>
      <c r="I260" s="93">
        <f>SUM('3:4'!I260)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9.3000000000000007</v>
      </c>
      <c r="M260" s="36">
        <f t="shared" si="90"/>
        <v>0</v>
      </c>
      <c r="N260" s="31">
        <f t="shared" si="91"/>
        <v>0</v>
      </c>
      <c r="O260" s="93">
        <f>SUM('3:4'!O260)</f>
        <v>0</v>
      </c>
      <c r="P260" s="93">
        <f>SUM('3:4'!P260)</f>
        <v>0</v>
      </c>
      <c r="Q260" s="93">
        <f>SUM('3:4'!Q260)</f>
        <v>0</v>
      </c>
      <c r="R260" s="93">
        <f>SUM('3:4'!R260)</f>
        <v>0</v>
      </c>
      <c r="S260" s="93">
        <f>SUM('3:4'!S260)</f>
        <v>0</v>
      </c>
      <c r="T260" s="93">
        <f>SUM('3:4'!T260)</f>
        <v>0</v>
      </c>
      <c r="U260" s="93">
        <f>SUM('3:4'!U260)</f>
        <v>0</v>
      </c>
      <c r="V260" s="206">
        <f t="shared" si="92"/>
        <v>0</v>
      </c>
      <c r="W260" s="33" t="str">
        <f t="shared" si="89"/>
        <v/>
      </c>
      <c r="X260" s="93">
        <f>SUM('3:4'!X260)</f>
        <v>0</v>
      </c>
      <c r="Y260" s="93">
        <f>SUM('3:4'!Y260)</f>
        <v>0</v>
      </c>
      <c r="Z260" s="93">
        <f>SUM('3:4'!Z260)</f>
        <v>0</v>
      </c>
      <c r="AA260" s="93">
        <f>SUM('3:4'!AA260)</f>
        <v>0</v>
      </c>
      <c r="AB260" s="73"/>
      <c r="AC260" s="54"/>
      <c r="AD260" s="370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99">
        <v>30400013</v>
      </c>
      <c r="B261" s="215" t="s">
        <v>473</v>
      </c>
      <c r="C261" s="16" t="s">
        <v>72</v>
      </c>
      <c r="D261" s="17">
        <v>5.03</v>
      </c>
      <c r="E261" s="17"/>
      <c r="F261" s="6"/>
      <c r="G261" s="93">
        <f>SUM('3:4'!G261)</f>
        <v>33</v>
      </c>
      <c r="H261" s="364">
        <f t="shared" si="93"/>
        <v>165.99</v>
      </c>
      <c r="I261" s="93">
        <f>SUM('3:4'!I261)</f>
        <v>6</v>
      </c>
      <c r="J261" s="31">
        <f t="array" ref="J261">IF(ISERROR(G261/I261),"",G261/I261)</f>
        <v>5.5</v>
      </c>
      <c r="K261" s="35">
        <f t="array" ref="K261">IF(ISERROR(G261/L261),"",G261/L261)</f>
        <v>3.5483870967741931</v>
      </c>
      <c r="L261" s="87">
        <v>9.3000000000000007</v>
      </c>
      <c r="M261" s="36">
        <f t="shared" si="90"/>
        <v>2.4516129032258069</v>
      </c>
      <c r="N261" s="31">
        <f t="shared" si="91"/>
        <v>0</v>
      </c>
      <c r="O261" s="93">
        <f>SUM('3:4'!O261)</f>
        <v>0</v>
      </c>
      <c r="P261" s="93">
        <f>SUM('3:4'!P261)</f>
        <v>0</v>
      </c>
      <c r="Q261" s="93">
        <f>SUM('3:4'!Q261)</f>
        <v>0</v>
      </c>
      <c r="R261" s="93">
        <f>SUM('3:4'!R261)</f>
        <v>0</v>
      </c>
      <c r="S261" s="93">
        <f>SUM('3:4'!S261)</f>
        <v>0</v>
      </c>
      <c r="T261" s="93">
        <f>SUM('3:4'!T261)</f>
        <v>0</v>
      </c>
      <c r="U261" s="93">
        <f>SUM('3:4'!U261)</f>
        <v>0</v>
      </c>
      <c r="V261" s="206">
        <f t="shared" si="92"/>
        <v>0</v>
      </c>
      <c r="W261" s="33">
        <f t="shared" si="89"/>
        <v>0</v>
      </c>
      <c r="X261" s="93">
        <f>SUM('3:4'!X261)</f>
        <v>0</v>
      </c>
      <c r="Y261" s="93">
        <f>SUM('3:4'!Y261)</f>
        <v>0</v>
      </c>
      <c r="Z261" s="93">
        <f>SUM('3:4'!Z261)</f>
        <v>0</v>
      </c>
      <c r="AA261" s="93">
        <f>SUM('3:4'!AA261)</f>
        <v>0</v>
      </c>
      <c r="AB261" s="73"/>
      <c r="AC261" s="54"/>
      <c r="AD261" s="370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99">
        <v>30400016</v>
      </c>
      <c r="B262" s="215" t="s">
        <v>513</v>
      </c>
      <c r="C262" s="16" t="s">
        <v>60</v>
      </c>
      <c r="D262" s="17">
        <v>5.03</v>
      </c>
      <c r="E262" s="17"/>
      <c r="F262" s="6"/>
      <c r="G262" s="93">
        <f>SUM('3:4'!G262)</f>
        <v>0</v>
      </c>
      <c r="H262" s="364">
        <f t="shared" si="93"/>
        <v>0</v>
      </c>
      <c r="I262" s="93">
        <f>SUM('3:4'!I262)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90"/>
        <v>0</v>
      </c>
      <c r="N262" s="31">
        <f t="shared" si="91"/>
        <v>0</v>
      </c>
      <c r="O262" s="93">
        <f>SUM('3:4'!O262)</f>
        <v>0</v>
      </c>
      <c r="P262" s="93">
        <f>SUM('3:4'!P262)</f>
        <v>0</v>
      </c>
      <c r="Q262" s="93">
        <f>SUM('3:4'!Q262)</f>
        <v>0</v>
      </c>
      <c r="R262" s="93">
        <f>SUM('3:4'!R262)</f>
        <v>0</v>
      </c>
      <c r="S262" s="93">
        <f>SUM('3:4'!S262)</f>
        <v>0</v>
      </c>
      <c r="T262" s="93">
        <f>SUM('3:4'!T262)</f>
        <v>0</v>
      </c>
      <c r="U262" s="93">
        <f>SUM('3:4'!U262)</f>
        <v>0</v>
      </c>
      <c r="V262" s="206">
        <f t="shared" si="92"/>
        <v>0</v>
      </c>
      <c r="W262" s="33" t="str">
        <f t="shared" si="89"/>
        <v/>
      </c>
      <c r="X262" s="93">
        <f>SUM('3:4'!X262)</f>
        <v>0</v>
      </c>
      <c r="Y262" s="93">
        <f>SUM('3:4'!Y262)</f>
        <v>0</v>
      </c>
      <c r="Z262" s="93">
        <f>SUM('3:4'!Z262)</f>
        <v>0</v>
      </c>
      <c r="AA262" s="93">
        <f>SUM('3:4'!AA262)</f>
        <v>0</v>
      </c>
      <c r="AB262" s="73"/>
      <c r="AC262" s="54"/>
      <c r="AD262" s="370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99">
        <v>30400017</v>
      </c>
      <c r="B263" s="215" t="s">
        <v>513</v>
      </c>
      <c r="C263" s="16" t="s">
        <v>66</v>
      </c>
      <c r="D263" s="17">
        <v>5.03</v>
      </c>
      <c r="E263" s="17"/>
      <c r="F263" s="6"/>
      <c r="G263" s="93">
        <f>SUM('3:4'!G263)</f>
        <v>0</v>
      </c>
      <c r="H263" s="364">
        <f t="shared" si="93"/>
        <v>0</v>
      </c>
      <c r="I263" s="93">
        <f>SUM('3:4'!I263)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90"/>
        <v>0</v>
      </c>
      <c r="N263" s="31">
        <f t="shared" si="91"/>
        <v>0</v>
      </c>
      <c r="O263" s="93">
        <f>SUM('3:4'!O263)</f>
        <v>0</v>
      </c>
      <c r="P263" s="93">
        <f>SUM('3:4'!P263)</f>
        <v>0</v>
      </c>
      <c r="Q263" s="93">
        <f>SUM('3:4'!Q263)</f>
        <v>0</v>
      </c>
      <c r="R263" s="93">
        <f>SUM('3:4'!R263)</f>
        <v>0</v>
      </c>
      <c r="S263" s="93">
        <f>SUM('3:4'!S263)</f>
        <v>0</v>
      </c>
      <c r="T263" s="93">
        <f>SUM('3:4'!T263)</f>
        <v>0</v>
      </c>
      <c r="U263" s="93">
        <f>SUM('3:4'!U263)</f>
        <v>0</v>
      </c>
      <c r="V263" s="206">
        <f t="shared" si="92"/>
        <v>0</v>
      </c>
      <c r="W263" s="33" t="str">
        <f t="shared" si="89"/>
        <v/>
      </c>
      <c r="X263" s="93">
        <f>SUM('3:4'!X263)</f>
        <v>0</v>
      </c>
      <c r="Y263" s="93">
        <f>SUM('3:4'!Y263)</f>
        <v>0</v>
      </c>
      <c r="Z263" s="93">
        <f>SUM('3:4'!Z263)</f>
        <v>0</v>
      </c>
      <c r="AA263" s="93">
        <f>SUM('3:4'!AA263)</f>
        <v>0</v>
      </c>
      <c r="AB263" s="73"/>
      <c r="AC263" s="54"/>
      <c r="AD263" s="370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99">
        <v>30400015</v>
      </c>
      <c r="B264" s="65" t="s">
        <v>512</v>
      </c>
      <c r="C264" s="16" t="s">
        <v>177</v>
      </c>
      <c r="D264" s="17">
        <v>5.03</v>
      </c>
      <c r="E264" s="17"/>
      <c r="F264" s="6"/>
      <c r="G264" s="93">
        <f>SUM('3:4'!G264)</f>
        <v>0</v>
      </c>
      <c r="H264" s="364">
        <f t="shared" si="93"/>
        <v>0</v>
      </c>
      <c r="I264" s="93">
        <f>SUM('3:4'!I264)</f>
        <v>0</v>
      </c>
      <c r="J264" s="31"/>
      <c r="K264" s="35">
        <f t="array" ref="K264">IF(ISERROR(G264/L264),"",G264/L264)</f>
        <v>0</v>
      </c>
      <c r="L264" s="87">
        <v>9.3000000000000007</v>
      </c>
      <c r="M264" s="36">
        <f t="shared" si="90"/>
        <v>0</v>
      </c>
      <c r="N264" s="31">
        <f t="shared" si="91"/>
        <v>0</v>
      </c>
      <c r="O264" s="93">
        <f>SUM('3:4'!O264)</f>
        <v>0</v>
      </c>
      <c r="P264" s="93">
        <f>SUM('3:4'!P264)</f>
        <v>0</v>
      </c>
      <c r="Q264" s="93">
        <f>SUM('3:4'!Q264)</f>
        <v>0</v>
      </c>
      <c r="R264" s="93">
        <f>SUM('3:4'!R264)</f>
        <v>0</v>
      </c>
      <c r="S264" s="93">
        <f>SUM('3:4'!S264)</f>
        <v>0</v>
      </c>
      <c r="T264" s="93">
        <f>SUM('3:4'!T264)</f>
        <v>0</v>
      </c>
      <c r="U264" s="93">
        <f>SUM('3:4'!U264)</f>
        <v>0</v>
      </c>
      <c r="V264" s="207"/>
      <c r="W264" s="33"/>
      <c r="X264" s="93">
        <f>SUM('3:4'!X264)</f>
        <v>0</v>
      </c>
      <c r="Y264" s="93">
        <f>SUM('3:4'!Y264)</f>
        <v>0</v>
      </c>
      <c r="Z264" s="93">
        <f>SUM('3:4'!Z264)</f>
        <v>0</v>
      </c>
      <c r="AA264" s="93">
        <f>SUM('3:4'!AA264)</f>
        <v>0</v>
      </c>
      <c r="AD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</row>
    <row r="265" spans="1:53">
      <c r="A265" s="304">
        <v>30600004</v>
      </c>
      <c r="B265" s="65" t="s">
        <v>162</v>
      </c>
      <c r="C265" s="16" t="s">
        <v>53</v>
      </c>
      <c r="D265" s="17">
        <v>5.03</v>
      </c>
      <c r="E265" s="17"/>
      <c r="F265" s="6"/>
      <c r="G265" s="93">
        <f>SUM('3:4'!G265)</f>
        <v>0</v>
      </c>
      <c r="H265" s="364">
        <f t="shared" si="93"/>
        <v>0</v>
      </c>
      <c r="I265" s="93">
        <f>SUM('3:4'!I265)</f>
        <v>0</v>
      </c>
      <c r="J265" s="31" t="str">
        <f t="array" ref="J265">IF(ISERROR(G265/I265),"",G265/I265)</f>
        <v/>
      </c>
      <c r="K265" s="35">
        <f t="array" ref="K265">IF(ISERROR(G265/L265),"",G265/L265)</f>
        <v>0</v>
      </c>
      <c r="L265" s="87">
        <v>8</v>
      </c>
      <c r="M265" s="36">
        <f>IF(ISERROR(I265-K265),"",I265-K265)</f>
        <v>0</v>
      </c>
      <c r="N265" s="31">
        <f>SUM(O265:U265)</f>
        <v>0</v>
      </c>
      <c r="O265" s="93">
        <f>SUM('3:4'!O265)</f>
        <v>0</v>
      </c>
      <c r="P265" s="93">
        <f>SUM('3:4'!P265)</f>
        <v>0</v>
      </c>
      <c r="Q265" s="93">
        <f>SUM('3:4'!Q265)</f>
        <v>0</v>
      </c>
      <c r="R265" s="93">
        <f>SUM('3:4'!R265)</f>
        <v>0</v>
      </c>
      <c r="S265" s="93">
        <f>SUM('3:4'!S265)</f>
        <v>0</v>
      </c>
      <c r="T265" s="93">
        <f>SUM('3:4'!T265)</f>
        <v>0</v>
      </c>
      <c r="U265" s="93">
        <f>SUM('3:4'!U265)</f>
        <v>0</v>
      </c>
      <c r="V265" s="207">
        <f>SUM(X265:AA265)</f>
        <v>0</v>
      </c>
      <c r="W265" s="33" t="str">
        <f>IF(ISERROR(V265/G265),"",V265/G265)</f>
        <v/>
      </c>
      <c r="X265" s="93">
        <f>SUM('3:4'!X265)</f>
        <v>0</v>
      </c>
      <c r="Y265" s="93">
        <f>SUM('3:4'!Y265)</f>
        <v>0</v>
      </c>
      <c r="Z265" s="93">
        <f>SUM('3:4'!Z265)</f>
        <v>0</v>
      </c>
      <c r="AA265" s="93">
        <f>SUM('3:4'!AA265)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304">
        <v>30600001</v>
      </c>
      <c r="B266" s="65" t="s">
        <v>162</v>
      </c>
      <c r="C266" s="16" t="s">
        <v>55</v>
      </c>
      <c r="D266" s="17">
        <v>5.03</v>
      </c>
      <c r="E266" s="17"/>
      <c r="F266" s="6"/>
      <c r="G266" s="93">
        <f>SUM('3:4'!G266)</f>
        <v>0</v>
      </c>
      <c r="H266" s="364">
        <f t="shared" si="93"/>
        <v>0</v>
      </c>
      <c r="I266" s="93">
        <f>SUM('3:4'!I266)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SUM('3:4'!O266)</f>
        <v>0</v>
      </c>
      <c r="P266" s="93">
        <f>SUM('3:4'!P266)</f>
        <v>0</v>
      </c>
      <c r="Q266" s="93">
        <f>SUM('3:4'!Q266)</f>
        <v>0</v>
      </c>
      <c r="R266" s="93">
        <f>SUM('3:4'!R266)</f>
        <v>0</v>
      </c>
      <c r="S266" s="93">
        <f>SUM('3:4'!S266)</f>
        <v>0</v>
      </c>
      <c r="T266" s="93">
        <f>SUM('3:4'!T266)</f>
        <v>0</v>
      </c>
      <c r="U266" s="93">
        <f>SUM('3:4'!U266)</f>
        <v>0</v>
      </c>
      <c r="V266" s="207">
        <f>SUM(X266:AA266)</f>
        <v>0</v>
      </c>
      <c r="W266" s="33" t="str">
        <f>IF(ISERROR(V266/G266),"",V266/G266)</f>
        <v/>
      </c>
      <c r="X266" s="93">
        <f>SUM('3:4'!X266)</f>
        <v>0</v>
      </c>
      <c r="Y266" s="93">
        <f>SUM('3:4'!Y266)</f>
        <v>0</v>
      </c>
      <c r="Z266" s="93">
        <f>SUM('3:4'!Z266)</f>
        <v>0</v>
      </c>
      <c r="AA266" s="93">
        <f>SUM('3:4'!AA266)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304">
        <v>30600002</v>
      </c>
      <c r="B267" s="65" t="s">
        <v>162</v>
      </c>
      <c r="C267" s="16" t="s">
        <v>60</v>
      </c>
      <c r="D267" s="17">
        <v>5.03</v>
      </c>
      <c r="E267" s="17"/>
      <c r="F267" s="6"/>
      <c r="G267" s="93">
        <f>SUM('3:4'!G267)</f>
        <v>0</v>
      </c>
      <c r="H267" s="364">
        <f t="shared" si="93"/>
        <v>0</v>
      </c>
      <c r="I267" s="93">
        <f>SUM('3:4'!I267)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SUM('3:4'!O267)</f>
        <v>0</v>
      </c>
      <c r="P267" s="93">
        <f>SUM('3:4'!P267)</f>
        <v>0</v>
      </c>
      <c r="Q267" s="93">
        <f>SUM('3:4'!Q267)</f>
        <v>0</v>
      </c>
      <c r="R267" s="93">
        <f>SUM('3:4'!R267)</f>
        <v>0</v>
      </c>
      <c r="S267" s="93">
        <f>SUM('3:4'!S267)</f>
        <v>0</v>
      </c>
      <c r="T267" s="93">
        <f>SUM('3:4'!T267)</f>
        <v>0</v>
      </c>
      <c r="U267" s="93">
        <f>SUM('3:4'!U267)</f>
        <v>0</v>
      </c>
      <c r="V267" s="207">
        <f>SUM(X267:AA267)</f>
        <v>0</v>
      </c>
      <c r="W267" s="33" t="str">
        <f>IF(ISERROR(V267/G267),"",V267/G267)</f>
        <v/>
      </c>
      <c r="X267" s="93">
        <f>SUM('3:4'!X267)</f>
        <v>0</v>
      </c>
      <c r="Y267" s="93">
        <f>SUM('3:4'!Y267)</f>
        <v>0</v>
      </c>
      <c r="Z267" s="93">
        <f>SUM('3:4'!Z267)</f>
        <v>0</v>
      </c>
      <c r="AA267" s="93">
        <f>SUM('3:4'!AA267)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304">
        <v>30600003</v>
      </c>
      <c r="B268" s="65" t="s">
        <v>162</v>
      </c>
      <c r="C268" s="195" t="s">
        <v>89</v>
      </c>
      <c r="D268" s="17">
        <v>5.03</v>
      </c>
      <c r="E268" s="17"/>
      <c r="F268" s="6"/>
      <c r="G268" s="93">
        <f>SUM('3:4'!G268)</f>
        <v>0</v>
      </c>
      <c r="H268" s="364">
        <f t="shared" si="93"/>
        <v>0</v>
      </c>
      <c r="I268" s="93">
        <f>SUM('3:4'!I268)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SUM('3:4'!O268)</f>
        <v>0</v>
      </c>
      <c r="P268" s="93">
        <f>SUM('3:4'!P268)</f>
        <v>0</v>
      </c>
      <c r="Q268" s="93">
        <f>SUM('3:4'!Q268)</f>
        <v>0</v>
      </c>
      <c r="R268" s="93">
        <f>SUM('3:4'!R268)</f>
        <v>0</v>
      </c>
      <c r="S268" s="93">
        <f>SUM('3:4'!S268)</f>
        <v>0</v>
      </c>
      <c r="T268" s="93">
        <f>SUM('3:4'!T268)</f>
        <v>0</v>
      </c>
      <c r="U268" s="93">
        <f>SUM('3:4'!U268)</f>
        <v>0</v>
      </c>
      <c r="V268" s="207">
        <f>SUM(X268:AA268)</f>
        <v>0</v>
      </c>
      <c r="W268" s="33" t="str">
        <f>IF(ISERROR(V268/G268),"",V268/G268)</f>
        <v/>
      </c>
      <c r="X268" s="93">
        <f>SUM('3:4'!X268)</f>
        <v>0</v>
      </c>
      <c r="Y268" s="93">
        <f>SUM('3:4'!Y268)</f>
        <v>0</v>
      </c>
      <c r="Z268" s="93">
        <f>SUM('3:4'!Z268)</f>
        <v>0</v>
      </c>
      <c r="AA268" s="93">
        <f>SUM('3:4'!AA268)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304">
        <v>30400030</v>
      </c>
      <c r="B269" s="65" t="s">
        <v>88</v>
      </c>
      <c r="C269" s="16" t="s">
        <v>53</v>
      </c>
      <c r="D269" s="17">
        <v>5.03</v>
      </c>
      <c r="E269" s="17"/>
      <c r="F269" s="6"/>
      <c r="G269" s="93">
        <f>SUM('3:4'!G269)</f>
        <v>0</v>
      </c>
      <c r="H269" s="364">
        <f t="shared" si="93"/>
        <v>0</v>
      </c>
      <c r="I269" s="93">
        <f>SUM('3:4'!I269)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10</v>
      </c>
      <c r="M269" s="36">
        <f t="shared" ref="M269:M284" si="94">IF(ISERROR(I269-K269),"",I269-K269)</f>
        <v>0</v>
      </c>
      <c r="N269" s="31">
        <f t="shared" ref="N269:N284" si="95">SUM(O269:U269)</f>
        <v>0</v>
      </c>
      <c r="O269" s="93">
        <f>SUM('3:4'!O269)</f>
        <v>0</v>
      </c>
      <c r="P269" s="93">
        <f>SUM('3:4'!P269)</f>
        <v>0</v>
      </c>
      <c r="Q269" s="93">
        <f>SUM('3:4'!Q269)</f>
        <v>0</v>
      </c>
      <c r="R269" s="93">
        <f>SUM('3:4'!R269)</f>
        <v>0</v>
      </c>
      <c r="S269" s="93">
        <f>SUM('3:4'!S269)</f>
        <v>0</v>
      </c>
      <c r="T269" s="93">
        <f>SUM('3:4'!T269)</f>
        <v>0</v>
      </c>
      <c r="U269" s="93">
        <f>SUM('3:4'!U269)</f>
        <v>0</v>
      </c>
      <c r="V269" s="206">
        <f t="shared" ref="V269:V276" si="96">SUM(X269:AA269)</f>
        <v>0</v>
      </c>
      <c r="W269" s="33" t="str">
        <f t="shared" ref="W269:W276" si="97">IF(ISERROR(V269/G269),"",V269/G269)</f>
        <v/>
      </c>
      <c r="X269" s="93">
        <f>SUM('3:4'!X269)</f>
        <v>0</v>
      </c>
      <c r="Y269" s="93">
        <f>SUM('3:4'!Y269)</f>
        <v>0</v>
      </c>
      <c r="Z269" s="93">
        <f>SUM('3:4'!Z269)</f>
        <v>0</v>
      </c>
      <c r="AA269" s="93">
        <f>SUM('3:4'!AA269)</f>
        <v>0</v>
      </c>
      <c r="AB269" s="73"/>
      <c r="AC269" s="54"/>
      <c r="AD269" s="370"/>
      <c r="AE269" s="54"/>
      <c r="AF269" s="54"/>
      <c r="AG269" s="54"/>
      <c r="AH269" s="54"/>
      <c r="AI269" s="57"/>
      <c r="AJ269" s="57"/>
      <c r="AK269" s="57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</row>
    <row r="270" spans="1:53">
      <c r="A270" s="304"/>
      <c r="B270" s="65" t="s">
        <v>88</v>
      </c>
      <c r="C270" s="16" t="s">
        <v>72</v>
      </c>
      <c r="D270" s="17">
        <v>5.03</v>
      </c>
      <c r="E270" s="17"/>
      <c r="F270" s="6"/>
      <c r="G270" s="93">
        <f>SUM('3:4'!G270)</f>
        <v>0</v>
      </c>
      <c r="H270" s="364">
        <f t="shared" si="93"/>
        <v>0</v>
      </c>
      <c r="I270" s="93">
        <f>SUM('3:4'!I270)</f>
        <v>0</v>
      </c>
      <c r="J270" s="31" t="str">
        <f t="array" ref="J270">IF(ISERROR(G270/I270),"",G270/I270)</f>
        <v/>
      </c>
      <c r="K270" s="35" t="str">
        <f t="array" ref="K270">IF(ISERROR(G270/L270),"",G270/L270)</f>
        <v/>
      </c>
      <c r="L270" s="87"/>
      <c r="M270" s="36" t="str">
        <f t="shared" si="94"/>
        <v/>
      </c>
      <c r="N270" s="31">
        <f t="shared" si="95"/>
        <v>0</v>
      </c>
      <c r="O270" s="93">
        <f>SUM('3:4'!O270)</f>
        <v>0</v>
      </c>
      <c r="P270" s="93">
        <f>SUM('3:4'!P270)</f>
        <v>0</v>
      </c>
      <c r="Q270" s="93">
        <f>SUM('3:4'!Q270)</f>
        <v>0</v>
      </c>
      <c r="R270" s="93">
        <f>SUM('3:4'!R270)</f>
        <v>0</v>
      </c>
      <c r="S270" s="93">
        <f>SUM('3:4'!S270)</f>
        <v>0</v>
      </c>
      <c r="T270" s="93">
        <f>SUM('3:4'!T270)</f>
        <v>0</v>
      </c>
      <c r="U270" s="93">
        <f>SUM('3:4'!U270)</f>
        <v>0</v>
      </c>
      <c r="V270" s="206">
        <f t="shared" si="96"/>
        <v>0</v>
      </c>
      <c r="W270" s="33" t="str">
        <f t="shared" si="97"/>
        <v/>
      </c>
      <c r="X270" s="93">
        <f>SUM('3:4'!X270)</f>
        <v>0</v>
      </c>
      <c r="Y270" s="93">
        <f>SUM('3:4'!Y270)</f>
        <v>0</v>
      </c>
      <c r="Z270" s="93">
        <f>SUM('3:4'!Z270)</f>
        <v>0</v>
      </c>
      <c r="AA270" s="93">
        <f>SUM('3:4'!AA270)</f>
        <v>0</v>
      </c>
      <c r="AB270" s="73"/>
      <c r="AC270" s="54"/>
      <c r="AD270" s="370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304"/>
      <c r="B271" s="65" t="s">
        <v>88</v>
      </c>
      <c r="C271" s="16" t="s">
        <v>60</v>
      </c>
      <c r="D271" s="17">
        <v>5.03</v>
      </c>
      <c r="E271" s="17"/>
      <c r="F271" s="6"/>
      <c r="G271" s="93">
        <f>SUM('3:4'!G271)</f>
        <v>0</v>
      </c>
      <c r="H271" s="364">
        <f t="shared" si="93"/>
        <v>0</v>
      </c>
      <c r="I271" s="93">
        <f>SUM('3:4'!I271)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94"/>
        <v/>
      </c>
      <c r="N271" s="31">
        <f t="shared" si="95"/>
        <v>0</v>
      </c>
      <c r="O271" s="93">
        <f>SUM('3:4'!O271)</f>
        <v>0</v>
      </c>
      <c r="P271" s="93">
        <f>SUM('3:4'!P271)</f>
        <v>0</v>
      </c>
      <c r="Q271" s="93">
        <f>SUM('3:4'!Q271)</f>
        <v>0</v>
      </c>
      <c r="R271" s="93">
        <f>SUM('3:4'!R271)</f>
        <v>0</v>
      </c>
      <c r="S271" s="93">
        <f>SUM('3:4'!S271)</f>
        <v>0</v>
      </c>
      <c r="T271" s="93">
        <f>SUM('3:4'!T271)</f>
        <v>0</v>
      </c>
      <c r="U271" s="93">
        <f>SUM('3:4'!U271)</f>
        <v>0</v>
      </c>
      <c r="V271" s="206">
        <f t="shared" si="96"/>
        <v>0</v>
      </c>
      <c r="W271" s="33" t="str">
        <f t="shared" si="97"/>
        <v/>
      </c>
      <c r="X271" s="93">
        <f>SUM('3:4'!X271)</f>
        <v>0</v>
      </c>
      <c r="Y271" s="93">
        <f>SUM('3:4'!Y271)</f>
        <v>0</v>
      </c>
      <c r="Z271" s="93">
        <f>SUM('3:4'!Z271)</f>
        <v>0</v>
      </c>
      <c r="AA271" s="93">
        <f>SUM('3:4'!AA271)</f>
        <v>0</v>
      </c>
      <c r="AB271" s="73"/>
      <c r="AC271" s="54"/>
      <c r="AD271" s="370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304">
        <v>30401031</v>
      </c>
      <c r="B272" s="65" t="s">
        <v>88</v>
      </c>
      <c r="C272" s="16" t="s">
        <v>66</v>
      </c>
      <c r="D272" s="17">
        <v>5.03</v>
      </c>
      <c r="E272" s="17"/>
      <c r="F272" s="6"/>
      <c r="G272" s="93">
        <f>SUM('3:4'!G272)</f>
        <v>0</v>
      </c>
      <c r="H272" s="364">
        <f t="shared" si="93"/>
        <v>0</v>
      </c>
      <c r="I272" s="93">
        <f>SUM('3:4'!I272)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94"/>
        <v/>
      </c>
      <c r="N272" s="31">
        <f t="shared" si="95"/>
        <v>0</v>
      </c>
      <c r="O272" s="93">
        <f>SUM('3:4'!O272)</f>
        <v>0</v>
      </c>
      <c r="P272" s="93">
        <f>SUM('3:4'!P272)</f>
        <v>0</v>
      </c>
      <c r="Q272" s="93">
        <f>SUM('3:4'!Q272)</f>
        <v>0</v>
      </c>
      <c r="R272" s="93">
        <f>SUM('3:4'!R272)</f>
        <v>0</v>
      </c>
      <c r="S272" s="93">
        <f>SUM('3:4'!S272)</f>
        <v>0</v>
      </c>
      <c r="T272" s="93">
        <f>SUM('3:4'!T272)</f>
        <v>0</v>
      </c>
      <c r="U272" s="93">
        <f>SUM('3:4'!U272)</f>
        <v>0</v>
      </c>
      <c r="V272" s="206">
        <f t="shared" si="96"/>
        <v>0</v>
      </c>
      <c r="W272" s="33" t="str">
        <f t="shared" si="97"/>
        <v/>
      </c>
      <c r="X272" s="93">
        <f>SUM('3:4'!X272)</f>
        <v>0</v>
      </c>
      <c r="Y272" s="93">
        <f>SUM('3:4'!Y272)</f>
        <v>0</v>
      </c>
      <c r="Z272" s="93">
        <f>SUM('3:4'!Z272)</f>
        <v>0</v>
      </c>
      <c r="AA272" s="93">
        <f>SUM('3:4'!AA272)</f>
        <v>0</v>
      </c>
      <c r="AB272" s="73"/>
      <c r="AC272" s="54"/>
      <c r="AD272" s="370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304">
        <v>30600005</v>
      </c>
      <c r="B273" s="61" t="s">
        <v>90</v>
      </c>
      <c r="C273" s="16" t="s">
        <v>55</v>
      </c>
      <c r="D273" s="17">
        <v>9.36</v>
      </c>
      <c r="E273" s="17"/>
      <c r="F273" s="6"/>
      <c r="G273" s="93">
        <f>SUM('3:4'!G273)</f>
        <v>0</v>
      </c>
      <c r="H273" s="364">
        <f t="shared" si="93"/>
        <v>0</v>
      </c>
      <c r="I273" s="93">
        <f>SUM('3:4'!I273)</f>
        <v>0</v>
      </c>
      <c r="J273" s="31" t="str">
        <f t="array" ref="J273">IF(ISERROR(G273/I273),"",G273/I273)</f>
        <v/>
      </c>
      <c r="K273" s="35">
        <f t="array" ref="K273">IF(ISERROR(G273/L273),"",G273/L273)</f>
        <v>0</v>
      </c>
      <c r="L273" s="87">
        <v>6</v>
      </c>
      <c r="M273" s="36">
        <f t="shared" si="94"/>
        <v>0</v>
      </c>
      <c r="N273" s="31">
        <f t="shared" si="95"/>
        <v>0</v>
      </c>
      <c r="O273" s="93">
        <f>SUM('3:4'!O273)</f>
        <v>0</v>
      </c>
      <c r="P273" s="93">
        <f>SUM('3:4'!P273)</f>
        <v>0</v>
      </c>
      <c r="Q273" s="93">
        <f>SUM('3:4'!Q273)</f>
        <v>0</v>
      </c>
      <c r="R273" s="93">
        <f>SUM('3:4'!R273)</f>
        <v>0</v>
      </c>
      <c r="S273" s="93">
        <f>SUM('3:4'!S273)</f>
        <v>0</v>
      </c>
      <c r="T273" s="93">
        <f>SUM('3:4'!T273)</f>
        <v>0</v>
      </c>
      <c r="U273" s="93">
        <f>SUM('3:4'!U273)</f>
        <v>0</v>
      </c>
      <c r="V273" s="206">
        <f t="shared" si="96"/>
        <v>0</v>
      </c>
      <c r="W273" s="33" t="str">
        <f t="shared" si="97"/>
        <v/>
      </c>
      <c r="X273" s="93">
        <f>SUM('3:4'!X273)</f>
        <v>0</v>
      </c>
      <c r="Y273" s="93">
        <f>SUM('3:4'!Y273)</f>
        <v>0</v>
      </c>
      <c r="Z273" s="93">
        <f>SUM('3:4'!Z273)</f>
        <v>0</v>
      </c>
      <c r="AA273" s="93">
        <f>SUM('3:4'!AA273)</f>
        <v>0</v>
      </c>
      <c r="AB273" s="73"/>
      <c r="AC273" s="54"/>
      <c r="AD273" s="370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304">
        <v>30600008</v>
      </c>
      <c r="B274" s="61" t="s">
        <v>90</v>
      </c>
      <c r="C274" s="16" t="s">
        <v>53</v>
      </c>
      <c r="D274" s="17">
        <v>9.36</v>
      </c>
      <c r="E274" s="17"/>
      <c r="F274" s="6"/>
      <c r="G274" s="93">
        <f>SUM('3:4'!G274)</f>
        <v>0</v>
      </c>
      <c r="H274" s="364">
        <f t="shared" si="93"/>
        <v>0</v>
      </c>
      <c r="I274" s="93">
        <f>SUM('3:4'!I274)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94"/>
        <v>0</v>
      </c>
      <c r="N274" s="31">
        <f t="shared" si="95"/>
        <v>0</v>
      </c>
      <c r="O274" s="93">
        <f>SUM('3:4'!O274)</f>
        <v>0</v>
      </c>
      <c r="P274" s="93">
        <f>SUM('3:4'!P274)</f>
        <v>0</v>
      </c>
      <c r="Q274" s="93">
        <f>SUM('3:4'!Q274)</f>
        <v>0</v>
      </c>
      <c r="R274" s="93">
        <f>SUM('3:4'!R274)</f>
        <v>0</v>
      </c>
      <c r="S274" s="93">
        <f>SUM('3:4'!S274)</f>
        <v>0</v>
      </c>
      <c r="T274" s="93">
        <f>SUM('3:4'!T274)</f>
        <v>0</v>
      </c>
      <c r="U274" s="93">
        <f>SUM('3:4'!U274)</f>
        <v>0</v>
      </c>
      <c r="V274" s="206">
        <f t="shared" si="96"/>
        <v>0</v>
      </c>
      <c r="W274" s="33" t="str">
        <f t="shared" si="97"/>
        <v/>
      </c>
      <c r="X274" s="93">
        <f>SUM('3:4'!X274)</f>
        <v>0</v>
      </c>
      <c r="Y274" s="93">
        <f>SUM('3:4'!Y274)</f>
        <v>0</v>
      </c>
      <c r="Z274" s="93">
        <f>SUM('3:4'!Z274)</f>
        <v>0</v>
      </c>
      <c r="AA274" s="93">
        <f>SUM('3:4'!AA274)</f>
        <v>0</v>
      </c>
      <c r="AB274" s="73"/>
      <c r="AC274" s="54"/>
      <c r="AD274" s="370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304">
        <v>30600007</v>
      </c>
      <c r="B275" s="61" t="s">
        <v>90</v>
      </c>
      <c r="C275" s="16" t="s">
        <v>89</v>
      </c>
      <c r="D275" s="17">
        <v>9.36</v>
      </c>
      <c r="E275" s="17"/>
      <c r="F275" s="6"/>
      <c r="G275" s="93">
        <f>SUM('3:4'!G275)</f>
        <v>0</v>
      </c>
      <c r="H275" s="364">
        <f t="shared" si="93"/>
        <v>0</v>
      </c>
      <c r="I275" s="93">
        <f>SUM('3:4'!I275)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94"/>
        <v>0</v>
      </c>
      <c r="N275" s="31">
        <f t="shared" si="95"/>
        <v>0</v>
      </c>
      <c r="O275" s="93">
        <f>SUM('3:4'!O275)</f>
        <v>0</v>
      </c>
      <c r="P275" s="93">
        <f>SUM('3:4'!P275)</f>
        <v>0</v>
      </c>
      <c r="Q275" s="93">
        <f>SUM('3:4'!Q275)</f>
        <v>0</v>
      </c>
      <c r="R275" s="93">
        <f>SUM('3:4'!R275)</f>
        <v>0</v>
      </c>
      <c r="S275" s="93">
        <f>SUM('3:4'!S275)</f>
        <v>0</v>
      </c>
      <c r="T275" s="93">
        <f>SUM('3:4'!T275)</f>
        <v>0</v>
      </c>
      <c r="U275" s="93">
        <f>SUM('3:4'!U275)</f>
        <v>0</v>
      </c>
      <c r="V275" s="206">
        <f t="shared" si="96"/>
        <v>0</v>
      </c>
      <c r="W275" s="33" t="str">
        <f t="shared" si="97"/>
        <v/>
      </c>
      <c r="X275" s="93">
        <f>SUM('3:4'!X275)</f>
        <v>0</v>
      </c>
      <c r="Y275" s="93">
        <f>SUM('3:4'!Y275)</f>
        <v>0</v>
      </c>
      <c r="Z275" s="93">
        <f>SUM('3:4'!Z275)</f>
        <v>0</v>
      </c>
      <c r="AA275" s="93">
        <f>SUM('3:4'!AA275)</f>
        <v>0</v>
      </c>
      <c r="AB275" s="73"/>
      <c r="AC275" s="54"/>
      <c r="AD275" s="370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304">
        <v>30600006</v>
      </c>
      <c r="B276" s="61" t="s">
        <v>90</v>
      </c>
      <c r="C276" s="16" t="s">
        <v>60</v>
      </c>
      <c r="D276" s="17">
        <v>9.36</v>
      </c>
      <c r="E276" s="17"/>
      <c r="F276" s="6"/>
      <c r="G276" s="93">
        <f>SUM('3:4'!G276)</f>
        <v>0</v>
      </c>
      <c r="H276" s="364">
        <f t="shared" si="93"/>
        <v>0</v>
      </c>
      <c r="I276" s="93">
        <f>SUM('3:4'!I276)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94"/>
        <v>0</v>
      </c>
      <c r="N276" s="31">
        <f t="shared" si="95"/>
        <v>0</v>
      </c>
      <c r="O276" s="93">
        <f>SUM('3:4'!O276)</f>
        <v>0</v>
      </c>
      <c r="P276" s="93">
        <f>SUM('3:4'!P276)</f>
        <v>0</v>
      </c>
      <c r="Q276" s="93">
        <f>SUM('3:4'!Q276)</f>
        <v>0</v>
      </c>
      <c r="R276" s="93">
        <f>SUM('3:4'!R276)</f>
        <v>0</v>
      </c>
      <c r="S276" s="93">
        <f>SUM('3:4'!S276)</f>
        <v>0</v>
      </c>
      <c r="T276" s="93">
        <f>SUM('3:4'!T276)</f>
        <v>0</v>
      </c>
      <c r="U276" s="93">
        <f>SUM('3:4'!U276)</f>
        <v>0</v>
      </c>
      <c r="V276" s="206">
        <f t="shared" si="96"/>
        <v>0</v>
      </c>
      <c r="W276" s="33" t="str">
        <f t="shared" si="97"/>
        <v/>
      </c>
      <c r="X276" s="93">
        <f>SUM('3:4'!X276)</f>
        <v>0</v>
      </c>
      <c r="Y276" s="93">
        <f>SUM('3:4'!Y276)</f>
        <v>0</v>
      </c>
      <c r="Z276" s="93">
        <f>SUM('3:4'!Z276)</f>
        <v>0</v>
      </c>
      <c r="AA276" s="93">
        <f>SUM('3:4'!AA276)</f>
        <v>0</v>
      </c>
      <c r="AB276" s="73"/>
      <c r="AC276" s="54"/>
      <c r="AD276" s="370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299">
        <v>30400026</v>
      </c>
      <c r="B277" s="190" t="s">
        <v>393</v>
      </c>
      <c r="C277" s="187" t="s">
        <v>395</v>
      </c>
      <c r="D277" s="17">
        <v>5</v>
      </c>
      <c r="E277" s="17"/>
      <c r="F277" s="6"/>
      <c r="G277" s="93">
        <f>SUM('3:4'!G277)</f>
        <v>0</v>
      </c>
      <c r="H277" s="364">
        <f t="shared" si="93"/>
        <v>0</v>
      </c>
      <c r="I277" s="93">
        <f>SUM('3:4'!I277)</f>
        <v>0</v>
      </c>
      <c r="J277" s="31"/>
      <c r="K277" s="35">
        <f t="array" ref="K277">IF(ISERROR(G277/L277),"",G277/L277)</f>
        <v>0</v>
      </c>
      <c r="L277" s="87">
        <v>5</v>
      </c>
      <c r="M277" s="36">
        <f t="shared" si="94"/>
        <v>0</v>
      </c>
      <c r="N277" s="31">
        <f t="shared" si="95"/>
        <v>0</v>
      </c>
      <c r="O277" s="93">
        <f>SUM('3:4'!O277)</f>
        <v>0</v>
      </c>
      <c r="P277" s="93">
        <f>SUM('3:4'!P277)</f>
        <v>0</v>
      </c>
      <c r="Q277" s="93">
        <f>SUM('3:4'!Q277)</f>
        <v>0</v>
      </c>
      <c r="R277" s="93">
        <f>SUM('3:4'!R277)</f>
        <v>0</v>
      </c>
      <c r="S277" s="93">
        <f>SUM('3:4'!S277)</f>
        <v>0</v>
      </c>
      <c r="T277" s="93">
        <f>SUM('3:4'!T277)</f>
        <v>0</v>
      </c>
      <c r="U277" s="93">
        <f>SUM('3:4'!U277)</f>
        <v>0</v>
      </c>
      <c r="V277" s="206"/>
      <c r="W277" s="33"/>
      <c r="X277" s="93">
        <f>SUM('3:4'!X277)</f>
        <v>0</v>
      </c>
      <c r="Y277" s="93">
        <f>SUM('3:4'!Y277)</f>
        <v>0</v>
      </c>
      <c r="Z277" s="93">
        <f>SUM('3:4'!Z277)</f>
        <v>0</v>
      </c>
      <c r="AA277" s="93">
        <f>SUM('3:4'!AA277)</f>
        <v>0</v>
      </c>
      <c r="AB277" s="73"/>
      <c r="AC277" s="54"/>
      <c r="AD277" s="370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99">
        <v>30400028</v>
      </c>
      <c r="B278" s="190" t="s">
        <v>393</v>
      </c>
      <c r="C278" s="187" t="s">
        <v>402</v>
      </c>
      <c r="D278" s="17">
        <v>5</v>
      </c>
      <c r="E278" s="17"/>
      <c r="F278" s="6"/>
      <c r="G278" s="93">
        <f>SUM('3:4'!G278)</f>
        <v>0</v>
      </c>
      <c r="H278" s="364">
        <f t="shared" si="93"/>
        <v>0</v>
      </c>
      <c r="I278" s="93">
        <f>SUM('3:4'!I278)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94"/>
        <v>0</v>
      </c>
      <c r="N278" s="31">
        <f t="shared" si="95"/>
        <v>0</v>
      </c>
      <c r="O278" s="93">
        <f>SUM('3:4'!O278)</f>
        <v>0</v>
      </c>
      <c r="P278" s="93">
        <f>SUM('3:4'!P278)</f>
        <v>0</v>
      </c>
      <c r="Q278" s="93">
        <f>SUM('3:4'!Q278)</f>
        <v>0</v>
      </c>
      <c r="R278" s="93">
        <f>SUM('3:4'!R278)</f>
        <v>0</v>
      </c>
      <c r="S278" s="93">
        <f>SUM('3:4'!S278)</f>
        <v>0</v>
      </c>
      <c r="T278" s="93">
        <f>SUM('3:4'!T278)</f>
        <v>0</v>
      </c>
      <c r="U278" s="93">
        <f>SUM('3:4'!U278)</f>
        <v>0</v>
      </c>
      <c r="V278" s="206"/>
      <c r="W278" s="33"/>
      <c r="X278" s="93">
        <f>SUM('3:4'!X278)</f>
        <v>0</v>
      </c>
      <c r="Y278" s="93">
        <f>SUM('3:4'!Y278)</f>
        <v>0</v>
      </c>
      <c r="Z278" s="93">
        <f>SUM('3:4'!Z278)</f>
        <v>0</v>
      </c>
      <c r="AA278" s="93">
        <f>SUM('3:4'!AA278)</f>
        <v>0</v>
      </c>
      <c r="AB278" s="73"/>
      <c r="AC278" s="54"/>
      <c r="AD278" s="370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99">
        <v>30400027</v>
      </c>
      <c r="B279" s="190" t="s">
        <v>404</v>
      </c>
      <c r="C279" s="187" t="s">
        <v>405</v>
      </c>
      <c r="D279" s="17">
        <v>5</v>
      </c>
      <c r="E279" s="17"/>
      <c r="F279" s="6"/>
      <c r="G279" s="93">
        <f>SUM('3:4'!G279)</f>
        <v>0</v>
      </c>
      <c r="H279" s="364">
        <f t="shared" si="93"/>
        <v>0</v>
      </c>
      <c r="I279" s="93">
        <f>SUM('3:4'!I279)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94"/>
        <v>0</v>
      </c>
      <c r="N279" s="31">
        <f t="shared" si="95"/>
        <v>0</v>
      </c>
      <c r="O279" s="93">
        <f>SUM('3:4'!O279)</f>
        <v>0</v>
      </c>
      <c r="P279" s="93">
        <f>SUM('3:4'!P279)</f>
        <v>0</v>
      </c>
      <c r="Q279" s="93">
        <f>SUM('3:4'!Q279)</f>
        <v>0</v>
      </c>
      <c r="R279" s="93">
        <f>SUM('3:4'!R279)</f>
        <v>0</v>
      </c>
      <c r="S279" s="93">
        <f>SUM('3:4'!S279)</f>
        <v>0</v>
      </c>
      <c r="T279" s="93">
        <f>SUM('3:4'!T279)</f>
        <v>0</v>
      </c>
      <c r="U279" s="93">
        <f>SUM('3:4'!U279)</f>
        <v>0</v>
      </c>
      <c r="V279" s="206"/>
      <c r="W279" s="33"/>
      <c r="X279" s="93">
        <f>SUM('3:4'!X279)</f>
        <v>0</v>
      </c>
      <c r="Y279" s="93">
        <f>SUM('3:4'!Y279)</f>
        <v>0</v>
      </c>
      <c r="Z279" s="93">
        <f>SUM('3:4'!Z279)</f>
        <v>0</v>
      </c>
      <c r="AA279" s="93">
        <f>SUM('3:4'!AA279)</f>
        <v>0</v>
      </c>
      <c r="AB279" s="73"/>
      <c r="AC279" s="54"/>
      <c r="AD279" s="370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99"/>
      <c r="B280" s="61" t="s">
        <v>342</v>
      </c>
      <c r="C280" s="187" t="s">
        <v>372</v>
      </c>
      <c r="D280" s="17">
        <v>5</v>
      </c>
      <c r="E280" s="17"/>
      <c r="F280" s="6"/>
      <c r="G280" s="93">
        <f>SUM('3:4'!G280)</f>
        <v>0</v>
      </c>
      <c r="H280" s="364">
        <f t="shared" si="93"/>
        <v>0</v>
      </c>
      <c r="I280" s="93">
        <f>SUM('3:4'!I280)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94"/>
        <v>0</v>
      </c>
      <c r="N280" s="31">
        <f t="shared" si="95"/>
        <v>0</v>
      </c>
      <c r="O280" s="93">
        <f>SUM('3:4'!O280)</f>
        <v>0</v>
      </c>
      <c r="P280" s="93">
        <f>SUM('3:4'!P280)</f>
        <v>0</v>
      </c>
      <c r="Q280" s="93">
        <f>SUM('3:4'!Q280)</f>
        <v>0</v>
      </c>
      <c r="R280" s="93">
        <f>SUM('3:4'!R280)</f>
        <v>0</v>
      </c>
      <c r="S280" s="93">
        <f>SUM('3:4'!S280)</f>
        <v>0</v>
      </c>
      <c r="T280" s="93">
        <f>SUM('3:4'!T280)</f>
        <v>0</v>
      </c>
      <c r="U280" s="93">
        <f>SUM('3:4'!U280)</f>
        <v>0</v>
      </c>
      <c r="V280" s="206"/>
      <c r="W280" s="33"/>
      <c r="X280" s="93">
        <f>SUM('3:4'!X280)</f>
        <v>0</v>
      </c>
      <c r="Y280" s="93">
        <f>SUM('3:4'!Y280)</f>
        <v>0</v>
      </c>
      <c r="Z280" s="93">
        <f>SUM('3:4'!Z280)</f>
        <v>0</v>
      </c>
      <c r="AA280" s="93">
        <f>SUM('3:4'!AA280)</f>
        <v>0</v>
      </c>
      <c r="AB280" s="73"/>
      <c r="AC280" s="54"/>
      <c r="AD280" s="370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99">
        <v>30600009</v>
      </c>
      <c r="B281" s="61" t="s">
        <v>343</v>
      </c>
      <c r="C281" s="16" t="s">
        <v>345</v>
      </c>
      <c r="D281" s="17">
        <v>5</v>
      </c>
      <c r="E281" s="17"/>
      <c r="F281" s="6"/>
      <c r="G281" s="93">
        <f>SUM('3:4'!G281)</f>
        <v>0</v>
      </c>
      <c r="H281" s="364">
        <f t="shared" si="93"/>
        <v>0</v>
      </c>
      <c r="I281" s="93">
        <f>SUM('3:4'!I281)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94"/>
        <v>0</v>
      </c>
      <c r="N281" s="31">
        <f t="shared" si="95"/>
        <v>0</v>
      </c>
      <c r="O281" s="93">
        <f>SUM('3:4'!O281)</f>
        <v>0</v>
      </c>
      <c r="P281" s="93">
        <f>SUM('3:4'!P281)</f>
        <v>0</v>
      </c>
      <c r="Q281" s="93">
        <f>SUM('3:4'!Q281)</f>
        <v>0</v>
      </c>
      <c r="R281" s="93">
        <f>SUM('3:4'!R281)</f>
        <v>0</v>
      </c>
      <c r="S281" s="93">
        <f>SUM('3:4'!S281)</f>
        <v>0</v>
      </c>
      <c r="T281" s="93">
        <f>SUM('3:4'!T281)</f>
        <v>0</v>
      </c>
      <c r="U281" s="93">
        <f>SUM('3:4'!U281)</f>
        <v>0</v>
      </c>
      <c r="V281" s="206"/>
      <c r="W281" s="33"/>
      <c r="X281" s="93">
        <f>SUM('3:4'!X281)</f>
        <v>0</v>
      </c>
      <c r="Y281" s="93">
        <f>SUM('3:4'!Y281)</f>
        <v>0</v>
      </c>
      <c r="Z281" s="93">
        <f>SUM('3:4'!Z281)</f>
        <v>0</v>
      </c>
      <c r="AA281" s="93">
        <f>SUM('3:4'!AA281)</f>
        <v>0</v>
      </c>
      <c r="AB281" s="73"/>
      <c r="AC281" s="54"/>
      <c r="AD281" s="370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99">
        <v>30600010</v>
      </c>
      <c r="B282" s="61" t="s">
        <v>343</v>
      </c>
      <c r="C282" s="16" t="s">
        <v>347</v>
      </c>
      <c r="D282" s="17">
        <v>5</v>
      </c>
      <c r="E282" s="17"/>
      <c r="F282" s="6"/>
      <c r="G282" s="93">
        <f>SUM('3:4'!G282)</f>
        <v>0</v>
      </c>
      <c r="H282" s="364">
        <f t="shared" si="93"/>
        <v>0</v>
      </c>
      <c r="I282" s="93">
        <f>SUM('3:4'!I282)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94"/>
        <v>0</v>
      </c>
      <c r="N282" s="31">
        <f t="shared" si="95"/>
        <v>0</v>
      </c>
      <c r="O282" s="93">
        <f>SUM('3:4'!O282)</f>
        <v>0</v>
      </c>
      <c r="P282" s="93">
        <f>SUM('3:4'!P282)</f>
        <v>0</v>
      </c>
      <c r="Q282" s="93">
        <f>SUM('3:4'!Q282)</f>
        <v>0</v>
      </c>
      <c r="R282" s="93">
        <f>SUM('3:4'!R282)</f>
        <v>0</v>
      </c>
      <c r="S282" s="93">
        <f>SUM('3:4'!S282)</f>
        <v>0</v>
      </c>
      <c r="T282" s="93">
        <f>SUM('3:4'!T282)</f>
        <v>0</v>
      </c>
      <c r="U282" s="93">
        <f>SUM('3:4'!U282)</f>
        <v>0</v>
      </c>
      <c r="V282" s="206"/>
      <c r="W282" s="33"/>
      <c r="X282" s="93">
        <f>SUM('3:4'!X282)</f>
        <v>0</v>
      </c>
      <c r="Y282" s="93">
        <f>SUM('3:4'!Y282)</f>
        <v>0</v>
      </c>
      <c r="Z282" s="93">
        <f>SUM('3:4'!Z282)</f>
        <v>0</v>
      </c>
      <c r="AA282" s="93">
        <f>SUM('3:4'!AA282)</f>
        <v>0</v>
      </c>
      <c r="AB282" s="73"/>
      <c r="AC282" s="54"/>
      <c r="AD282" s="370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99">
        <v>30400001</v>
      </c>
      <c r="B283" s="65" t="s">
        <v>514</v>
      </c>
      <c r="C283" s="16" t="s">
        <v>61</v>
      </c>
      <c r="D283" s="17">
        <v>5.0599999999999996</v>
      </c>
      <c r="E283" s="17"/>
      <c r="F283" s="6"/>
      <c r="G283" s="93">
        <f>SUM('3:4'!G283)</f>
        <v>172</v>
      </c>
      <c r="H283" s="364">
        <f t="shared" si="93"/>
        <v>870.31999999999994</v>
      </c>
      <c r="I283" s="93">
        <f>SUM('3:4'!I283)</f>
        <v>11</v>
      </c>
      <c r="J283" s="31">
        <f t="array" ref="J283">IF(ISERROR(G283/I283),"",G283/I283)</f>
        <v>15.636363636363637</v>
      </c>
      <c r="K283" s="35">
        <f t="array" ref="K283">IF(ISERROR(G283/L283),"",G283/L283)</f>
        <v>11.096774193548388</v>
      </c>
      <c r="L283" s="87">
        <v>15.5</v>
      </c>
      <c r="M283" s="36">
        <f t="shared" si="94"/>
        <v>-9.6774193548387899E-2</v>
      </c>
      <c r="N283" s="31">
        <f t="shared" si="95"/>
        <v>0</v>
      </c>
      <c r="O283" s="93">
        <f>SUM('3:4'!O283)</f>
        <v>0</v>
      </c>
      <c r="P283" s="93">
        <f>SUM('3:4'!P283)</f>
        <v>0</v>
      </c>
      <c r="Q283" s="93">
        <f>SUM('3:4'!Q283)</f>
        <v>0</v>
      </c>
      <c r="R283" s="93">
        <f>SUM('3:4'!R283)</f>
        <v>0</v>
      </c>
      <c r="S283" s="93">
        <f>SUM('3:4'!S283)</f>
        <v>0</v>
      </c>
      <c r="T283" s="93">
        <f>SUM('3:4'!T283)</f>
        <v>0</v>
      </c>
      <c r="U283" s="93">
        <f>SUM('3:4'!U283)</f>
        <v>0</v>
      </c>
      <c r="V283" s="206">
        <f t="shared" ref="V283:V284" si="98">SUM(X283:AA283)</f>
        <v>0</v>
      </c>
      <c r="W283" s="33">
        <f t="shared" ref="W283:W284" si="99">IF(ISERROR(V283/G283),"",V283/G283)</f>
        <v>0</v>
      </c>
      <c r="X283" s="93">
        <f>SUM('3:4'!X283)</f>
        <v>0</v>
      </c>
      <c r="Y283" s="93">
        <f>SUM('3:4'!Y283)</f>
        <v>0</v>
      </c>
      <c r="Z283" s="93">
        <f>SUM('3:4'!Z283)</f>
        <v>0</v>
      </c>
      <c r="AA283" s="93">
        <f>SUM('3:4'!AA283)</f>
        <v>0</v>
      </c>
      <c r="AB283" s="73"/>
      <c r="AC283" s="54"/>
      <c r="AD283" s="370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99">
        <v>30400002</v>
      </c>
      <c r="B284" s="65" t="s">
        <v>514</v>
      </c>
      <c r="C284" s="16" t="s">
        <v>72</v>
      </c>
      <c r="D284" s="17">
        <v>5.0599999999999996</v>
      </c>
      <c r="E284" s="17"/>
      <c r="F284" s="6"/>
      <c r="G284" s="93">
        <f>SUM('3:4'!G284)</f>
        <v>67</v>
      </c>
      <c r="H284" s="364">
        <f t="shared" si="93"/>
        <v>339.02</v>
      </c>
      <c r="I284" s="93">
        <f>SUM('3:4'!I284)</f>
        <v>4.3</v>
      </c>
      <c r="J284" s="31">
        <f t="array" ref="J284">IF(ISERROR(G284/I284),"",G284/I284)</f>
        <v>15.58139534883721</v>
      </c>
      <c r="K284" s="35">
        <f t="array" ref="K284">IF(ISERROR(G284/L284),"",G284/L284)</f>
        <v>4.32258064516129</v>
      </c>
      <c r="L284" s="87">
        <v>15.5</v>
      </c>
      <c r="M284" s="36">
        <f t="shared" si="94"/>
        <v>-2.2580645161290214E-2</v>
      </c>
      <c r="N284" s="31">
        <f t="shared" si="95"/>
        <v>0</v>
      </c>
      <c r="O284" s="93">
        <f>SUM('3:4'!O284)</f>
        <v>0</v>
      </c>
      <c r="P284" s="93">
        <f>SUM('3:4'!P284)</f>
        <v>0</v>
      </c>
      <c r="Q284" s="93">
        <f>SUM('3:4'!Q284)</f>
        <v>0</v>
      </c>
      <c r="R284" s="93">
        <f>SUM('3:4'!R284)</f>
        <v>0</v>
      </c>
      <c r="S284" s="93">
        <f>SUM('3:4'!S284)</f>
        <v>0</v>
      </c>
      <c r="T284" s="93">
        <f>SUM('3:4'!T284)</f>
        <v>0</v>
      </c>
      <c r="U284" s="93">
        <f>SUM('3:4'!U284)</f>
        <v>0</v>
      </c>
      <c r="V284" s="206">
        <f t="shared" si="98"/>
        <v>0</v>
      </c>
      <c r="W284" s="33">
        <f t="shared" si="99"/>
        <v>0</v>
      </c>
      <c r="X284" s="93">
        <f>SUM('3:4'!X284)</f>
        <v>0</v>
      </c>
      <c r="Y284" s="93">
        <f>SUM('3:4'!Y284)</f>
        <v>0</v>
      </c>
      <c r="Z284" s="93">
        <f>SUM('3:4'!Z284)</f>
        <v>0</v>
      </c>
      <c r="AA284" s="93">
        <f>SUM('3:4'!AA284)</f>
        <v>0</v>
      </c>
      <c r="AB284" s="73"/>
      <c r="AC284" s="54"/>
      <c r="AD284" s="370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99">
        <v>30400004</v>
      </c>
      <c r="B285" s="215" t="s">
        <v>419</v>
      </c>
      <c r="C285" s="187" t="s">
        <v>73</v>
      </c>
      <c r="D285" s="17"/>
      <c r="E285" s="17"/>
      <c r="F285" s="6"/>
      <c r="G285" s="93">
        <f>SUM('3:4'!G285)</f>
        <v>768</v>
      </c>
      <c r="H285" s="364">
        <f t="shared" si="93"/>
        <v>0</v>
      </c>
      <c r="I285" s="93">
        <f>SUM('3:4'!I285)</f>
        <v>75</v>
      </c>
      <c r="J285" s="31"/>
      <c r="K285" s="35"/>
      <c r="L285" s="87">
        <v>24</v>
      </c>
      <c r="M285" s="36"/>
      <c r="N285" s="31"/>
      <c r="O285" s="93"/>
      <c r="P285" s="93"/>
      <c r="Q285" s="93"/>
      <c r="R285" s="93"/>
      <c r="S285" s="93"/>
      <c r="T285" s="93"/>
      <c r="U285" s="93"/>
      <c r="V285" s="206"/>
      <c r="W285" s="33"/>
      <c r="X285" s="93"/>
      <c r="Y285" s="93"/>
      <c r="Z285" s="93"/>
      <c r="AA285" s="93"/>
      <c r="AB285" s="73"/>
      <c r="AC285" s="54"/>
      <c r="AD285" s="370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99">
        <v>30400003</v>
      </c>
      <c r="B286" s="215" t="s">
        <v>419</v>
      </c>
      <c r="C286" s="187" t="s">
        <v>60</v>
      </c>
      <c r="D286" s="17"/>
      <c r="E286" s="17"/>
      <c r="F286" s="6"/>
      <c r="G286" s="93">
        <f>SUM('3:4'!G286)</f>
        <v>70</v>
      </c>
      <c r="H286" s="364">
        <f t="shared" si="93"/>
        <v>0</v>
      </c>
      <c r="I286" s="93">
        <f>SUM('3:4'!I286)</f>
        <v>140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6"/>
      <c r="W286" s="33"/>
      <c r="X286" s="93"/>
      <c r="Y286" s="93"/>
      <c r="Z286" s="93"/>
      <c r="AA286" s="93"/>
      <c r="AB286" s="73"/>
      <c r="AC286" s="54"/>
      <c r="AD286" s="370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99">
        <v>30400005</v>
      </c>
      <c r="B287" s="215" t="s">
        <v>419</v>
      </c>
      <c r="C287" s="187" t="s">
        <v>422</v>
      </c>
      <c r="D287" s="17"/>
      <c r="E287" s="17"/>
      <c r="F287" s="6"/>
      <c r="G287" s="93">
        <f>SUM('3:4'!G287)</f>
        <v>484</v>
      </c>
      <c r="H287" s="364">
        <f t="shared" si="93"/>
        <v>0</v>
      </c>
      <c r="I287" s="93">
        <f>SUM('3:4'!I287)</f>
        <v>74.5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6"/>
      <c r="W287" s="33"/>
      <c r="X287" s="93"/>
      <c r="Y287" s="93"/>
      <c r="Z287" s="93"/>
      <c r="AA287" s="93"/>
      <c r="AB287" s="73"/>
      <c r="AC287" s="54"/>
      <c r="AD287" s="370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99">
        <v>30400007</v>
      </c>
      <c r="B288" s="65" t="s">
        <v>91</v>
      </c>
      <c r="C288" s="16" t="s">
        <v>74</v>
      </c>
      <c r="D288" s="17">
        <v>5.07</v>
      </c>
      <c r="E288" s="17"/>
      <c r="F288" s="6"/>
      <c r="G288" s="93">
        <f>SUM('3:4'!G288)</f>
        <v>0</v>
      </c>
      <c r="H288" s="364">
        <f t="shared" si="93"/>
        <v>0</v>
      </c>
      <c r="I288" s="93">
        <f>SUM('3:4'!I288)</f>
        <v>0</v>
      </c>
      <c r="J288" s="31" t="str">
        <f t="array" ref="J288">IF(ISERROR(G288/I288),"",G288/I288)</f>
        <v/>
      </c>
      <c r="K288" s="35">
        <f t="array" ref="K288">IF(ISERROR(G288/L288),"",G288/L288)</f>
        <v>0</v>
      </c>
      <c r="L288" s="87">
        <v>9</v>
      </c>
      <c r="M288" s="36">
        <f t="shared" ref="M288:M290" si="100">IF(ISERROR(I288-K288),"",I288-K288)</f>
        <v>0</v>
      </c>
      <c r="N288" s="31">
        <f t="shared" ref="N288:N290" si="101">SUM(O288:U288)</f>
        <v>0</v>
      </c>
      <c r="O288" s="93">
        <f>SUM('3:4'!O288)</f>
        <v>0</v>
      </c>
      <c r="P288" s="93">
        <f>SUM('3:4'!P288)</f>
        <v>0</v>
      </c>
      <c r="Q288" s="93">
        <f>SUM('3:4'!Q288)</f>
        <v>0</v>
      </c>
      <c r="R288" s="93">
        <f>SUM('3:4'!R288)</f>
        <v>0</v>
      </c>
      <c r="S288" s="93">
        <f>SUM('3:4'!S288)</f>
        <v>0</v>
      </c>
      <c r="T288" s="93">
        <f>SUM('3:4'!T288)</f>
        <v>0</v>
      </c>
      <c r="U288" s="93">
        <f>SUM('3:4'!U288)</f>
        <v>0</v>
      </c>
      <c r="V288" s="206">
        <f t="shared" ref="V288:V290" si="102">SUM(X288:AA288)</f>
        <v>0</v>
      </c>
      <c r="W288" s="33" t="str">
        <f t="shared" ref="W288:W312" si="103">IF(ISERROR(V288/G288),"",V288/G288)</f>
        <v/>
      </c>
      <c r="X288" s="93">
        <f>SUM('3:4'!X288)</f>
        <v>0</v>
      </c>
      <c r="Y288" s="93">
        <f>SUM('3:4'!Y288)</f>
        <v>0</v>
      </c>
      <c r="Z288" s="93">
        <f>SUM('3:4'!Z288)</f>
        <v>0</v>
      </c>
      <c r="AA288" s="93">
        <f>SUM('3:4'!AA288)</f>
        <v>0</v>
      </c>
      <c r="AB288" s="73"/>
      <c r="AC288" s="54"/>
      <c r="AD288" s="370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99">
        <v>30400006</v>
      </c>
      <c r="B289" s="65" t="s">
        <v>91</v>
      </c>
      <c r="C289" s="16" t="s">
        <v>53</v>
      </c>
      <c r="D289" s="17">
        <v>5.07</v>
      </c>
      <c r="E289" s="17"/>
      <c r="F289" s="6"/>
      <c r="G289" s="93">
        <f>SUM('3:4'!G289)</f>
        <v>0</v>
      </c>
      <c r="H289" s="364">
        <f t="shared" si="93"/>
        <v>0</v>
      </c>
      <c r="I289" s="93">
        <f>SUM('3:4'!I289)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 t="shared" si="100"/>
        <v>0</v>
      </c>
      <c r="N289" s="31">
        <f t="shared" si="101"/>
        <v>0</v>
      </c>
      <c r="O289" s="93">
        <f>SUM('3:4'!O289)</f>
        <v>0</v>
      </c>
      <c r="P289" s="93">
        <f>SUM('3:4'!P289)</f>
        <v>0</v>
      </c>
      <c r="Q289" s="93">
        <f>SUM('3:4'!Q289)</f>
        <v>0</v>
      </c>
      <c r="R289" s="93">
        <f>SUM('3:4'!R289)</f>
        <v>0</v>
      </c>
      <c r="S289" s="93">
        <f>SUM('3:4'!S289)</f>
        <v>0</v>
      </c>
      <c r="T289" s="93">
        <f>SUM('3:4'!T289)</f>
        <v>0</v>
      </c>
      <c r="U289" s="93">
        <f>SUM('3:4'!U289)</f>
        <v>0</v>
      </c>
      <c r="V289" s="206">
        <f t="shared" si="102"/>
        <v>0</v>
      </c>
      <c r="W289" s="33" t="str">
        <f t="shared" si="103"/>
        <v/>
      </c>
      <c r="X289" s="93">
        <f>SUM('3:4'!X289)</f>
        <v>0</v>
      </c>
      <c r="Y289" s="93">
        <f>SUM('3:4'!Y289)</f>
        <v>0</v>
      </c>
      <c r="Z289" s="93">
        <f>SUM('3:4'!Z289)</f>
        <v>0</v>
      </c>
      <c r="AA289" s="93">
        <f>SUM('3:4'!AA289)</f>
        <v>0</v>
      </c>
      <c r="AB289" s="73"/>
      <c r="AC289" s="54"/>
      <c r="AD289" s="370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99">
        <v>30400006</v>
      </c>
      <c r="B290" s="65" t="s">
        <v>91</v>
      </c>
      <c r="C290" s="16" t="s">
        <v>60</v>
      </c>
      <c r="D290" s="17">
        <v>5.0599999999999996</v>
      </c>
      <c r="E290" s="17"/>
      <c r="F290" s="53"/>
      <c r="G290" s="93">
        <f>SUM('3:4'!G290)</f>
        <v>0</v>
      </c>
      <c r="H290" s="364">
        <f t="shared" si="93"/>
        <v>0</v>
      </c>
      <c r="I290" s="93">
        <f>SUM('3:4'!I290)</f>
        <v>0</v>
      </c>
      <c r="J290" s="31" t="str">
        <f t="array" ref="J290">IF(ISERROR(G290/I290),"",G290/I290)</f>
        <v/>
      </c>
      <c r="K290" s="364">
        <f t="array" ref="K290">IF(ISERROR(G290/L290),"",G290/L290)</f>
        <v>0</v>
      </c>
      <c r="L290" s="87">
        <v>9</v>
      </c>
      <c r="M290" s="36">
        <f t="shared" si="100"/>
        <v>0</v>
      </c>
      <c r="N290" s="31">
        <f t="shared" si="101"/>
        <v>0</v>
      </c>
      <c r="O290" s="93">
        <f>SUM('3:4'!O290)</f>
        <v>0</v>
      </c>
      <c r="P290" s="93">
        <f>SUM('3:4'!P290)</f>
        <v>0</v>
      </c>
      <c r="Q290" s="93">
        <f>SUM('3:4'!Q290)</f>
        <v>0</v>
      </c>
      <c r="R290" s="93">
        <f>SUM('3:4'!R290)</f>
        <v>0</v>
      </c>
      <c r="S290" s="93">
        <f>SUM('3:4'!S290)</f>
        <v>0</v>
      </c>
      <c r="T290" s="93">
        <f>SUM('3:4'!T290)</f>
        <v>0</v>
      </c>
      <c r="U290" s="93">
        <f>SUM('3:4'!U290)</f>
        <v>0</v>
      </c>
      <c r="V290" s="206">
        <f t="shared" si="102"/>
        <v>0</v>
      </c>
      <c r="W290" s="33" t="str">
        <f t="shared" si="103"/>
        <v/>
      </c>
      <c r="X290" s="93">
        <f>SUM('3:4'!X290)</f>
        <v>0</v>
      </c>
      <c r="Y290" s="93">
        <f>SUM('3:4'!Y290)</f>
        <v>0</v>
      </c>
      <c r="Z290" s="93">
        <f>SUM('3:4'!Z290)</f>
        <v>0</v>
      </c>
      <c r="AA290" s="93">
        <f>SUM('3:4'!AA290)</f>
        <v>0</v>
      </c>
      <c r="AB290" s="73"/>
      <c r="AC290" s="54"/>
      <c r="AD290" s="370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725" t="s">
        <v>92</v>
      </c>
      <c r="B291" s="726"/>
      <c r="C291" s="359" t="s">
        <v>71</v>
      </c>
      <c r="D291" s="20"/>
      <c r="E291" s="20"/>
      <c r="F291" s="32"/>
      <c r="G291" s="30">
        <f>SUM(G257:G290)</f>
        <v>1594</v>
      </c>
      <c r="H291" s="30">
        <f>SUM(H257:H290)</f>
        <v>1375.33</v>
      </c>
      <c r="I291" s="30">
        <f>SUM(I257:I290)</f>
        <v>310.8</v>
      </c>
      <c r="J291" s="31">
        <f t="array" ref="J291">IF(ISERROR(G291/I291),"",G291/I291)</f>
        <v>5.1287001287001281</v>
      </c>
      <c r="K291" s="30">
        <f>SUM(K257:K290)</f>
        <v>18.967741935483872</v>
      </c>
      <c r="L291" s="98"/>
      <c r="M291" s="89">
        <f t="shared" ref="M291:V291" si="104">SUM(M257:M290)</f>
        <v>2.3322580645161288</v>
      </c>
      <c r="N291" s="30">
        <f t="shared" si="104"/>
        <v>0</v>
      </c>
      <c r="O291" s="91">
        <f t="shared" si="104"/>
        <v>0</v>
      </c>
      <c r="P291" s="91">
        <f t="shared" si="104"/>
        <v>0</v>
      </c>
      <c r="Q291" s="91">
        <f t="shared" si="104"/>
        <v>0</v>
      </c>
      <c r="R291" s="91">
        <f t="shared" si="104"/>
        <v>0</v>
      </c>
      <c r="S291" s="92">
        <f t="shared" si="104"/>
        <v>0</v>
      </c>
      <c r="T291" s="91">
        <f t="shared" si="104"/>
        <v>0</v>
      </c>
      <c r="U291" s="91">
        <f t="shared" si="104"/>
        <v>0</v>
      </c>
      <c r="V291" s="206">
        <f t="shared" si="104"/>
        <v>0</v>
      </c>
      <c r="W291" s="33">
        <f t="shared" si="103"/>
        <v>0</v>
      </c>
      <c r="X291" s="92">
        <f>SUM(X257:X290)</f>
        <v>0</v>
      </c>
      <c r="Y291" s="92">
        <f>SUM(Y257:Y290)</f>
        <v>0</v>
      </c>
      <c r="Z291" s="92">
        <f>SUM(Z257:Z290)</f>
        <v>0</v>
      </c>
      <c r="AA291" s="92">
        <f>SUM(AA257:AA290)</f>
        <v>0</v>
      </c>
      <c r="AB291" s="75"/>
      <c r="AC291" s="70"/>
      <c r="AD291" s="370"/>
      <c r="AE291" s="74"/>
      <c r="AF291" s="74"/>
      <c r="AG291" s="74"/>
      <c r="AH291" s="7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299">
        <v>30100038</v>
      </c>
      <c r="B292" s="62" t="s">
        <v>93</v>
      </c>
      <c r="C292" s="16" t="s">
        <v>94</v>
      </c>
      <c r="D292" s="17">
        <v>5.03</v>
      </c>
      <c r="E292" s="17"/>
      <c r="F292" s="6"/>
      <c r="G292" s="93">
        <f>SUM('3:4'!G292)</f>
        <v>0</v>
      </c>
      <c r="H292" s="364">
        <f>D292*G292</f>
        <v>0</v>
      </c>
      <c r="I292" s="93">
        <f>SUM('3:4'!I292)</f>
        <v>0</v>
      </c>
      <c r="J292" s="31" t="str">
        <f t="array" ref="J292">IF(ISERROR(G292/I292),"",G292/I292)</f>
        <v/>
      </c>
      <c r="K292" s="35">
        <f t="array" ref="K292">IF(ISERROR(G292/L292),"",G292/L292)</f>
        <v>0</v>
      </c>
      <c r="L292" s="87">
        <v>25</v>
      </c>
      <c r="M292" s="36">
        <f t="shared" ref="M292:M306" si="105">IF(ISERROR(I292-K292),"",I292-K292)</f>
        <v>0</v>
      </c>
      <c r="N292" s="31">
        <f t="shared" ref="N292:N306" si="106">SUM(O292:U292)</f>
        <v>0</v>
      </c>
      <c r="O292" s="93">
        <f>SUM('3:4'!O292)</f>
        <v>0</v>
      </c>
      <c r="P292" s="93">
        <f>SUM('3:4'!P292)</f>
        <v>0</v>
      </c>
      <c r="Q292" s="93">
        <f>SUM('3:4'!Q292)</f>
        <v>0</v>
      </c>
      <c r="R292" s="93">
        <f>SUM('3:4'!R292)</f>
        <v>0</v>
      </c>
      <c r="S292" s="93">
        <f>SUM('3:4'!S292)</f>
        <v>0</v>
      </c>
      <c r="T292" s="93">
        <f>SUM('3:4'!T292)</f>
        <v>0</v>
      </c>
      <c r="U292" s="93">
        <f>SUM('3:4'!U292)</f>
        <v>0</v>
      </c>
      <c r="V292" s="206">
        <f t="shared" ref="V292:V306" si="107">SUM(X292:AA292)</f>
        <v>0</v>
      </c>
      <c r="W292" s="33" t="str">
        <f t="shared" si="103"/>
        <v/>
      </c>
      <c r="X292" s="93">
        <f>SUM('3:4'!X292)</f>
        <v>0</v>
      </c>
      <c r="Y292" s="93">
        <f>SUM('3:4'!Y292)</f>
        <v>0</v>
      </c>
      <c r="Z292" s="93">
        <f>SUM('3:4'!Z292)</f>
        <v>0</v>
      </c>
      <c r="AA292" s="93">
        <f>SUM('3:4'!AA292)</f>
        <v>0</v>
      </c>
      <c r="AB292" s="73"/>
      <c r="AC292" s="54"/>
      <c r="AD292" s="370"/>
      <c r="AE292" s="54"/>
      <c r="AF292" s="54"/>
      <c r="AG292" s="54"/>
      <c r="AH292" s="5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99">
        <v>30100037</v>
      </c>
      <c r="B293" s="62" t="s">
        <v>93</v>
      </c>
      <c r="C293" s="16" t="s">
        <v>74</v>
      </c>
      <c r="D293" s="17">
        <v>5.03</v>
      </c>
      <c r="E293" s="17"/>
      <c r="F293" s="6"/>
      <c r="G293" s="93">
        <f>SUM('3:4'!G293)</f>
        <v>0</v>
      </c>
      <c r="H293" s="364">
        <f t="shared" ref="H293:H306" si="108">D293*G293</f>
        <v>0</v>
      </c>
      <c r="I293" s="93">
        <f>SUM('3:4'!I293)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si="105"/>
        <v>0</v>
      </c>
      <c r="N293" s="31">
        <f t="shared" si="106"/>
        <v>0</v>
      </c>
      <c r="O293" s="93">
        <f>SUM('3:4'!O293)</f>
        <v>0</v>
      </c>
      <c r="P293" s="93">
        <f>SUM('3:4'!P293)</f>
        <v>0</v>
      </c>
      <c r="Q293" s="93">
        <f>SUM('3:4'!Q293)</f>
        <v>0</v>
      </c>
      <c r="R293" s="93">
        <f>SUM('3:4'!R293)</f>
        <v>0</v>
      </c>
      <c r="S293" s="93">
        <f>SUM('3:4'!S293)</f>
        <v>0</v>
      </c>
      <c r="T293" s="93">
        <f>SUM('3:4'!T293)</f>
        <v>0</v>
      </c>
      <c r="U293" s="93">
        <f>SUM('3:4'!U293)</f>
        <v>0</v>
      </c>
      <c r="V293" s="206">
        <f t="shared" si="107"/>
        <v>0</v>
      </c>
      <c r="W293" s="33" t="str">
        <f t="shared" si="103"/>
        <v/>
      </c>
      <c r="X293" s="93">
        <f>SUM('3:4'!X293)</f>
        <v>0</v>
      </c>
      <c r="Y293" s="93">
        <f>SUM('3:4'!Y293)</f>
        <v>0</v>
      </c>
      <c r="Z293" s="93">
        <f>SUM('3:4'!Z293)</f>
        <v>0</v>
      </c>
      <c r="AA293" s="93">
        <f>SUM('3:4'!AA293)</f>
        <v>0</v>
      </c>
      <c r="AB293" s="73"/>
      <c r="AC293" s="54"/>
      <c r="AD293" s="370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99">
        <v>30100051</v>
      </c>
      <c r="B294" s="62" t="s">
        <v>58</v>
      </c>
      <c r="C294" s="16" t="s">
        <v>65</v>
      </c>
      <c r="D294" s="17">
        <v>5.04</v>
      </c>
      <c r="E294" s="17"/>
      <c r="F294" s="6"/>
      <c r="G294" s="93">
        <f>SUM('3:4'!G294)</f>
        <v>0</v>
      </c>
      <c r="H294" s="364">
        <f t="shared" si="108"/>
        <v>0</v>
      </c>
      <c r="I294" s="93">
        <f>SUM('3:4'!I294)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20</v>
      </c>
      <c r="M294" s="36">
        <f t="shared" si="105"/>
        <v>0</v>
      </c>
      <c r="N294" s="31">
        <f t="shared" si="106"/>
        <v>0</v>
      </c>
      <c r="O294" s="93">
        <f>SUM('3:4'!O294)</f>
        <v>0</v>
      </c>
      <c r="P294" s="93">
        <f>SUM('3:4'!P294)</f>
        <v>0</v>
      </c>
      <c r="Q294" s="93">
        <f>SUM('3:4'!Q294)</f>
        <v>0</v>
      </c>
      <c r="R294" s="93">
        <f>SUM('3:4'!R294)</f>
        <v>0</v>
      </c>
      <c r="S294" s="93">
        <f>SUM('3:4'!S294)</f>
        <v>0</v>
      </c>
      <c r="T294" s="93">
        <f>SUM('3:4'!T294)</f>
        <v>0</v>
      </c>
      <c r="U294" s="93">
        <f>SUM('3:4'!U294)</f>
        <v>0</v>
      </c>
      <c r="V294" s="206">
        <f t="shared" si="107"/>
        <v>0</v>
      </c>
      <c r="W294" s="33" t="str">
        <f t="shared" si="103"/>
        <v/>
      </c>
      <c r="X294" s="93">
        <f>SUM('3:4'!X294)</f>
        <v>0</v>
      </c>
      <c r="Y294" s="93">
        <f>SUM('3:4'!Y294)</f>
        <v>0</v>
      </c>
      <c r="Z294" s="93">
        <f>SUM('3:4'!Z294)</f>
        <v>0</v>
      </c>
      <c r="AA294" s="93">
        <f>SUM('3:4'!AA294)</f>
        <v>0</v>
      </c>
      <c r="AB294" s="73"/>
      <c r="AC294" s="54"/>
      <c r="AD294" s="370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99"/>
      <c r="B295" s="63" t="s">
        <v>95</v>
      </c>
      <c r="C295" s="16" t="s">
        <v>82</v>
      </c>
      <c r="D295" s="17">
        <v>5.03</v>
      </c>
      <c r="E295" s="17"/>
      <c r="F295" s="6"/>
      <c r="G295" s="93">
        <f>SUM('3:4'!G295)</f>
        <v>0</v>
      </c>
      <c r="H295" s="364">
        <f t="shared" si="108"/>
        <v>0</v>
      </c>
      <c r="I295" s="93">
        <f>SUM('3:4'!I295)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87">
        <v>4</v>
      </c>
      <c r="M295" s="36">
        <f t="shared" si="105"/>
        <v>0</v>
      </c>
      <c r="N295" s="31">
        <f t="shared" si="106"/>
        <v>0</v>
      </c>
      <c r="O295" s="93">
        <f>SUM('3:4'!O295)</f>
        <v>0</v>
      </c>
      <c r="P295" s="93">
        <f>SUM('3:4'!P295)</f>
        <v>0</v>
      </c>
      <c r="Q295" s="93">
        <f>SUM('3:4'!Q295)</f>
        <v>0</v>
      </c>
      <c r="R295" s="93">
        <f>SUM('3:4'!R295)</f>
        <v>0</v>
      </c>
      <c r="S295" s="93">
        <f>SUM('3:4'!S295)</f>
        <v>0</v>
      </c>
      <c r="T295" s="93">
        <f>SUM('3:4'!T295)</f>
        <v>0</v>
      </c>
      <c r="U295" s="93">
        <f>SUM('3:4'!U295)</f>
        <v>0</v>
      </c>
      <c r="V295" s="206">
        <f t="shared" si="107"/>
        <v>0</v>
      </c>
      <c r="W295" s="33" t="str">
        <f t="shared" si="103"/>
        <v/>
      </c>
      <c r="X295" s="93">
        <f>SUM('3:4'!X295)</f>
        <v>0</v>
      </c>
      <c r="Y295" s="93">
        <f>SUM('3:4'!Y295)</f>
        <v>0</v>
      </c>
      <c r="Z295" s="93">
        <f>SUM('3:4'!Z295)</f>
        <v>0</v>
      </c>
      <c r="AA295" s="93">
        <f>SUM('3:4'!AA295)</f>
        <v>0</v>
      </c>
      <c r="AB295" s="73"/>
      <c r="AC295" s="54"/>
      <c r="AD295" s="370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99">
        <v>30100054</v>
      </c>
      <c r="B296" s="63" t="s">
        <v>95</v>
      </c>
      <c r="C296" s="365" t="s">
        <v>72</v>
      </c>
      <c r="D296" s="17">
        <v>5.03</v>
      </c>
      <c r="E296" s="17"/>
      <c r="F296" s="6"/>
      <c r="G296" s="93">
        <f>SUM('3:4'!G296)</f>
        <v>0</v>
      </c>
      <c r="H296" s="364">
        <f t="shared" si="108"/>
        <v>0</v>
      </c>
      <c r="I296" s="93">
        <f>SUM('3:4'!I296)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105"/>
        <v>0</v>
      </c>
      <c r="N296" s="31">
        <f t="shared" si="106"/>
        <v>0</v>
      </c>
      <c r="O296" s="93">
        <f>SUM('3:4'!O296)</f>
        <v>0</v>
      </c>
      <c r="P296" s="93">
        <f>SUM('3:4'!P296)</f>
        <v>0</v>
      </c>
      <c r="Q296" s="93">
        <f>SUM('3:4'!Q296)</f>
        <v>0</v>
      </c>
      <c r="R296" s="93">
        <f>SUM('3:4'!R296)</f>
        <v>0</v>
      </c>
      <c r="S296" s="93">
        <f>SUM('3:4'!S296)</f>
        <v>0</v>
      </c>
      <c r="T296" s="93">
        <f>SUM('3:4'!T296)</f>
        <v>0</v>
      </c>
      <c r="U296" s="93">
        <f>SUM('3:4'!U296)</f>
        <v>0</v>
      </c>
      <c r="V296" s="206">
        <f t="shared" si="107"/>
        <v>0</v>
      </c>
      <c r="W296" s="33" t="str">
        <f t="shared" si="103"/>
        <v/>
      </c>
      <c r="X296" s="93">
        <f>SUM('3:4'!X296)</f>
        <v>0</v>
      </c>
      <c r="Y296" s="93">
        <f>SUM('3:4'!Y296)</f>
        <v>0</v>
      </c>
      <c r="Z296" s="93">
        <f>SUM('3:4'!Z296)</f>
        <v>0</v>
      </c>
      <c r="AA296" s="93">
        <f>SUM('3:4'!AA296)</f>
        <v>0</v>
      </c>
      <c r="AB296" s="73"/>
      <c r="AC296" s="54"/>
      <c r="AD296" s="370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99">
        <v>30100053</v>
      </c>
      <c r="B297" s="63" t="s">
        <v>95</v>
      </c>
      <c r="C297" s="16" t="s">
        <v>73</v>
      </c>
      <c r="D297" s="17">
        <v>5.03</v>
      </c>
      <c r="E297" s="17"/>
      <c r="F297" s="6"/>
      <c r="G297" s="93">
        <f>SUM('3:4'!G297)</f>
        <v>0</v>
      </c>
      <c r="H297" s="364">
        <f t="shared" si="108"/>
        <v>0</v>
      </c>
      <c r="I297" s="93">
        <f>SUM('3:4'!I297)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105"/>
        <v>0</v>
      </c>
      <c r="N297" s="31">
        <f t="shared" si="106"/>
        <v>0</v>
      </c>
      <c r="O297" s="93">
        <f>SUM('3:4'!O297)</f>
        <v>0</v>
      </c>
      <c r="P297" s="93">
        <f>SUM('3:4'!P297)</f>
        <v>0</v>
      </c>
      <c r="Q297" s="93">
        <f>SUM('3:4'!Q297)</f>
        <v>0</v>
      </c>
      <c r="R297" s="93">
        <f>SUM('3:4'!R297)</f>
        <v>0</v>
      </c>
      <c r="S297" s="93">
        <f>SUM('3:4'!S297)</f>
        <v>0</v>
      </c>
      <c r="T297" s="93">
        <f>SUM('3:4'!T297)</f>
        <v>0</v>
      </c>
      <c r="U297" s="93">
        <f>SUM('3:4'!U297)</f>
        <v>0</v>
      </c>
      <c r="V297" s="206">
        <f t="shared" si="107"/>
        <v>0</v>
      </c>
      <c r="W297" s="33" t="str">
        <f t="shared" si="103"/>
        <v/>
      </c>
      <c r="X297" s="93">
        <f>SUM('3:4'!X297)</f>
        <v>0</v>
      </c>
      <c r="Y297" s="93">
        <f>SUM('3:4'!Y297)</f>
        <v>0</v>
      </c>
      <c r="Z297" s="93">
        <f>SUM('3:4'!Z297)</f>
        <v>0</v>
      </c>
      <c r="AA297" s="93">
        <f>SUM('3:4'!AA297)</f>
        <v>0</v>
      </c>
      <c r="AB297" s="73"/>
      <c r="AC297" s="54"/>
      <c r="AD297" s="370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99"/>
      <c r="B298" s="63" t="s">
        <v>95</v>
      </c>
      <c r="C298" s="16" t="s">
        <v>60</v>
      </c>
      <c r="D298" s="17">
        <v>5.03</v>
      </c>
      <c r="E298" s="17"/>
      <c r="F298" s="6"/>
      <c r="G298" s="93">
        <f>SUM('3:4'!G298)</f>
        <v>0</v>
      </c>
      <c r="H298" s="364">
        <f t="shared" si="108"/>
        <v>0</v>
      </c>
      <c r="I298" s="93">
        <f>SUM('3:4'!I298)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105"/>
        <v>0</v>
      </c>
      <c r="N298" s="31">
        <f t="shared" si="106"/>
        <v>0</v>
      </c>
      <c r="O298" s="93">
        <f>SUM('3:4'!O298)</f>
        <v>0</v>
      </c>
      <c r="P298" s="93">
        <f>SUM('3:4'!P298)</f>
        <v>0</v>
      </c>
      <c r="Q298" s="93">
        <f>SUM('3:4'!Q298)</f>
        <v>0</v>
      </c>
      <c r="R298" s="93">
        <f>SUM('3:4'!R298)</f>
        <v>0</v>
      </c>
      <c r="S298" s="93">
        <f>SUM('3:4'!S298)</f>
        <v>0</v>
      </c>
      <c r="T298" s="93">
        <f>SUM('3:4'!T298)</f>
        <v>0</v>
      </c>
      <c r="U298" s="93">
        <f>SUM('3:4'!U298)</f>
        <v>0</v>
      </c>
      <c r="V298" s="206">
        <f t="shared" si="107"/>
        <v>0</v>
      </c>
      <c r="W298" s="33" t="str">
        <f t="shared" si="103"/>
        <v/>
      </c>
      <c r="X298" s="93">
        <f>SUM('3:4'!X298)</f>
        <v>0</v>
      </c>
      <c r="Y298" s="93">
        <f>SUM('3:4'!Y298)</f>
        <v>0</v>
      </c>
      <c r="Z298" s="93">
        <f>SUM('3:4'!Z298)</f>
        <v>0</v>
      </c>
      <c r="AA298" s="93">
        <f>SUM('3:4'!AA298)</f>
        <v>0</v>
      </c>
      <c r="AB298" s="73"/>
      <c r="AC298" s="54"/>
      <c r="AD298" s="370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99"/>
      <c r="B299" s="63" t="s">
        <v>95</v>
      </c>
      <c r="C299" s="365" t="s">
        <v>96</v>
      </c>
      <c r="D299" s="17">
        <v>5.03</v>
      </c>
      <c r="E299" s="17"/>
      <c r="F299" s="6"/>
      <c r="G299" s="93">
        <f>SUM('3:4'!G299)</f>
        <v>0</v>
      </c>
      <c r="H299" s="364">
        <f t="shared" si="108"/>
        <v>0</v>
      </c>
      <c r="I299" s="93">
        <f>SUM('3:4'!I299)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105"/>
        <v>0</v>
      </c>
      <c r="N299" s="31">
        <f t="shared" si="106"/>
        <v>0</v>
      </c>
      <c r="O299" s="93">
        <f>SUM('3:4'!O299)</f>
        <v>0</v>
      </c>
      <c r="P299" s="93">
        <f>SUM('3:4'!P299)</f>
        <v>0</v>
      </c>
      <c r="Q299" s="93">
        <f>SUM('3:4'!Q299)</f>
        <v>0</v>
      </c>
      <c r="R299" s="93">
        <f>SUM('3:4'!R299)</f>
        <v>0</v>
      </c>
      <c r="S299" s="93">
        <f>SUM('3:4'!S299)</f>
        <v>0</v>
      </c>
      <c r="T299" s="93">
        <f>SUM('3:4'!T299)</f>
        <v>0</v>
      </c>
      <c r="U299" s="93">
        <f>SUM('3:4'!U299)</f>
        <v>0</v>
      </c>
      <c r="V299" s="206">
        <f t="shared" si="107"/>
        <v>0</v>
      </c>
      <c r="W299" s="33" t="str">
        <f t="shared" si="103"/>
        <v/>
      </c>
      <c r="X299" s="93">
        <f>SUM('3:4'!X299)</f>
        <v>0</v>
      </c>
      <c r="Y299" s="93">
        <f>SUM('3:4'!Y299)</f>
        <v>0</v>
      </c>
      <c r="Z299" s="93">
        <f>SUM('3:4'!Z299)</f>
        <v>0</v>
      </c>
      <c r="AA299" s="93">
        <f>SUM('3:4'!AA299)</f>
        <v>0</v>
      </c>
      <c r="AB299" s="73"/>
      <c r="AC299" s="54"/>
      <c r="AD299" s="370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99">
        <v>30101067</v>
      </c>
      <c r="B300" s="63" t="s">
        <v>97</v>
      </c>
      <c r="C300" s="365" t="s">
        <v>82</v>
      </c>
      <c r="D300" s="17">
        <v>5.03</v>
      </c>
      <c r="E300" s="17"/>
      <c r="F300" s="6"/>
      <c r="G300" s="93">
        <f>SUM('3:4'!G300)</f>
        <v>0</v>
      </c>
      <c r="H300" s="364">
        <f t="shared" si="108"/>
        <v>0</v>
      </c>
      <c r="I300" s="93">
        <f>SUM('3:4'!I300)</f>
        <v>0</v>
      </c>
      <c r="J300" s="31" t="str">
        <f t="array" ref="J300">IF(ISERROR(G300/I300),"",G300/I300)</f>
        <v/>
      </c>
      <c r="K300" s="35" t="str">
        <f t="array" ref="K300">IF(ISERROR(G300/L300),"",G300/L300)</f>
        <v/>
      </c>
      <c r="L300" s="87"/>
      <c r="M300" s="36" t="str">
        <f t="shared" si="105"/>
        <v/>
      </c>
      <c r="N300" s="31">
        <f t="shared" si="106"/>
        <v>0</v>
      </c>
      <c r="O300" s="93">
        <f>SUM('3:4'!O300)</f>
        <v>0</v>
      </c>
      <c r="P300" s="93">
        <f>SUM('3:4'!P300)</f>
        <v>0</v>
      </c>
      <c r="Q300" s="93">
        <f>SUM('3:4'!Q300)</f>
        <v>0</v>
      </c>
      <c r="R300" s="93">
        <f>SUM('3:4'!R300)</f>
        <v>0</v>
      </c>
      <c r="S300" s="93">
        <f>SUM('3:4'!S300)</f>
        <v>0</v>
      </c>
      <c r="T300" s="93">
        <f>SUM('3:4'!T300)</f>
        <v>0</v>
      </c>
      <c r="U300" s="93">
        <f>SUM('3:4'!U300)</f>
        <v>0</v>
      </c>
      <c r="V300" s="206">
        <f t="shared" si="107"/>
        <v>0</v>
      </c>
      <c r="W300" s="33" t="str">
        <f t="shared" si="103"/>
        <v/>
      </c>
      <c r="X300" s="93">
        <f>SUM('3:4'!X300)</f>
        <v>0</v>
      </c>
      <c r="Y300" s="93">
        <f>SUM('3:4'!Y300)</f>
        <v>0</v>
      </c>
      <c r="Z300" s="93">
        <f>SUM('3:4'!Z300)</f>
        <v>0</v>
      </c>
      <c r="AA300" s="93">
        <f>SUM('3:4'!AA300)</f>
        <v>0</v>
      </c>
      <c r="AB300" s="73"/>
      <c r="AC300" s="54"/>
      <c r="AD300" s="370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99">
        <v>30101068</v>
      </c>
      <c r="B301" s="63" t="s">
        <v>97</v>
      </c>
      <c r="C301" s="365" t="s">
        <v>72</v>
      </c>
      <c r="D301" s="17">
        <v>5.03</v>
      </c>
      <c r="E301" s="17"/>
      <c r="F301" s="6"/>
      <c r="G301" s="93">
        <f>SUM('3:4'!G301)</f>
        <v>0</v>
      </c>
      <c r="H301" s="364">
        <f t="shared" si="108"/>
        <v>0</v>
      </c>
      <c r="I301" s="93">
        <f>SUM('3:4'!I301)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105"/>
        <v/>
      </c>
      <c r="N301" s="31">
        <f t="shared" si="106"/>
        <v>0</v>
      </c>
      <c r="O301" s="93">
        <f>SUM('3:4'!O301)</f>
        <v>0</v>
      </c>
      <c r="P301" s="93">
        <f>SUM('3:4'!P301)</f>
        <v>0</v>
      </c>
      <c r="Q301" s="93">
        <f>SUM('3:4'!Q301)</f>
        <v>0</v>
      </c>
      <c r="R301" s="93">
        <f>SUM('3:4'!R301)</f>
        <v>0</v>
      </c>
      <c r="S301" s="93">
        <f>SUM('3:4'!S301)</f>
        <v>0</v>
      </c>
      <c r="T301" s="93">
        <f>SUM('3:4'!T301)</f>
        <v>0</v>
      </c>
      <c r="U301" s="93">
        <f>SUM('3:4'!U301)</f>
        <v>0</v>
      </c>
      <c r="V301" s="206">
        <f t="shared" si="107"/>
        <v>0</v>
      </c>
      <c r="W301" s="33" t="str">
        <f t="shared" si="103"/>
        <v/>
      </c>
      <c r="X301" s="93">
        <f>SUM('3:4'!X301)</f>
        <v>0</v>
      </c>
      <c r="Y301" s="93">
        <f>SUM('3:4'!Y301)</f>
        <v>0</v>
      </c>
      <c r="Z301" s="93">
        <f>SUM('3:4'!Z301)</f>
        <v>0</v>
      </c>
      <c r="AA301" s="93">
        <f>SUM('3:4'!AA301)</f>
        <v>0</v>
      </c>
      <c r="AB301" s="73"/>
      <c r="AC301" s="54"/>
      <c r="AD301" s="370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99">
        <v>30101069</v>
      </c>
      <c r="B302" s="63" t="s">
        <v>97</v>
      </c>
      <c r="C302" s="365" t="s">
        <v>60</v>
      </c>
      <c r="D302" s="17">
        <v>5.03</v>
      </c>
      <c r="E302" s="17"/>
      <c r="F302" s="6"/>
      <c r="G302" s="93">
        <f>SUM('3:4'!G302)</f>
        <v>0</v>
      </c>
      <c r="H302" s="364">
        <f t="shared" si="108"/>
        <v>0</v>
      </c>
      <c r="I302" s="93">
        <f>SUM('3:4'!I302)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105"/>
        <v/>
      </c>
      <c r="N302" s="31">
        <f t="shared" si="106"/>
        <v>0</v>
      </c>
      <c r="O302" s="93">
        <f>SUM('3:4'!O302)</f>
        <v>0</v>
      </c>
      <c r="P302" s="93">
        <f>SUM('3:4'!P302)</f>
        <v>0</v>
      </c>
      <c r="Q302" s="93">
        <f>SUM('3:4'!Q302)</f>
        <v>0</v>
      </c>
      <c r="R302" s="93">
        <f>SUM('3:4'!R302)</f>
        <v>0</v>
      </c>
      <c r="S302" s="93">
        <f>SUM('3:4'!S302)</f>
        <v>0</v>
      </c>
      <c r="T302" s="93">
        <f>SUM('3:4'!T302)</f>
        <v>0</v>
      </c>
      <c r="U302" s="93">
        <f>SUM('3:4'!U302)</f>
        <v>0</v>
      </c>
      <c r="V302" s="206">
        <f t="shared" si="107"/>
        <v>0</v>
      </c>
      <c r="W302" s="33" t="str">
        <f t="shared" si="103"/>
        <v/>
      </c>
      <c r="X302" s="93">
        <f>SUM('3:4'!X302)</f>
        <v>0</v>
      </c>
      <c r="Y302" s="93">
        <f>SUM('3:4'!Y302)</f>
        <v>0</v>
      </c>
      <c r="Z302" s="93">
        <f>SUM('3:4'!Z302)</f>
        <v>0</v>
      </c>
      <c r="AA302" s="93">
        <f>SUM('3:4'!AA302)</f>
        <v>0</v>
      </c>
      <c r="AB302" s="73"/>
      <c r="AC302" s="54"/>
      <c r="AD302" s="370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99">
        <v>30101070</v>
      </c>
      <c r="B303" s="63" t="s">
        <v>97</v>
      </c>
      <c r="C303" s="365" t="s">
        <v>96</v>
      </c>
      <c r="D303" s="17">
        <v>5.03</v>
      </c>
      <c r="E303" s="17"/>
      <c r="F303" s="6"/>
      <c r="G303" s="93">
        <f>SUM('3:4'!G303)</f>
        <v>0</v>
      </c>
      <c r="H303" s="364">
        <f t="shared" si="108"/>
        <v>0</v>
      </c>
      <c r="I303" s="93">
        <f>SUM('3:4'!I303)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105"/>
        <v/>
      </c>
      <c r="N303" s="31">
        <f t="shared" si="106"/>
        <v>0</v>
      </c>
      <c r="O303" s="93">
        <f>SUM('3:4'!O303)</f>
        <v>0</v>
      </c>
      <c r="P303" s="93">
        <f>SUM('3:4'!P303)</f>
        <v>0</v>
      </c>
      <c r="Q303" s="93">
        <f>SUM('3:4'!Q303)</f>
        <v>0</v>
      </c>
      <c r="R303" s="93">
        <f>SUM('3:4'!R303)</f>
        <v>0</v>
      </c>
      <c r="S303" s="93">
        <f>SUM('3:4'!S303)</f>
        <v>0</v>
      </c>
      <c r="T303" s="93">
        <f>SUM('3:4'!T303)</f>
        <v>0</v>
      </c>
      <c r="U303" s="93">
        <f>SUM('3:4'!U303)</f>
        <v>0</v>
      </c>
      <c r="V303" s="206">
        <f t="shared" si="107"/>
        <v>0</v>
      </c>
      <c r="W303" s="33" t="str">
        <f t="shared" si="103"/>
        <v/>
      </c>
      <c r="X303" s="93">
        <f>SUM('3:4'!X303)</f>
        <v>0</v>
      </c>
      <c r="Y303" s="93">
        <f>SUM('3:4'!Y303)</f>
        <v>0</v>
      </c>
      <c r="Z303" s="93">
        <f>SUM('3:4'!Z303)</f>
        <v>0</v>
      </c>
      <c r="AA303" s="93">
        <f>SUM('3:4'!AA303)</f>
        <v>0</v>
      </c>
      <c r="AB303" s="73"/>
      <c r="AC303" s="54"/>
      <c r="AD303" s="370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99">
        <v>30101071</v>
      </c>
      <c r="B304" s="63" t="s">
        <v>97</v>
      </c>
      <c r="C304" s="365" t="s">
        <v>73</v>
      </c>
      <c r="D304" s="17">
        <v>5.03</v>
      </c>
      <c r="E304" s="17"/>
      <c r="F304" s="6"/>
      <c r="G304" s="93">
        <f>SUM('3:4'!G304)</f>
        <v>0</v>
      </c>
      <c r="H304" s="364">
        <f t="shared" si="108"/>
        <v>0</v>
      </c>
      <c r="I304" s="93">
        <f>SUM('3:4'!I304)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105"/>
        <v/>
      </c>
      <c r="N304" s="31">
        <f t="shared" si="106"/>
        <v>0</v>
      </c>
      <c r="O304" s="93">
        <f>SUM('3:4'!O304)</f>
        <v>0</v>
      </c>
      <c r="P304" s="93">
        <f>SUM('3:4'!P304)</f>
        <v>0</v>
      </c>
      <c r="Q304" s="93">
        <f>SUM('3:4'!Q304)</f>
        <v>0</v>
      </c>
      <c r="R304" s="93">
        <f>SUM('3:4'!R304)</f>
        <v>0</v>
      </c>
      <c r="S304" s="93">
        <f>SUM('3:4'!S304)</f>
        <v>0</v>
      </c>
      <c r="T304" s="93">
        <f>SUM('3:4'!T304)</f>
        <v>0</v>
      </c>
      <c r="U304" s="93">
        <f>SUM('3:4'!U304)</f>
        <v>0</v>
      </c>
      <c r="V304" s="206">
        <f t="shared" si="107"/>
        <v>0</v>
      </c>
      <c r="W304" s="33" t="str">
        <f t="shared" si="103"/>
        <v/>
      </c>
      <c r="X304" s="93">
        <f>SUM('3:4'!X304)</f>
        <v>0</v>
      </c>
      <c r="Y304" s="93">
        <f>SUM('3:4'!Y304)</f>
        <v>0</v>
      </c>
      <c r="Z304" s="93">
        <f>SUM('3:4'!Z304)</f>
        <v>0</v>
      </c>
      <c r="AA304" s="93">
        <f>SUM('3:4'!AA304)</f>
        <v>0</v>
      </c>
      <c r="AB304" s="73"/>
      <c r="AC304" s="54"/>
      <c r="AD304" s="370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300">
        <v>30100001</v>
      </c>
      <c r="B305" s="62" t="s">
        <v>98</v>
      </c>
      <c r="C305" s="16" t="s">
        <v>74</v>
      </c>
      <c r="D305" s="17">
        <v>5.0599999999999996</v>
      </c>
      <c r="E305" s="17"/>
      <c r="F305" s="6"/>
      <c r="G305" s="93">
        <f>SUM('3:4'!G305)</f>
        <v>0</v>
      </c>
      <c r="H305" s="364">
        <f t="shared" si="108"/>
        <v>0</v>
      </c>
      <c r="I305" s="93">
        <f>SUM('3:4'!I305)</f>
        <v>0</v>
      </c>
      <c r="J305" s="31" t="str">
        <f t="array" ref="J305">IF(ISERROR(G305/I305),"",G305/I305)</f>
        <v/>
      </c>
      <c r="K305" s="35">
        <f t="array" ref="K305">IF(ISERROR(G305/L305),"",G305/L305)</f>
        <v>0</v>
      </c>
      <c r="L305" s="87">
        <v>25</v>
      </c>
      <c r="M305" s="36">
        <f t="shared" si="105"/>
        <v>0</v>
      </c>
      <c r="N305" s="31">
        <f t="shared" si="106"/>
        <v>0</v>
      </c>
      <c r="O305" s="93">
        <f>SUM('3:4'!O305)</f>
        <v>0</v>
      </c>
      <c r="P305" s="93">
        <f>SUM('3:4'!P305)</f>
        <v>0</v>
      </c>
      <c r="Q305" s="93">
        <f>SUM('3:4'!Q305)</f>
        <v>0</v>
      </c>
      <c r="R305" s="93">
        <f>SUM('3:4'!R305)</f>
        <v>0</v>
      </c>
      <c r="S305" s="93">
        <f>SUM('3:4'!S305)</f>
        <v>0</v>
      </c>
      <c r="T305" s="93">
        <f>SUM('3:4'!T305)</f>
        <v>0</v>
      </c>
      <c r="U305" s="93">
        <f>SUM('3:4'!U305)</f>
        <v>0</v>
      </c>
      <c r="V305" s="206">
        <f t="shared" si="107"/>
        <v>0</v>
      </c>
      <c r="W305" s="33" t="str">
        <f t="shared" si="103"/>
        <v/>
      </c>
      <c r="X305" s="93">
        <f>SUM('3:4'!X305)</f>
        <v>0</v>
      </c>
      <c r="Y305" s="93">
        <f>SUM('3:4'!Y305)</f>
        <v>0</v>
      </c>
      <c r="Z305" s="93">
        <f>SUM('3:4'!Z305)</f>
        <v>0</v>
      </c>
      <c r="AA305" s="93">
        <f>SUM('3:4'!AA305)</f>
        <v>0</v>
      </c>
      <c r="AB305" s="73"/>
      <c r="AC305" s="54"/>
      <c r="AD305" s="370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300">
        <v>30100002</v>
      </c>
      <c r="B306" s="62" t="s">
        <v>98</v>
      </c>
      <c r="C306" s="16" t="s">
        <v>94</v>
      </c>
      <c r="D306" s="17">
        <v>5.0599999999999996</v>
      </c>
      <c r="E306" s="17"/>
      <c r="F306" s="6"/>
      <c r="G306" s="93">
        <f>SUM('3:4'!G306)</f>
        <v>0</v>
      </c>
      <c r="H306" s="364">
        <f t="shared" si="108"/>
        <v>0</v>
      </c>
      <c r="I306" s="93">
        <f>SUM('3:4'!I306)</f>
        <v>0</v>
      </c>
      <c r="J306" s="31" t="str">
        <f t="array" ref="J306">IF(ISERROR(G306/I306),"",G306/I306)</f>
        <v/>
      </c>
      <c r="K306" s="35">
        <f t="array" ref="K306">IF(ISERROR(G306/L306),"",G306/L306)</f>
        <v>0</v>
      </c>
      <c r="L306" s="87">
        <v>25</v>
      </c>
      <c r="M306" s="36">
        <f t="shared" si="105"/>
        <v>0</v>
      </c>
      <c r="N306" s="31">
        <f t="shared" si="106"/>
        <v>0</v>
      </c>
      <c r="O306" s="93">
        <f>SUM('3:4'!O306)</f>
        <v>0</v>
      </c>
      <c r="P306" s="93">
        <f>SUM('3:4'!P306)</f>
        <v>0</v>
      </c>
      <c r="Q306" s="93">
        <f>SUM('3:4'!Q306)</f>
        <v>0</v>
      </c>
      <c r="R306" s="93">
        <f>SUM('3:4'!R306)</f>
        <v>0</v>
      </c>
      <c r="S306" s="93">
        <f>SUM('3:4'!S306)</f>
        <v>0</v>
      </c>
      <c r="T306" s="93">
        <f>SUM('3:4'!T306)</f>
        <v>0</v>
      </c>
      <c r="U306" s="93">
        <f>SUM('3:4'!U306)</f>
        <v>0</v>
      </c>
      <c r="V306" s="206">
        <f t="shared" si="107"/>
        <v>0</v>
      </c>
      <c r="W306" s="33" t="str">
        <f t="shared" si="103"/>
        <v/>
      </c>
      <c r="X306" s="93">
        <f>SUM('3:4'!X306)</f>
        <v>0</v>
      </c>
      <c r="Y306" s="93">
        <f>SUM('3:4'!Y306)</f>
        <v>0</v>
      </c>
      <c r="Z306" s="93">
        <f>SUM('3:4'!Z306)</f>
        <v>0</v>
      </c>
      <c r="AA306" s="93">
        <f>SUM('3:4'!AA306)</f>
        <v>0</v>
      </c>
      <c r="AB306" s="73"/>
      <c r="AC306" s="54"/>
      <c r="AD306" s="370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725" t="s">
        <v>99</v>
      </c>
      <c r="B307" s="726"/>
      <c r="C307" s="359" t="s">
        <v>71</v>
      </c>
      <c r="D307" s="20"/>
      <c r="E307" s="20"/>
      <c r="F307" s="32"/>
      <c r="G307" s="99">
        <f>SUM(G292:G306)</f>
        <v>0</v>
      </c>
      <c r="H307" s="30">
        <f>SUM(H292:H306)</f>
        <v>0</v>
      </c>
      <c r="I307" s="30">
        <f>SUM(I292:I306)</f>
        <v>0</v>
      </c>
      <c r="J307" s="31" t="str">
        <f t="array" ref="J307">IF(ISERROR(G307/I307),"",G307/I307)</f>
        <v/>
      </c>
      <c r="K307" s="30">
        <f>SUM(K292:K306)</f>
        <v>0</v>
      </c>
      <c r="L307" s="30"/>
      <c r="M307" s="89">
        <f t="shared" ref="M307:V307" si="109">SUM(M292:M306)</f>
        <v>0</v>
      </c>
      <c r="N307" s="30">
        <f t="shared" si="109"/>
        <v>0</v>
      </c>
      <c r="O307" s="30">
        <f t="shared" si="109"/>
        <v>0</v>
      </c>
      <c r="P307" s="30">
        <f t="shared" si="109"/>
        <v>0</v>
      </c>
      <c r="Q307" s="30">
        <f t="shared" si="109"/>
        <v>0</v>
      </c>
      <c r="R307" s="30">
        <f t="shared" si="109"/>
        <v>0</v>
      </c>
      <c r="S307" s="30">
        <f t="shared" si="109"/>
        <v>0</v>
      </c>
      <c r="T307" s="30">
        <f t="shared" si="109"/>
        <v>0</v>
      </c>
      <c r="U307" s="30">
        <f t="shared" si="109"/>
        <v>0</v>
      </c>
      <c r="V307" s="208">
        <f t="shared" si="109"/>
        <v>0</v>
      </c>
      <c r="W307" s="33" t="str">
        <f t="shared" si="103"/>
        <v/>
      </c>
      <c r="X307" s="94">
        <f>SUM(X292:X306)</f>
        <v>0</v>
      </c>
      <c r="Y307" s="94">
        <f>SUM(Y292:Y306)</f>
        <v>0</v>
      </c>
      <c r="Z307" s="94">
        <f>SUM(Z292:Z306)</f>
        <v>0</v>
      </c>
      <c r="AA307" s="94">
        <f>SUM(AA292:AA306)</f>
        <v>0</v>
      </c>
      <c r="AB307" s="75"/>
      <c r="AC307" s="70"/>
      <c r="AD307" s="370"/>
      <c r="AE307" s="74"/>
      <c r="AF307" s="74"/>
      <c r="AG307" s="74"/>
      <c r="AH307" s="7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300">
        <v>30400025</v>
      </c>
      <c r="B308" s="62" t="s">
        <v>100</v>
      </c>
      <c r="C308" s="16" t="s">
        <v>53</v>
      </c>
      <c r="D308" s="17">
        <v>5.04</v>
      </c>
      <c r="E308" s="17"/>
      <c r="F308" s="6"/>
      <c r="G308" s="93">
        <f>SUM('3:4'!G308)</f>
        <v>498</v>
      </c>
      <c r="H308" s="364">
        <f t="shared" ref="H308:H316" si="110">D308*G308</f>
        <v>2509.92</v>
      </c>
      <c r="I308" s="93">
        <f>SUM('3:4'!I308)</f>
        <v>22</v>
      </c>
      <c r="J308" s="31">
        <f t="array" ref="J308">IF(ISERROR(G308/I308),"",G308/I308)</f>
        <v>22.636363636363637</v>
      </c>
      <c r="K308" s="35">
        <f t="array" ref="K308">IF(ISERROR(G308/L308),"",G308/L308)</f>
        <v>22.636363636363637</v>
      </c>
      <c r="L308" s="87">
        <v>22</v>
      </c>
      <c r="M308" s="36">
        <f t="shared" ref="M308:M312" si="111">IF(ISERROR(I308-K308),"",I308-K308)</f>
        <v>-0.63636363636363669</v>
      </c>
      <c r="N308" s="31">
        <f t="shared" ref="N308:N312" si="112">SUM(O308:U308)</f>
        <v>0</v>
      </c>
      <c r="O308" s="93">
        <f>SUM('3:4'!O308)</f>
        <v>0</v>
      </c>
      <c r="P308" s="93">
        <f>SUM('3:4'!P308)</f>
        <v>0</v>
      </c>
      <c r="Q308" s="93">
        <f>SUM('3:4'!Q308)</f>
        <v>0</v>
      </c>
      <c r="R308" s="93">
        <f>SUM('3:4'!R308)</f>
        <v>0</v>
      </c>
      <c r="S308" s="93">
        <f>SUM('3:4'!S308)</f>
        <v>0</v>
      </c>
      <c r="T308" s="93">
        <f>SUM('3:4'!T308)</f>
        <v>0</v>
      </c>
      <c r="U308" s="93">
        <f>SUM('3:4'!U308)</f>
        <v>0</v>
      </c>
      <c r="V308" s="206">
        <f t="shared" ref="V308:V312" si="113">SUM(X308:AA308)</f>
        <v>0</v>
      </c>
      <c r="W308" s="33">
        <f t="shared" si="103"/>
        <v>0</v>
      </c>
      <c r="X308" s="93">
        <f>SUM('3:4'!X308)</f>
        <v>0</v>
      </c>
      <c r="Y308" s="93">
        <f>SUM('3:4'!Y308)</f>
        <v>0</v>
      </c>
      <c r="Z308" s="93">
        <f>SUM('3:4'!Z308)</f>
        <v>0</v>
      </c>
      <c r="AA308" s="93">
        <f>SUM('3:4'!AA308)</f>
        <v>0</v>
      </c>
      <c r="AB308" s="73"/>
      <c r="AC308" s="54"/>
      <c r="AD308" s="370"/>
      <c r="AE308" s="54"/>
      <c r="AF308" s="54"/>
      <c r="AG308" s="54"/>
      <c r="AH308" s="5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300">
        <v>30400023</v>
      </c>
      <c r="B309" s="62" t="s">
        <v>100</v>
      </c>
      <c r="C309" s="16" t="s">
        <v>60</v>
      </c>
      <c r="D309" s="17">
        <v>5.04</v>
      </c>
      <c r="E309" s="17"/>
      <c r="F309" s="6"/>
      <c r="G309" s="93">
        <f>SUM('3:4'!G309)</f>
        <v>0</v>
      </c>
      <c r="H309" s="364">
        <f t="shared" si="110"/>
        <v>0</v>
      </c>
      <c r="I309" s="93">
        <f>SUM('3:4'!I309)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si="111"/>
        <v>0</v>
      </c>
      <c r="N309" s="31">
        <f t="shared" si="112"/>
        <v>0</v>
      </c>
      <c r="O309" s="93">
        <f>SUM('3:4'!O309)</f>
        <v>0</v>
      </c>
      <c r="P309" s="93">
        <f>SUM('3:4'!P309)</f>
        <v>0</v>
      </c>
      <c r="Q309" s="93">
        <f>SUM('3:4'!Q309)</f>
        <v>0</v>
      </c>
      <c r="R309" s="93">
        <f>SUM('3:4'!R309)</f>
        <v>0</v>
      </c>
      <c r="S309" s="93">
        <f>SUM('3:4'!S309)</f>
        <v>0</v>
      </c>
      <c r="T309" s="93">
        <f>SUM('3:4'!T309)</f>
        <v>0</v>
      </c>
      <c r="U309" s="93">
        <f>SUM('3:4'!U309)</f>
        <v>0</v>
      </c>
      <c r="V309" s="206">
        <f t="shared" si="113"/>
        <v>0</v>
      </c>
      <c r="W309" s="33" t="str">
        <f t="shared" si="103"/>
        <v/>
      </c>
      <c r="X309" s="93">
        <f>SUM('3:4'!X309)</f>
        <v>0</v>
      </c>
      <c r="Y309" s="93">
        <f>SUM('3:4'!Y309)</f>
        <v>0</v>
      </c>
      <c r="Z309" s="93">
        <f>SUM('3:4'!Z309)</f>
        <v>0</v>
      </c>
      <c r="AA309" s="93">
        <f>SUM('3:4'!AA309)</f>
        <v>0</v>
      </c>
      <c r="AB309" s="73"/>
      <c r="AC309" s="54"/>
      <c r="AD309" s="370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300">
        <v>30400024</v>
      </c>
      <c r="B310" s="62" t="s">
        <v>100</v>
      </c>
      <c r="C310" s="16" t="s">
        <v>74</v>
      </c>
      <c r="D310" s="17">
        <v>5.04</v>
      </c>
      <c r="E310" s="17"/>
      <c r="F310" s="6"/>
      <c r="G310" s="93">
        <f>SUM('3:4'!G310)</f>
        <v>410</v>
      </c>
      <c r="H310" s="364">
        <f t="shared" si="110"/>
        <v>2066.4</v>
      </c>
      <c r="I310" s="93">
        <f>SUM('3:4'!I310)</f>
        <v>24</v>
      </c>
      <c r="J310" s="31">
        <f t="array" ref="J310">IF(ISERROR(G310/I310),"",G310/I310)</f>
        <v>17.083333333333332</v>
      </c>
      <c r="K310" s="35">
        <f t="array" ref="K310">IF(ISERROR(G310/L310),"",G310/L310)</f>
        <v>18.636363636363637</v>
      </c>
      <c r="L310" s="87">
        <v>22</v>
      </c>
      <c r="M310" s="36">
        <f t="shared" si="111"/>
        <v>5.3636363636363633</v>
      </c>
      <c r="N310" s="31">
        <f t="shared" si="112"/>
        <v>0</v>
      </c>
      <c r="O310" s="93">
        <f>SUM('3:4'!O310)</f>
        <v>0</v>
      </c>
      <c r="P310" s="93">
        <f>SUM('3:4'!P310)</f>
        <v>0</v>
      </c>
      <c r="Q310" s="93">
        <f>SUM('3:4'!Q310)</f>
        <v>0</v>
      </c>
      <c r="R310" s="93">
        <f>SUM('3:4'!R310)</f>
        <v>0</v>
      </c>
      <c r="S310" s="93">
        <f>SUM('3:4'!S310)</f>
        <v>0</v>
      </c>
      <c r="T310" s="93">
        <f>SUM('3:4'!T310)</f>
        <v>0</v>
      </c>
      <c r="U310" s="93">
        <f>SUM('3:4'!U310)</f>
        <v>0</v>
      </c>
      <c r="V310" s="206">
        <f t="shared" si="113"/>
        <v>0</v>
      </c>
      <c r="W310" s="33">
        <f t="shared" si="103"/>
        <v>0</v>
      </c>
      <c r="X310" s="93">
        <f>SUM('3:4'!X310)</f>
        <v>0</v>
      </c>
      <c r="Y310" s="93">
        <f>SUM('3:4'!Y310)</f>
        <v>0</v>
      </c>
      <c r="Z310" s="93">
        <f>SUM('3:4'!Z310)</f>
        <v>0</v>
      </c>
      <c r="AA310" s="93">
        <f>SUM('3:4'!AA310)</f>
        <v>0</v>
      </c>
      <c r="AB310" s="73"/>
      <c r="AC310" s="54"/>
      <c r="AD310" s="370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300"/>
      <c r="B311" s="62" t="s">
        <v>100</v>
      </c>
      <c r="C311" s="16" t="s">
        <v>66</v>
      </c>
      <c r="D311" s="17">
        <v>5.04</v>
      </c>
      <c r="E311" s="17"/>
      <c r="F311" s="6"/>
      <c r="G311" s="93">
        <f>SUM('3:4'!G311)</f>
        <v>0</v>
      </c>
      <c r="H311" s="364">
        <f t="shared" si="110"/>
        <v>0</v>
      </c>
      <c r="I311" s="93">
        <f>SUM('3:4'!I311)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111"/>
        <v>0</v>
      </c>
      <c r="N311" s="31">
        <f t="shared" si="112"/>
        <v>0</v>
      </c>
      <c r="O311" s="93">
        <f>SUM('3:4'!O311)</f>
        <v>0</v>
      </c>
      <c r="P311" s="93">
        <f>SUM('3:4'!P311)</f>
        <v>0</v>
      </c>
      <c r="Q311" s="93">
        <f>SUM('3:4'!Q311)</f>
        <v>0</v>
      </c>
      <c r="R311" s="93">
        <f>SUM('3:4'!R311)</f>
        <v>0</v>
      </c>
      <c r="S311" s="93">
        <f>SUM('3:4'!S311)</f>
        <v>0</v>
      </c>
      <c r="T311" s="93">
        <f>SUM('3:4'!T311)</f>
        <v>0</v>
      </c>
      <c r="U311" s="93">
        <f>SUM('3:4'!U311)</f>
        <v>0</v>
      </c>
      <c r="V311" s="206">
        <f t="shared" si="113"/>
        <v>0</v>
      </c>
      <c r="W311" s="33" t="str">
        <f t="shared" si="103"/>
        <v/>
      </c>
      <c r="X311" s="93">
        <f>SUM('3:4'!X311)</f>
        <v>0</v>
      </c>
      <c r="Y311" s="93">
        <f>SUM('3:4'!Y311)</f>
        <v>0</v>
      </c>
      <c r="Z311" s="93">
        <f>SUM('3:4'!Z311)</f>
        <v>0</v>
      </c>
      <c r="AA311" s="93">
        <f>SUM('3:4'!AA311)</f>
        <v>0</v>
      </c>
      <c r="AB311" s="73"/>
      <c r="AC311" s="54"/>
      <c r="AD311" s="370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300"/>
      <c r="B312" s="62" t="s">
        <v>100</v>
      </c>
      <c r="C312" s="16" t="s">
        <v>101</v>
      </c>
      <c r="D312" s="17">
        <v>5.04</v>
      </c>
      <c r="E312" s="17"/>
      <c r="F312" s="6"/>
      <c r="G312" s="93">
        <f>SUM('3:4'!G312)</f>
        <v>0</v>
      </c>
      <c r="H312" s="364">
        <f t="shared" si="110"/>
        <v>0</v>
      </c>
      <c r="I312" s="93">
        <f>SUM('3:4'!I312)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111"/>
        <v>0</v>
      </c>
      <c r="N312" s="31">
        <f t="shared" si="112"/>
        <v>0</v>
      </c>
      <c r="O312" s="93">
        <f>SUM('3:4'!O312)</f>
        <v>0</v>
      </c>
      <c r="P312" s="93">
        <f>SUM('3:4'!P312)</f>
        <v>0</v>
      </c>
      <c r="Q312" s="93">
        <f>SUM('3:4'!Q312)</f>
        <v>0</v>
      </c>
      <c r="R312" s="93">
        <f>SUM('3:4'!R312)</f>
        <v>0</v>
      </c>
      <c r="S312" s="93">
        <f>SUM('3:4'!S312)</f>
        <v>0</v>
      </c>
      <c r="T312" s="93">
        <f>SUM('3:4'!T312)</f>
        <v>0</v>
      </c>
      <c r="U312" s="93">
        <f>SUM('3:4'!U312)</f>
        <v>0</v>
      </c>
      <c r="V312" s="206">
        <f t="shared" si="113"/>
        <v>0</v>
      </c>
      <c r="W312" s="33" t="str">
        <f t="shared" si="103"/>
        <v/>
      </c>
      <c r="X312" s="93">
        <f>SUM('3:4'!X312)</f>
        <v>0</v>
      </c>
      <c r="Y312" s="93">
        <f>SUM('3:4'!Y312)</f>
        <v>0</v>
      </c>
      <c r="Z312" s="93">
        <f>SUM('3:4'!Z312)</f>
        <v>0</v>
      </c>
      <c r="AA312" s="93">
        <f>SUM('3:4'!AA312)</f>
        <v>0</v>
      </c>
      <c r="AB312" s="73"/>
      <c r="AC312" s="54"/>
      <c r="AD312" s="370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300">
        <v>30400019</v>
      </c>
      <c r="B313" s="192" t="s">
        <v>439</v>
      </c>
      <c r="C313" s="187" t="s">
        <v>441</v>
      </c>
      <c r="D313" s="17">
        <v>5.03</v>
      </c>
      <c r="E313" s="17"/>
      <c r="F313" s="6"/>
      <c r="G313" s="93">
        <f>SUM('3:4'!G313)</f>
        <v>0</v>
      </c>
      <c r="H313" s="481">
        <f t="shared" si="110"/>
        <v>0</v>
      </c>
      <c r="I313" s="93">
        <f>SUM('3:4'!I313)</f>
        <v>0</v>
      </c>
      <c r="J313" s="31"/>
      <c r="K313" s="35"/>
      <c r="L313" s="87">
        <v>13.5</v>
      </c>
      <c r="M313" s="36"/>
      <c r="N313" s="31"/>
      <c r="O313" s="93"/>
      <c r="P313" s="93"/>
      <c r="Q313" s="93"/>
      <c r="R313" s="93"/>
      <c r="S313" s="93"/>
      <c r="T313" s="93"/>
      <c r="U313" s="93"/>
      <c r="V313" s="206"/>
      <c r="W313" s="33"/>
      <c r="X313" s="93"/>
      <c r="Y313" s="93"/>
      <c r="Z313" s="93"/>
      <c r="AA313" s="93"/>
      <c r="AB313" s="73"/>
      <c r="AC313" s="54"/>
      <c r="AD313" s="370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300">
        <v>30400020</v>
      </c>
      <c r="B314" s="192" t="s">
        <v>439</v>
      </c>
      <c r="C314" s="187" t="s">
        <v>523</v>
      </c>
      <c r="D314" s="17">
        <v>5.03</v>
      </c>
      <c r="E314" s="17"/>
      <c r="F314" s="6"/>
      <c r="G314" s="93"/>
      <c r="H314" s="481">
        <f t="shared" si="110"/>
        <v>0</v>
      </c>
      <c r="I314" s="93"/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6"/>
      <c r="W314" s="33"/>
      <c r="X314" s="93"/>
      <c r="Y314" s="93"/>
      <c r="Z314" s="93"/>
      <c r="AA314" s="93"/>
      <c r="AB314" s="73"/>
      <c r="AC314" s="54"/>
      <c r="AD314" s="482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300">
        <v>30400021</v>
      </c>
      <c r="B315" s="192" t="s">
        <v>439</v>
      </c>
      <c r="C315" s="187" t="s">
        <v>525</v>
      </c>
      <c r="D315" s="17">
        <v>5.03</v>
      </c>
      <c r="E315" s="17"/>
      <c r="F315" s="6"/>
      <c r="G315" s="93"/>
      <c r="H315" s="508">
        <f t="shared" si="110"/>
        <v>0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6"/>
      <c r="W315" s="33"/>
      <c r="X315" s="93"/>
      <c r="Y315" s="93"/>
      <c r="Z315" s="93"/>
      <c r="AA315" s="93"/>
      <c r="AB315" s="73"/>
      <c r="AC315" s="54"/>
      <c r="AD315" s="509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300">
        <v>30400022</v>
      </c>
      <c r="B316" s="62" t="s">
        <v>100</v>
      </c>
      <c r="C316" s="16" t="s">
        <v>55</v>
      </c>
      <c r="D316" s="17">
        <v>5.04</v>
      </c>
      <c r="E316" s="17"/>
      <c r="F316" s="6"/>
      <c r="G316" s="93">
        <f>SUM('3:4'!G316)</f>
        <v>808</v>
      </c>
      <c r="H316" s="364">
        <f t="shared" si="110"/>
        <v>4072.32</v>
      </c>
      <c r="I316" s="93">
        <f>SUM('3:4'!I316)</f>
        <v>49</v>
      </c>
      <c r="J316" s="31">
        <f t="array" ref="J316">IF(ISERROR(G316/I316),"",G316/I316)</f>
        <v>16.489795918367346</v>
      </c>
      <c r="K316" s="35">
        <f t="array" ref="K316">IF(ISERROR(G316/L316),"",G316/L316)</f>
        <v>36.727272727272727</v>
      </c>
      <c r="L316" s="87">
        <v>22</v>
      </c>
      <c r="M316" s="36">
        <f t="shared" ref="M316" si="114">IF(ISERROR(I316-K316),"",I316-K316)</f>
        <v>12.272727272727273</v>
      </c>
      <c r="N316" s="31">
        <f t="shared" ref="N316" si="115">SUM(O316:U316)</f>
        <v>0</v>
      </c>
      <c r="O316" s="93">
        <f>SUM('3:4'!O316)</f>
        <v>0</v>
      </c>
      <c r="P316" s="93">
        <f>SUM('3:4'!P316)</f>
        <v>0</v>
      </c>
      <c r="Q316" s="93">
        <f>SUM('3:4'!Q316)</f>
        <v>0</v>
      </c>
      <c r="R316" s="93">
        <f>SUM('3:4'!R316)</f>
        <v>0</v>
      </c>
      <c r="S316" s="93">
        <f>SUM('3:4'!S316)</f>
        <v>0</v>
      </c>
      <c r="T316" s="93">
        <f>SUM('3:4'!T316)</f>
        <v>0</v>
      </c>
      <c r="U316" s="93">
        <f>SUM('3:4'!U316)</f>
        <v>0</v>
      </c>
      <c r="V316" s="206">
        <f t="shared" ref="V316" si="116">SUM(X316:AA316)</f>
        <v>0</v>
      </c>
      <c r="W316" s="33">
        <f t="shared" ref="W316:W321" si="117">IF(ISERROR(V316/G316),"",V316/G316)</f>
        <v>0</v>
      </c>
      <c r="X316" s="93">
        <f>SUM('3:4'!X316)</f>
        <v>0</v>
      </c>
      <c r="Y316" s="93">
        <f>SUM('3:4'!Y316)</f>
        <v>0</v>
      </c>
      <c r="Z316" s="93">
        <f>SUM('3:4'!Z316)</f>
        <v>0</v>
      </c>
      <c r="AA316" s="93">
        <f>SUM('3:4'!AA316)</f>
        <v>0</v>
      </c>
      <c r="AB316" s="73"/>
      <c r="AC316" s="54"/>
      <c r="AD316" s="370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725" t="s">
        <v>102</v>
      </c>
      <c r="B317" s="726"/>
      <c r="C317" s="359" t="s">
        <v>71</v>
      </c>
      <c r="D317" s="20"/>
      <c r="E317" s="20"/>
      <c r="F317" s="32"/>
      <c r="G317" s="103">
        <f>SUM(G308:G316)</f>
        <v>1716</v>
      </c>
      <c r="H317" s="30">
        <f>SUM(H308:H316)</f>
        <v>8648.64</v>
      </c>
      <c r="I317" s="30">
        <f>SUM(I308:I316)</f>
        <v>95</v>
      </c>
      <c r="J317" s="31">
        <f t="array" ref="J317">IF(ISERROR(G317/I317),"",G317/I317)</f>
        <v>18.063157894736843</v>
      </c>
      <c r="K317" s="30">
        <f>SUM(K308:K316)</f>
        <v>78</v>
      </c>
      <c r="L317" s="98"/>
      <c r="M317" s="89">
        <f>SUM(M308:M316)</f>
        <v>17</v>
      </c>
      <c r="N317" s="30">
        <f>SUM(N308:N316)</f>
        <v>0</v>
      </c>
      <c r="O317" s="91">
        <f>SUM(O308:O316)</f>
        <v>0</v>
      </c>
      <c r="P317" s="91">
        <f>SUM(P308:P316)</f>
        <v>0</v>
      </c>
      <c r="Q317" s="91">
        <f>SUM(Q308:Q316)</f>
        <v>0</v>
      </c>
      <c r="R317" s="91"/>
      <c r="S317" s="92">
        <f>SUM(S308:S316)</f>
        <v>0</v>
      </c>
      <c r="T317" s="91">
        <f>SUM(T308:T316)</f>
        <v>0</v>
      </c>
      <c r="U317" s="91">
        <f>SUM(U308:U316)</f>
        <v>0</v>
      </c>
      <c r="V317" s="206">
        <f>SUM(V308:V316)</f>
        <v>0</v>
      </c>
      <c r="W317" s="33">
        <f t="shared" si="117"/>
        <v>0</v>
      </c>
      <c r="X317" s="92">
        <f>SUM(X308:X316)</f>
        <v>0</v>
      </c>
      <c r="Y317" s="92">
        <f>SUM(Y308:Y316)</f>
        <v>0</v>
      </c>
      <c r="Z317" s="92">
        <f>SUM(Z308:Z316)</f>
        <v>0</v>
      </c>
      <c r="AA317" s="92">
        <f>SUM(AA308:AA316)</f>
        <v>0</v>
      </c>
      <c r="AB317" s="75"/>
      <c r="AC317" s="70"/>
      <c r="AD317" s="370"/>
      <c r="AE317" s="74"/>
      <c r="AF317" s="74"/>
      <c r="AG317" s="74"/>
      <c r="AH317" s="7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299">
        <v>30700013</v>
      </c>
      <c r="B318" s="64" t="s">
        <v>103</v>
      </c>
      <c r="C318" s="358"/>
      <c r="D318" s="17">
        <v>3.65</v>
      </c>
      <c r="E318" s="17"/>
      <c r="F318" s="53"/>
      <c r="G318" s="93">
        <f>SUM('3:4'!G318)</f>
        <v>0</v>
      </c>
      <c r="H318" s="364">
        <f>D318*G318</f>
        <v>0</v>
      </c>
      <c r="I318" s="93">
        <f>SUM('3:4'!I318)</f>
        <v>0</v>
      </c>
      <c r="J318" s="31" t="str">
        <f t="array" ref="J318">IF(ISERROR(G318/I318),"",G318/I318)</f>
        <v/>
      </c>
      <c r="K318" s="364">
        <f t="array" ref="K318">IF(ISERROR(G318/L318),"",G318/L318)</f>
        <v>0</v>
      </c>
      <c r="L318" s="87">
        <v>5</v>
      </c>
      <c r="M318" s="36">
        <f t="shared" ref="M318:M321" si="118">IF(ISERROR(I318-K318),"",I318-K318)</f>
        <v>0</v>
      </c>
      <c r="N318" s="31">
        <f t="shared" ref="N318:N321" si="119">SUM(O318:U318)</f>
        <v>0</v>
      </c>
      <c r="O318" s="93">
        <f>SUM('3:4'!O318)</f>
        <v>0</v>
      </c>
      <c r="P318" s="93">
        <f>SUM('3:4'!P318)</f>
        <v>0</v>
      </c>
      <c r="Q318" s="93">
        <f>SUM('3:4'!Q318)</f>
        <v>0</v>
      </c>
      <c r="R318" s="93">
        <f>SUM('3:4'!R318)</f>
        <v>0</v>
      </c>
      <c r="S318" s="93">
        <f>SUM('3:4'!S318)</f>
        <v>0</v>
      </c>
      <c r="T318" s="93">
        <f>SUM('3:4'!T318)</f>
        <v>0</v>
      </c>
      <c r="U318" s="93">
        <f>SUM('3:4'!U318)</f>
        <v>0</v>
      </c>
      <c r="V318" s="206">
        <f t="shared" ref="V318:V321" si="120">SUM(X318:AA318)</f>
        <v>0</v>
      </c>
      <c r="W318" s="33" t="str">
        <f t="shared" si="117"/>
        <v/>
      </c>
      <c r="X318" s="93">
        <f>SUM('3:4'!X318)</f>
        <v>0</v>
      </c>
      <c r="Y318" s="93">
        <f>SUM('3:4'!Y318)</f>
        <v>0</v>
      </c>
      <c r="Z318" s="93">
        <f>SUM('3:4'!Z318)</f>
        <v>0</v>
      </c>
      <c r="AA318" s="93">
        <f>SUM('3:4'!AA318)</f>
        <v>0</v>
      </c>
      <c r="AB318" s="73"/>
      <c r="AC318" s="54"/>
      <c r="AD318" s="370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299">
        <v>30700014</v>
      </c>
      <c r="B319" s="64" t="s">
        <v>0</v>
      </c>
      <c r="C319" s="358"/>
      <c r="D319" s="17">
        <v>6.58</v>
      </c>
      <c r="E319" s="17"/>
      <c r="F319" s="6"/>
      <c r="G319" s="93">
        <f>SUM('3:4'!G319)</f>
        <v>0</v>
      </c>
      <c r="H319" s="364">
        <f t="shared" ref="H319:H331" si="121">D319*G319</f>
        <v>0</v>
      </c>
      <c r="I319" s="93">
        <f>SUM('3:4'!I319)</f>
        <v>0</v>
      </c>
      <c r="J319" s="31" t="str">
        <f t="array" ref="J319">IF(ISERROR(G319/I319),"",G319/I319)</f>
        <v/>
      </c>
      <c r="K319" s="35">
        <f t="array" ref="K319">IF(ISERROR(G319/L319),"",G319/L319)</f>
        <v>0</v>
      </c>
      <c r="L319" s="87">
        <v>5</v>
      </c>
      <c r="M319" s="36">
        <f t="shared" si="118"/>
        <v>0</v>
      </c>
      <c r="N319" s="31">
        <f t="shared" si="119"/>
        <v>0</v>
      </c>
      <c r="O319" s="93">
        <f>SUM('3:4'!O319)</f>
        <v>0</v>
      </c>
      <c r="P319" s="93">
        <f>SUM('3:4'!P319)</f>
        <v>0</v>
      </c>
      <c r="Q319" s="93">
        <f>SUM('3:4'!Q319)</f>
        <v>0</v>
      </c>
      <c r="R319" s="93">
        <f>SUM('3:4'!R319)</f>
        <v>0</v>
      </c>
      <c r="S319" s="93">
        <f>SUM('3:4'!S319)</f>
        <v>0</v>
      </c>
      <c r="T319" s="93">
        <f>SUM('3:4'!T319)</f>
        <v>0</v>
      </c>
      <c r="U319" s="93">
        <f>SUM('3:4'!U319)</f>
        <v>0</v>
      </c>
      <c r="V319" s="206">
        <f t="shared" si="120"/>
        <v>0</v>
      </c>
      <c r="W319" s="33" t="str">
        <f t="shared" si="117"/>
        <v/>
      </c>
      <c r="X319" s="93">
        <f>SUM('3:4'!X319)</f>
        <v>0</v>
      </c>
      <c r="Y319" s="93">
        <f>SUM('3:4'!Y319)</f>
        <v>0</v>
      </c>
      <c r="Z319" s="93">
        <f>SUM('3:4'!Z319)</f>
        <v>0</v>
      </c>
      <c r="AA319" s="93">
        <f>SUM('3:4'!AA319)</f>
        <v>0</v>
      </c>
      <c r="AB319" s="73"/>
      <c r="AC319" s="54"/>
      <c r="AD319" s="370"/>
      <c r="AE319" s="54"/>
      <c r="AF319" s="54"/>
      <c r="AG319" s="54"/>
      <c r="AH319" s="5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99">
        <v>30700016</v>
      </c>
      <c r="B320" s="64" t="s">
        <v>1</v>
      </c>
      <c r="C320" s="358"/>
      <c r="D320" s="17">
        <v>7.8</v>
      </c>
      <c r="E320" s="17"/>
      <c r="F320" s="6"/>
      <c r="G320" s="93">
        <f>SUM('3:4'!G320)</f>
        <v>278</v>
      </c>
      <c r="H320" s="364">
        <f t="shared" si="121"/>
        <v>2168.4</v>
      </c>
      <c r="I320" s="93">
        <f>SUM('3:4'!I320)</f>
        <v>134.5</v>
      </c>
      <c r="J320" s="31">
        <f t="array" ref="J320">IF(ISERROR(G320/I320),"",G320/I320)</f>
        <v>2.0669144981412639</v>
      </c>
      <c r="K320" s="35">
        <f t="array" ref="K320">IF(ISERROR(G320/L320),"",G320/L320)</f>
        <v>60.434782608695656</v>
      </c>
      <c r="L320" s="87">
        <v>4.5999999999999996</v>
      </c>
      <c r="M320" s="36">
        <f t="shared" si="118"/>
        <v>74.065217391304344</v>
      </c>
      <c r="N320" s="31">
        <f t="shared" si="119"/>
        <v>0</v>
      </c>
      <c r="O320" s="93">
        <f>SUM('3:4'!O320)</f>
        <v>0</v>
      </c>
      <c r="P320" s="93">
        <f>SUM('3:4'!P320)</f>
        <v>0</v>
      </c>
      <c r="Q320" s="93">
        <f>SUM('3:4'!Q320)</f>
        <v>0</v>
      </c>
      <c r="R320" s="93">
        <f>SUM('3:4'!R320)</f>
        <v>0</v>
      </c>
      <c r="S320" s="93">
        <f>SUM('3:4'!S320)</f>
        <v>0</v>
      </c>
      <c r="T320" s="93">
        <f>SUM('3:4'!T320)</f>
        <v>0</v>
      </c>
      <c r="U320" s="93">
        <f>SUM('3:4'!U320)</f>
        <v>0</v>
      </c>
      <c r="V320" s="206">
        <f t="shared" si="120"/>
        <v>0</v>
      </c>
      <c r="W320" s="33">
        <f t="shared" si="117"/>
        <v>0</v>
      </c>
      <c r="X320" s="93">
        <f>SUM('3:4'!X320)</f>
        <v>0</v>
      </c>
      <c r="Y320" s="93">
        <f>SUM('3:4'!Y320)</f>
        <v>0</v>
      </c>
      <c r="Z320" s="93">
        <f>SUM('3:4'!Z320)</f>
        <v>0</v>
      </c>
      <c r="AA320" s="93">
        <f>SUM('3:4'!AA320)</f>
        <v>0</v>
      </c>
      <c r="AB320" s="73"/>
      <c r="AC320" s="54"/>
      <c r="AD320" s="370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99">
        <v>30700017</v>
      </c>
      <c r="B321" s="64" t="s">
        <v>2</v>
      </c>
      <c r="C321" s="358"/>
      <c r="D321" s="17">
        <v>4.4000000000000004</v>
      </c>
      <c r="E321" s="17"/>
      <c r="F321" s="6"/>
      <c r="G321" s="93">
        <f>SUM('3:4'!G321)</f>
        <v>243</v>
      </c>
      <c r="H321" s="364">
        <f t="shared" si="121"/>
        <v>1069.2</v>
      </c>
      <c r="I321" s="93">
        <f>SUM('3:4'!I321)</f>
        <v>42</v>
      </c>
      <c r="J321" s="31">
        <f t="array" ref="J321">IF(ISERROR(G321/I321),"",G321/I321)</f>
        <v>5.7857142857142856</v>
      </c>
      <c r="K321" s="35">
        <f t="array" ref="K321">IF(ISERROR(G321/L321),"",G321/L321)</f>
        <v>41.896551724137929</v>
      </c>
      <c r="L321" s="87">
        <v>5.8</v>
      </c>
      <c r="M321" s="36">
        <f t="shared" si="118"/>
        <v>0.10344827586207117</v>
      </c>
      <c r="N321" s="31">
        <f t="shared" si="119"/>
        <v>0</v>
      </c>
      <c r="O321" s="93">
        <f>SUM('3:4'!O321)</f>
        <v>0</v>
      </c>
      <c r="P321" s="93">
        <f>SUM('3:4'!P321)</f>
        <v>0</v>
      </c>
      <c r="Q321" s="93">
        <f>SUM('3:4'!Q321)</f>
        <v>0</v>
      </c>
      <c r="R321" s="93">
        <f>SUM('3:4'!R321)</f>
        <v>0</v>
      </c>
      <c r="S321" s="93">
        <f>SUM('3:4'!S321)</f>
        <v>0</v>
      </c>
      <c r="T321" s="93">
        <f>SUM('3:4'!T321)</f>
        <v>0</v>
      </c>
      <c r="U321" s="93">
        <f>SUM('3:4'!U321)</f>
        <v>0</v>
      </c>
      <c r="V321" s="206">
        <f t="shared" si="120"/>
        <v>0</v>
      </c>
      <c r="W321" s="33">
        <f t="shared" si="117"/>
        <v>0</v>
      </c>
      <c r="X321" s="93">
        <f>SUM('3:4'!X321)</f>
        <v>0</v>
      </c>
      <c r="Y321" s="93">
        <f>SUM('3:4'!Y321)</f>
        <v>0</v>
      </c>
      <c r="Z321" s="93">
        <f>SUM('3:4'!Z321)</f>
        <v>0</v>
      </c>
      <c r="AA321" s="93">
        <f>SUM('3:4'!AA321)</f>
        <v>0</v>
      </c>
      <c r="AB321" s="73"/>
      <c r="AC321" s="54"/>
      <c r="AD321" s="370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99">
        <v>30700001</v>
      </c>
      <c r="B322" s="191" t="s">
        <v>359</v>
      </c>
      <c r="C322" s="358"/>
      <c r="D322" s="17"/>
      <c r="E322" s="17"/>
      <c r="F322" s="6"/>
      <c r="G322" s="93">
        <f>SUM('3:4'!G322)</f>
        <v>0</v>
      </c>
      <c r="H322" s="364">
        <f t="shared" si="121"/>
        <v>0</v>
      </c>
      <c r="I322" s="93">
        <f>SUM('3:4'!I322)</f>
        <v>0</v>
      </c>
      <c r="J322" s="31"/>
      <c r="K322" s="35"/>
      <c r="L322" s="87">
        <v>6</v>
      </c>
      <c r="M322" s="36"/>
      <c r="N322" s="31"/>
      <c r="O322" s="93">
        <f>SUM('3:4'!O322)</f>
        <v>0</v>
      </c>
      <c r="P322" s="93">
        <f>SUM('3:4'!P322)</f>
        <v>0</v>
      </c>
      <c r="Q322" s="93">
        <f>SUM('3:4'!Q322)</f>
        <v>0</v>
      </c>
      <c r="R322" s="93">
        <f>SUM('3:4'!R322)</f>
        <v>0</v>
      </c>
      <c r="S322" s="93">
        <f>SUM('3:4'!S322)</f>
        <v>0</v>
      </c>
      <c r="T322" s="93">
        <f>SUM('3:4'!T322)</f>
        <v>0</v>
      </c>
      <c r="U322" s="93">
        <f>SUM('3:4'!U322)</f>
        <v>0</v>
      </c>
      <c r="V322" s="206"/>
      <c r="W322" s="33"/>
      <c r="X322" s="93">
        <f>SUM('3:4'!X322)</f>
        <v>0</v>
      </c>
      <c r="Y322" s="93">
        <f>SUM('3:4'!Y322)</f>
        <v>0</v>
      </c>
      <c r="Z322" s="93">
        <f>SUM('3:4'!Z322)</f>
        <v>0</v>
      </c>
      <c r="AA322" s="93">
        <f>SUM('3:4'!AA322)</f>
        <v>0</v>
      </c>
      <c r="AB322" s="73"/>
      <c r="AC322" s="54"/>
      <c r="AD322" s="370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305"/>
      <c r="B323" s="66" t="s">
        <v>104</v>
      </c>
      <c r="C323" s="358" t="s">
        <v>53</v>
      </c>
      <c r="D323" s="17">
        <v>6.04</v>
      </c>
      <c r="E323" s="17"/>
      <c r="F323" s="6"/>
      <c r="G323" s="93">
        <f>SUM('3:4'!G323)</f>
        <v>0</v>
      </c>
      <c r="H323" s="364">
        <f t="shared" si="121"/>
        <v>0</v>
      </c>
      <c r="I323" s="93">
        <f>SUM('3:4'!I323)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6</v>
      </c>
      <c r="M323" s="36">
        <f t="shared" ref="M323:M324" si="122">IF(ISERROR(I323-K323),"",I323-K323)</f>
        <v>0</v>
      </c>
      <c r="N323" s="31">
        <f t="shared" ref="N323:N324" si="123">SUM(O323:U323)</f>
        <v>0</v>
      </c>
      <c r="O323" s="93">
        <f>SUM('3:4'!O323)</f>
        <v>0</v>
      </c>
      <c r="P323" s="93">
        <f>SUM('3:4'!P323)</f>
        <v>0</v>
      </c>
      <c r="Q323" s="93">
        <f>SUM('3:4'!Q323)</f>
        <v>0</v>
      </c>
      <c r="R323" s="93">
        <f>SUM('3:4'!R323)</f>
        <v>0</v>
      </c>
      <c r="S323" s="93">
        <f>SUM('3:4'!S323)</f>
        <v>0</v>
      </c>
      <c r="T323" s="93">
        <f>SUM('3:4'!T323)</f>
        <v>0</v>
      </c>
      <c r="U323" s="93">
        <f>SUM('3:4'!U323)</f>
        <v>0</v>
      </c>
      <c r="V323" s="206">
        <f t="shared" ref="V323:V324" si="124">SUM(X323:AA323)</f>
        <v>0</v>
      </c>
      <c r="W323" s="33" t="str">
        <f t="shared" ref="W323:W324" si="125">IF(ISERROR(V323/G323),"",V323/G323)</f>
        <v/>
      </c>
      <c r="X323" s="93">
        <f>SUM('3:4'!X323)</f>
        <v>0</v>
      </c>
      <c r="Y323" s="93">
        <f>SUM('3:4'!Y323)</f>
        <v>0</v>
      </c>
      <c r="Z323" s="93">
        <f>SUM('3:4'!Z323)</f>
        <v>0</v>
      </c>
      <c r="AA323" s="93">
        <f>SUM('3:4'!AA323)</f>
        <v>0</v>
      </c>
      <c r="AB323" s="73"/>
      <c r="AC323" s="54"/>
      <c r="AD323" s="370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305">
        <v>30700019</v>
      </c>
      <c r="B324" s="66" t="s">
        <v>104</v>
      </c>
      <c r="C324" s="358" t="s">
        <v>60</v>
      </c>
      <c r="D324" s="17">
        <v>6.04</v>
      </c>
      <c r="E324" s="17"/>
      <c r="F324" s="6"/>
      <c r="G324" s="93">
        <f>SUM('3:4'!G324)</f>
        <v>0</v>
      </c>
      <c r="H324" s="364">
        <f t="shared" si="121"/>
        <v>0</v>
      </c>
      <c r="I324" s="93">
        <f>SUM('3:4'!I324)</f>
        <v>0</v>
      </c>
      <c r="J324" s="31" t="str">
        <f t="array" ref="J324">IF(ISERROR(G324/I324),"",G324/I324)</f>
        <v/>
      </c>
      <c r="K324" s="35">
        <f t="array" ref="K324">IF(ISERROR(G324/L324),"",G324/L324)</f>
        <v>0</v>
      </c>
      <c r="L324" s="87">
        <v>6</v>
      </c>
      <c r="M324" s="36">
        <f t="shared" si="122"/>
        <v>0</v>
      </c>
      <c r="N324" s="31">
        <f t="shared" si="123"/>
        <v>0</v>
      </c>
      <c r="O324" s="93">
        <f>SUM('3:4'!O324)</f>
        <v>0</v>
      </c>
      <c r="P324" s="93">
        <f>SUM('3:4'!P324)</f>
        <v>0</v>
      </c>
      <c r="Q324" s="93">
        <f>SUM('3:4'!Q324)</f>
        <v>0</v>
      </c>
      <c r="R324" s="93">
        <f>SUM('3:4'!R324)</f>
        <v>0</v>
      </c>
      <c r="S324" s="93">
        <f>SUM('3:4'!S324)</f>
        <v>0</v>
      </c>
      <c r="T324" s="93">
        <f>SUM('3:4'!T324)</f>
        <v>0</v>
      </c>
      <c r="U324" s="93">
        <f>SUM('3:4'!U324)</f>
        <v>0</v>
      </c>
      <c r="V324" s="206">
        <f t="shared" si="124"/>
        <v>0</v>
      </c>
      <c r="W324" s="33" t="str">
        <f t="shared" si="125"/>
        <v/>
      </c>
      <c r="X324" s="93">
        <f>SUM('3:4'!X324)</f>
        <v>0</v>
      </c>
      <c r="Y324" s="93">
        <f>SUM('3:4'!Y324)</f>
        <v>0</v>
      </c>
      <c r="Z324" s="93">
        <f>SUM('3:4'!Z324)</f>
        <v>0</v>
      </c>
      <c r="AA324" s="93">
        <f>SUM('3:4'!AA324)</f>
        <v>0</v>
      </c>
      <c r="AB324" s="73"/>
      <c r="AC324" s="54"/>
      <c r="AD324" s="370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305">
        <v>30601015</v>
      </c>
      <c r="B325" s="281" t="s">
        <v>443</v>
      </c>
      <c r="C325" s="358" t="s">
        <v>53</v>
      </c>
      <c r="D325" s="17">
        <v>6</v>
      </c>
      <c r="E325" s="17"/>
      <c r="F325" s="6"/>
      <c r="G325" s="93">
        <f>SUM('3:4'!G325)</f>
        <v>0</v>
      </c>
      <c r="H325" s="364">
        <f t="shared" si="121"/>
        <v>0</v>
      </c>
      <c r="I325" s="93">
        <f>SUM('3:4'!I325)</f>
        <v>0</v>
      </c>
      <c r="J325" s="31"/>
      <c r="K325" s="35"/>
      <c r="L325" s="87"/>
      <c r="M325" s="36"/>
      <c r="N325" s="31"/>
      <c r="O325" s="93"/>
      <c r="P325" s="93"/>
      <c r="Q325" s="93"/>
      <c r="R325" s="93"/>
      <c r="S325" s="93"/>
      <c r="T325" s="93"/>
      <c r="U325" s="93"/>
      <c r="V325" s="206"/>
      <c r="W325" s="33"/>
      <c r="X325" s="93"/>
      <c r="Y325" s="93"/>
      <c r="Z325" s="93"/>
      <c r="AA325" s="93"/>
      <c r="AB325" s="73"/>
      <c r="AC325" s="54"/>
      <c r="AD325" s="370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305">
        <v>30101016</v>
      </c>
      <c r="B326" s="281" t="s">
        <v>443</v>
      </c>
      <c r="C326" s="358" t="s">
        <v>60</v>
      </c>
      <c r="D326" s="17">
        <v>6</v>
      </c>
      <c r="E326" s="17"/>
      <c r="F326" s="6"/>
      <c r="G326" s="93">
        <f>SUM('3:4'!G326)</f>
        <v>0</v>
      </c>
      <c r="H326" s="364">
        <f t="shared" si="121"/>
        <v>0</v>
      </c>
      <c r="I326" s="93">
        <f>SUM('3:4'!I326)</f>
        <v>0</v>
      </c>
      <c r="J326" s="31"/>
      <c r="K326" s="35">
        <f t="array" ref="K326">IF(ISERROR(G326/L326),"",G326/L326)</f>
        <v>0</v>
      </c>
      <c r="L326" s="87">
        <v>6</v>
      </c>
      <c r="M326" s="36"/>
      <c r="N326" s="31"/>
      <c r="O326" s="93">
        <f>SUM('3:4'!O326)</f>
        <v>0</v>
      </c>
      <c r="P326" s="93">
        <f>SUM('3:4'!P326)</f>
        <v>0</v>
      </c>
      <c r="Q326" s="93">
        <f>SUM('3:4'!Q326)</f>
        <v>0</v>
      </c>
      <c r="R326" s="93">
        <f>SUM('3:4'!R326)</f>
        <v>0</v>
      </c>
      <c r="S326" s="93">
        <f>SUM('3:4'!S326)</f>
        <v>0</v>
      </c>
      <c r="T326" s="93">
        <f>SUM('3:4'!T326)</f>
        <v>0</v>
      </c>
      <c r="U326" s="93">
        <f>SUM('3:4'!U326)</f>
        <v>0</v>
      </c>
      <c r="V326" s="206"/>
      <c r="W326" s="33"/>
      <c r="X326" s="93">
        <f>SUM('3:4'!X326)</f>
        <v>0</v>
      </c>
      <c r="Y326" s="93">
        <f>SUM('3:4'!Y326)</f>
        <v>0</v>
      </c>
      <c r="Z326" s="93">
        <f>SUM('3:4'!Z326)</f>
        <v>0</v>
      </c>
      <c r="AA326" s="93">
        <f>SUM('3:4'!AA326)</f>
        <v>0</v>
      </c>
      <c r="AB326" s="73"/>
      <c r="AC326" s="54"/>
      <c r="AD326" s="370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299">
        <v>30700018</v>
      </c>
      <c r="B327" s="61" t="s">
        <v>159</v>
      </c>
      <c r="C327" s="16"/>
      <c r="D327" s="17">
        <v>7.3</v>
      </c>
      <c r="E327" s="17"/>
      <c r="F327" s="6"/>
      <c r="G327" s="93"/>
      <c r="H327" s="364">
        <f t="shared" si="121"/>
        <v>0</v>
      </c>
      <c r="I327" s="93"/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6"/>
      <c r="W327" s="33"/>
      <c r="X327" s="93"/>
      <c r="Y327" s="93"/>
      <c r="Z327" s="93"/>
      <c r="AA327" s="93"/>
      <c r="AB327" s="73"/>
      <c r="AC327" s="54"/>
      <c r="AD327" s="370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299">
        <v>30700010</v>
      </c>
      <c r="B328" s="61" t="s">
        <v>105</v>
      </c>
      <c r="C328" s="16"/>
      <c r="D328" s="17">
        <f>78*120/1000</f>
        <v>9.36</v>
      </c>
      <c r="E328" s="17"/>
      <c r="F328" s="6"/>
      <c r="G328" s="93">
        <f>SUM('3:4'!G328)</f>
        <v>0</v>
      </c>
      <c r="H328" s="364">
        <f t="shared" si="121"/>
        <v>0</v>
      </c>
      <c r="I328" s="93">
        <f>SUM('3:4'!I328)</f>
        <v>0</v>
      </c>
      <c r="J328" s="31" t="str">
        <f t="array" ref="J328">IF(ISERROR(G328/I328),"",G328/I328)</f>
        <v/>
      </c>
      <c r="K328" s="35">
        <f t="array" ref="K328">IF(ISERROR(G328/L328),"",G328/L328)</f>
        <v>0</v>
      </c>
      <c r="L328" s="87">
        <v>7.5</v>
      </c>
      <c r="M328" s="36">
        <f t="shared" ref="M328" si="126">IF(ISERROR(I328-K328),"",I328-K328)</f>
        <v>0</v>
      </c>
      <c r="N328" s="31">
        <f t="shared" ref="N328" si="127">SUM(O328:U328)</f>
        <v>0</v>
      </c>
      <c r="O328" s="93">
        <f>SUM('3:4'!O328)</f>
        <v>0</v>
      </c>
      <c r="P328" s="93">
        <f>SUM('3:4'!P328)</f>
        <v>0</v>
      </c>
      <c r="Q328" s="93">
        <f>SUM('3:4'!Q328)</f>
        <v>0</v>
      </c>
      <c r="R328" s="93">
        <f>SUM('3:4'!R328)</f>
        <v>0</v>
      </c>
      <c r="S328" s="93">
        <f>SUM('3:4'!S328)</f>
        <v>0</v>
      </c>
      <c r="T328" s="93">
        <f>SUM('3:4'!T328)</f>
        <v>0</v>
      </c>
      <c r="U328" s="93">
        <f>SUM('3:4'!U328)</f>
        <v>0</v>
      </c>
      <c r="V328" s="206">
        <f t="shared" ref="V328" si="128">SUM(X328:AA328)</f>
        <v>0</v>
      </c>
      <c r="W328" s="33" t="str">
        <f t="shared" ref="W328" si="129">IF(ISERROR(V328/G328),"",V328/G328)</f>
        <v/>
      </c>
      <c r="X328" s="93">
        <f>SUM('3:4'!X328)</f>
        <v>0</v>
      </c>
      <c r="Y328" s="93">
        <f>SUM('3:4'!Y328)</f>
        <v>0</v>
      </c>
      <c r="Z328" s="93">
        <f>SUM('3:4'!Z328)</f>
        <v>0</v>
      </c>
      <c r="AA328" s="93">
        <f>SUM('3:4'!AA328)</f>
        <v>0</v>
      </c>
      <c r="AB328" s="73"/>
      <c r="AC328" s="54"/>
      <c r="AD328" s="370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99">
        <v>30700015</v>
      </c>
      <c r="B329" s="360" t="s">
        <v>159</v>
      </c>
      <c r="C329" s="16"/>
      <c r="D329" s="17">
        <v>4.5</v>
      </c>
      <c r="E329" s="17"/>
      <c r="F329" s="6"/>
      <c r="G329" s="93">
        <f>SUM('3:4'!G329)</f>
        <v>0</v>
      </c>
      <c r="H329" s="364">
        <f t="shared" si="121"/>
        <v>0</v>
      </c>
      <c r="I329" s="93">
        <f>SUM('3:4'!I329)</f>
        <v>0</v>
      </c>
      <c r="J329" s="31"/>
      <c r="K329" s="35" t="str">
        <f t="array" ref="K329">IF(ISERROR(G329/L329),"",G329/L329)</f>
        <v/>
      </c>
      <c r="L329" s="87"/>
      <c r="M329" s="36"/>
      <c r="N329" s="31"/>
      <c r="O329" s="93">
        <f>SUM('3:4'!O329)</f>
        <v>0</v>
      </c>
      <c r="P329" s="93">
        <f>SUM('3:4'!P329)</f>
        <v>0</v>
      </c>
      <c r="Q329" s="93">
        <f>SUM('3:4'!Q329)</f>
        <v>0</v>
      </c>
      <c r="R329" s="93">
        <f>SUM('3:4'!R329)</f>
        <v>0</v>
      </c>
      <c r="S329" s="93">
        <f>SUM('3:4'!S329)</f>
        <v>0</v>
      </c>
      <c r="T329" s="93">
        <f>SUM('3:4'!T329)</f>
        <v>0</v>
      </c>
      <c r="U329" s="93">
        <f>SUM('3:4'!U329)</f>
        <v>0</v>
      </c>
      <c r="V329" s="206"/>
      <c r="W329" s="33"/>
      <c r="X329" s="93">
        <f>SUM('3:4'!X329)</f>
        <v>0</v>
      </c>
      <c r="Y329" s="93">
        <f>SUM('3:4'!Y329)</f>
        <v>0</v>
      </c>
      <c r="Z329" s="93">
        <f>SUM('3:4'!Z329)</f>
        <v>0</v>
      </c>
      <c r="AA329" s="93">
        <f>SUM('3:4'!AA329)</f>
        <v>0</v>
      </c>
      <c r="AB329" s="73"/>
      <c r="AC329" s="54"/>
      <c r="AD329" s="370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99">
        <v>30700012</v>
      </c>
      <c r="B330" s="360" t="s">
        <v>160</v>
      </c>
      <c r="C330" s="16"/>
      <c r="D330" s="17">
        <v>4.5</v>
      </c>
      <c r="E330" s="17"/>
      <c r="F330" s="6"/>
      <c r="G330" s="93">
        <f>SUM('3:4'!G330)</f>
        <v>0</v>
      </c>
      <c r="H330" s="364">
        <f t="shared" si="121"/>
        <v>0</v>
      </c>
      <c r="I330" s="93">
        <f>SUM('3:4'!I330)</f>
        <v>0</v>
      </c>
      <c r="J330" s="31"/>
      <c r="K330" s="35">
        <f t="array" ref="K330">IF(ISERROR(G330/L330),"",G330/L330)</f>
        <v>0</v>
      </c>
      <c r="L330" s="87">
        <v>6.5</v>
      </c>
      <c r="M330" s="36">
        <f>IF(ISERROR(I330-K330),"",I330-K330)</f>
        <v>0</v>
      </c>
      <c r="N330" s="31"/>
      <c r="O330" s="93">
        <f>SUM('3:4'!O330)</f>
        <v>0</v>
      </c>
      <c r="P330" s="93">
        <f>SUM('3:4'!P330)</f>
        <v>0</v>
      </c>
      <c r="Q330" s="93">
        <f>SUM('3:4'!Q330)</f>
        <v>0</v>
      </c>
      <c r="R330" s="93">
        <f>SUM('3:4'!R330)</f>
        <v>0</v>
      </c>
      <c r="S330" s="93">
        <f>SUM('3:4'!S330)</f>
        <v>0</v>
      </c>
      <c r="T330" s="93">
        <f>SUM('3:4'!T330)</f>
        <v>0</v>
      </c>
      <c r="U330" s="93">
        <f>SUM('3:4'!U330)</f>
        <v>0</v>
      </c>
      <c r="V330" s="206"/>
      <c r="W330" s="33"/>
      <c r="X330" s="93">
        <f>SUM('3:4'!X330)</f>
        <v>0</v>
      </c>
      <c r="Y330" s="93">
        <f>SUM('3:4'!Y330)</f>
        <v>0</v>
      </c>
      <c r="Z330" s="93">
        <f>SUM('3:4'!Z330)</f>
        <v>0</v>
      </c>
      <c r="AA330" s="93">
        <f>SUM('3:4'!AA330)</f>
        <v>0</v>
      </c>
      <c r="AB330" s="73"/>
      <c r="AC330" s="54"/>
      <c r="AD330" s="370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99"/>
      <c r="B331" s="199" t="s">
        <v>438</v>
      </c>
      <c r="C331" s="16"/>
      <c r="D331" s="17">
        <v>4.5</v>
      </c>
      <c r="E331" s="17"/>
      <c r="F331" s="6"/>
      <c r="G331" s="93">
        <f>SUM('3:4'!G331)</f>
        <v>0</v>
      </c>
      <c r="H331" s="364">
        <f t="shared" si="121"/>
        <v>0</v>
      </c>
      <c r="I331" s="93">
        <f>SUM('3:4'!I331)</f>
        <v>0</v>
      </c>
      <c r="J331" s="31"/>
      <c r="K331" s="35">
        <f t="array" ref="K331">IF(ISERROR(G331/L331),"",G331/L331)</f>
        <v>0</v>
      </c>
      <c r="L331" s="87">
        <v>7.5</v>
      </c>
      <c r="M331" s="36">
        <f>IF(ISERROR(I331-K331),"",I331-K331)</f>
        <v>0</v>
      </c>
      <c r="N331" s="31"/>
      <c r="O331" s="93">
        <f>SUM('3:4'!O331)</f>
        <v>0</v>
      </c>
      <c r="P331" s="93">
        <f>SUM('3:4'!P331)</f>
        <v>0</v>
      </c>
      <c r="Q331" s="93">
        <f>SUM('3:4'!Q331)</f>
        <v>0</v>
      </c>
      <c r="R331" s="93">
        <f>SUM('3:4'!R331)</f>
        <v>0</v>
      </c>
      <c r="S331" s="93">
        <f>SUM('3:4'!S331)</f>
        <v>0</v>
      </c>
      <c r="T331" s="93">
        <f>SUM('3:4'!T331)</f>
        <v>0</v>
      </c>
      <c r="U331" s="93">
        <f>SUM('3:4'!U331)</f>
        <v>0</v>
      </c>
      <c r="V331" s="206"/>
      <c r="W331" s="33"/>
      <c r="X331" s="93">
        <f>SUM('3:4'!X331)</f>
        <v>0</v>
      </c>
      <c r="Y331" s="93">
        <f>SUM('3:4'!Y331)</f>
        <v>0</v>
      </c>
      <c r="Z331" s="93">
        <f>SUM('3:4'!Z331)</f>
        <v>0</v>
      </c>
      <c r="AA331" s="93">
        <f>SUM('3:4'!AA331)</f>
        <v>0</v>
      </c>
      <c r="AB331" s="73"/>
      <c r="AC331" s="54"/>
      <c r="AD331" s="370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725" t="s">
        <v>106</v>
      </c>
      <c r="B332" s="726"/>
      <c r="C332" s="359" t="s">
        <v>71</v>
      </c>
      <c r="D332" s="20"/>
      <c r="E332" s="20"/>
      <c r="F332" s="32"/>
      <c r="G332" s="94">
        <f>SUM(G318:G331)</f>
        <v>521</v>
      </c>
      <c r="H332" s="30">
        <f>SUM(H318:H331)</f>
        <v>3237.6000000000004</v>
      </c>
      <c r="I332" s="30">
        <f>SUM(I318:I331)</f>
        <v>176.5</v>
      </c>
      <c r="J332" s="31">
        <f t="array" ref="J332">IF(ISERROR(G332/I332),"",G332/I332)</f>
        <v>2.951841359773371</v>
      </c>
      <c r="K332" s="30">
        <f>SUM(K318:K328)</f>
        <v>102.33133433283359</v>
      </c>
      <c r="L332" s="98"/>
      <c r="M332" s="89">
        <f t="shared" ref="M332:V332" si="130">SUM(M318:M328)</f>
        <v>74.168665667166408</v>
      </c>
      <c r="N332" s="20">
        <f t="shared" si="130"/>
        <v>0</v>
      </c>
      <c r="O332" s="91">
        <f t="shared" si="130"/>
        <v>0</v>
      </c>
      <c r="P332" s="91">
        <f t="shared" si="130"/>
        <v>0</v>
      </c>
      <c r="Q332" s="91">
        <f t="shared" si="130"/>
        <v>0</v>
      </c>
      <c r="R332" s="91">
        <f t="shared" si="130"/>
        <v>0</v>
      </c>
      <c r="S332" s="92">
        <f t="shared" si="130"/>
        <v>0</v>
      </c>
      <c r="T332" s="91">
        <f t="shared" si="130"/>
        <v>0</v>
      </c>
      <c r="U332" s="91">
        <f t="shared" si="130"/>
        <v>0</v>
      </c>
      <c r="V332" s="206">
        <f t="shared" si="130"/>
        <v>0</v>
      </c>
      <c r="W332" s="33">
        <f t="shared" ref="W332" si="131">IF(ISERROR(V332/G332),"",V332/G332)</f>
        <v>0</v>
      </c>
      <c r="X332" s="92">
        <f>SUM(X318:X328)</f>
        <v>0</v>
      </c>
      <c r="Y332" s="92">
        <f>SUM(Y318:Y328)</f>
        <v>0</v>
      </c>
      <c r="Z332" s="92">
        <f>SUM(Z318:Z328)</f>
        <v>0</v>
      </c>
      <c r="AA332" s="92">
        <f>SUM(AA318:AA328)</f>
        <v>0</v>
      </c>
      <c r="AB332" s="70"/>
      <c r="AC332" s="70"/>
      <c r="AD332" s="58"/>
      <c r="AE332" s="70"/>
      <c r="AF332" s="70"/>
      <c r="AG332" s="70"/>
      <c r="AH332" s="70"/>
      <c r="AI332" s="58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  <c r="AU332" s="58"/>
      <c r="AV332" s="58"/>
      <c r="AW332" s="58"/>
      <c r="AX332" s="58"/>
      <c r="AY332" s="58"/>
      <c r="AZ332" s="58"/>
      <c r="BA332" s="58"/>
    </row>
    <row r="333" spans="1:53">
      <c r="A333" s="736" t="s">
        <v>108</v>
      </c>
      <c r="B333" s="737"/>
      <c r="C333" s="737"/>
      <c r="D333" s="737"/>
      <c r="E333" s="737"/>
      <c r="F333" s="738"/>
      <c r="G333" s="193">
        <f>SUM(G198,G256,G291,G307,G317,G332)</f>
        <v>3831</v>
      </c>
      <c r="H333" s="193">
        <f>SUM(H198,H256,H291,H307,H317,H332)</f>
        <v>13261.57</v>
      </c>
      <c r="I333" s="193">
        <f>SUM(I198,I256,I291,I307,I317,I332)</f>
        <v>582.29999999999995</v>
      </c>
      <c r="J333" s="52">
        <f t="array" ref="J333">IF(ISERROR(G333/I333),"",G333/I333)</f>
        <v>6.5790829469345704</v>
      </c>
      <c r="K333" s="193">
        <f>SUM(K198,K256,K291,K307,K317,K332)</f>
        <v>199.29907626831746</v>
      </c>
      <c r="L333" s="52">
        <f>IF(ISERROR(G333/K333),"",G333/K333)</f>
        <v>19.22236706627934</v>
      </c>
      <c r="M333" s="193">
        <f t="shared" ref="M333:AA333" si="132">SUM(M198,M256,M291,M307,M317,M332)</f>
        <v>93.500923731682533</v>
      </c>
      <c r="N333" s="193">
        <f t="shared" si="132"/>
        <v>0</v>
      </c>
      <c r="O333" s="193">
        <f t="shared" si="132"/>
        <v>0</v>
      </c>
      <c r="P333" s="193">
        <f t="shared" si="132"/>
        <v>0</v>
      </c>
      <c r="Q333" s="193">
        <f t="shared" si="132"/>
        <v>0</v>
      </c>
      <c r="R333" s="193">
        <f t="shared" si="132"/>
        <v>0</v>
      </c>
      <c r="S333" s="193">
        <f t="shared" si="132"/>
        <v>0</v>
      </c>
      <c r="T333" s="193">
        <f t="shared" si="132"/>
        <v>0</v>
      </c>
      <c r="U333" s="193">
        <f t="shared" si="132"/>
        <v>0</v>
      </c>
      <c r="V333" s="193">
        <f t="shared" si="132"/>
        <v>0</v>
      </c>
      <c r="W333" s="193">
        <f t="shared" si="132"/>
        <v>0</v>
      </c>
      <c r="X333" s="193">
        <f t="shared" si="132"/>
        <v>0</v>
      </c>
      <c r="Y333" s="193">
        <f t="shared" si="132"/>
        <v>0</v>
      </c>
      <c r="Z333" s="193">
        <f t="shared" si="132"/>
        <v>0</v>
      </c>
      <c r="AA333" s="193">
        <f t="shared" si="132"/>
        <v>0</v>
      </c>
      <c r="AB333" s="76"/>
      <c r="AC333" s="71"/>
      <c r="AD333" s="370"/>
      <c r="AE333" s="77"/>
      <c r="AF333" s="77"/>
      <c r="AG333" s="77"/>
      <c r="AH333" s="77"/>
      <c r="AI333" s="57"/>
      <c r="AJ333" s="57"/>
      <c r="AK333" s="57"/>
      <c r="AL333" s="753"/>
      <c r="AM333" s="753"/>
      <c r="AN333" s="753"/>
      <c r="AO333" s="753"/>
      <c r="AP333" s="753"/>
      <c r="AQ333" s="753"/>
      <c r="AR333" s="753"/>
      <c r="AS333" s="753"/>
      <c r="AT333" s="753"/>
      <c r="AU333" s="753"/>
      <c r="AV333" s="753"/>
      <c r="AW333" s="753"/>
      <c r="AX333" s="753"/>
      <c r="AY333" s="753"/>
      <c r="AZ333" s="753"/>
      <c r="BA333" s="753"/>
    </row>
    <row r="334" spans="1:53" ht="15.75" customHeight="1">
      <c r="A334" s="635" t="s">
        <v>503</v>
      </c>
      <c r="B334" s="362" t="s">
        <v>110</v>
      </c>
      <c r="C334" s="739" t="s">
        <v>111</v>
      </c>
      <c r="D334" s="739"/>
      <c r="E334" s="718" t="s">
        <v>112</v>
      </c>
      <c r="F334" s="718"/>
      <c r="G334" s="729" t="s">
        <v>113</v>
      </c>
      <c r="H334" s="729"/>
      <c r="I334" s="718" t="s">
        <v>114</v>
      </c>
      <c r="J334" s="718"/>
      <c r="K334" s="718" t="s">
        <v>36</v>
      </c>
      <c r="L334" s="718"/>
      <c r="M334" s="718" t="s">
        <v>115</v>
      </c>
      <c r="N334" s="718"/>
      <c r="O334" s="718" t="s">
        <v>116</v>
      </c>
      <c r="P334" s="729" t="s">
        <v>117</v>
      </c>
      <c r="Q334" s="729"/>
      <c r="R334" s="729" t="s">
        <v>36</v>
      </c>
      <c r="S334" s="729"/>
      <c r="T334" s="729" t="s">
        <v>118</v>
      </c>
      <c r="U334" s="729"/>
      <c r="V334" s="729" t="s">
        <v>119</v>
      </c>
      <c r="W334" s="729"/>
      <c r="X334" s="729" t="s">
        <v>36</v>
      </c>
      <c r="Y334" s="729"/>
      <c r="Z334" s="729" t="s">
        <v>118</v>
      </c>
      <c r="AA334" s="729"/>
      <c r="AB334" s="12"/>
      <c r="AC334" s="12"/>
      <c r="AD334" s="12"/>
      <c r="AE334" s="3"/>
      <c r="AF334" s="3"/>
      <c r="AG334" s="3"/>
      <c r="AH334" s="368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21"/>
      <c r="AV334" s="21"/>
      <c r="AW334" s="21"/>
      <c r="AX334" s="21"/>
      <c r="AY334" s="21"/>
      <c r="AZ334" s="21"/>
      <c r="BA334" s="21"/>
    </row>
    <row r="335" spans="1:53" ht="15.75" customHeight="1">
      <c r="A335" s="636"/>
      <c r="B335" s="362" t="s">
        <v>120</v>
      </c>
      <c r="C335" s="740">
        <f>SUM('3:4'!C335)</f>
        <v>2</v>
      </c>
      <c r="D335" s="741"/>
      <c r="E335" s="742">
        <f>D335*11</f>
        <v>0</v>
      </c>
      <c r="F335" s="742"/>
      <c r="G335" s="740">
        <f>SUM('3:4'!G335)</f>
        <v>2</v>
      </c>
      <c r="H335" s="741"/>
      <c r="I335" s="718">
        <f>G335*11</f>
        <v>22</v>
      </c>
      <c r="J335" s="718"/>
      <c r="K335" s="718">
        <f>E335-I335</f>
        <v>-22</v>
      </c>
      <c r="L335" s="718"/>
      <c r="M335" s="743" t="str">
        <f>IF(ISERROR(K335/E335),"",K335/E335)</f>
        <v/>
      </c>
      <c r="N335" s="743"/>
      <c r="O335" s="718"/>
      <c r="P335" s="729" t="s">
        <v>70</v>
      </c>
      <c r="Q335" s="729"/>
      <c r="R335" s="744">
        <f>SUM(O198:U198)</f>
        <v>0</v>
      </c>
      <c r="S335" s="744"/>
      <c r="T335" s="745" t="str">
        <f t="array" ref="T335">IF(ISERROR(R335/R342),"",R335/R342)</f>
        <v/>
      </c>
      <c r="U335" s="745"/>
      <c r="V335" s="729" t="s">
        <v>41</v>
      </c>
      <c r="W335" s="729"/>
      <c r="X335" s="754">
        <f>SUM(P197,P255,P290,P306,P316,P331)</f>
        <v>0</v>
      </c>
      <c r="Y335" s="755"/>
      <c r="Z335" s="745" t="str">
        <f t="array" ref="Z335">IF(ISERROR(X335/X342),"",X335/X342)</f>
        <v/>
      </c>
      <c r="AA335" s="745"/>
      <c r="AB335" s="12"/>
      <c r="AC335" s="22"/>
      <c r="AD335" s="22"/>
      <c r="AE335" s="3"/>
      <c r="AF335" s="3"/>
      <c r="AG335" s="3"/>
      <c r="AH335" s="370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21"/>
      <c r="AV335" s="21"/>
      <c r="AW335" s="21"/>
      <c r="AX335" s="21"/>
      <c r="AY335" s="21"/>
      <c r="AZ335" s="21"/>
      <c r="BA335" s="21"/>
    </row>
    <row r="336" spans="1:53">
      <c r="A336" s="636"/>
      <c r="B336" s="362" t="s">
        <v>121</v>
      </c>
      <c r="C336" s="740">
        <f>SUM('3:4'!C336)</f>
        <v>0</v>
      </c>
      <c r="D336" s="741"/>
      <c r="E336" s="742">
        <f>D336*11</f>
        <v>0</v>
      </c>
      <c r="F336" s="742"/>
      <c r="G336" s="740">
        <f>SUM('3:4'!G336)</f>
        <v>0</v>
      </c>
      <c r="H336" s="741"/>
      <c r="I336" s="718">
        <f>G336*11</f>
        <v>0</v>
      </c>
      <c r="J336" s="718"/>
      <c r="K336" s="718">
        <f>E336-I336</f>
        <v>0</v>
      </c>
      <c r="L336" s="718"/>
      <c r="M336" s="743" t="str">
        <f>IF(ISERROR(K336/E336),"",K336/E336)</f>
        <v/>
      </c>
      <c r="N336" s="743"/>
      <c r="O336" s="718"/>
      <c r="P336" s="729" t="s">
        <v>86</v>
      </c>
      <c r="Q336" s="729"/>
      <c r="R336" s="744">
        <f>SUM(O256:U256)</f>
        <v>0</v>
      </c>
      <c r="S336" s="744"/>
      <c r="T336" s="745" t="str">
        <f>IF(ISERROR(R336/R342),"",R336/R342)</f>
        <v/>
      </c>
      <c r="U336" s="745"/>
      <c r="V336" s="729" t="s">
        <v>42</v>
      </c>
      <c r="W336" s="729"/>
      <c r="X336" s="754">
        <f>SUM(P198,P256,P291,P307,P317,P332)</f>
        <v>0</v>
      </c>
      <c r="Y336" s="755"/>
      <c r="Z336" s="745" t="str">
        <f>IF(ISERROR(X336/X342),"",X336/X342)</f>
        <v/>
      </c>
      <c r="AA336" s="745"/>
      <c r="AB336" s="12"/>
      <c r="AC336" s="22"/>
      <c r="AD336" s="22"/>
      <c r="AE336" s="3"/>
      <c r="AF336" s="3"/>
      <c r="AG336" s="3"/>
      <c r="AH336" s="370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>
      <c r="A337" s="636"/>
      <c r="B337" s="362" t="s">
        <v>122</v>
      </c>
      <c r="C337" s="740">
        <f>SUM('3:4'!C337)</f>
        <v>0</v>
      </c>
      <c r="D337" s="741"/>
      <c r="E337" s="742">
        <f>D337*11</f>
        <v>0</v>
      </c>
      <c r="F337" s="742"/>
      <c r="G337" s="740">
        <f>SUM('3:4'!G337)</f>
        <v>2</v>
      </c>
      <c r="H337" s="741"/>
      <c r="I337" s="718">
        <f>G337*8</f>
        <v>16</v>
      </c>
      <c r="J337" s="718"/>
      <c r="K337" s="718">
        <f>E337-I337</f>
        <v>-16</v>
      </c>
      <c r="L337" s="718"/>
      <c r="M337" s="743" t="str">
        <f>IF(ISERROR(K337/E337),"",K337/E337)</f>
        <v/>
      </c>
      <c r="N337" s="743"/>
      <c r="O337" s="718"/>
      <c r="P337" s="729" t="s">
        <v>92</v>
      </c>
      <c r="Q337" s="729"/>
      <c r="R337" s="744">
        <f>SUM(O291:U291)</f>
        <v>0</v>
      </c>
      <c r="S337" s="744"/>
      <c r="T337" s="745" t="str">
        <f>IF(ISERROR(R337/R342),"",R337/R342)</f>
        <v/>
      </c>
      <c r="U337" s="745"/>
      <c r="V337" s="729" t="s">
        <v>43</v>
      </c>
      <c r="W337" s="729"/>
      <c r="X337" s="754">
        <f>SUM(P199,P257,P292,P308,P318,P333)</f>
        <v>0</v>
      </c>
      <c r="Y337" s="755"/>
      <c r="Z337" s="745" t="str">
        <f>IF(ISERROR(X337/X342),"",X337/X342)</f>
        <v/>
      </c>
      <c r="AA337" s="745"/>
      <c r="AB337" s="12"/>
      <c r="AC337" s="22"/>
      <c r="AD337" s="22"/>
      <c r="AE337" s="3"/>
      <c r="AF337" s="3"/>
      <c r="AG337" s="370"/>
      <c r="AH337" s="370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636"/>
      <c r="B338" s="362" t="s">
        <v>47</v>
      </c>
      <c r="C338" s="740">
        <f>SUM('3:4'!C338)</f>
        <v>2</v>
      </c>
      <c r="D338" s="741"/>
      <c r="E338" s="742">
        <f>D338*11</f>
        <v>0</v>
      </c>
      <c r="F338" s="742"/>
      <c r="G338" s="740">
        <f>SUM('3:4'!G338)</f>
        <v>2</v>
      </c>
      <c r="H338" s="741"/>
      <c r="I338" s="718">
        <f>G338*11</f>
        <v>22</v>
      </c>
      <c r="J338" s="718"/>
      <c r="K338" s="718">
        <f>E338-I338</f>
        <v>-22</v>
      </c>
      <c r="L338" s="718"/>
      <c r="M338" s="743" t="str">
        <f>IF(ISERROR(K338/E338),"",K338/E338)</f>
        <v/>
      </c>
      <c r="N338" s="743"/>
      <c r="O338" s="718"/>
      <c r="P338" s="729" t="s">
        <v>99</v>
      </c>
      <c r="Q338" s="729"/>
      <c r="R338" s="744">
        <f>SUM(O307:U307)</f>
        <v>0</v>
      </c>
      <c r="S338" s="744"/>
      <c r="T338" s="745" t="str">
        <f>IF(ISERROR(R338/R342),"",R338/R342)</f>
        <v/>
      </c>
      <c r="U338" s="745"/>
      <c r="V338" s="729" t="s">
        <v>44</v>
      </c>
      <c r="W338" s="729"/>
      <c r="X338" s="754">
        <f>SUM(P201,P258,P293,P309,P319,P334)</f>
        <v>0</v>
      </c>
      <c r="Y338" s="755"/>
      <c r="Z338" s="745" t="str">
        <f>IF(ISERROR(X338/X342),"",X338/X342)</f>
        <v/>
      </c>
      <c r="AA338" s="745"/>
      <c r="AB338" s="12"/>
      <c r="AC338" s="22"/>
      <c r="AD338" s="22"/>
      <c r="AE338" s="3"/>
      <c r="AF338" s="3"/>
      <c r="AG338" s="370"/>
      <c r="AH338" s="370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637"/>
      <c r="B339" s="362" t="s">
        <v>123</v>
      </c>
      <c r="C339" s="747">
        <f>SUM(C335:D338)</f>
        <v>4</v>
      </c>
      <c r="D339" s="718"/>
      <c r="E339" s="742">
        <f>SUM(F335:F338)</f>
        <v>0</v>
      </c>
      <c r="F339" s="718"/>
      <c r="G339" s="747">
        <f>SUM(G335:H338)</f>
        <v>6</v>
      </c>
      <c r="H339" s="718"/>
      <c r="I339" s="718">
        <f>SUM(I335:J338)</f>
        <v>60</v>
      </c>
      <c r="J339" s="718"/>
      <c r="K339" s="718">
        <f>SUM(K335:L338)</f>
        <v>-60</v>
      </c>
      <c r="L339" s="718"/>
      <c r="M339" s="743" t="str">
        <f>IF(ISERROR(K339/E339),"",K339/E339)</f>
        <v/>
      </c>
      <c r="N339" s="743"/>
      <c r="O339" s="718"/>
      <c r="P339" s="729" t="s">
        <v>102</v>
      </c>
      <c r="Q339" s="729"/>
      <c r="R339" s="744">
        <f>SUM(O317:U317)</f>
        <v>0</v>
      </c>
      <c r="S339" s="744"/>
      <c r="T339" s="745" t="str">
        <f>IF(ISERROR(R339/R342),"",R339/R342)</f>
        <v/>
      </c>
      <c r="U339" s="745"/>
      <c r="V339" s="729" t="s">
        <v>45</v>
      </c>
      <c r="W339" s="729"/>
      <c r="X339" s="754">
        <f>SUM(P202,P259,P294,P310,P320,P335)</f>
        <v>0</v>
      </c>
      <c r="Y339" s="755"/>
      <c r="Z339" s="745" t="str">
        <f>IF(ISERROR(X339/X342),"",X339/X342)</f>
        <v/>
      </c>
      <c r="AA339" s="745"/>
      <c r="AB339" s="12"/>
      <c r="AC339" s="22"/>
      <c r="AD339" s="22"/>
      <c r="AE339" s="3"/>
      <c r="AF339" s="3"/>
      <c r="AG339" s="370"/>
      <c r="AH339" s="370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367"/>
      <c r="AV339" s="367"/>
      <c r="AW339" s="367"/>
      <c r="AX339" s="367"/>
      <c r="AY339" s="367"/>
      <c r="AZ339" s="367"/>
      <c r="BA339" s="367"/>
    </row>
    <row r="340" spans="1:53" ht="17.25">
      <c r="A340" s="309" t="s">
        <v>504</v>
      </c>
      <c r="B340" s="362">
        <f>G333</f>
        <v>3831</v>
      </c>
      <c r="C340" s="744" t="s">
        <v>155</v>
      </c>
      <c r="D340" s="744"/>
      <c r="E340" s="729">
        <f>H333</f>
        <v>13261.57</v>
      </c>
      <c r="F340" s="729"/>
      <c r="G340" s="729" t="s">
        <v>34</v>
      </c>
      <c r="H340" s="729"/>
      <c r="I340" s="746">
        <f>L333</f>
        <v>19.22236706627934</v>
      </c>
      <c r="J340" s="746"/>
      <c r="K340" s="718" t="s">
        <v>32</v>
      </c>
      <c r="L340" s="718"/>
      <c r="M340" s="746">
        <f>J333</f>
        <v>6.5790829469345704</v>
      </c>
      <c r="N340" s="746"/>
      <c r="O340" s="718"/>
      <c r="P340" s="729" t="s">
        <v>106</v>
      </c>
      <c r="Q340" s="729"/>
      <c r="R340" s="744">
        <f>SUM(O332:U332)</f>
        <v>0</v>
      </c>
      <c r="S340" s="744"/>
      <c r="T340" s="745" t="str">
        <f>IF(ISERROR(R340/R342),"",R340/R342)</f>
        <v/>
      </c>
      <c r="U340" s="745"/>
      <c r="V340" s="729" t="s">
        <v>46</v>
      </c>
      <c r="W340" s="729"/>
      <c r="X340" s="754">
        <f>SUM(P203,P260,P295,P311,P321,P336)</f>
        <v>0</v>
      </c>
      <c r="Y340" s="755"/>
      <c r="Z340" s="745" t="str">
        <f>IF(ISERROR(X340/X342),"",X340/X342)</f>
        <v/>
      </c>
      <c r="AA340" s="745"/>
      <c r="AB340" s="12"/>
      <c r="AC340" s="22"/>
      <c r="AD340" s="22"/>
      <c r="AE340" s="3"/>
      <c r="AF340" s="3"/>
      <c r="AG340" s="370"/>
      <c r="AH340" s="370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367"/>
      <c r="AV340" s="367"/>
      <c r="AW340" s="367"/>
      <c r="AX340" s="367"/>
      <c r="AY340" s="367"/>
      <c r="AZ340" s="367"/>
      <c r="BA340" s="367"/>
    </row>
    <row r="341" spans="1:53" ht="15.75" customHeight="1">
      <c r="A341" s="310" t="s">
        <v>505</v>
      </c>
      <c r="B341" s="362">
        <f>I333+C339</f>
        <v>586.29999999999995</v>
      </c>
      <c r="C341" s="729" t="s">
        <v>114</v>
      </c>
      <c r="D341" s="729"/>
      <c r="E341" s="739">
        <f>K333+I339</f>
        <v>259.29907626831744</v>
      </c>
      <c r="F341" s="739"/>
      <c r="G341" s="729" t="s">
        <v>150</v>
      </c>
      <c r="H341" s="729"/>
      <c r="I341" s="746">
        <f>B341-E341</f>
        <v>327.00092373168252</v>
      </c>
      <c r="J341" s="746"/>
      <c r="K341" s="718" t="s">
        <v>151</v>
      </c>
      <c r="L341" s="718"/>
      <c r="M341" s="743">
        <f>IF(ISERROR(I341/B341),"",I341/B341)</f>
        <v>0.55773652350619574</v>
      </c>
      <c r="N341" s="743"/>
      <c r="O341" s="718"/>
      <c r="P341" s="729" t="s">
        <v>107</v>
      </c>
      <c r="Q341" s="729"/>
      <c r="R341" s="744"/>
      <c r="S341" s="744"/>
      <c r="T341" s="745" t="str">
        <f>IF(ISERROR(R341/R342),"",R341/R342)</f>
        <v/>
      </c>
      <c r="U341" s="745"/>
      <c r="V341" s="729" t="s">
        <v>47</v>
      </c>
      <c r="W341" s="729"/>
      <c r="X341" s="754">
        <f>SUM(P204,P261,P296,P312,P322,P337)</f>
        <v>0</v>
      </c>
      <c r="Y341" s="755"/>
      <c r="Z341" s="745" t="str">
        <f>IF(ISERROR(X341/X342),"",X341/X342)</f>
        <v/>
      </c>
      <c r="AA341" s="745"/>
      <c r="AB341" s="12"/>
      <c r="AC341" s="22"/>
      <c r="AD341" s="22"/>
      <c r="AE341" s="3"/>
      <c r="AF341" s="3"/>
      <c r="AG341" s="370"/>
      <c r="AH341" s="370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367"/>
      <c r="AV341" s="367"/>
      <c r="AW341" s="367"/>
      <c r="AX341" s="367"/>
      <c r="AY341" s="367"/>
      <c r="AZ341" s="367"/>
      <c r="BA341" s="367"/>
    </row>
    <row r="342" spans="1:53" ht="15.75" customHeight="1">
      <c r="A342" s="310" t="s">
        <v>507</v>
      </c>
      <c r="B342" s="362">
        <f>N333</f>
        <v>0</v>
      </c>
      <c r="C342" s="729" t="s">
        <v>149</v>
      </c>
      <c r="D342" s="729"/>
      <c r="E342" s="745">
        <f>IF(ISERROR(B342/B341),"",B342/B341)</f>
        <v>0</v>
      </c>
      <c r="F342" s="745"/>
      <c r="G342" s="729" t="s">
        <v>158</v>
      </c>
      <c r="H342" s="729"/>
      <c r="I342" s="718">
        <f>V333</f>
        <v>0</v>
      </c>
      <c r="J342" s="718"/>
      <c r="K342" s="718" t="s">
        <v>156</v>
      </c>
      <c r="L342" s="718"/>
      <c r="M342" s="743">
        <f t="array" ref="M342">IF(ISERROR(I342/B340),"",I342/B340)</f>
        <v>0</v>
      </c>
      <c r="N342" s="743"/>
      <c r="O342" s="718"/>
      <c r="P342" s="729" t="s">
        <v>123</v>
      </c>
      <c r="Q342" s="729"/>
      <c r="R342" s="744">
        <f>SUM(R335:S341)</f>
        <v>0</v>
      </c>
      <c r="S342" s="744"/>
      <c r="T342" s="745">
        <f>SUM(T335:U341)</f>
        <v>0</v>
      </c>
      <c r="U342" s="745"/>
      <c r="V342" s="729" t="s">
        <v>123</v>
      </c>
      <c r="W342" s="729"/>
      <c r="X342" s="744">
        <f>SUM(X335:Y341)</f>
        <v>0</v>
      </c>
      <c r="Y342" s="744"/>
      <c r="Z342" s="745">
        <f>SUM(Z335:AA341)</f>
        <v>0</v>
      </c>
      <c r="AA342" s="745"/>
      <c r="AB342" s="12"/>
      <c r="AC342" s="22"/>
      <c r="AD342" s="22"/>
      <c r="AE342" s="3"/>
      <c r="AF342" s="3"/>
      <c r="AG342" s="370"/>
      <c r="AH342" s="370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367"/>
      <c r="AV342" s="367"/>
      <c r="AW342" s="367"/>
      <c r="AX342" s="367"/>
      <c r="AY342" s="367"/>
      <c r="AZ342" s="367"/>
      <c r="BA342" s="367"/>
    </row>
    <row r="343" spans="1:53" ht="15.75" customHeight="1">
      <c r="A343" s="748" t="s">
        <v>129</v>
      </c>
      <c r="B343" s="748"/>
      <c r="C343" s="748"/>
      <c r="D343" s="748"/>
      <c r="E343" s="748"/>
      <c r="F343" s="748"/>
      <c r="G343" s="748"/>
      <c r="H343" s="748"/>
      <c r="I343" s="748"/>
      <c r="J343" s="748"/>
      <c r="K343" s="748"/>
      <c r="L343" s="748"/>
      <c r="M343" s="748"/>
      <c r="N343" s="748"/>
      <c r="O343" s="748"/>
      <c r="P343" s="748"/>
      <c r="Q343" s="748"/>
      <c r="R343" s="748"/>
      <c r="S343" s="748"/>
      <c r="T343" s="748"/>
      <c r="U343" s="748"/>
      <c r="V343" s="748"/>
      <c r="W343" s="748"/>
      <c r="X343" s="748"/>
      <c r="Y343" s="748"/>
      <c r="Z343" s="748"/>
      <c r="AA343" s="748"/>
      <c r="AB343" s="748"/>
      <c r="AC343" s="748"/>
      <c r="AD343" s="748"/>
      <c r="AE343" s="748"/>
      <c r="AF343" s="748"/>
      <c r="AG343" s="748"/>
      <c r="AH343" s="748"/>
      <c r="AI343" s="748"/>
      <c r="AJ343" s="748"/>
      <c r="AK343" s="748"/>
      <c r="AL343" s="748"/>
      <c r="AM343" s="748"/>
      <c r="AN343" s="748"/>
      <c r="AO343" s="748"/>
      <c r="AP343" s="748"/>
      <c r="AQ343" s="748"/>
      <c r="AR343" s="748"/>
      <c r="AS343" s="748"/>
      <c r="AT343" s="748"/>
      <c r="AU343" s="748"/>
      <c r="AV343" s="748"/>
      <c r="AW343" s="748"/>
      <c r="AX343" s="748"/>
      <c r="AY343" s="748"/>
      <c r="AZ343" s="748"/>
      <c r="BA343" s="748"/>
    </row>
    <row r="344" spans="1:53">
      <c r="A344" s="656" t="s">
        <v>502</v>
      </c>
      <c r="B344" s="709" t="s">
        <v>25</v>
      </c>
      <c r="C344" s="709" t="s">
        <v>26</v>
      </c>
      <c r="D344" s="709" t="s">
        <v>27</v>
      </c>
      <c r="E344" s="712" t="s">
        <v>28</v>
      </c>
      <c r="F344" s="715" t="s">
        <v>29</v>
      </c>
      <c r="G344" s="718" t="s">
        <v>30</v>
      </c>
      <c r="H344" s="718"/>
      <c r="I344" s="709" t="s">
        <v>31</v>
      </c>
      <c r="J344" s="719" t="s">
        <v>32</v>
      </c>
      <c r="K344" s="730" t="s">
        <v>33</v>
      </c>
      <c r="L344" s="709" t="s">
        <v>34</v>
      </c>
      <c r="M344" s="733" t="s">
        <v>35</v>
      </c>
      <c r="N344" s="727" t="s">
        <v>36</v>
      </c>
      <c r="O344" s="718" t="s">
        <v>37</v>
      </c>
      <c r="P344" s="718"/>
      <c r="Q344" s="718"/>
      <c r="R344" s="718"/>
      <c r="S344" s="718"/>
      <c r="T344" s="718"/>
      <c r="U344" s="718"/>
      <c r="V344" s="735" t="s">
        <v>38</v>
      </c>
      <c r="W344" s="727" t="s">
        <v>39</v>
      </c>
      <c r="X344" s="718" t="s">
        <v>40</v>
      </c>
      <c r="Y344" s="718"/>
      <c r="Z344" s="718"/>
      <c r="AA344" s="718"/>
      <c r="AB344" s="21"/>
      <c r="AC344" s="21"/>
      <c r="AD344" s="21"/>
      <c r="AE344" s="21"/>
      <c r="AF344" s="21"/>
      <c r="AG344" s="21"/>
      <c r="AH344" s="21"/>
      <c r="AI344" s="752"/>
      <c r="AJ344" s="750"/>
      <c r="AK344" s="750"/>
      <c r="AL344" s="750"/>
      <c r="AM344" s="750"/>
      <c r="AN344" s="750"/>
      <c r="AO344" s="750"/>
      <c r="AP344" s="750"/>
      <c r="AQ344" s="750"/>
      <c r="AR344" s="750"/>
      <c r="AS344" s="750"/>
      <c r="AT344" s="750"/>
      <c r="AU344" s="750"/>
      <c r="AV344" s="750"/>
      <c r="AW344" s="750"/>
      <c r="AX344" s="750"/>
      <c r="AY344" s="750"/>
      <c r="AZ344" s="750"/>
      <c r="BA344" s="750"/>
    </row>
    <row r="345" spans="1:53">
      <c r="A345" s="657"/>
      <c r="B345" s="710"/>
      <c r="C345" s="710"/>
      <c r="D345" s="710"/>
      <c r="E345" s="713"/>
      <c r="F345" s="716"/>
      <c r="G345" s="718"/>
      <c r="H345" s="718"/>
      <c r="I345" s="710"/>
      <c r="J345" s="720"/>
      <c r="K345" s="731"/>
      <c r="L345" s="710"/>
      <c r="M345" s="734"/>
      <c r="N345" s="727"/>
      <c r="O345" s="718" t="s">
        <v>41</v>
      </c>
      <c r="P345" s="718" t="s">
        <v>42</v>
      </c>
      <c r="Q345" s="718" t="s">
        <v>43</v>
      </c>
      <c r="R345" s="728" t="s">
        <v>44</v>
      </c>
      <c r="S345" s="729" t="s">
        <v>45</v>
      </c>
      <c r="T345" s="718" t="s">
        <v>46</v>
      </c>
      <c r="U345" s="718" t="s">
        <v>47</v>
      </c>
      <c r="V345" s="735"/>
      <c r="W345" s="727"/>
      <c r="X345" s="718" t="s">
        <v>13</v>
      </c>
      <c r="Y345" s="718" t="s">
        <v>48</v>
      </c>
      <c r="Z345" s="718" t="s">
        <v>49</v>
      </c>
      <c r="AA345" s="718" t="s">
        <v>47</v>
      </c>
      <c r="AB345" s="21"/>
      <c r="AC345" s="21"/>
      <c r="AD345" s="21"/>
      <c r="AE345" s="21"/>
      <c r="AF345" s="21"/>
      <c r="AG345" s="21"/>
      <c r="AH345" s="21"/>
      <c r="AI345" s="752"/>
      <c r="AJ345" s="750"/>
      <c r="AK345" s="750"/>
      <c r="AL345" s="750"/>
      <c r="AM345" s="750"/>
      <c r="AN345" s="750"/>
      <c r="AO345" s="750"/>
      <c r="AP345" s="750"/>
      <c r="AQ345" s="750"/>
      <c r="AR345" s="750"/>
      <c r="AS345" s="751"/>
      <c r="AT345" s="751"/>
      <c r="AU345" s="751"/>
      <c r="AV345" s="751"/>
      <c r="AW345" s="751"/>
      <c r="AX345" s="751"/>
      <c r="AY345" s="751"/>
      <c r="AZ345" s="751"/>
      <c r="BA345" s="751"/>
    </row>
    <row r="346" spans="1:53" ht="15.75" customHeight="1">
      <c r="A346" s="658"/>
      <c r="B346" s="711"/>
      <c r="C346" s="711"/>
      <c r="D346" s="711"/>
      <c r="E346" s="714"/>
      <c r="F346" s="717"/>
      <c r="G346" s="358" t="s">
        <v>50</v>
      </c>
      <c r="H346" s="358" t="s">
        <v>51</v>
      </c>
      <c r="I346" s="711"/>
      <c r="J346" s="721"/>
      <c r="K346" s="732"/>
      <c r="L346" s="711"/>
      <c r="M346" s="734"/>
      <c r="N346" s="727"/>
      <c r="O346" s="718"/>
      <c r="P346" s="718"/>
      <c r="Q346" s="718"/>
      <c r="R346" s="728"/>
      <c r="S346" s="729"/>
      <c r="T346" s="718"/>
      <c r="U346" s="718"/>
      <c r="V346" s="735"/>
      <c r="W346" s="727"/>
      <c r="X346" s="718"/>
      <c r="Y346" s="718"/>
      <c r="Z346" s="718"/>
      <c r="AA346" s="718"/>
      <c r="AB346" s="21"/>
      <c r="AC346" s="21"/>
      <c r="AD346" s="21"/>
      <c r="AE346" s="21"/>
      <c r="AF346" s="21"/>
      <c r="AG346" s="21"/>
      <c r="AH346" s="21"/>
      <c r="AI346" s="752"/>
      <c r="AJ346" s="750"/>
      <c r="AK346" s="750"/>
      <c r="AL346" s="367"/>
      <c r="AM346" s="367"/>
      <c r="AN346" s="367"/>
      <c r="AO346" s="367"/>
      <c r="AP346" s="367"/>
      <c r="AQ346" s="367"/>
      <c r="AR346" s="367"/>
      <c r="AS346" s="21"/>
      <c r="AT346" s="21"/>
      <c r="AU346" s="21"/>
      <c r="AV346" s="368"/>
      <c r="AW346" s="367"/>
      <c r="AX346" s="367"/>
      <c r="AY346" s="367"/>
      <c r="AZ346" s="367"/>
      <c r="BA346" s="367"/>
    </row>
    <row r="347" spans="1:53">
      <c r="A347" s="315">
        <v>30100030</v>
      </c>
      <c r="B347" s="82" t="s">
        <v>52</v>
      </c>
      <c r="C347" s="81" t="s">
        <v>53</v>
      </c>
      <c r="D347" s="80">
        <v>5.03</v>
      </c>
      <c r="E347" s="80"/>
      <c r="F347" s="83"/>
      <c r="G347" s="93">
        <f>SUM('3:4'!G347)</f>
        <v>0</v>
      </c>
      <c r="H347" s="95">
        <f t="shared" ref="H347:H367" si="133">D347*G347</f>
        <v>0</v>
      </c>
      <c r="I347" s="93">
        <f>SUM('3:4'!I347)</f>
        <v>0</v>
      </c>
      <c r="J347" s="31" t="str">
        <f t="array" ref="J347">IF(ISERROR(G347/I347),"",G347/I347)</f>
        <v/>
      </c>
      <c r="K347" s="96">
        <f t="array" ref="K347">IF(ISERROR(G347/L347),"",G347/L347)</f>
        <v>0</v>
      </c>
      <c r="L347" s="84">
        <v>16</v>
      </c>
      <c r="M347" s="97">
        <f t="shared" ref="M347:M356" si="134">IF(ISERROR(I347-K347),"",I347-K347)</f>
        <v>0</v>
      </c>
      <c r="N347" s="84">
        <f>SUM(O347:U347)</f>
        <v>0</v>
      </c>
      <c r="O347" s="93">
        <f>SUM('3:4'!O347)</f>
        <v>0</v>
      </c>
      <c r="P347" s="93">
        <f>SUM('3:4'!P347)</f>
        <v>0</v>
      </c>
      <c r="Q347" s="93">
        <f>SUM('3:4'!Q347)</f>
        <v>0</v>
      </c>
      <c r="R347" s="93">
        <f>SUM('3:4'!R347)</f>
        <v>0</v>
      </c>
      <c r="S347" s="93">
        <f>SUM('3:4'!S347)</f>
        <v>0</v>
      </c>
      <c r="T347" s="93">
        <f>SUM('3:4'!T347)</f>
        <v>0</v>
      </c>
      <c r="U347" s="93">
        <f>SUM('3:4'!U347)</f>
        <v>0</v>
      </c>
      <c r="V347" s="206">
        <f t="shared" ref="V347:V356" si="135">SUM(X347:AA347)</f>
        <v>0</v>
      </c>
      <c r="W347" s="33" t="str">
        <f t="shared" ref="W347:W356" si="136">IF(ISERROR(V347/G347),"",V347/G347)</f>
        <v/>
      </c>
      <c r="X347" s="93">
        <f>SUM('3:4'!X347)</f>
        <v>0</v>
      </c>
      <c r="Y347" s="93">
        <f>SUM('3:4'!Y347)</f>
        <v>0</v>
      </c>
      <c r="Z347" s="93">
        <f>SUM('3:4'!Z347)</f>
        <v>0</v>
      </c>
      <c r="AA347" s="93">
        <f>SUM('3:4'!AA347)</f>
        <v>0</v>
      </c>
      <c r="AB347" s="73"/>
      <c r="AC347" s="54"/>
      <c r="AD347" s="370"/>
      <c r="AE347" s="54"/>
      <c r="AF347" s="54"/>
      <c r="AG347" s="54"/>
      <c r="AH347" s="54"/>
      <c r="AI347" s="57"/>
      <c r="AJ347" s="57"/>
      <c r="AK347" s="57"/>
      <c r="AL347" s="369"/>
      <c r="AM347" s="54"/>
      <c r="AN347" s="369"/>
      <c r="AO347" s="369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</row>
    <row r="348" spans="1:53">
      <c r="A348" s="300"/>
      <c r="B348" s="62" t="s">
        <v>54</v>
      </c>
      <c r="C348" s="16" t="s">
        <v>53</v>
      </c>
      <c r="D348" s="17">
        <v>5.03</v>
      </c>
      <c r="E348" s="17"/>
      <c r="F348" s="6"/>
      <c r="G348" s="93">
        <f>SUM('3:4'!G348)</f>
        <v>0</v>
      </c>
      <c r="H348" s="95">
        <f t="shared" si="133"/>
        <v>0</v>
      </c>
      <c r="I348" s="93">
        <f>SUM('3:4'!I348)</f>
        <v>0</v>
      </c>
      <c r="J348" s="31" t="str">
        <f t="array" ref="J348">IF(ISERROR(G348/I348),"",G348/I348)</f>
        <v/>
      </c>
      <c r="K348" s="35">
        <f>IF(ISERROR(G348/L348),"",G348/L348)</f>
        <v>0</v>
      </c>
      <c r="L348" s="87">
        <v>19</v>
      </c>
      <c r="M348" s="36">
        <f t="shared" si="134"/>
        <v>0</v>
      </c>
      <c r="N348" s="31">
        <f t="shared" ref="N348:N356" si="137">SUM(O348:U348)</f>
        <v>0</v>
      </c>
      <c r="O348" s="93">
        <f>SUM('3:4'!O348)</f>
        <v>0</v>
      </c>
      <c r="P348" s="93">
        <f>SUM('3:4'!P348)</f>
        <v>0</v>
      </c>
      <c r="Q348" s="93">
        <f>SUM('3:4'!Q348)</f>
        <v>0</v>
      </c>
      <c r="R348" s="93">
        <f>SUM('3:4'!R348)</f>
        <v>0</v>
      </c>
      <c r="S348" s="93">
        <f>SUM('3:4'!S348)</f>
        <v>0</v>
      </c>
      <c r="T348" s="93">
        <f>SUM('3:4'!T348)</f>
        <v>0</v>
      </c>
      <c r="U348" s="93">
        <f>SUM('3:4'!U348)</f>
        <v>0</v>
      </c>
      <c r="V348" s="206">
        <f t="shared" si="135"/>
        <v>0</v>
      </c>
      <c r="W348" s="33" t="str">
        <f t="shared" si="136"/>
        <v/>
      </c>
      <c r="X348" s="93">
        <f>SUM('3:4'!X348)</f>
        <v>0</v>
      </c>
      <c r="Y348" s="93">
        <f>SUM('3:4'!Y348)</f>
        <v>0</v>
      </c>
      <c r="Z348" s="93">
        <f>SUM('3:4'!Z348)</f>
        <v>0</v>
      </c>
      <c r="AA348" s="93">
        <f>SUM('3:4'!AA348)</f>
        <v>0</v>
      </c>
      <c r="AB348" s="73"/>
      <c r="AC348" s="54"/>
      <c r="AD348" s="370"/>
      <c r="AE348" s="54"/>
      <c r="AF348" s="54"/>
      <c r="AG348" s="54"/>
      <c r="AH348" s="54"/>
      <c r="AI348" s="57"/>
      <c r="AJ348" s="57"/>
      <c r="AK348" s="57"/>
      <c r="AL348" s="54"/>
      <c r="AM348" s="54"/>
      <c r="AN348" s="369"/>
      <c r="AO348" s="54"/>
      <c r="AP348" s="369"/>
      <c r="AQ348" s="54"/>
      <c r="AR348" s="54"/>
      <c r="AS348" s="369"/>
      <c r="AT348" s="369"/>
      <c r="AU348" s="369"/>
      <c r="AV348" s="369"/>
      <c r="AW348" s="55"/>
      <c r="AX348" s="54"/>
      <c r="AY348" s="54"/>
      <c r="AZ348" s="54"/>
      <c r="BA348" s="54"/>
    </row>
    <row r="349" spans="1:53">
      <c r="A349" s="301"/>
      <c r="B349" s="62" t="s">
        <v>54</v>
      </c>
      <c r="C349" s="16" t="s">
        <v>55</v>
      </c>
      <c r="D349" s="17">
        <v>5.03</v>
      </c>
      <c r="E349" s="17"/>
      <c r="F349" s="6"/>
      <c r="G349" s="93">
        <f>SUM('3:4'!G349)</f>
        <v>0</v>
      </c>
      <c r="H349" s="95">
        <f t="shared" si="133"/>
        <v>0</v>
      </c>
      <c r="I349" s="93">
        <f>SUM('3:4'!I349)</f>
        <v>0</v>
      </c>
      <c r="J349" s="31" t="str">
        <f t="array" ref="J349">IF(ISERROR(G349/I349),"",G349/I349)</f>
        <v/>
      </c>
      <c r="K349" s="35">
        <f>IF(ISERROR(G349/L349),"",G349/L349)</f>
        <v>0</v>
      </c>
      <c r="L349" s="87">
        <v>19</v>
      </c>
      <c r="M349" s="36">
        <f t="shared" si="134"/>
        <v>0</v>
      </c>
      <c r="N349" s="31">
        <f t="shared" si="137"/>
        <v>0</v>
      </c>
      <c r="O349" s="93">
        <f>SUM('3:4'!O349)</f>
        <v>0</v>
      </c>
      <c r="P349" s="93">
        <f>SUM('3:4'!P349)</f>
        <v>0</v>
      </c>
      <c r="Q349" s="93">
        <f>SUM('3:4'!Q349)</f>
        <v>0</v>
      </c>
      <c r="R349" s="93">
        <f>SUM('3:4'!R349)</f>
        <v>0</v>
      </c>
      <c r="S349" s="93">
        <f>SUM('3:4'!S349)</f>
        <v>0</v>
      </c>
      <c r="T349" s="93">
        <f>SUM('3:4'!T349)</f>
        <v>0</v>
      </c>
      <c r="U349" s="93">
        <f>SUM('3:4'!U349)</f>
        <v>0</v>
      </c>
      <c r="V349" s="206">
        <f t="shared" si="135"/>
        <v>0</v>
      </c>
      <c r="W349" s="33" t="str">
        <f t="shared" si="136"/>
        <v/>
      </c>
      <c r="X349" s="93">
        <f>SUM('3:4'!X349)</f>
        <v>0</v>
      </c>
      <c r="Y349" s="93">
        <f>SUM('3:4'!Y349)</f>
        <v>0</v>
      </c>
      <c r="Z349" s="93">
        <f>SUM('3:4'!Z349)</f>
        <v>0</v>
      </c>
      <c r="AA349" s="93">
        <f>SUM('3:4'!AA349)</f>
        <v>0</v>
      </c>
      <c r="AB349" s="73"/>
      <c r="AC349" s="54"/>
      <c r="AD349" s="370"/>
      <c r="AE349" s="54"/>
      <c r="AF349" s="54"/>
      <c r="AG349" s="54"/>
      <c r="AH349" s="54"/>
      <c r="AI349" s="57"/>
      <c r="AJ349" s="57"/>
      <c r="AK349" s="57"/>
      <c r="AL349" s="54"/>
      <c r="AM349" s="54"/>
      <c r="AN349" s="54"/>
      <c r="AO349" s="369"/>
      <c r="AP349" s="54"/>
      <c r="AQ349" s="54"/>
      <c r="AR349" s="54"/>
      <c r="AS349" s="56"/>
      <c r="AT349" s="56"/>
      <c r="AU349" s="56"/>
      <c r="AV349" s="54"/>
      <c r="AW349" s="54"/>
      <c r="AX349" s="54"/>
      <c r="AY349" s="54"/>
      <c r="AZ349" s="54"/>
      <c r="BA349" s="54"/>
    </row>
    <row r="350" spans="1:53">
      <c r="A350" s="315">
        <v>30100048</v>
      </c>
      <c r="B350" s="62" t="s">
        <v>56</v>
      </c>
      <c r="C350" s="16" t="s">
        <v>53</v>
      </c>
      <c r="D350" s="17">
        <v>5.03</v>
      </c>
      <c r="E350" s="17"/>
      <c r="F350" s="6"/>
      <c r="G350" s="93">
        <f>SUM('3:4'!G350)</f>
        <v>0</v>
      </c>
      <c r="H350" s="95">
        <f t="shared" si="133"/>
        <v>0</v>
      </c>
      <c r="I350" s="93">
        <f>SUM('3:4'!I350)</f>
        <v>0</v>
      </c>
      <c r="J350" s="31" t="str">
        <f t="array" ref="J350">IF(ISERROR(G350/I350),"",G350/I350)</f>
        <v/>
      </c>
      <c r="K350" s="35">
        <f t="array" ref="K350">IF(ISERROR(G350/L350),"",G350/L350)</f>
        <v>0</v>
      </c>
      <c r="L350" s="87">
        <v>19</v>
      </c>
      <c r="M350" s="36">
        <f t="shared" si="134"/>
        <v>0</v>
      </c>
      <c r="N350" s="31">
        <f t="shared" si="137"/>
        <v>0</v>
      </c>
      <c r="O350" s="93">
        <f>SUM('3:4'!O350)</f>
        <v>0</v>
      </c>
      <c r="P350" s="93">
        <f>SUM('3:4'!P350)</f>
        <v>0</v>
      </c>
      <c r="Q350" s="93">
        <f>SUM('3:4'!Q350)</f>
        <v>0</v>
      </c>
      <c r="R350" s="93">
        <f>SUM('3:4'!R350)</f>
        <v>0</v>
      </c>
      <c r="S350" s="93">
        <f>SUM('3:4'!S350)</f>
        <v>0</v>
      </c>
      <c r="T350" s="93">
        <f>SUM('3:4'!T350)</f>
        <v>0</v>
      </c>
      <c r="U350" s="93">
        <f>SUM('3:4'!U350)</f>
        <v>0</v>
      </c>
      <c r="V350" s="206">
        <f t="shared" si="135"/>
        <v>0</v>
      </c>
      <c r="W350" s="33" t="str">
        <f t="shared" si="136"/>
        <v/>
      </c>
      <c r="X350" s="93">
        <f>SUM('3:4'!X350)</f>
        <v>0</v>
      </c>
      <c r="Y350" s="93">
        <f>SUM('3:4'!Y350)</f>
        <v>0</v>
      </c>
      <c r="Z350" s="93">
        <f>SUM('3:4'!Z350)</f>
        <v>0</v>
      </c>
      <c r="AA350" s="93">
        <f>SUM('3:4'!AA350)</f>
        <v>0</v>
      </c>
      <c r="AB350" s="73"/>
      <c r="AC350" s="54"/>
      <c r="AD350" s="370"/>
      <c r="AE350" s="54"/>
      <c r="AF350" s="54"/>
      <c r="AG350" s="54"/>
      <c r="AH350" s="54"/>
      <c r="AI350" s="57"/>
      <c r="AJ350" s="57"/>
      <c r="AK350" s="57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5"/>
      <c r="AW350" s="55"/>
      <c r="AX350" s="55"/>
      <c r="AY350" s="54"/>
      <c r="AZ350" s="54"/>
      <c r="BA350" s="54"/>
    </row>
    <row r="351" spans="1:53">
      <c r="A351" s="315">
        <v>30100047</v>
      </c>
      <c r="B351" s="62" t="s">
        <v>56</v>
      </c>
      <c r="C351" s="16" t="s">
        <v>57</v>
      </c>
      <c r="D351" s="17">
        <v>5.03</v>
      </c>
      <c r="E351" s="17"/>
      <c r="F351" s="6"/>
      <c r="G351" s="93">
        <f>SUM('3:4'!G351)</f>
        <v>0</v>
      </c>
      <c r="H351" s="95">
        <f t="shared" si="133"/>
        <v>0</v>
      </c>
      <c r="I351" s="93">
        <f>SUM('3:4'!I351)</f>
        <v>0</v>
      </c>
      <c r="J351" s="31" t="str">
        <f t="array" ref="J351">IF(ISERROR(G351/I351),"",G351/I351)</f>
        <v/>
      </c>
      <c r="K351" s="35">
        <f t="array" ref="K351">IF(ISERROR(G351/L351),"",G351/L351)</f>
        <v>0</v>
      </c>
      <c r="L351" s="87">
        <v>20</v>
      </c>
      <c r="M351" s="36">
        <f t="shared" si="134"/>
        <v>0</v>
      </c>
      <c r="N351" s="31">
        <f t="shared" si="137"/>
        <v>0</v>
      </c>
      <c r="O351" s="93">
        <f>SUM('3:4'!O351)</f>
        <v>0</v>
      </c>
      <c r="P351" s="93">
        <f>SUM('3:4'!P351)</f>
        <v>0</v>
      </c>
      <c r="Q351" s="93">
        <f>SUM('3:4'!Q351)</f>
        <v>0</v>
      </c>
      <c r="R351" s="93">
        <f>SUM('3:4'!R351)</f>
        <v>0</v>
      </c>
      <c r="S351" s="93">
        <f>SUM('3:4'!S351)</f>
        <v>0</v>
      </c>
      <c r="T351" s="93">
        <f>SUM('3:4'!T351)</f>
        <v>0</v>
      </c>
      <c r="U351" s="93">
        <f>SUM('3:4'!U351)</f>
        <v>0</v>
      </c>
      <c r="V351" s="206">
        <f t="shared" si="135"/>
        <v>0</v>
      </c>
      <c r="W351" s="33" t="str">
        <f t="shared" si="136"/>
        <v/>
      </c>
      <c r="X351" s="93">
        <f>SUM('3:4'!X351)</f>
        <v>0</v>
      </c>
      <c r="Y351" s="93">
        <f>SUM('3:4'!Y351)</f>
        <v>0</v>
      </c>
      <c r="Z351" s="93">
        <f>SUM('3:4'!Z351)</f>
        <v>0</v>
      </c>
      <c r="AA351" s="93">
        <f>SUM('3:4'!AA351)</f>
        <v>0</v>
      </c>
      <c r="AB351" s="73"/>
      <c r="AC351" s="54"/>
      <c r="AD351" s="370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</row>
    <row r="352" spans="1:53">
      <c r="A352" s="315">
        <v>30100052</v>
      </c>
      <c r="B352" s="62" t="s">
        <v>58</v>
      </c>
      <c r="C352" s="16" t="s">
        <v>53</v>
      </c>
      <c r="D352" s="17">
        <v>5.04</v>
      </c>
      <c r="E352" s="17"/>
      <c r="F352" s="6"/>
      <c r="G352" s="93">
        <f>SUM('3:4'!G352)</f>
        <v>0</v>
      </c>
      <c r="H352" s="95">
        <f t="shared" si="133"/>
        <v>0</v>
      </c>
      <c r="I352" s="93">
        <f>SUM('3:4'!I352)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134"/>
        <v>0</v>
      </c>
      <c r="N352" s="31">
        <f t="shared" si="137"/>
        <v>0</v>
      </c>
      <c r="O352" s="93">
        <f>SUM('3:4'!O352)</f>
        <v>0</v>
      </c>
      <c r="P352" s="93">
        <f>SUM('3:4'!P352)</f>
        <v>0</v>
      </c>
      <c r="Q352" s="93">
        <f>SUM('3:4'!Q352)</f>
        <v>0</v>
      </c>
      <c r="R352" s="93">
        <f>SUM('3:4'!R352)</f>
        <v>0</v>
      </c>
      <c r="S352" s="93">
        <f>SUM('3:4'!S352)</f>
        <v>0</v>
      </c>
      <c r="T352" s="93">
        <f>SUM('3:4'!T352)</f>
        <v>0</v>
      </c>
      <c r="U352" s="93">
        <f>SUM('3:4'!U352)</f>
        <v>0</v>
      </c>
      <c r="V352" s="206">
        <f t="shared" si="135"/>
        <v>0</v>
      </c>
      <c r="W352" s="33" t="str">
        <f t="shared" si="136"/>
        <v/>
      </c>
      <c r="X352" s="93">
        <f>SUM('3:4'!X352)</f>
        <v>0</v>
      </c>
      <c r="Y352" s="93">
        <f>SUM('3:4'!Y352)</f>
        <v>0</v>
      </c>
      <c r="Z352" s="93">
        <f>SUM('3:4'!Z352)</f>
        <v>0</v>
      </c>
      <c r="AA352" s="93">
        <f>SUM('3:4'!AA352)</f>
        <v>0</v>
      </c>
      <c r="AB352" s="73"/>
      <c r="AC352" s="54"/>
      <c r="AD352" s="370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</row>
    <row r="353" spans="1:53">
      <c r="A353" s="332">
        <v>30100059</v>
      </c>
      <c r="B353" s="62" t="s">
        <v>59</v>
      </c>
      <c r="C353" s="16" t="s">
        <v>60</v>
      </c>
      <c r="D353" s="17">
        <v>5.03</v>
      </c>
      <c r="E353" s="17"/>
      <c r="F353" s="6"/>
      <c r="G353" s="93">
        <f>SUM('3:4'!G353)</f>
        <v>0</v>
      </c>
      <c r="H353" s="95">
        <f t="shared" si="133"/>
        <v>0</v>
      </c>
      <c r="I353" s="93">
        <f>SUM('3:4'!I353)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3</v>
      </c>
      <c r="M353" s="36">
        <f t="shared" si="134"/>
        <v>0</v>
      </c>
      <c r="N353" s="31">
        <f t="shared" si="137"/>
        <v>0</v>
      </c>
      <c r="O353" s="93">
        <f>SUM('3:4'!O353)</f>
        <v>0</v>
      </c>
      <c r="P353" s="93">
        <f>SUM('3:4'!P353)</f>
        <v>0</v>
      </c>
      <c r="Q353" s="93">
        <f>SUM('3:4'!Q353)</f>
        <v>0</v>
      </c>
      <c r="R353" s="93">
        <f>SUM('3:4'!R353)</f>
        <v>0</v>
      </c>
      <c r="S353" s="93">
        <f>SUM('3:4'!S353)</f>
        <v>0</v>
      </c>
      <c r="T353" s="93">
        <f>SUM('3:4'!T353)</f>
        <v>0</v>
      </c>
      <c r="U353" s="93">
        <f>SUM('3:4'!U353)</f>
        <v>0</v>
      </c>
      <c r="V353" s="206">
        <f t="shared" si="135"/>
        <v>0</v>
      </c>
      <c r="W353" s="33" t="str">
        <f t="shared" si="136"/>
        <v/>
      </c>
      <c r="X353" s="93">
        <f>SUM('3:4'!X353)</f>
        <v>0</v>
      </c>
      <c r="Y353" s="93">
        <f>SUM('3:4'!Y353)</f>
        <v>0</v>
      </c>
      <c r="Z353" s="93">
        <f>SUM('3:4'!Z353)</f>
        <v>0</v>
      </c>
      <c r="AA353" s="93">
        <f>SUM('3:4'!AA353)</f>
        <v>0</v>
      </c>
      <c r="AB353" s="73"/>
      <c r="AC353" s="54"/>
      <c r="AD353" s="370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302">
        <v>30100060</v>
      </c>
      <c r="B354" s="62" t="s">
        <v>59</v>
      </c>
      <c r="C354" s="16" t="s">
        <v>61</v>
      </c>
      <c r="D354" s="17">
        <v>5.03</v>
      </c>
      <c r="E354" s="17"/>
      <c r="F354" s="6"/>
      <c r="G354" s="93">
        <f>SUM('3:4'!G354)</f>
        <v>0</v>
      </c>
      <c r="H354" s="95">
        <f t="shared" si="133"/>
        <v>0</v>
      </c>
      <c r="I354" s="93">
        <f>SUM('3:4'!I354)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3</v>
      </c>
      <c r="M354" s="36">
        <f t="shared" si="134"/>
        <v>0</v>
      </c>
      <c r="N354" s="31">
        <f t="shared" si="137"/>
        <v>0</v>
      </c>
      <c r="O354" s="93">
        <f>SUM('3:4'!O354)</f>
        <v>0</v>
      </c>
      <c r="P354" s="93">
        <f>SUM('3:4'!P354)</f>
        <v>0</v>
      </c>
      <c r="Q354" s="93">
        <f>SUM('3:4'!Q354)</f>
        <v>0</v>
      </c>
      <c r="R354" s="93">
        <f>SUM('3:4'!R354)</f>
        <v>0</v>
      </c>
      <c r="S354" s="93">
        <f>SUM('3:4'!S354)</f>
        <v>0</v>
      </c>
      <c r="T354" s="93">
        <f>SUM('3:4'!T354)</f>
        <v>0</v>
      </c>
      <c r="U354" s="93">
        <f>SUM('3:4'!U354)</f>
        <v>0</v>
      </c>
      <c r="V354" s="206">
        <f t="shared" si="135"/>
        <v>0</v>
      </c>
      <c r="W354" s="33" t="str">
        <f t="shared" si="136"/>
        <v/>
      </c>
      <c r="X354" s="93">
        <f>SUM('3:4'!X354)</f>
        <v>0</v>
      </c>
      <c r="Y354" s="93">
        <f>SUM('3:4'!Y354)</f>
        <v>0</v>
      </c>
      <c r="Z354" s="93">
        <f>SUM('3:4'!Z354)</f>
        <v>0</v>
      </c>
      <c r="AA354" s="93">
        <f>SUM('3:4'!AA354)</f>
        <v>0</v>
      </c>
      <c r="AB354" s="73"/>
      <c r="AC354" s="54"/>
      <c r="AD354" s="370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300">
        <v>30200006</v>
      </c>
      <c r="B355" s="62" t="s">
        <v>62</v>
      </c>
      <c r="C355" s="16" t="s">
        <v>63</v>
      </c>
      <c r="D355" s="17">
        <v>5.04</v>
      </c>
      <c r="E355" s="17"/>
      <c r="F355" s="79"/>
      <c r="G355" s="93">
        <f>SUM('3:4'!G355)</f>
        <v>0</v>
      </c>
      <c r="H355" s="95">
        <f t="shared" si="133"/>
        <v>0</v>
      </c>
      <c r="I355" s="93">
        <f>SUM('3:4'!I355)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17</v>
      </c>
      <c r="M355" s="36">
        <f t="shared" si="134"/>
        <v>0</v>
      </c>
      <c r="N355" s="31">
        <f t="shared" si="137"/>
        <v>0</v>
      </c>
      <c r="O355" s="93">
        <f>SUM('3:4'!O355)</f>
        <v>0</v>
      </c>
      <c r="P355" s="93">
        <f>SUM('3:4'!P355)</f>
        <v>0</v>
      </c>
      <c r="Q355" s="93">
        <f>SUM('3:4'!Q355)</f>
        <v>0</v>
      </c>
      <c r="R355" s="93">
        <f>SUM('3:4'!R355)</f>
        <v>0</v>
      </c>
      <c r="S355" s="93">
        <f>SUM('3:4'!S355)</f>
        <v>0</v>
      </c>
      <c r="T355" s="93">
        <f>SUM('3:4'!T355)</f>
        <v>0</v>
      </c>
      <c r="U355" s="93">
        <f>SUM('3:4'!U355)</f>
        <v>0</v>
      </c>
      <c r="V355" s="206">
        <f t="shared" si="135"/>
        <v>0</v>
      </c>
      <c r="W355" s="33" t="str">
        <f t="shared" si="136"/>
        <v/>
      </c>
      <c r="X355" s="93">
        <f>SUM('3:4'!X355)</f>
        <v>0</v>
      </c>
      <c r="Y355" s="93">
        <f>SUM('3:4'!Y355)</f>
        <v>0</v>
      </c>
      <c r="Z355" s="93">
        <f>SUM('3:4'!Z355)</f>
        <v>0</v>
      </c>
      <c r="AA355" s="93">
        <f>SUM('3:4'!AA355)</f>
        <v>0</v>
      </c>
      <c r="AB355" s="73"/>
      <c r="AC355" s="54"/>
      <c r="AD355" s="370"/>
      <c r="AE355" s="54"/>
      <c r="AF355" s="54"/>
      <c r="AG355" s="54"/>
      <c r="AH355" s="54"/>
      <c r="AI355" s="57"/>
      <c r="AJ355" s="57"/>
      <c r="AK355" s="57"/>
      <c r="AL355" s="369"/>
      <c r="AM355" s="54"/>
      <c r="AN355" s="54"/>
      <c r="AO355" s="54"/>
      <c r="AP355" s="369"/>
      <c r="AQ355" s="369"/>
      <c r="AR355" s="369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300">
        <v>30200005</v>
      </c>
      <c r="B356" s="62" t="s">
        <v>62</v>
      </c>
      <c r="C356" s="16" t="s">
        <v>64</v>
      </c>
      <c r="D356" s="17">
        <v>5.04</v>
      </c>
      <c r="E356" s="17"/>
      <c r="F356" s="79"/>
      <c r="G356" s="93">
        <f>SUM('3:4'!G356)</f>
        <v>0</v>
      </c>
      <c r="H356" s="95">
        <f t="shared" si="133"/>
        <v>0</v>
      </c>
      <c r="I356" s="93">
        <f>SUM('3:4'!I356)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17</v>
      </c>
      <c r="M356" s="36">
        <f t="shared" si="134"/>
        <v>0</v>
      </c>
      <c r="N356" s="31">
        <f t="shared" si="137"/>
        <v>0</v>
      </c>
      <c r="O356" s="93">
        <f>SUM('3:4'!O356)</f>
        <v>0</v>
      </c>
      <c r="P356" s="93">
        <f>SUM('3:4'!P356)</f>
        <v>0</v>
      </c>
      <c r="Q356" s="93">
        <f>SUM('3:4'!Q356)</f>
        <v>0</v>
      </c>
      <c r="R356" s="93">
        <f>SUM('3:4'!R356)</f>
        <v>0</v>
      </c>
      <c r="S356" s="93">
        <f>SUM('3:4'!S356)</f>
        <v>0</v>
      </c>
      <c r="T356" s="93">
        <f>SUM('3:4'!T356)</f>
        <v>0</v>
      </c>
      <c r="U356" s="93">
        <f>SUM('3:4'!U356)</f>
        <v>0</v>
      </c>
      <c r="V356" s="206">
        <f t="shared" si="135"/>
        <v>0</v>
      </c>
      <c r="W356" s="33" t="str">
        <f t="shared" si="136"/>
        <v/>
      </c>
      <c r="X356" s="93">
        <f>SUM('3:4'!X356)</f>
        <v>0</v>
      </c>
      <c r="Y356" s="93">
        <f>SUM('3:4'!Y356)</f>
        <v>0</v>
      </c>
      <c r="Z356" s="93">
        <f>SUM('3:4'!Z356)</f>
        <v>0</v>
      </c>
      <c r="AA356" s="93">
        <f>SUM('3:4'!AA356)</f>
        <v>0</v>
      </c>
      <c r="AB356" s="73"/>
      <c r="AC356" s="54"/>
      <c r="AD356" s="370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302">
        <v>30100063</v>
      </c>
      <c r="B357" s="62" t="s">
        <v>171</v>
      </c>
      <c r="C357" s="16" t="s">
        <v>172</v>
      </c>
      <c r="D357" s="17"/>
      <c r="E357" s="17"/>
      <c r="F357" s="79"/>
      <c r="G357" s="93">
        <f>SUM('3:4'!G357)</f>
        <v>0</v>
      </c>
      <c r="H357" s="95">
        <f t="shared" si="133"/>
        <v>0</v>
      </c>
      <c r="I357" s="93"/>
      <c r="J357" s="31"/>
      <c r="K357" s="35"/>
      <c r="L357" s="87"/>
      <c r="M357" s="36"/>
      <c r="N357" s="31"/>
      <c r="O357" s="93"/>
      <c r="P357" s="93"/>
      <c r="Q357" s="93"/>
      <c r="R357" s="93"/>
      <c r="S357" s="93"/>
      <c r="T357" s="93"/>
      <c r="U357" s="93"/>
      <c r="V357" s="206"/>
      <c r="W357" s="33"/>
      <c r="X357" s="93"/>
      <c r="Y357" s="93"/>
      <c r="Z357" s="93"/>
      <c r="AA357" s="93"/>
      <c r="AB357" s="73"/>
      <c r="AC357" s="54"/>
      <c r="AD357" s="370"/>
      <c r="AE357" s="54"/>
      <c r="AF357" s="54"/>
      <c r="AG357" s="54"/>
      <c r="AH357" s="54"/>
      <c r="AI357" s="57"/>
      <c r="AJ357" s="57"/>
      <c r="AK357" s="57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302">
        <v>30100061</v>
      </c>
      <c r="B358" s="62" t="s">
        <v>171</v>
      </c>
      <c r="C358" s="16" t="s">
        <v>173</v>
      </c>
      <c r="D358" s="17"/>
      <c r="E358" s="17"/>
      <c r="F358" s="79"/>
      <c r="G358" s="93">
        <f>SUM('3:4'!G358)</f>
        <v>0</v>
      </c>
      <c r="H358" s="95">
        <f t="shared" si="133"/>
        <v>0</v>
      </c>
      <c r="I358" s="93"/>
      <c r="J358" s="31"/>
      <c r="K358" s="35"/>
      <c r="L358" s="87"/>
      <c r="M358" s="36"/>
      <c r="N358" s="31"/>
      <c r="O358" s="93"/>
      <c r="P358" s="93"/>
      <c r="Q358" s="93"/>
      <c r="R358" s="93"/>
      <c r="S358" s="93"/>
      <c r="T358" s="93"/>
      <c r="U358" s="93"/>
      <c r="V358" s="206"/>
      <c r="W358" s="33"/>
      <c r="X358" s="93"/>
      <c r="Y358" s="93"/>
      <c r="Z358" s="93"/>
      <c r="AA358" s="93"/>
      <c r="AB358" s="73"/>
      <c r="AC358" s="54"/>
      <c r="AD358" s="370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300">
        <v>30200001</v>
      </c>
      <c r="B359" s="62" t="s">
        <v>67</v>
      </c>
      <c r="C359" s="16" t="s">
        <v>63</v>
      </c>
      <c r="D359" s="17">
        <v>5.0599999999999996</v>
      </c>
      <c r="E359" s="17"/>
      <c r="F359" s="6"/>
      <c r="G359" s="93">
        <f>SUM('3:4'!G359)</f>
        <v>0</v>
      </c>
      <c r="H359" s="95">
        <f t="shared" si="133"/>
        <v>0</v>
      </c>
      <c r="I359" s="93">
        <f>SUM('3:4'!I359)</f>
        <v>0</v>
      </c>
      <c r="J359" s="31" t="str">
        <f t="array" ref="J359">IF(ISERROR(G359/I359),"",G359/I359)</f>
        <v/>
      </c>
      <c r="K359" s="35">
        <f t="array" ref="K359">IF(ISERROR(G359/L359),"",G359/L359)</f>
        <v>0</v>
      </c>
      <c r="L359" s="87">
        <v>19</v>
      </c>
      <c r="M359" s="36">
        <f t="shared" ref="M359:M362" si="138">IF(ISERROR(I359-K359),"",I359-K359)</f>
        <v>0</v>
      </c>
      <c r="N359" s="31">
        <f t="shared" ref="N359:N362" si="139">SUM(O359:U359)</f>
        <v>0</v>
      </c>
      <c r="O359" s="93">
        <f>SUM('3:4'!O359)</f>
        <v>0</v>
      </c>
      <c r="P359" s="93">
        <f>SUM('3:4'!P359)</f>
        <v>0</v>
      </c>
      <c r="Q359" s="93">
        <f>SUM('3:4'!Q359)</f>
        <v>0</v>
      </c>
      <c r="R359" s="93">
        <f>SUM('3:4'!R359)</f>
        <v>0</v>
      </c>
      <c r="S359" s="93">
        <f>SUM('3:4'!S359)</f>
        <v>0</v>
      </c>
      <c r="T359" s="93">
        <f>SUM('3:4'!T359)</f>
        <v>0</v>
      </c>
      <c r="U359" s="93">
        <f>SUM('3:4'!U359)</f>
        <v>0</v>
      </c>
      <c r="V359" s="206">
        <f t="shared" ref="V359:V362" si="140">SUM(X359:AA359)</f>
        <v>0</v>
      </c>
      <c r="W359" s="33" t="str">
        <f t="shared" ref="W359:W362" si="141">IF(ISERROR(V359/G359),"",V359/G359)</f>
        <v/>
      </c>
      <c r="X359" s="93">
        <f>SUM('3:4'!X359)</f>
        <v>0</v>
      </c>
      <c r="Y359" s="93">
        <f>SUM('3:4'!Y359)</f>
        <v>0</v>
      </c>
      <c r="Z359" s="93">
        <f>SUM('3:4'!Z359)</f>
        <v>0</v>
      </c>
      <c r="AA359" s="93">
        <f>SUM('3:4'!AA359)</f>
        <v>0</v>
      </c>
      <c r="AB359" s="73"/>
      <c r="AC359" s="54"/>
      <c r="AD359" s="370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300">
        <v>30200002</v>
      </c>
      <c r="B360" s="62" t="s">
        <v>68</v>
      </c>
      <c r="C360" s="16" t="s">
        <v>63</v>
      </c>
      <c r="D360" s="17">
        <v>5.09</v>
      </c>
      <c r="E360" s="17"/>
      <c r="F360" s="6"/>
      <c r="G360" s="93">
        <f>SUM('3:4'!G360)</f>
        <v>0</v>
      </c>
      <c r="H360" s="95">
        <f t="shared" si="133"/>
        <v>0</v>
      </c>
      <c r="I360" s="93">
        <f>SUM('3:4'!I360)</f>
        <v>0</v>
      </c>
      <c r="J360" s="31" t="str">
        <f t="array" ref="J360">IF(ISERROR(G360/I360),"",G360/I360)</f>
        <v/>
      </c>
      <c r="K360" s="35">
        <f t="array" ref="K360">IF(ISERROR(G360/L360),"",G360/L360)</f>
        <v>0</v>
      </c>
      <c r="L360" s="87">
        <v>23</v>
      </c>
      <c r="M360" s="36">
        <f t="shared" si="138"/>
        <v>0</v>
      </c>
      <c r="N360" s="31">
        <f t="shared" si="139"/>
        <v>0</v>
      </c>
      <c r="O360" s="93">
        <f>SUM('3:4'!O360)</f>
        <v>0</v>
      </c>
      <c r="P360" s="93">
        <f>SUM('3:4'!P360)</f>
        <v>0</v>
      </c>
      <c r="Q360" s="93">
        <f>SUM('3:4'!Q360)</f>
        <v>0</v>
      </c>
      <c r="R360" s="93">
        <f>SUM('3:4'!R360)</f>
        <v>0</v>
      </c>
      <c r="S360" s="93">
        <f>SUM('3:4'!S360)</f>
        <v>0</v>
      </c>
      <c r="T360" s="93">
        <f>SUM('3:4'!T360)</f>
        <v>0</v>
      </c>
      <c r="U360" s="93">
        <f>SUM('3:4'!U360)</f>
        <v>0</v>
      </c>
      <c r="V360" s="206">
        <f t="shared" si="140"/>
        <v>0</v>
      </c>
      <c r="W360" s="33" t="str">
        <f t="shared" si="141"/>
        <v/>
      </c>
      <c r="X360" s="93">
        <f>SUM('3:4'!X360)</f>
        <v>0</v>
      </c>
      <c r="Y360" s="93">
        <f>SUM('3:4'!Y360)</f>
        <v>0</v>
      </c>
      <c r="Z360" s="93">
        <f>SUM('3:4'!Z360)</f>
        <v>0</v>
      </c>
      <c r="AA360" s="93">
        <f>SUM('3:4'!AA360)</f>
        <v>0</v>
      </c>
      <c r="AB360" s="73"/>
      <c r="AC360" s="54"/>
      <c r="AD360" s="370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300">
        <v>30200003</v>
      </c>
      <c r="B361" s="62" t="s">
        <v>68</v>
      </c>
      <c r="C361" s="16" t="s">
        <v>64</v>
      </c>
      <c r="D361" s="17">
        <v>5.09</v>
      </c>
      <c r="E361" s="17"/>
      <c r="F361" s="6"/>
      <c r="G361" s="93">
        <f>SUM('3:4'!G361)</f>
        <v>0</v>
      </c>
      <c r="H361" s="95">
        <f t="shared" si="133"/>
        <v>0</v>
      </c>
      <c r="I361" s="93">
        <f>SUM('3:4'!I361)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23</v>
      </c>
      <c r="M361" s="36">
        <f t="shared" si="138"/>
        <v>0</v>
      </c>
      <c r="N361" s="31">
        <f t="shared" si="139"/>
        <v>0</v>
      </c>
      <c r="O361" s="93">
        <f>SUM('3:4'!O361)</f>
        <v>0</v>
      </c>
      <c r="P361" s="93">
        <f>SUM('3:4'!P361)</f>
        <v>0</v>
      </c>
      <c r="Q361" s="93">
        <f>SUM('3:4'!Q361)</f>
        <v>0</v>
      </c>
      <c r="R361" s="93">
        <f>SUM('3:4'!R361)</f>
        <v>0</v>
      </c>
      <c r="S361" s="93">
        <f>SUM('3:4'!S361)</f>
        <v>0</v>
      </c>
      <c r="T361" s="93">
        <f>SUM('3:4'!T361)</f>
        <v>0</v>
      </c>
      <c r="U361" s="93">
        <f>SUM('3:4'!U361)</f>
        <v>0</v>
      </c>
      <c r="V361" s="206">
        <f t="shared" si="140"/>
        <v>0</v>
      </c>
      <c r="W361" s="33" t="str">
        <f t="shared" si="141"/>
        <v/>
      </c>
      <c r="X361" s="93">
        <f>SUM('3:4'!X361)</f>
        <v>0</v>
      </c>
      <c r="Y361" s="93">
        <f>SUM('3:4'!Y361)</f>
        <v>0</v>
      </c>
      <c r="Z361" s="93">
        <f>SUM('3:4'!Z361)</f>
        <v>0</v>
      </c>
      <c r="AA361" s="93">
        <f>SUM('3:4'!AA361)</f>
        <v>0</v>
      </c>
      <c r="AB361" s="73"/>
      <c r="AC361" s="54"/>
      <c r="AD361" s="370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300">
        <v>30100003</v>
      </c>
      <c r="B362" s="141" t="s">
        <v>198</v>
      </c>
      <c r="C362" s="356" t="s">
        <v>190</v>
      </c>
      <c r="D362" s="108">
        <v>4.8</v>
      </c>
      <c r="E362" s="17"/>
      <c r="F362" s="6"/>
      <c r="G362" s="93">
        <f>SUM('3:4'!G362)</f>
        <v>0</v>
      </c>
      <c r="H362" s="95">
        <f t="shared" si="133"/>
        <v>0</v>
      </c>
      <c r="I362" s="93">
        <f>SUM('3:4'!I362)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4</v>
      </c>
      <c r="M362" s="36">
        <f t="shared" si="138"/>
        <v>0</v>
      </c>
      <c r="N362" s="31">
        <f t="shared" si="139"/>
        <v>0</v>
      </c>
      <c r="O362" s="93">
        <f>SUM('3:4'!O362)</f>
        <v>0</v>
      </c>
      <c r="P362" s="93">
        <f>SUM('3:4'!P362)</f>
        <v>0</v>
      </c>
      <c r="Q362" s="93">
        <f>SUM('3:4'!Q362)</f>
        <v>0</v>
      </c>
      <c r="R362" s="93">
        <f>SUM('3:4'!R362)</f>
        <v>0</v>
      </c>
      <c r="S362" s="93">
        <f>SUM('3:4'!S362)</f>
        <v>0</v>
      </c>
      <c r="T362" s="93">
        <f>SUM('3:4'!T362)</f>
        <v>0</v>
      </c>
      <c r="U362" s="93">
        <f>SUM('3:4'!U362)</f>
        <v>0</v>
      </c>
      <c r="V362" s="206">
        <f t="shared" si="140"/>
        <v>0</v>
      </c>
      <c r="W362" s="33" t="str">
        <f t="shared" si="141"/>
        <v/>
      </c>
      <c r="X362" s="93">
        <f>SUM('3:4'!X362)</f>
        <v>0</v>
      </c>
      <c r="Y362" s="93">
        <f>SUM('3:4'!Y362)</f>
        <v>0</v>
      </c>
      <c r="Z362" s="93">
        <f>SUM('3:4'!Z362)</f>
        <v>0</v>
      </c>
      <c r="AA362" s="93">
        <f>SUM('3:4'!AA362)</f>
        <v>0</v>
      </c>
      <c r="AB362" s="73"/>
      <c r="AC362" s="54"/>
      <c r="AD362" s="370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300">
        <v>30100004</v>
      </c>
      <c r="B363" s="141" t="s">
        <v>198</v>
      </c>
      <c r="C363" s="356" t="s">
        <v>187</v>
      </c>
      <c r="D363" s="108">
        <v>4.8</v>
      </c>
      <c r="E363" s="17"/>
      <c r="F363" s="6"/>
      <c r="G363" s="93">
        <f>SUM('3:4'!G363)</f>
        <v>0</v>
      </c>
      <c r="H363" s="95">
        <f t="shared" si="133"/>
        <v>0</v>
      </c>
      <c r="I363" s="93">
        <f>SUM('3:4'!I363)</f>
        <v>0</v>
      </c>
      <c r="J363" s="31"/>
      <c r="K363" s="35">
        <f t="array" ref="K363">IF(ISERROR(G363/L363),"",G363/L363)</f>
        <v>0</v>
      </c>
      <c r="L363" s="87">
        <v>4</v>
      </c>
      <c r="M363" s="36">
        <f>IF(ISERROR(I363-K363),"",I363-K363)</f>
        <v>0</v>
      </c>
      <c r="N363" s="31"/>
      <c r="O363" s="93">
        <f>SUM('3:4'!O363)</f>
        <v>0</v>
      </c>
      <c r="P363" s="93">
        <f>SUM('3:4'!P363)</f>
        <v>0</v>
      </c>
      <c r="Q363" s="93">
        <f>SUM('3:4'!Q363)</f>
        <v>0</v>
      </c>
      <c r="R363" s="93">
        <f>SUM('3:4'!R363)</f>
        <v>0</v>
      </c>
      <c r="S363" s="93">
        <f>SUM('3:4'!S363)</f>
        <v>0</v>
      </c>
      <c r="T363" s="93">
        <f>SUM('3:4'!T363)</f>
        <v>0</v>
      </c>
      <c r="U363" s="93">
        <f>SUM('3:4'!U363)</f>
        <v>0</v>
      </c>
      <c r="V363" s="206"/>
      <c r="W363" s="33"/>
      <c r="X363" s="93">
        <f>SUM('3:4'!X363)</f>
        <v>0</v>
      </c>
      <c r="Y363" s="93">
        <f>SUM('3:4'!Y363)</f>
        <v>0</v>
      </c>
      <c r="Z363" s="93">
        <f>SUM('3:4'!Z363)</f>
        <v>0</v>
      </c>
      <c r="AA363" s="93">
        <f>SUM('3:4'!AA363)</f>
        <v>0</v>
      </c>
      <c r="AB363" s="73"/>
      <c r="AC363" s="54"/>
      <c r="AD363" s="370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300">
        <v>30100006</v>
      </c>
      <c r="B364" s="141" t="s">
        <v>198</v>
      </c>
      <c r="C364" s="356" t="s">
        <v>179</v>
      </c>
      <c r="D364" s="108">
        <v>4.8</v>
      </c>
      <c r="E364" s="17"/>
      <c r="F364" s="6"/>
      <c r="G364" s="93">
        <f>SUM('3:4'!G364)</f>
        <v>0</v>
      </c>
      <c r="H364" s="95">
        <f t="shared" si="133"/>
        <v>0</v>
      </c>
      <c r="I364" s="93">
        <f>SUM('3:4'!I364)</f>
        <v>0</v>
      </c>
      <c r="J364" s="31"/>
      <c r="K364" s="35">
        <f t="array" ref="K364">IF(ISERROR(G364/L364),"",G364/L364)</f>
        <v>0</v>
      </c>
      <c r="L364" s="87">
        <v>4</v>
      </c>
      <c r="M364" s="36">
        <f>IF(ISERROR(I364-K364),"",I364-K364)</f>
        <v>0</v>
      </c>
      <c r="N364" s="31"/>
      <c r="O364" s="93">
        <f>SUM('3:4'!O364)</f>
        <v>0</v>
      </c>
      <c r="P364" s="93">
        <f>SUM('3:4'!P364)</f>
        <v>0</v>
      </c>
      <c r="Q364" s="93">
        <f>SUM('3:4'!Q364)</f>
        <v>0</v>
      </c>
      <c r="R364" s="93">
        <f>SUM('3:4'!R364)</f>
        <v>0</v>
      </c>
      <c r="S364" s="93">
        <f>SUM('3:4'!S364)</f>
        <v>0</v>
      </c>
      <c r="T364" s="93">
        <f>SUM('3:4'!T364)</f>
        <v>0</v>
      </c>
      <c r="U364" s="93">
        <f>SUM('3:4'!U364)</f>
        <v>0</v>
      </c>
      <c r="V364" s="206"/>
      <c r="W364" s="33"/>
      <c r="X364" s="93">
        <f>SUM('3:4'!X364)</f>
        <v>0</v>
      </c>
      <c r="Y364" s="93">
        <f>SUM('3:4'!Y364)</f>
        <v>0</v>
      </c>
      <c r="Z364" s="93">
        <f>SUM('3:4'!Z364)</f>
        <v>0</v>
      </c>
      <c r="AA364" s="93">
        <f>SUM('3:4'!AA364)</f>
        <v>0</v>
      </c>
      <c r="AB364" s="73"/>
      <c r="AC364" s="54"/>
      <c r="AD364" s="370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300">
        <v>30100005</v>
      </c>
      <c r="B365" s="141" t="s">
        <v>198</v>
      </c>
      <c r="C365" s="356" t="s">
        <v>199</v>
      </c>
      <c r="D365" s="108">
        <v>4.8</v>
      </c>
      <c r="E365" s="17"/>
      <c r="F365" s="6"/>
      <c r="G365" s="93">
        <f>SUM('3:4'!G365)</f>
        <v>0</v>
      </c>
      <c r="H365" s="95">
        <f t="shared" si="133"/>
        <v>0</v>
      </c>
      <c r="I365" s="93">
        <f>SUM('3:4'!I365)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SUM('3:4'!O365)</f>
        <v>0</v>
      </c>
      <c r="P365" s="93">
        <f>SUM('3:4'!P365)</f>
        <v>0</v>
      </c>
      <c r="Q365" s="93">
        <f>SUM('3:4'!Q365)</f>
        <v>0</v>
      </c>
      <c r="R365" s="93">
        <f>SUM('3:4'!R365)</f>
        <v>0</v>
      </c>
      <c r="S365" s="93">
        <f>SUM('3:4'!S365)</f>
        <v>0</v>
      </c>
      <c r="T365" s="93">
        <f>SUM('3:4'!T365)</f>
        <v>0</v>
      </c>
      <c r="U365" s="93">
        <f>SUM('3:4'!U365)</f>
        <v>0</v>
      </c>
      <c r="V365" s="206"/>
      <c r="W365" s="33"/>
      <c r="X365" s="93">
        <f>SUM('3:4'!X365)</f>
        <v>0</v>
      </c>
      <c r="Y365" s="93">
        <f>SUM('3:4'!Y365)</f>
        <v>0</v>
      </c>
      <c r="Z365" s="93">
        <f>SUM('3:4'!Z365)</f>
        <v>0</v>
      </c>
      <c r="AA365" s="93">
        <f>SUM('3:4'!AA365)</f>
        <v>0</v>
      </c>
      <c r="AB365" s="73"/>
      <c r="AC365" s="54"/>
      <c r="AD365" s="370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300">
        <v>30100009</v>
      </c>
      <c r="B366" s="141" t="s">
        <v>200</v>
      </c>
      <c r="C366" s="126" t="s">
        <v>190</v>
      </c>
      <c r="D366" s="108">
        <v>4.99</v>
      </c>
      <c r="E366" s="17"/>
      <c r="F366" s="6"/>
      <c r="G366" s="93">
        <f>SUM('3:4'!G366)</f>
        <v>0</v>
      </c>
      <c r="H366" s="95">
        <f t="shared" si="133"/>
        <v>0</v>
      </c>
      <c r="I366" s="93">
        <f>SUM('3:4'!I366)</f>
        <v>0</v>
      </c>
      <c r="J366" s="31"/>
      <c r="K366" s="35">
        <f t="array" ref="K366">IF(ISERROR(G366/L366),"",G366/L366)</f>
        <v>0</v>
      </c>
      <c r="L366" s="87">
        <v>23.5</v>
      </c>
      <c r="M366" s="36">
        <f>IF(ISERROR(I366-K366),"",I366-K366)</f>
        <v>0</v>
      </c>
      <c r="N366" s="31"/>
      <c r="O366" s="93">
        <f>SUM('3:4'!O366)</f>
        <v>0</v>
      </c>
      <c r="P366" s="93">
        <f>SUM('3:4'!P366)</f>
        <v>0</v>
      </c>
      <c r="Q366" s="93">
        <f>SUM('3:4'!Q366)</f>
        <v>0</v>
      </c>
      <c r="R366" s="93">
        <f>SUM('3:4'!R366)</f>
        <v>0</v>
      </c>
      <c r="S366" s="93">
        <f>SUM('3:4'!S366)</f>
        <v>0</v>
      </c>
      <c r="T366" s="93">
        <f>SUM('3:4'!T366)</f>
        <v>0</v>
      </c>
      <c r="U366" s="93">
        <f>SUM('3:4'!U366)</f>
        <v>0</v>
      </c>
      <c r="V366" s="206"/>
      <c r="W366" s="33"/>
      <c r="X366" s="93">
        <f>SUM('3:4'!X366)</f>
        <v>0</v>
      </c>
      <c r="Y366" s="93">
        <f>SUM('3:4'!Y366)</f>
        <v>0</v>
      </c>
      <c r="Z366" s="93">
        <f>SUM('3:4'!Z366)</f>
        <v>0</v>
      </c>
      <c r="AA366" s="93">
        <f>SUM('3:4'!AA366)</f>
        <v>0</v>
      </c>
      <c r="AB366" s="73"/>
      <c r="AC366" s="54"/>
      <c r="AD366" s="370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299">
        <v>30200004</v>
      </c>
      <c r="B367" s="141" t="s">
        <v>200</v>
      </c>
      <c r="C367" s="126" t="s">
        <v>189</v>
      </c>
      <c r="D367" s="108">
        <v>4.99</v>
      </c>
      <c r="E367" s="17"/>
      <c r="F367" s="13"/>
      <c r="G367" s="93">
        <f>SUM('3:4'!G367)</f>
        <v>0</v>
      </c>
      <c r="H367" s="95">
        <f t="shared" si="133"/>
        <v>0</v>
      </c>
      <c r="I367" s="93">
        <f>SUM('3:4'!I367)</f>
        <v>0</v>
      </c>
      <c r="J367" s="31" t="str">
        <f t="array" ref="J367">IF(ISERROR(G367/I367),"",G367/I367)</f>
        <v/>
      </c>
      <c r="K367" s="35">
        <f t="array" ref="K367">IF(ISERROR(G367/L367),"",G367/L367)</f>
        <v>0</v>
      </c>
      <c r="L367" s="87">
        <v>23.5</v>
      </c>
      <c r="M367" s="36">
        <f t="shared" ref="M367" si="142">IF(ISERROR(I367-K367),"",I367-K367)</f>
        <v>0</v>
      </c>
      <c r="N367" s="31">
        <f t="shared" ref="N367" si="143">SUM(O367:U367)</f>
        <v>0</v>
      </c>
      <c r="O367" s="93">
        <f>SUM('3:4'!O367)</f>
        <v>0</v>
      </c>
      <c r="P367" s="93">
        <f>SUM('3:4'!P367)</f>
        <v>0</v>
      </c>
      <c r="Q367" s="93">
        <f>SUM('3:4'!Q367)</f>
        <v>0</v>
      </c>
      <c r="R367" s="93">
        <f>SUM('3:4'!R367)</f>
        <v>0</v>
      </c>
      <c r="S367" s="93">
        <f>SUM('3:4'!S367)</f>
        <v>0</v>
      </c>
      <c r="T367" s="93">
        <f>SUM('3:4'!T367)</f>
        <v>0</v>
      </c>
      <c r="U367" s="93">
        <f>SUM('3:4'!U367)</f>
        <v>0</v>
      </c>
      <c r="V367" s="206">
        <f t="shared" ref="V367" si="144">SUM(X367:AA367)</f>
        <v>0</v>
      </c>
      <c r="W367" s="33" t="str">
        <f t="shared" ref="W367" si="145">IF(ISERROR(V367/G367),"",V367/G367)</f>
        <v/>
      </c>
      <c r="X367" s="93">
        <f>SUM('3:4'!X367)</f>
        <v>0</v>
      </c>
      <c r="Y367" s="93">
        <f>SUM('3:4'!Y367)</f>
        <v>0</v>
      </c>
      <c r="Z367" s="93">
        <f>SUM('3:4'!Z367)</f>
        <v>0</v>
      </c>
      <c r="AA367" s="93">
        <f>SUM('3:4'!AA367)</f>
        <v>0</v>
      </c>
      <c r="AB367" s="73"/>
      <c r="AC367" s="54"/>
      <c r="AD367" s="370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722" t="s">
        <v>70</v>
      </c>
      <c r="B368" s="723"/>
      <c r="C368" s="31" t="s">
        <v>71</v>
      </c>
      <c r="D368" s="30"/>
      <c r="E368" s="30"/>
      <c r="F368" s="30"/>
      <c r="G368" s="94">
        <f>SUM(G347:G367)</f>
        <v>0</v>
      </c>
      <c r="H368" s="30">
        <f>SUM(H347:H367)</f>
        <v>0</v>
      </c>
      <c r="I368" s="30">
        <f>SUM(I347:I367)</f>
        <v>0</v>
      </c>
      <c r="J368" s="31" t="str">
        <f t="array" ref="J368">IF(ISERROR(G368/I368),"",G368/I368)</f>
        <v/>
      </c>
      <c r="K368" s="30">
        <f>SUM(K347:K367)</f>
        <v>0</v>
      </c>
      <c r="L368" s="98"/>
      <c r="M368" s="89">
        <f t="shared" ref="M368:AA368" si="146">SUM(M347:M367)</f>
        <v>0</v>
      </c>
      <c r="N368" s="30">
        <f t="shared" si="146"/>
        <v>0</v>
      </c>
      <c r="O368" s="34">
        <f t="shared" si="146"/>
        <v>0</v>
      </c>
      <c r="P368" s="34">
        <f t="shared" si="146"/>
        <v>0</v>
      </c>
      <c r="Q368" s="34">
        <f t="shared" si="146"/>
        <v>0</v>
      </c>
      <c r="R368" s="34">
        <f t="shared" si="146"/>
        <v>0</v>
      </c>
      <c r="S368" s="34">
        <f t="shared" si="146"/>
        <v>0</v>
      </c>
      <c r="T368" s="34">
        <f t="shared" si="146"/>
        <v>0</v>
      </c>
      <c r="U368" s="34">
        <f t="shared" si="146"/>
        <v>0</v>
      </c>
      <c r="V368" s="206">
        <f t="shared" si="146"/>
        <v>0</v>
      </c>
      <c r="W368" s="33">
        <f t="shared" si="146"/>
        <v>0</v>
      </c>
      <c r="X368" s="92">
        <f t="shared" si="146"/>
        <v>0</v>
      </c>
      <c r="Y368" s="92">
        <f t="shared" si="146"/>
        <v>0</v>
      </c>
      <c r="Z368" s="92">
        <f t="shared" si="146"/>
        <v>0</v>
      </c>
      <c r="AA368" s="92">
        <f t="shared" si="146"/>
        <v>0</v>
      </c>
      <c r="AB368" s="70"/>
      <c r="AC368" s="70"/>
      <c r="AD368" s="58"/>
      <c r="AE368" s="70"/>
      <c r="AF368" s="70"/>
      <c r="AG368" s="70"/>
      <c r="AH368" s="70"/>
      <c r="AI368" s="58"/>
      <c r="AJ368" s="58"/>
      <c r="AK368" s="58"/>
      <c r="AL368" s="58"/>
      <c r="AM368" s="58"/>
      <c r="AN368" s="58"/>
      <c r="AO368" s="58"/>
      <c r="AP368" s="58"/>
      <c r="AQ368" s="58"/>
      <c r="AR368" s="58"/>
      <c r="AS368" s="58"/>
      <c r="AT368" s="58"/>
      <c r="AU368" s="58"/>
      <c r="AV368" s="58"/>
      <c r="AW368" s="58"/>
      <c r="AX368" s="58"/>
      <c r="AY368" s="58"/>
      <c r="AZ368" s="58"/>
      <c r="BA368" s="58"/>
    </row>
    <row r="369" spans="1:53">
      <c r="A369" s="300">
        <v>30100012</v>
      </c>
      <c r="B369" s="61" t="s">
        <v>76</v>
      </c>
      <c r="C369" s="16" t="s">
        <v>73</v>
      </c>
      <c r="D369" s="17">
        <v>5.03</v>
      </c>
      <c r="E369" s="17"/>
      <c r="F369" s="6"/>
      <c r="G369" s="93">
        <f>SUM('3:4'!G369)</f>
        <v>0</v>
      </c>
      <c r="H369" s="364">
        <f t="shared" ref="H369:H425" si="147">D369*G369</f>
        <v>0</v>
      </c>
      <c r="I369" s="93">
        <f>SUM('3:4'!I369)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52</v>
      </c>
      <c r="M369" s="36">
        <f t="shared" ref="M369" si="148">IF(ISERROR(I369-K369),"",I369-K369)</f>
        <v>0</v>
      </c>
      <c r="N369" s="31">
        <f t="shared" ref="N369" si="149">SUM(O369:U369)</f>
        <v>0</v>
      </c>
      <c r="O369" s="93">
        <f>SUM('3:4'!O369)</f>
        <v>0</v>
      </c>
      <c r="P369" s="93">
        <f>SUM('3:4'!P369)</f>
        <v>0</v>
      </c>
      <c r="Q369" s="93">
        <f>SUM('3:4'!Q369)</f>
        <v>0</v>
      </c>
      <c r="R369" s="93">
        <f>SUM('3:4'!R369)</f>
        <v>0</v>
      </c>
      <c r="S369" s="93">
        <f>SUM('3:4'!S369)</f>
        <v>0</v>
      </c>
      <c r="T369" s="93">
        <f>SUM('3:4'!T369)</f>
        <v>0</v>
      </c>
      <c r="U369" s="93">
        <f>SUM('3:4'!U369)</f>
        <v>0</v>
      </c>
      <c r="V369" s="206">
        <f t="shared" ref="V369" si="150">SUM(X369:AA369)</f>
        <v>0</v>
      </c>
      <c r="W369" s="33" t="str">
        <f t="shared" ref="W369" si="151">IF(ISERROR(V369/G369),"",V369/G369)</f>
        <v/>
      </c>
      <c r="X369" s="93">
        <f>SUM('3:4'!X369)</f>
        <v>0</v>
      </c>
      <c r="Y369" s="93">
        <f>SUM('3:4'!Y369)</f>
        <v>0</v>
      </c>
      <c r="Z369" s="93">
        <f>SUM('3:4'!Z369)</f>
        <v>0</v>
      </c>
      <c r="AA369" s="93">
        <f>SUM('3:4'!AA369)</f>
        <v>0</v>
      </c>
      <c r="AB369" s="25"/>
      <c r="AC369" s="54"/>
      <c r="AD369" s="370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300">
        <v>30100011</v>
      </c>
      <c r="B370" s="190" t="s">
        <v>425</v>
      </c>
      <c r="C370" s="187" t="s">
        <v>427</v>
      </c>
      <c r="D370" s="17">
        <v>5.03</v>
      </c>
      <c r="E370" s="17"/>
      <c r="F370" s="6"/>
      <c r="G370" s="93">
        <f>SUM('3:4'!G370)</f>
        <v>0</v>
      </c>
      <c r="H370" s="364">
        <f t="shared" si="147"/>
        <v>0</v>
      </c>
      <c r="I370" s="93"/>
      <c r="J370" s="31"/>
      <c r="K370" s="35">
        <f t="array" ref="K370">IF(ISERROR(G370/L370),"",G370/L370)</f>
        <v>0</v>
      </c>
      <c r="L370" s="87">
        <v>52</v>
      </c>
      <c r="M370" s="36"/>
      <c r="N370" s="31"/>
      <c r="O370" s="93"/>
      <c r="P370" s="93"/>
      <c r="Q370" s="93"/>
      <c r="R370" s="93"/>
      <c r="S370" s="93"/>
      <c r="T370" s="93"/>
      <c r="U370" s="93"/>
      <c r="V370" s="206"/>
      <c r="W370" s="33"/>
      <c r="X370" s="93"/>
      <c r="Y370" s="93"/>
      <c r="Z370" s="93"/>
      <c r="AA370" s="93"/>
      <c r="AB370" s="25"/>
      <c r="AC370" s="54"/>
      <c r="AD370" s="370"/>
      <c r="AE370" s="54"/>
      <c r="AF370" s="54"/>
      <c r="AG370" s="54"/>
      <c r="AH370" s="54"/>
      <c r="AI370" s="57"/>
      <c r="AJ370" s="57"/>
      <c r="AK370" s="57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</row>
    <row r="371" spans="1:53">
      <c r="A371" s="300">
        <v>30100010</v>
      </c>
      <c r="B371" s="61" t="s">
        <v>76</v>
      </c>
      <c r="C371" s="16" t="s">
        <v>60</v>
      </c>
      <c r="D371" s="17">
        <v>5.03</v>
      </c>
      <c r="E371" s="17"/>
      <c r="F371" s="6"/>
      <c r="G371" s="93">
        <f>SUM('3:4'!G371)</f>
        <v>0</v>
      </c>
      <c r="H371" s="364">
        <f t="shared" si="147"/>
        <v>0</v>
      </c>
      <c r="I371" s="93">
        <f>SUM('3:4'!I371)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 t="shared" ref="M371:M406" si="152">IF(ISERROR(I371-K371),"",I371-K371)</f>
        <v>0</v>
      </c>
      <c r="N371" s="31">
        <f t="shared" ref="N371:N373" si="153">SUM(O371:U371)</f>
        <v>0</v>
      </c>
      <c r="O371" s="93">
        <f>SUM('3:4'!O371)</f>
        <v>0</v>
      </c>
      <c r="P371" s="93">
        <f>SUM('3:4'!P371)</f>
        <v>0</v>
      </c>
      <c r="Q371" s="93">
        <f>SUM('3:4'!Q371)</f>
        <v>0</v>
      </c>
      <c r="R371" s="93">
        <f>SUM('3:4'!R371)</f>
        <v>0</v>
      </c>
      <c r="S371" s="93">
        <f>SUM('3:4'!S371)</f>
        <v>0</v>
      </c>
      <c r="T371" s="93">
        <f>SUM('3:4'!T371)</f>
        <v>0</v>
      </c>
      <c r="U371" s="93">
        <f>SUM('3:4'!U371)</f>
        <v>0</v>
      </c>
      <c r="V371" s="206">
        <f t="shared" ref="V371:V373" si="154">SUM(X371:AA371)</f>
        <v>0</v>
      </c>
      <c r="W371" s="33" t="str">
        <f t="shared" ref="W371:W373" si="155">IF(ISERROR(V371/G371),"",V371/G371)</f>
        <v/>
      </c>
      <c r="X371" s="93">
        <f>SUM('3:4'!X371)</f>
        <v>0</v>
      </c>
      <c r="Y371" s="93">
        <f>SUM('3:4'!Y371)</f>
        <v>0</v>
      </c>
      <c r="Z371" s="93">
        <f>SUM('3:4'!Z371)</f>
        <v>0</v>
      </c>
      <c r="AA371" s="93">
        <f>SUM('3:4'!AA371)</f>
        <v>0</v>
      </c>
      <c r="AB371" s="25"/>
      <c r="AC371" s="54"/>
      <c r="AD371" s="370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 ht="17.25" customHeight="1">
      <c r="A372" s="300">
        <v>30100014</v>
      </c>
      <c r="B372" s="61" t="s">
        <v>76</v>
      </c>
      <c r="C372" s="16" t="s">
        <v>72</v>
      </c>
      <c r="D372" s="17">
        <v>5.03</v>
      </c>
      <c r="E372" s="17"/>
      <c r="F372" s="6"/>
      <c r="G372" s="93">
        <f>SUM('3:4'!G372)</f>
        <v>0</v>
      </c>
      <c r="H372" s="364">
        <f t="shared" si="147"/>
        <v>0</v>
      </c>
      <c r="I372" s="93">
        <f>SUM('3:4'!I372)</f>
        <v>0</v>
      </c>
      <c r="J372" s="31" t="str">
        <f t="array" ref="J372">IF(ISERROR(G372/I372),"",G372/I372)</f>
        <v/>
      </c>
      <c r="K372" s="35">
        <f t="array" ref="K372">IF(ISERROR(G372/L372),"",G372/L372)</f>
        <v>0</v>
      </c>
      <c r="L372" s="87">
        <v>52</v>
      </c>
      <c r="M372" s="36">
        <f t="shared" si="152"/>
        <v>0</v>
      </c>
      <c r="N372" s="31">
        <f t="shared" si="153"/>
        <v>0</v>
      </c>
      <c r="O372" s="93">
        <f>SUM('3:4'!O372)</f>
        <v>0</v>
      </c>
      <c r="P372" s="93">
        <f>SUM('3:4'!P372)</f>
        <v>0</v>
      </c>
      <c r="Q372" s="93">
        <f>SUM('3:4'!Q372)</f>
        <v>0</v>
      </c>
      <c r="R372" s="93">
        <f>SUM('3:4'!R372)</f>
        <v>0</v>
      </c>
      <c r="S372" s="93">
        <f>SUM('3:4'!S372)</f>
        <v>0</v>
      </c>
      <c r="T372" s="93">
        <f>SUM('3:4'!T372)</f>
        <v>0</v>
      </c>
      <c r="U372" s="93">
        <f>SUM('3:4'!U372)</f>
        <v>0</v>
      </c>
      <c r="V372" s="206">
        <f t="shared" si="154"/>
        <v>0</v>
      </c>
      <c r="W372" s="33" t="str">
        <f t="shared" si="155"/>
        <v/>
      </c>
      <c r="X372" s="93">
        <f>SUM('3:4'!X372)</f>
        <v>0</v>
      </c>
      <c r="Y372" s="93">
        <f>SUM('3:4'!Y372)</f>
        <v>0</v>
      </c>
      <c r="Z372" s="93">
        <f>SUM('3:4'!Z372)</f>
        <v>0</v>
      </c>
      <c r="AA372" s="93">
        <f>SUM('3:4'!AA372)</f>
        <v>0</v>
      </c>
      <c r="AB372" s="25"/>
      <c r="AC372" s="54"/>
      <c r="AD372" s="370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300">
        <v>30100013</v>
      </c>
      <c r="B373" s="61" t="s">
        <v>76</v>
      </c>
      <c r="C373" s="16" t="s">
        <v>77</v>
      </c>
      <c r="D373" s="17">
        <v>5.03</v>
      </c>
      <c r="E373" s="17"/>
      <c r="F373" s="6"/>
      <c r="G373" s="93">
        <f>SUM('3:4'!G373)</f>
        <v>0</v>
      </c>
      <c r="H373" s="364">
        <f t="shared" si="147"/>
        <v>0</v>
      </c>
      <c r="I373" s="93">
        <f>SUM('3:4'!I373)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si="152"/>
        <v>0</v>
      </c>
      <c r="N373" s="31">
        <f t="shared" si="153"/>
        <v>0</v>
      </c>
      <c r="O373" s="93">
        <f>SUM('3:4'!O373)</f>
        <v>0</v>
      </c>
      <c r="P373" s="93">
        <f>SUM('3:4'!P373)</f>
        <v>0</v>
      </c>
      <c r="Q373" s="93">
        <f>SUM('3:4'!Q373)</f>
        <v>0</v>
      </c>
      <c r="R373" s="93">
        <f>SUM('3:4'!R373)</f>
        <v>0</v>
      </c>
      <c r="S373" s="93">
        <f>SUM('3:4'!S373)</f>
        <v>0</v>
      </c>
      <c r="T373" s="93">
        <f>SUM('3:4'!T373)</f>
        <v>0</v>
      </c>
      <c r="U373" s="93">
        <f>SUM('3:4'!U373)</f>
        <v>0</v>
      </c>
      <c r="V373" s="206">
        <f t="shared" si="154"/>
        <v>0</v>
      </c>
      <c r="W373" s="33" t="str">
        <f t="shared" si="155"/>
        <v/>
      </c>
      <c r="X373" s="93">
        <f>SUM('3:4'!X373)</f>
        <v>0</v>
      </c>
      <c r="Y373" s="93">
        <f>SUM('3:4'!Y373)</f>
        <v>0</v>
      </c>
      <c r="Z373" s="93">
        <f>SUM('3:4'!Z373)</f>
        <v>0</v>
      </c>
      <c r="AA373" s="93">
        <f>SUM('3:4'!AA373)</f>
        <v>0</v>
      </c>
      <c r="AB373" s="25"/>
      <c r="AC373" s="54"/>
      <c r="AD373" s="370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>
      <c r="A374" s="300">
        <v>30100016</v>
      </c>
      <c r="B374" s="355" t="s">
        <v>414</v>
      </c>
      <c r="C374" s="187" t="s">
        <v>415</v>
      </c>
      <c r="D374" s="17"/>
      <c r="E374" s="17"/>
      <c r="F374" s="6"/>
      <c r="G374" s="93">
        <f>SUM('3:4'!G374)</f>
        <v>0</v>
      </c>
      <c r="H374" s="364">
        <f t="shared" si="147"/>
        <v>0</v>
      </c>
      <c r="I374" s="93">
        <f>SUM('3:4'!I374)</f>
        <v>0</v>
      </c>
      <c r="J374" s="31"/>
      <c r="K374" s="35">
        <f t="array" ref="K374">IF(ISERROR(G374/L374),"",G374/L374)</f>
        <v>0</v>
      </c>
      <c r="L374" s="87">
        <v>52</v>
      </c>
      <c r="M374" s="36">
        <f t="shared" si="152"/>
        <v>0</v>
      </c>
      <c r="N374" s="31"/>
      <c r="O374" s="93"/>
      <c r="P374" s="93"/>
      <c r="Q374" s="93"/>
      <c r="R374" s="93"/>
      <c r="S374" s="93"/>
      <c r="T374" s="93"/>
      <c r="U374" s="93"/>
      <c r="V374" s="206"/>
      <c r="W374" s="33"/>
      <c r="X374" s="93"/>
      <c r="Y374" s="93"/>
      <c r="Z374" s="93"/>
      <c r="AA374" s="93"/>
      <c r="AB374" s="25"/>
      <c r="AC374" s="54"/>
      <c r="AD374" s="370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300">
        <v>30100017</v>
      </c>
      <c r="B375" s="355" t="s">
        <v>414</v>
      </c>
      <c r="C375" s="187" t="s">
        <v>416</v>
      </c>
      <c r="D375" s="17"/>
      <c r="E375" s="17"/>
      <c r="F375" s="6"/>
      <c r="G375" s="93">
        <f>SUM('3:4'!G375)</f>
        <v>0</v>
      </c>
      <c r="H375" s="364">
        <f t="shared" si="147"/>
        <v>0</v>
      </c>
      <c r="I375" s="93">
        <f>SUM('3:4'!I375)</f>
        <v>0</v>
      </c>
      <c r="J375" s="31"/>
      <c r="K375" s="35">
        <f t="array" ref="K375">IF(ISERROR(G375/L375),"",G375/L375)</f>
        <v>0</v>
      </c>
      <c r="L375" s="87">
        <v>52</v>
      </c>
      <c r="M375" s="36">
        <f t="shared" si="152"/>
        <v>0</v>
      </c>
      <c r="N375" s="31"/>
      <c r="O375" s="93"/>
      <c r="P375" s="93"/>
      <c r="Q375" s="93"/>
      <c r="R375" s="93"/>
      <c r="S375" s="93"/>
      <c r="T375" s="93"/>
      <c r="U375" s="93"/>
      <c r="V375" s="206"/>
      <c r="W375" s="33"/>
      <c r="X375" s="93"/>
      <c r="Y375" s="93"/>
      <c r="Z375" s="93"/>
      <c r="AA375" s="93"/>
      <c r="AB375" s="25"/>
      <c r="AC375" s="54"/>
      <c r="AD375" s="370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300">
        <v>30100015</v>
      </c>
      <c r="B376" s="355" t="s">
        <v>414</v>
      </c>
      <c r="C376" s="187" t="s">
        <v>61</v>
      </c>
      <c r="D376" s="17"/>
      <c r="E376" s="17"/>
      <c r="F376" s="6"/>
      <c r="G376" s="93">
        <f>SUM('3:4'!G376)</f>
        <v>0</v>
      </c>
      <c r="H376" s="364">
        <f t="shared" si="147"/>
        <v>0</v>
      </c>
      <c r="I376" s="93">
        <f>SUM('3:4'!I376)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152"/>
        <v>0</v>
      </c>
      <c r="N376" s="31"/>
      <c r="O376" s="93"/>
      <c r="P376" s="93"/>
      <c r="Q376" s="93"/>
      <c r="R376" s="93"/>
      <c r="S376" s="93"/>
      <c r="T376" s="93"/>
      <c r="U376" s="93"/>
      <c r="V376" s="206"/>
      <c r="W376" s="33"/>
      <c r="X376" s="93"/>
      <c r="Y376" s="93"/>
      <c r="Z376" s="93"/>
      <c r="AA376" s="93"/>
      <c r="AB376" s="25"/>
      <c r="AC376" s="54"/>
      <c r="AD376" s="370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300">
        <v>30100027</v>
      </c>
      <c r="B377" s="61" t="s">
        <v>78</v>
      </c>
      <c r="C377" s="16" t="s">
        <v>53</v>
      </c>
      <c r="D377" s="17">
        <v>5.08</v>
      </c>
      <c r="E377" s="17"/>
      <c r="F377" s="6"/>
      <c r="G377" s="93">
        <f>SUM('3:4'!G377)</f>
        <v>0</v>
      </c>
      <c r="H377" s="364">
        <f t="shared" si="147"/>
        <v>0</v>
      </c>
      <c r="I377" s="93">
        <f>SUM('3:4'!I377)</f>
        <v>0</v>
      </c>
      <c r="J377" s="31" t="str">
        <f t="array" ref="J377">IF(ISERROR(G377/I377),"",G377/I377)</f>
        <v/>
      </c>
      <c r="K377" s="35">
        <f t="array" ref="K377">IF(ISERROR(G377/L377),"",G377/L377)</f>
        <v>0</v>
      </c>
      <c r="L377" s="87">
        <v>21</v>
      </c>
      <c r="M377" s="36">
        <f t="shared" si="152"/>
        <v>0</v>
      </c>
      <c r="N377" s="31">
        <f t="shared" ref="N377:N392" si="156">SUM(O377:U377)</f>
        <v>0</v>
      </c>
      <c r="O377" s="93">
        <f>SUM('3:4'!O377)</f>
        <v>0</v>
      </c>
      <c r="P377" s="93">
        <f>SUM('3:4'!P377)</f>
        <v>0</v>
      </c>
      <c r="Q377" s="93">
        <f>SUM('3:4'!Q377)</f>
        <v>0</v>
      </c>
      <c r="R377" s="93">
        <f>SUM('3:4'!R377)</f>
        <v>0</v>
      </c>
      <c r="S377" s="93">
        <f>SUM('3:4'!S377)</f>
        <v>0</v>
      </c>
      <c r="T377" s="93">
        <f>SUM('3:4'!T377)</f>
        <v>0</v>
      </c>
      <c r="U377" s="93">
        <f>SUM('3:4'!U377)</f>
        <v>0</v>
      </c>
      <c r="V377" s="206">
        <f t="shared" ref="V377:V388" si="157">SUM(X377:AA377)</f>
        <v>0</v>
      </c>
      <c r="W377" s="33" t="str">
        <f t="shared" ref="W377:W388" si="158">IF(ISERROR(V377/G377),"",V377/G377)</f>
        <v/>
      </c>
      <c r="X377" s="93">
        <f>SUM('3:4'!X377)</f>
        <v>0</v>
      </c>
      <c r="Y377" s="93">
        <f>SUM('3:4'!Y377)</f>
        <v>0</v>
      </c>
      <c r="Z377" s="93">
        <f>SUM('3:4'!Z377)</f>
        <v>0</v>
      </c>
      <c r="AA377" s="93">
        <f>SUM('3:4'!AA377)</f>
        <v>0</v>
      </c>
      <c r="AB377" s="25"/>
      <c r="AC377" s="54"/>
      <c r="AD377" s="370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300">
        <v>30100023</v>
      </c>
      <c r="B378" s="61" t="s">
        <v>78</v>
      </c>
      <c r="C378" s="16" t="s">
        <v>74</v>
      </c>
      <c r="D378" s="17">
        <v>5.08</v>
      </c>
      <c r="E378" s="17"/>
      <c r="F378" s="6"/>
      <c r="G378" s="93">
        <f>SUM('3:4'!G378)</f>
        <v>0</v>
      </c>
      <c r="H378" s="364">
        <f t="shared" si="147"/>
        <v>0</v>
      </c>
      <c r="I378" s="93">
        <f>SUM('3:4'!I378)</f>
        <v>0</v>
      </c>
      <c r="J378" s="31" t="str">
        <f t="array" ref="J378">IF(ISERROR(G378/I378),"",G378/I378)</f>
        <v/>
      </c>
      <c r="K378" s="35">
        <f t="array" ref="K378">IF(ISERROR(G378/L378),"",G378/L378)</f>
        <v>0</v>
      </c>
      <c r="L378" s="87">
        <v>21</v>
      </c>
      <c r="M378" s="36">
        <f t="shared" si="152"/>
        <v>0</v>
      </c>
      <c r="N378" s="31">
        <f t="shared" si="156"/>
        <v>0</v>
      </c>
      <c r="O378" s="93">
        <f>SUM('3:4'!O378)</f>
        <v>0</v>
      </c>
      <c r="P378" s="93">
        <f>SUM('3:4'!P378)</f>
        <v>0</v>
      </c>
      <c r="Q378" s="93">
        <f>SUM('3:4'!Q378)</f>
        <v>0</v>
      </c>
      <c r="R378" s="93">
        <f>SUM('3:4'!R378)</f>
        <v>0</v>
      </c>
      <c r="S378" s="93">
        <f>SUM('3:4'!S378)</f>
        <v>0</v>
      </c>
      <c r="T378" s="93">
        <f>SUM('3:4'!T378)</f>
        <v>0</v>
      </c>
      <c r="U378" s="93">
        <f>SUM('3:4'!U378)</f>
        <v>0</v>
      </c>
      <c r="V378" s="206">
        <f t="shared" si="157"/>
        <v>0</v>
      </c>
      <c r="W378" s="33" t="str">
        <f t="shared" si="158"/>
        <v/>
      </c>
      <c r="X378" s="93">
        <f>SUM('3:4'!X378)</f>
        <v>0</v>
      </c>
      <c r="Y378" s="93">
        <f>SUM('3:4'!Y378)</f>
        <v>0</v>
      </c>
      <c r="Z378" s="93">
        <f>SUM('3:4'!Z378)</f>
        <v>0</v>
      </c>
      <c r="AA378" s="93">
        <f>SUM('3:4'!AA378)</f>
        <v>0</v>
      </c>
      <c r="AB378" s="25"/>
      <c r="AC378" s="54"/>
      <c r="AD378" s="370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300">
        <v>30100024</v>
      </c>
      <c r="B379" s="61" t="s">
        <v>78</v>
      </c>
      <c r="C379" s="16" t="s">
        <v>75</v>
      </c>
      <c r="D379" s="17">
        <v>5.08</v>
      </c>
      <c r="E379" s="17"/>
      <c r="F379" s="6"/>
      <c r="G379" s="93">
        <f>SUM('3:4'!G379)</f>
        <v>0</v>
      </c>
      <c r="H379" s="364">
        <f t="shared" si="147"/>
        <v>0</v>
      </c>
      <c r="I379" s="93">
        <f>SUM('3:4'!I379)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152"/>
        <v>0</v>
      </c>
      <c r="N379" s="31">
        <f t="shared" si="156"/>
        <v>0</v>
      </c>
      <c r="O379" s="93">
        <f>SUM('3:4'!O379)</f>
        <v>0</v>
      </c>
      <c r="P379" s="93">
        <f>SUM('3:4'!P379)</f>
        <v>0</v>
      </c>
      <c r="Q379" s="93">
        <f>SUM('3:4'!Q379)</f>
        <v>0</v>
      </c>
      <c r="R379" s="93">
        <f>SUM('3:4'!R379)</f>
        <v>0</v>
      </c>
      <c r="S379" s="93">
        <f>SUM('3:4'!S379)</f>
        <v>0</v>
      </c>
      <c r="T379" s="93">
        <f>SUM('3:4'!T379)</f>
        <v>0</v>
      </c>
      <c r="U379" s="93">
        <f>SUM('3:4'!U379)</f>
        <v>0</v>
      </c>
      <c r="V379" s="206">
        <f t="shared" si="157"/>
        <v>0</v>
      </c>
      <c r="W379" s="33" t="str">
        <f t="shared" si="158"/>
        <v/>
      </c>
      <c r="X379" s="93">
        <f>SUM('3:4'!X379)</f>
        <v>0</v>
      </c>
      <c r="Y379" s="93">
        <f>SUM('3:4'!Y379)</f>
        <v>0</v>
      </c>
      <c r="Z379" s="93">
        <f>SUM('3:4'!Z379)</f>
        <v>0</v>
      </c>
      <c r="AA379" s="93">
        <f>SUM('3:4'!AA379)</f>
        <v>0</v>
      </c>
      <c r="AB379" s="25"/>
      <c r="AC379" s="54"/>
      <c r="AD379" s="370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300">
        <v>30100022</v>
      </c>
      <c r="B380" s="61" t="s">
        <v>78</v>
      </c>
      <c r="C380" s="16" t="s">
        <v>60</v>
      </c>
      <c r="D380" s="17">
        <v>5.08</v>
      </c>
      <c r="E380" s="17"/>
      <c r="F380" s="6"/>
      <c r="G380" s="93">
        <f>SUM('3:4'!G380)</f>
        <v>0</v>
      </c>
      <c r="H380" s="364">
        <f t="shared" si="147"/>
        <v>0</v>
      </c>
      <c r="I380" s="93">
        <f>SUM('3:4'!I380)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152"/>
        <v>0</v>
      </c>
      <c r="N380" s="31">
        <f t="shared" si="156"/>
        <v>0</v>
      </c>
      <c r="O380" s="93">
        <f>SUM('3:4'!O380)</f>
        <v>0</v>
      </c>
      <c r="P380" s="93">
        <f>SUM('3:4'!P380)</f>
        <v>0</v>
      </c>
      <c r="Q380" s="93">
        <f>SUM('3:4'!Q380)</f>
        <v>0</v>
      </c>
      <c r="R380" s="93">
        <f>SUM('3:4'!R380)</f>
        <v>0</v>
      </c>
      <c r="S380" s="93">
        <f>SUM('3:4'!S380)</f>
        <v>0</v>
      </c>
      <c r="T380" s="93">
        <f>SUM('3:4'!T380)</f>
        <v>0</v>
      </c>
      <c r="U380" s="93">
        <f>SUM('3:4'!U380)</f>
        <v>0</v>
      </c>
      <c r="V380" s="206">
        <f t="shared" si="157"/>
        <v>0</v>
      </c>
      <c r="W380" s="33" t="str">
        <f t="shared" si="158"/>
        <v/>
      </c>
      <c r="X380" s="93">
        <f>SUM('3:4'!X380)</f>
        <v>0</v>
      </c>
      <c r="Y380" s="93">
        <f>SUM('3:4'!Y380)</f>
        <v>0</v>
      </c>
      <c r="Z380" s="93">
        <f>SUM('3:4'!Z380)</f>
        <v>0</v>
      </c>
      <c r="AA380" s="93">
        <f>SUM('3:4'!AA380)</f>
        <v>0</v>
      </c>
      <c r="AB380" s="25"/>
      <c r="AC380" s="54"/>
      <c r="AD380" s="370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300">
        <v>30100029</v>
      </c>
      <c r="B381" s="61" t="s">
        <v>78</v>
      </c>
      <c r="C381" s="16" t="s">
        <v>72</v>
      </c>
      <c r="D381" s="17">
        <v>5.08</v>
      </c>
      <c r="E381" s="17"/>
      <c r="F381" s="6"/>
      <c r="G381" s="93">
        <f>SUM('3:4'!G381)</f>
        <v>0</v>
      </c>
      <c r="H381" s="364">
        <f t="shared" si="147"/>
        <v>0</v>
      </c>
      <c r="I381" s="93">
        <f>SUM('3:4'!I381)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152"/>
        <v>0</v>
      </c>
      <c r="N381" s="31">
        <f t="shared" si="156"/>
        <v>0</v>
      </c>
      <c r="O381" s="93">
        <f>SUM('3:4'!O381)</f>
        <v>0</v>
      </c>
      <c r="P381" s="93">
        <f>SUM('3:4'!P381)</f>
        <v>0</v>
      </c>
      <c r="Q381" s="93">
        <f>SUM('3:4'!Q381)</f>
        <v>0</v>
      </c>
      <c r="R381" s="93">
        <f>SUM('3:4'!R381)</f>
        <v>0</v>
      </c>
      <c r="S381" s="93">
        <f>SUM('3:4'!S381)</f>
        <v>0</v>
      </c>
      <c r="T381" s="93">
        <f>SUM('3:4'!T381)</f>
        <v>0</v>
      </c>
      <c r="U381" s="93">
        <f>SUM('3:4'!U381)</f>
        <v>0</v>
      </c>
      <c r="V381" s="206">
        <f t="shared" si="157"/>
        <v>0</v>
      </c>
      <c r="W381" s="33" t="str">
        <f t="shared" si="158"/>
        <v/>
      </c>
      <c r="X381" s="93">
        <f>SUM('3:4'!X381)</f>
        <v>0</v>
      </c>
      <c r="Y381" s="93">
        <f>SUM('3:4'!Y381)</f>
        <v>0</v>
      </c>
      <c r="Z381" s="93">
        <f>SUM('3:4'!Z381)</f>
        <v>0</v>
      </c>
      <c r="AA381" s="93">
        <f>SUM('3:4'!AA381)</f>
        <v>0</v>
      </c>
      <c r="AB381" s="25"/>
      <c r="AC381" s="54"/>
      <c r="AD381" s="370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300">
        <v>30100026</v>
      </c>
      <c r="B382" s="61" t="s">
        <v>78</v>
      </c>
      <c r="C382" s="16" t="s">
        <v>73</v>
      </c>
      <c r="D382" s="17">
        <v>5.08</v>
      </c>
      <c r="E382" s="17"/>
      <c r="F382" s="6"/>
      <c r="G382" s="93">
        <f>SUM('3:4'!G382)</f>
        <v>0</v>
      </c>
      <c r="H382" s="364">
        <f t="shared" si="147"/>
        <v>0</v>
      </c>
      <c r="I382" s="93">
        <f>SUM('3:4'!I382)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152"/>
        <v>0</v>
      </c>
      <c r="N382" s="31">
        <f t="shared" si="156"/>
        <v>0</v>
      </c>
      <c r="O382" s="93">
        <f>SUM('3:4'!O382)</f>
        <v>0</v>
      </c>
      <c r="P382" s="93">
        <f>SUM('3:4'!P382)</f>
        <v>0</v>
      </c>
      <c r="Q382" s="93">
        <f>SUM('3:4'!Q382)</f>
        <v>0</v>
      </c>
      <c r="R382" s="93">
        <f>SUM('3:4'!R382)</f>
        <v>0</v>
      </c>
      <c r="S382" s="93">
        <f>SUM('3:4'!S382)</f>
        <v>0</v>
      </c>
      <c r="T382" s="93">
        <f>SUM('3:4'!T382)</f>
        <v>0</v>
      </c>
      <c r="U382" s="93">
        <f>SUM('3:4'!U382)</f>
        <v>0</v>
      </c>
      <c r="V382" s="206">
        <f t="shared" si="157"/>
        <v>0</v>
      </c>
      <c r="W382" s="33" t="str">
        <f t="shared" si="158"/>
        <v/>
      </c>
      <c r="X382" s="93">
        <f>SUM('3:4'!X382)</f>
        <v>0</v>
      </c>
      <c r="Y382" s="93">
        <f>SUM('3:4'!Y382)</f>
        <v>0</v>
      </c>
      <c r="Z382" s="93">
        <f>SUM('3:4'!Z382)</f>
        <v>0</v>
      </c>
      <c r="AA382" s="93">
        <f>SUM('3:4'!AA382)</f>
        <v>0</v>
      </c>
      <c r="AB382" s="73"/>
      <c r="AC382" s="54"/>
      <c r="AD382" s="370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300">
        <v>30100025</v>
      </c>
      <c r="B383" s="61" t="s">
        <v>78</v>
      </c>
      <c r="C383" s="16" t="s">
        <v>61</v>
      </c>
      <c r="D383" s="17">
        <v>5.08</v>
      </c>
      <c r="E383" s="17"/>
      <c r="F383" s="6"/>
      <c r="G383" s="93">
        <f>SUM('3:4'!G383)</f>
        <v>0</v>
      </c>
      <c r="H383" s="364">
        <f t="shared" si="147"/>
        <v>0</v>
      </c>
      <c r="I383" s="93">
        <f>SUM('3:4'!I383)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152"/>
        <v>0</v>
      </c>
      <c r="N383" s="31">
        <f t="shared" si="156"/>
        <v>0</v>
      </c>
      <c r="O383" s="93">
        <f>SUM('3:4'!O383)</f>
        <v>0</v>
      </c>
      <c r="P383" s="93">
        <f>SUM('3:4'!P383)</f>
        <v>0</v>
      </c>
      <c r="Q383" s="93">
        <f>SUM('3:4'!Q383)</f>
        <v>0</v>
      </c>
      <c r="R383" s="93">
        <f>SUM('3:4'!R383)</f>
        <v>0</v>
      </c>
      <c r="S383" s="93">
        <f>SUM('3:4'!S383)</f>
        <v>0</v>
      </c>
      <c r="T383" s="93">
        <f>SUM('3:4'!T383)</f>
        <v>0</v>
      </c>
      <c r="U383" s="93">
        <f>SUM('3:4'!U383)</f>
        <v>0</v>
      </c>
      <c r="V383" s="206">
        <f t="shared" si="157"/>
        <v>0</v>
      </c>
      <c r="W383" s="33" t="str">
        <f t="shared" si="158"/>
        <v/>
      </c>
      <c r="X383" s="93">
        <f>SUM('3:4'!X383)</f>
        <v>0</v>
      </c>
      <c r="Y383" s="93">
        <f>SUM('3:4'!Y383)</f>
        <v>0</v>
      </c>
      <c r="Z383" s="93">
        <f>SUM('3:4'!Z383)</f>
        <v>0</v>
      </c>
      <c r="AA383" s="93">
        <f>SUM('3:4'!AA383)</f>
        <v>0</v>
      </c>
      <c r="AB383" s="25"/>
      <c r="AC383" s="54"/>
      <c r="AD383" s="370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300">
        <v>30100028</v>
      </c>
      <c r="B384" s="61" t="s">
        <v>78</v>
      </c>
      <c r="C384" s="16" t="s">
        <v>77</v>
      </c>
      <c r="D384" s="17">
        <v>5.08</v>
      </c>
      <c r="E384" s="17"/>
      <c r="F384" s="6"/>
      <c r="G384" s="93">
        <f>SUM('3:4'!G384)</f>
        <v>0</v>
      </c>
      <c r="H384" s="364">
        <f t="shared" si="147"/>
        <v>0</v>
      </c>
      <c r="I384" s="93">
        <f>SUM('3:4'!I384)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152"/>
        <v>0</v>
      </c>
      <c r="N384" s="31">
        <f t="shared" si="156"/>
        <v>0</v>
      </c>
      <c r="O384" s="93">
        <f>SUM('3:4'!O384)</f>
        <v>0</v>
      </c>
      <c r="P384" s="93">
        <f>SUM('3:4'!P384)</f>
        <v>0</v>
      </c>
      <c r="Q384" s="93">
        <f>SUM('3:4'!Q384)</f>
        <v>0</v>
      </c>
      <c r="R384" s="93">
        <f>SUM('3:4'!R384)</f>
        <v>0</v>
      </c>
      <c r="S384" s="93">
        <f>SUM('3:4'!S384)</f>
        <v>0</v>
      </c>
      <c r="T384" s="93">
        <f>SUM('3:4'!T384)</f>
        <v>0</v>
      </c>
      <c r="U384" s="93">
        <f>SUM('3:4'!U384)</f>
        <v>0</v>
      </c>
      <c r="V384" s="206">
        <f t="shared" si="157"/>
        <v>0</v>
      </c>
      <c r="W384" s="33" t="str">
        <f t="shared" si="158"/>
        <v/>
      </c>
      <c r="X384" s="93">
        <f>SUM('3:4'!X384)</f>
        <v>0</v>
      </c>
      <c r="Y384" s="93">
        <f>SUM('3:4'!Y384)</f>
        <v>0</v>
      </c>
      <c r="Z384" s="93">
        <f>SUM('3:4'!Z384)</f>
        <v>0</v>
      </c>
      <c r="AA384" s="93">
        <f>SUM('3:4'!AA384)</f>
        <v>0</v>
      </c>
      <c r="AB384" s="73"/>
      <c r="AC384" s="54"/>
      <c r="AD384" s="370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300">
        <v>30100032</v>
      </c>
      <c r="B385" s="61" t="s">
        <v>79</v>
      </c>
      <c r="C385" s="16" t="s">
        <v>65</v>
      </c>
      <c r="D385" s="17">
        <v>5.03</v>
      </c>
      <c r="E385" s="17"/>
      <c r="F385" s="6"/>
      <c r="G385" s="93">
        <f>SUM('3:4'!G385)</f>
        <v>0</v>
      </c>
      <c r="H385" s="364">
        <f t="shared" si="147"/>
        <v>0</v>
      </c>
      <c r="I385" s="93">
        <f>SUM('3:4'!I385)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56</v>
      </c>
      <c r="M385" s="36">
        <f t="shared" si="152"/>
        <v>0</v>
      </c>
      <c r="N385" s="31">
        <f t="shared" si="156"/>
        <v>0</v>
      </c>
      <c r="O385" s="93">
        <f>SUM('3:4'!O385)</f>
        <v>0</v>
      </c>
      <c r="P385" s="93">
        <f>SUM('3:4'!P385)</f>
        <v>0</v>
      </c>
      <c r="Q385" s="93">
        <f>SUM('3:4'!Q385)</f>
        <v>0</v>
      </c>
      <c r="R385" s="93">
        <f>SUM('3:4'!R385)</f>
        <v>0</v>
      </c>
      <c r="S385" s="93">
        <f>SUM('3:4'!S385)</f>
        <v>0</v>
      </c>
      <c r="T385" s="93">
        <f>SUM('3:4'!T385)</f>
        <v>0</v>
      </c>
      <c r="U385" s="93">
        <f>SUM('3:4'!U385)</f>
        <v>0</v>
      </c>
      <c r="V385" s="206">
        <f t="shared" si="157"/>
        <v>0</v>
      </c>
      <c r="W385" s="33" t="str">
        <f t="shared" si="158"/>
        <v/>
      </c>
      <c r="X385" s="93">
        <f>SUM('3:4'!X385)</f>
        <v>0</v>
      </c>
      <c r="Y385" s="93">
        <f>SUM('3:4'!Y385)</f>
        <v>0</v>
      </c>
      <c r="Z385" s="93">
        <f>SUM('3:4'!Z385)</f>
        <v>0</v>
      </c>
      <c r="AA385" s="93">
        <f>SUM('3:4'!AA385)</f>
        <v>0</v>
      </c>
      <c r="AB385" s="25"/>
      <c r="AC385" s="54"/>
      <c r="AD385" s="370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300">
        <v>30100033</v>
      </c>
      <c r="B386" s="61" t="s">
        <v>79</v>
      </c>
      <c r="C386" s="16" t="s">
        <v>53</v>
      </c>
      <c r="D386" s="17">
        <v>5.03</v>
      </c>
      <c r="E386" s="17"/>
      <c r="F386" s="6"/>
      <c r="G386" s="93">
        <f>SUM('3:4'!G386)</f>
        <v>0</v>
      </c>
      <c r="H386" s="364">
        <f t="shared" si="147"/>
        <v>0</v>
      </c>
      <c r="I386" s="93">
        <f>SUM('3:4'!I386)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56</v>
      </c>
      <c r="M386" s="36">
        <f t="shared" si="152"/>
        <v>0</v>
      </c>
      <c r="N386" s="31">
        <f t="shared" si="156"/>
        <v>0</v>
      </c>
      <c r="O386" s="93">
        <f>SUM('3:4'!O386)</f>
        <v>0</v>
      </c>
      <c r="P386" s="93">
        <f>SUM('3:4'!P386)</f>
        <v>0</v>
      </c>
      <c r="Q386" s="93">
        <f>SUM('3:4'!Q386)</f>
        <v>0</v>
      </c>
      <c r="R386" s="93">
        <f>SUM('3:4'!R386)</f>
        <v>0</v>
      </c>
      <c r="S386" s="93">
        <f>SUM('3:4'!S386)</f>
        <v>0</v>
      </c>
      <c r="T386" s="93">
        <f>SUM('3:4'!T386)</f>
        <v>0</v>
      </c>
      <c r="U386" s="93">
        <f>SUM('3:4'!U386)</f>
        <v>0</v>
      </c>
      <c r="V386" s="206">
        <f t="shared" si="157"/>
        <v>0</v>
      </c>
      <c r="W386" s="33" t="str">
        <f t="shared" si="158"/>
        <v/>
      </c>
      <c r="X386" s="93">
        <f>SUM('3:4'!X386)</f>
        <v>0</v>
      </c>
      <c r="Y386" s="93">
        <f>SUM('3:4'!Y386)</f>
        <v>0</v>
      </c>
      <c r="Z386" s="93">
        <f>SUM('3:4'!Z386)</f>
        <v>0</v>
      </c>
      <c r="AA386" s="93">
        <f>SUM('3:4'!AA386)</f>
        <v>0</v>
      </c>
      <c r="AB386" s="25"/>
      <c r="AC386" s="54"/>
      <c r="AD386" s="370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300">
        <v>30100062</v>
      </c>
      <c r="B387" s="61" t="s">
        <v>79</v>
      </c>
      <c r="C387" s="16" t="s">
        <v>66</v>
      </c>
      <c r="D387" s="17">
        <v>5.03</v>
      </c>
      <c r="E387" s="17"/>
      <c r="F387" s="6"/>
      <c r="G387" s="93">
        <f>SUM('3:4'!G387)</f>
        <v>0</v>
      </c>
      <c r="H387" s="364">
        <f t="shared" si="147"/>
        <v>0</v>
      </c>
      <c r="I387" s="93">
        <f>SUM('3:4'!I387)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152"/>
        <v>0</v>
      </c>
      <c r="N387" s="31">
        <f t="shared" si="156"/>
        <v>0</v>
      </c>
      <c r="O387" s="93">
        <f>SUM('3:4'!O387)</f>
        <v>0</v>
      </c>
      <c r="P387" s="93">
        <f>SUM('3:4'!P387)</f>
        <v>0</v>
      </c>
      <c r="Q387" s="93">
        <f>SUM('3:4'!Q387)</f>
        <v>0</v>
      </c>
      <c r="R387" s="93">
        <f>SUM('3:4'!R387)</f>
        <v>0</v>
      </c>
      <c r="S387" s="93">
        <f>SUM('3:4'!S387)</f>
        <v>0</v>
      </c>
      <c r="T387" s="93">
        <f>SUM('3:4'!T387)</f>
        <v>0</v>
      </c>
      <c r="U387" s="93">
        <f>SUM('3:4'!U387)</f>
        <v>0</v>
      </c>
      <c r="V387" s="206">
        <f t="shared" si="157"/>
        <v>0</v>
      </c>
      <c r="W387" s="33" t="str">
        <f t="shared" si="158"/>
        <v/>
      </c>
      <c r="X387" s="93">
        <f>SUM('3:4'!X387)</f>
        <v>0</v>
      </c>
      <c r="Y387" s="93">
        <f>SUM('3:4'!Y387)</f>
        <v>0</v>
      </c>
      <c r="Z387" s="93">
        <f>SUM('3:4'!Z387)</f>
        <v>0</v>
      </c>
      <c r="AA387" s="93">
        <f>SUM('3:4'!AA387)</f>
        <v>0</v>
      </c>
      <c r="AB387" s="25"/>
      <c r="AC387" s="54"/>
      <c r="AD387" s="370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300">
        <v>30100031</v>
      </c>
      <c r="B388" s="61" t="s">
        <v>79</v>
      </c>
      <c r="C388" s="16" t="s">
        <v>74</v>
      </c>
      <c r="D388" s="17">
        <v>5.03</v>
      </c>
      <c r="E388" s="17"/>
      <c r="F388" s="6"/>
      <c r="G388" s="93">
        <f>SUM('3:4'!G388)</f>
        <v>0</v>
      </c>
      <c r="H388" s="364">
        <f t="shared" si="147"/>
        <v>0</v>
      </c>
      <c r="I388" s="93">
        <f>SUM('3:4'!I388)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152"/>
        <v>0</v>
      </c>
      <c r="N388" s="31">
        <f t="shared" si="156"/>
        <v>0</v>
      </c>
      <c r="O388" s="93">
        <f>SUM('3:4'!O388)</f>
        <v>0</v>
      </c>
      <c r="P388" s="93">
        <f>SUM('3:4'!P388)</f>
        <v>0</v>
      </c>
      <c r="Q388" s="93">
        <f>SUM('3:4'!Q388)</f>
        <v>0</v>
      </c>
      <c r="R388" s="93">
        <f>SUM('3:4'!R388)</f>
        <v>0</v>
      </c>
      <c r="S388" s="93">
        <f>SUM('3:4'!S388)</f>
        <v>0</v>
      </c>
      <c r="T388" s="93">
        <f>SUM('3:4'!T388)</f>
        <v>0</v>
      </c>
      <c r="U388" s="93">
        <f>SUM('3:4'!U388)</f>
        <v>0</v>
      </c>
      <c r="V388" s="206">
        <f t="shared" si="157"/>
        <v>0</v>
      </c>
      <c r="W388" s="33" t="str">
        <f t="shared" si="158"/>
        <v/>
      </c>
      <c r="X388" s="93">
        <f>SUM('3:4'!X388)</f>
        <v>0</v>
      </c>
      <c r="Y388" s="93">
        <f>SUM('3:4'!Y388)</f>
        <v>0</v>
      </c>
      <c r="Z388" s="93">
        <f>SUM('3:4'!Z388)</f>
        <v>0</v>
      </c>
      <c r="AA388" s="93">
        <f>SUM('3:4'!AA388)</f>
        <v>0</v>
      </c>
      <c r="AB388" s="25"/>
      <c r="AC388" s="54"/>
      <c r="AD388" s="370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300">
        <v>30100019</v>
      </c>
      <c r="B389" s="61" t="s">
        <v>385</v>
      </c>
      <c r="C389" s="16" t="s">
        <v>386</v>
      </c>
      <c r="D389" s="17">
        <v>5.03</v>
      </c>
      <c r="E389" s="17"/>
      <c r="F389" s="6"/>
      <c r="G389" s="93">
        <f>SUM('3:4'!G389)</f>
        <v>0</v>
      </c>
      <c r="H389" s="364">
        <f t="shared" si="147"/>
        <v>0</v>
      </c>
      <c r="I389" s="93">
        <f>SUM('3:4'!I389)</f>
        <v>0</v>
      </c>
      <c r="J389" s="31"/>
      <c r="K389" s="35">
        <f t="array" ref="K389">IF(ISERROR(G389/L389),"",G389/L389)</f>
        <v>0</v>
      </c>
      <c r="L389" s="87">
        <v>54</v>
      </c>
      <c r="M389" s="36">
        <f t="shared" si="152"/>
        <v>0</v>
      </c>
      <c r="N389" s="31">
        <f t="shared" si="156"/>
        <v>0</v>
      </c>
      <c r="O389" s="93">
        <f>SUM('3:4'!O389)</f>
        <v>0</v>
      </c>
      <c r="P389" s="93">
        <f>SUM('3:4'!P389)</f>
        <v>0</v>
      </c>
      <c r="Q389" s="93">
        <f>SUM('3:4'!Q389)</f>
        <v>0</v>
      </c>
      <c r="R389" s="93">
        <f>SUM('3:4'!R389)</f>
        <v>0</v>
      </c>
      <c r="S389" s="93">
        <f>SUM('3:4'!S389)</f>
        <v>0</v>
      </c>
      <c r="T389" s="93">
        <f>SUM('3:4'!T389)</f>
        <v>0</v>
      </c>
      <c r="U389" s="93">
        <f>SUM('3:4'!U389)</f>
        <v>0</v>
      </c>
      <c r="V389" s="206"/>
      <c r="W389" s="33"/>
      <c r="X389" s="93">
        <f>SUM('3:4'!X389)</f>
        <v>0</v>
      </c>
      <c r="Y389" s="93">
        <f>SUM('3:4'!Y389)</f>
        <v>0</v>
      </c>
      <c r="Z389" s="93">
        <f>SUM('3:4'!Z389)</f>
        <v>0</v>
      </c>
      <c r="AA389" s="93">
        <f>SUM('3:4'!AA389)</f>
        <v>0</v>
      </c>
      <c r="AB389" s="25"/>
      <c r="AC389" s="54"/>
      <c r="AD389" s="370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300">
        <v>30100020</v>
      </c>
      <c r="B390" s="61" t="s">
        <v>385</v>
      </c>
      <c r="C390" s="16" t="s">
        <v>387</v>
      </c>
      <c r="D390" s="17">
        <v>5.03</v>
      </c>
      <c r="E390" s="17"/>
      <c r="F390" s="6"/>
      <c r="G390" s="93">
        <f>SUM('3:4'!G390)</f>
        <v>0</v>
      </c>
      <c r="H390" s="364">
        <f t="shared" si="147"/>
        <v>0</v>
      </c>
      <c r="I390" s="93">
        <f>SUM('3:4'!I390)</f>
        <v>0</v>
      </c>
      <c r="J390" s="31"/>
      <c r="K390" s="35">
        <f t="array" ref="K390">IF(ISERROR(G390/L390),"",G390/L390)</f>
        <v>0</v>
      </c>
      <c r="L390" s="87">
        <v>54</v>
      </c>
      <c r="M390" s="36">
        <f t="shared" si="152"/>
        <v>0</v>
      </c>
      <c r="N390" s="31">
        <f t="shared" si="156"/>
        <v>0</v>
      </c>
      <c r="O390" s="93">
        <f>SUM('3:4'!O390)</f>
        <v>0</v>
      </c>
      <c r="P390" s="93">
        <f>SUM('3:4'!P390)</f>
        <v>0</v>
      </c>
      <c r="Q390" s="93">
        <f>SUM('3:4'!Q390)</f>
        <v>0</v>
      </c>
      <c r="R390" s="93">
        <f>SUM('3:4'!R390)</f>
        <v>0</v>
      </c>
      <c r="S390" s="93">
        <f>SUM('3:4'!S390)</f>
        <v>0</v>
      </c>
      <c r="T390" s="93">
        <f>SUM('3:4'!T390)</f>
        <v>0</v>
      </c>
      <c r="U390" s="93">
        <f>SUM('3:4'!U390)</f>
        <v>0</v>
      </c>
      <c r="V390" s="206"/>
      <c r="W390" s="33"/>
      <c r="X390" s="93">
        <f>SUM('3:4'!X390)</f>
        <v>0</v>
      </c>
      <c r="Y390" s="93">
        <f>SUM('3:4'!Y390)</f>
        <v>0</v>
      </c>
      <c r="Z390" s="93">
        <f>SUM('3:4'!Z390)</f>
        <v>0</v>
      </c>
      <c r="AA390" s="93">
        <f>SUM('3:4'!AA390)</f>
        <v>0</v>
      </c>
      <c r="AB390" s="25"/>
      <c r="AC390" s="54"/>
      <c r="AD390" s="370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300">
        <v>30100021</v>
      </c>
      <c r="B391" s="190" t="s">
        <v>382</v>
      </c>
      <c r="C391" s="16" t="s">
        <v>389</v>
      </c>
      <c r="D391" s="17">
        <v>5.03</v>
      </c>
      <c r="E391" s="17"/>
      <c r="F391" s="6"/>
      <c r="G391" s="93">
        <f>SUM('3:4'!G391)</f>
        <v>0</v>
      </c>
      <c r="H391" s="364">
        <f t="shared" si="147"/>
        <v>0</v>
      </c>
      <c r="I391" s="93">
        <f>SUM('3:4'!I391)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152"/>
        <v>0</v>
      </c>
      <c r="N391" s="31">
        <f t="shared" si="156"/>
        <v>0</v>
      </c>
      <c r="O391" s="93">
        <f>SUM('3:4'!O391)</f>
        <v>0</v>
      </c>
      <c r="P391" s="93">
        <f>SUM('3:4'!P391)</f>
        <v>0</v>
      </c>
      <c r="Q391" s="93">
        <f>SUM('3:4'!Q391)</f>
        <v>0</v>
      </c>
      <c r="R391" s="93">
        <f>SUM('3:4'!R391)</f>
        <v>0</v>
      </c>
      <c r="S391" s="93">
        <f>SUM('3:4'!S391)</f>
        <v>0</v>
      </c>
      <c r="T391" s="93">
        <f>SUM('3:4'!T391)</f>
        <v>0</v>
      </c>
      <c r="U391" s="93">
        <f>SUM('3:4'!U391)</f>
        <v>0</v>
      </c>
      <c r="V391" s="206"/>
      <c r="W391" s="33"/>
      <c r="X391" s="93">
        <f>SUM('3:4'!X391)</f>
        <v>0</v>
      </c>
      <c r="Y391" s="93">
        <f>SUM('3:4'!Y391)</f>
        <v>0</v>
      </c>
      <c r="Z391" s="93">
        <f>SUM('3:4'!Z391)</f>
        <v>0</v>
      </c>
      <c r="AA391" s="93">
        <f>SUM('3:4'!AA391)</f>
        <v>0</v>
      </c>
      <c r="AB391" s="25"/>
      <c r="AC391" s="54"/>
      <c r="AD391" s="370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300">
        <v>30100018</v>
      </c>
      <c r="B392" s="190" t="s">
        <v>382</v>
      </c>
      <c r="C392" s="16" t="s">
        <v>391</v>
      </c>
      <c r="D392" s="17">
        <v>5.03</v>
      </c>
      <c r="E392" s="17"/>
      <c r="F392" s="6"/>
      <c r="G392" s="93">
        <f>SUM('3:4'!G392)</f>
        <v>0</v>
      </c>
      <c r="H392" s="364">
        <f t="shared" si="147"/>
        <v>0</v>
      </c>
      <c r="I392" s="93">
        <f>SUM('3:4'!I392)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152"/>
        <v>0</v>
      </c>
      <c r="N392" s="31">
        <f t="shared" si="156"/>
        <v>0</v>
      </c>
      <c r="O392" s="93">
        <f>SUM('3:4'!O392)</f>
        <v>0</v>
      </c>
      <c r="P392" s="93">
        <f>SUM('3:4'!P392)</f>
        <v>0</v>
      </c>
      <c r="Q392" s="93">
        <f>SUM('3:4'!Q392)</f>
        <v>0</v>
      </c>
      <c r="R392" s="93">
        <f>SUM('3:4'!R392)</f>
        <v>0</v>
      </c>
      <c r="S392" s="93">
        <f>SUM('3:4'!S392)</f>
        <v>0</v>
      </c>
      <c r="T392" s="93">
        <f>SUM('3:4'!T392)</f>
        <v>0</v>
      </c>
      <c r="U392" s="93">
        <f>SUM('3:4'!U392)</f>
        <v>0</v>
      </c>
      <c r="V392" s="206"/>
      <c r="W392" s="33"/>
      <c r="X392" s="93">
        <f>SUM('3:4'!X392)</f>
        <v>0</v>
      </c>
      <c r="Y392" s="93">
        <f>SUM('3:4'!Y392)</f>
        <v>0</v>
      </c>
      <c r="Z392" s="93">
        <f>SUM('3:4'!Z392)</f>
        <v>0</v>
      </c>
      <c r="AA392" s="93">
        <f>SUM('3:4'!AA392)</f>
        <v>0</v>
      </c>
      <c r="AB392" s="25"/>
      <c r="AC392" s="54"/>
      <c r="AD392" s="370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303">
        <v>30700007</v>
      </c>
      <c r="B393" s="190" t="s">
        <v>418</v>
      </c>
      <c r="C393" s="187" t="s">
        <v>364</v>
      </c>
      <c r="D393" s="17">
        <v>5.03</v>
      </c>
      <c r="E393" s="17"/>
      <c r="F393" s="6"/>
      <c r="G393" s="93">
        <f>SUM('3:4'!G393)</f>
        <v>0</v>
      </c>
      <c r="H393" s="364">
        <f t="shared" si="147"/>
        <v>0</v>
      </c>
      <c r="I393" s="93">
        <f>SUM('3:4'!I393)</f>
        <v>0</v>
      </c>
      <c r="J393" s="31"/>
      <c r="K393" s="35">
        <f t="array" ref="K393">IF(ISERROR(G393/L393),"",G393/L393)</f>
        <v>0</v>
      </c>
      <c r="L393" s="87">
        <v>4</v>
      </c>
      <c r="M393" s="36">
        <f t="shared" si="152"/>
        <v>0</v>
      </c>
      <c r="N393" s="31"/>
      <c r="O393" s="93">
        <f>SUM('3:4'!O393)</f>
        <v>0</v>
      </c>
      <c r="P393" s="93">
        <f>SUM('3:4'!P393)</f>
        <v>0</v>
      </c>
      <c r="Q393" s="93">
        <f>SUM('3:4'!Q393)</f>
        <v>0</v>
      </c>
      <c r="R393" s="93">
        <f>SUM('3:4'!R393)</f>
        <v>0</v>
      </c>
      <c r="S393" s="93">
        <f>SUM('3:4'!S393)</f>
        <v>0</v>
      </c>
      <c r="T393" s="93">
        <f>SUM('3:4'!T393)</f>
        <v>0</v>
      </c>
      <c r="U393" s="93">
        <f>SUM('3:4'!U393)</f>
        <v>0</v>
      </c>
      <c r="V393" s="206"/>
      <c r="W393" s="33"/>
      <c r="X393" s="93">
        <f>SUM('3:4'!X393)</f>
        <v>0</v>
      </c>
      <c r="Y393" s="93">
        <f>SUM('3:4'!Y393)</f>
        <v>0</v>
      </c>
      <c r="Z393" s="93">
        <f>SUM('3:4'!Z393)</f>
        <v>0</v>
      </c>
      <c r="AA393" s="93">
        <f>SUM('3:4'!AA393)</f>
        <v>0</v>
      </c>
      <c r="AB393" s="25"/>
      <c r="AC393" s="54"/>
      <c r="AD393" s="370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303">
        <v>30700006</v>
      </c>
      <c r="B394" s="190" t="s">
        <v>418</v>
      </c>
      <c r="C394" s="187" t="s">
        <v>365</v>
      </c>
      <c r="D394" s="17">
        <v>5.03</v>
      </c>
      <c r="E394" s="17"/>
      <c r="F394" s="6"/>
      <c r="G394" s="93">
        <f>SUM('3:4'!G394)</f>
        <v>0</v>
      </c>
      <c r="H394" s="364">
        <f t="shared" si="147"/>
        <v>0</v>
      </c>
      <c r="I394" s="93">
        <f>SUM('3:4'!I394)</f>
        <v>0</v>
      </c>
      <c r="J394" s="31"/>
      <c r="K394" s="35">
        <f t="array" ref="K394">IF(ISERROR(G394/L394),"",G394/L394)</f>
        <v>0</v>
      </c>
      <c r="L394" s="87">
        <v>4</v>
      </c>
      <c r="M394" s="36">
        <f t="shared" si="152"/>
        <v>0</v>
      </c>
      <c r="N394" s="31"/>
      <c r="O394" s="93">
        <f>SUM('3:4'!O394)</f>
        <v>0</v>
      </c>
      <c r="P394" s="93">
        <f>SUM('3:4'!P394)</f>
        <v>0</v>
      </c>
      <c r="Q394" s="93">
        <f>SUM('3:4'!Q394)</f>
        <v>0</v>
      </c>
      <c r="R394" s="93">
        <f>SUM('3:4'!R394)</f>
        <v>0</v>
      </c>
      <c r="S394" s="93">
        <f>SUM('3:4'!S394)</f>
        <v>0</v>
      </c>
      <c r="T394" s="93">
        <f>SUM('3:4'!T394)</f>
        <v>0</v>
      </c>
      <c r="U394" s="93">
        <f>SUM('3:4'!U394)</f>
        <v>0</v>
      </c>
      <c r="V394" s="206"/>
      <c r="W394" s="33"/>
      <c r="X394" s="93">
        <f>SUM('3:4'!X394)</f>
        <v>0</v>
      </c>
      <c r="Y394" s="93">
        <f>SUM('3:4'!Y394)</f>
        <v>0</v>
      </c>
      <c r="Z394" s="93">
        <f>SUM('3:4'!Z394)</f>
        <v>0</v>
      </c>
      <c r="AA394" s="93">
        <f>SUM('3:4'!AA394)</f>
        <v>0</v>
      </c>
      <c r="AB394" s="25"/>
      <c r="AC394" s="54"/>
      <c r="AD394" s="370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303">
        <v>30700008</v>
      </c>
      <c r="B395" s="190" t="s">
        <v>418</v>
      </c>
      <c r="C395" s="187" t="s">
        <v>366</v>
      </c>
      <c r="D395" s="17">
        <v>5.03</v>
      </c>
      <c r="E395" s="17"/>
      <c r="F395" s="6"/>
      <c r="G395" s="93">
        <f>SUM('3:4'!G395)</f>
        <v>0</v>
      </c>
      <c r="H395" s="364">
        <f t="shared" si="147"/>
        <v>0</v>
      </c>
      <c r="I395" s="93">
        <f>SUM('3:4'!I395)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152"/>
        <v>0</v>
      </c>
      <c r="N395" s="31"/>
      <c r="O395" s="93">
        <f>SUM('3:4'!O395)</f>
        <v>0</v>
      </c>
      <c r="P395" s="93">
        <f>SUM('3:4'!P395)</f>
        <v>0</v>
      </c>
      <c r="Q395" s="93">
        <f>SUM('3:4'!Q395)</f>
        <v>0</v>
      </c>
      <c r="R395" s="93">
        <f>SUM('3:4'!R395)</f>
        <v>0</v>
      </c>
      <c r="S395" s="93">
        <f>SUM('3:4'!S395)</f>
        <v>0</v>
      </c>
      <c r="T395" s="93">
        <f>SUM('3:4'!T395)</f>
        <v>0</v>
      </c>
      <c r="U395" s="93">
        <f>SUM('3:4'!U395)</f>
        <v>0</v>
      </c>
      <c r="V395" s="206"/>
      <c r="W395" s="33"/>
      <c r="X395" s="93">
        <f>SUM('3:4'!X395)</f>
        <v>0</v>
      </c>
      <c r="Y395" s="93">
        <f>SUM('3:4'!Y395)</f>
        <v>0</v>
      </c>
      <c r="Z395" s="93">
        <f>SUM('3:4'!Z395)</f>
        <v>0</v>
      </c>
      <c r="AA395" s="93">
        <f>SUM('3:4'!AA395)</f>
        <v>0</v>
      </c>
      <c r="AB395" s="25"/>
      <c r="AC395" s="54"/>
      <c r="AD395" s="370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303">
        <v>30700009</v>
      </c>
      <c r="B396" s="190" t="s">
        <v>418</v>
      </c>
      <c r="C396" s="187" t="s">
        <v>367</v>
      </c>
      <c r="D396" s="17">
        <v>5.03</v>
      </c>
      <c r="E396" s="17"/>
      <c r="F396" s="6"/>
      <c r="G396" s="93">
        <f>SUM('3:4'!G396)</f>
        <v>0</v>
      </c>
      <c r="H396" s="364">
        <f t="shared" si="147"/>
        <v>0</v>
      </c>
      <c r="I396" s="93">
        <f>SUM('3:4'!I396)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152"/>
        <v>0</v>
      </c>
      <c r="N396" s="31"/>
      <c r="O396" s="93">
        <f>SUM('3:4'!O396)</f>
        <v>0</v>
      </c>
      <c r="P396" s="93">
        <f>SUM('3:4'!P396)</f>
        <v>0</v>
      </c>
      <c r="Q396" s="93">
        <f>SUM('3:4'!Q396)</f>
        <v>0</v>
      </c>
      <c r="R396" s="93">
        <f>SUM('3:4'!R396)</f>
        <v>0</v>
      </c>
      <c r="S396" s="93">
        <f>SUM('3:4'!S396)</f>
        <v>0</v>
      </c>
      <c r="T396" s="93">
        <f>SUM('3:4'!T396)</f>
        <v>0</v>
      </c>
      <c r="U396" s="93">
        <f>SUM('3:4'!U396)</f>
        <v>0</v>
      </c>
      <c r="V396" s="206"/>
      <c r="W396" s="33"/>
      <c r="X396" s="93">
        <f>SUM('3:4'!X396)</f>
        <v>0</v>
      </c>
      <c r="Y396" s="93">
        <f>SUM('3:4'!Y396)</f>
        <v>0</v>
      </c>
      <c r="Z396" s="93">
        <f>SUM('3:4'!Z396)</f>
        <v>0</v>
      </c>
      <c r="AA396" s="93">
        <f>SUM('3:4'!AA396)</f>
        <v>0</v>
      </c>
      <c r="AB396" s="25"/>
      <c r="AC396" s="54"/>
      <c r="AD396" s="370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300">
        <v>30100036</v>
      </c>
      <c r="B397" s="62" t="s">
        <v>80</v>
      </c>
      <c r="C397" s="16" t="s">
        <v>61</v>
      </c>
      <c r="D397" s="17">
        <v>5.03</v>
      </c>
      <c r="E397" s="17"/>
      <c r="F397" s="6"/>
      <c r="G397" s="93">
        <f>SUM('3:4'!G397)</f>
        <v>0</v>
      </c>
      <c r="H397" s="364">
        <f t="shared" si="147"/>
        <v>0</v>
      </c>
      <c r="I397" s="93">
        <f>SUM('3:4'!I397)</f>
        <v>0</v>
      </c>
      <c r="J397" s="31" t="str">
        <f t="array" ref="J397">IF(ISERROR(G397/I397),"",G397/I397)</f>
        <v/>
      </c>
      <c r="K397" s="35">
        <f t="array" ref="K397">IF(ISERROR(G397/L397),"",G397/L397)</f>
        <v>0</v>
      </c>
      <c r="L397" s="87">
        <v>40</v>
      </c>
      <c r="M397" s="36">
        <f t="shared" si="152"/>
        <v>0</v>
      </c>
      <c r="N397" s="31">
        <f t="shared" ref="N397:N406" si="159">SUM(O397:U397)</f>
        <v>0</v>
      </c>
      <c r="O397" s="93">
        <f>SUM('3:4'!O397)</f>
        <v>0</v>
      </c>
      <c r="P397" s="93">
        <f>SUM('3:4'!P397)</f>
        <v>0</v>
      </c>
      <c r="Q397" s="93">
        <f>SUM('3:4'!Q397)</f>
        <v>0</v>
      </c>
      <c r="R397" s="93">
        <f>SUM('3:4'!R397)</f>
        <v>0</v>
      </c>
      <c r="S397" s="93">
        <f>SUM('3:4'!S397)</f>
        <v>0</v>
      </c>
      <c r="T397" s="93">
        <f>SUM('3:4'!T397)</f>
        <v>0</v>
      </c>
      <c r="U397" s="93">
        <f>SUM('3:4'!U397)</f>
        <v>0</v>
      </c>
      <c r="V397" s="206">
        <f t="shared" ref="V397:V406" si="160">SUM(X397:AA397)</f>
        <v>0</v>
      </c>
      <c r="W397" s="33" t="str">
        <f t="shared" ref="W397:W406" si="161">IF(ISERROR(V397/G397),"",V397/G397)</f>
        <v/>
      </c>
      <c r="X397" s="93">
        <f>SUM('3:4'!X397)</f>
        <v>0</v>
      </c>
      <c r="Y397" s="93">
        <f>SUM('3:4'!Y397)</f>
        <v>0</v>
      </c>
      <c r="Z397" s="93">
        <f>SUM('3:4'!Z397)</f>
        <v>0</v>
      </c>
      <c r="AA397" s="93">
        <f>SUM('3:4'!AA397)</f>
        <v>0</v>
      </c>
      <c r="AB397" s="73"/>
      <c r="AC397" s="54"/>
      <c r="AD397" s="370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300">
        <v>30100034</v>
      </c>
      <c r="B398" s="62" t="s">
        <v>80</v>
      </c>
      <c r="C398" s="16" t="s">
        <v>60</v>
      </c>
      <c r="D398" s="17">
        <v>5.03</v>
      </c>
      <c r="E398" s="17"/>
      <c r="F398" s="6"/>
      <c r="G398" s="93">
        <f>SUM('3:4'!G398)</f>
        <v>0</v>
      </c>
      <c r="H398" s="364">
        <f t="shared" si="147"/>
        <v>0</v>
      </c>
      <c r="I398" s="93">
        <f>SUM('3:4'!I398)</f>
        <v>0</v>
      </c>
      <c r="J398" s="31" t="str">
        <f t="array" ref="J398">IF(ISERROR(G398/I398),"",G398/I398)</f>
        <v/>
      </c>
      <c r="K398" s="35">
        <f t="array" ref="K398">IF(ISERROR(G398/L398),"",G398/L398)</f>
        <v>0</v>
      </c>
      <c r="L398" s="87">
        <v>40</v>
      </c>
      <c r="M398" s="36">
        <f t="shared" si="152"/>
        <v>0</v>
      </c>
      <c r="N398" s="31">
        <f t="shared" si="159"/>
        <v>0</v>
      </c>
      <c r="O398" s="93">
        <f>SUM('3:4'!O398)</f>
        <v>0</v>
      </c>
      <c r="P398" s="93">
        <f>SUM('3:4'!P398)</f>
        <v>0</v>
      </c>
      <c r="Q398" s="93">
        <f>SUM('3:4'!Q398)</f>
        <v>0</v>
      </c>
      <c r="R398" s="93">
        <f>SUM('3:4'!R398)</f>
        <v>0</v>
      </c>
      <c r="S398" s="93">
        <f>SUM('3:4'!S398)</f>
        <v>0</v>
      </c>
      <c r="T398" s="93">
        <f>SUM('3:4'!T398)</f>
        <v>0</v>
      </c>
      <c r="U398" s="93">
        <f>SUM('3:4'!U398)</f>
        <v>0</v>
      </c>
      <c r="V398" s="206">
        <f t="shared" si="160"/>
        <v>0</v>
      </c>
      <c r="W398" s="33" t="str">
        <f t="shared" si="161"/>
        <v/>
      </c>
      <c r="X398" s="93">
        <f>SUM('3:4'!X398)</f>
        <v>0</v>
      </c>
      <c r="Y398" s="93">
        <f>SUM('3:4'!Y398)</f>
        <v>0</v>
      </c>
      <c r="Z398" s="93">
        <f>SUM('3:4'!Z398)</f>
        <v>0</v>
      </c>
      <c r="AA398" s="93">
        <f>SUM('3:4'!AA398)</f>
        <v>0</v>
      </c>
      <c r="AB398" s="73"/>
      <c r="AC398" s="54"/>
      <c r="AD398" s="370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300">
        <v>30100035</v>
      </c>
      <c r="B399" s="62" t="s">
        <v>80</v>
      </c>
      <c r="C399" s="16" t="s">
        <v>65</v>
      </c>
      <c r="D399" s="17">
        <v>5.03</v>
      </c>
      <c r="E399" s="17"/>
      <c r="F399" s="6"/>
      <c r="G399" s="93">
        <f>SUM('3:4'!G399)</f>
        <v>0</v>
      </c>
      <c r="H399" s="364">
        <f t="shared" si="147"/>
        <v>0</v>
      </c>
      <c r="I399" s="93">
        <f>SUM('3:4'!I399)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152"/>
        <v>0</v>
      </c>
      <c r="N399" s="31">
        <f t="shared" si="159"/>
        <v>0</v>
      </c>
      <c r="O399" s="93">
        <f>SUM('3:4'!O399)</f>
        <v>0</v>
      </c>
      <c r="P399" s="93">
        <f>SUM('3:4'!P399)</f>
        <v>0</v>
      </c>
      <c r="Q399" s="93">
        <f>SUM('3:4'!Q399)</f>
        <v>0</v>
      </c>
      <c r="R399" s="93">
        <f>SUM('3:4'!R399)</f>
        <v>0</v>
      </c>
      <c r="S399" s="93">
        <f>SUM('3:4'!S399)</f>
        <v>0</v>
      </c>
      <c r="T399" s="93">
        <f>SUM('3:4'!T399)</f>
        <v>0</v>
      </c>
      <c r="U399" s="93">
        <f>SUM('3:4'!U399)</f>
        <v>0</v>
      </c>
      <c r="V399" s="206">
        <f t="shared" si="160"/>
        <v>0</v>
      </c>
      <c r="W399" s="33" t="str">
        <f t="shared" si="161"/>
        <v/>
      </c>
      <c r="X399" s="93">
        <f>SUM('3:4'!X399)</f>
        <v>0</v>
      </c>
      <c r="Y399" s="93">
        <f>SUM('3:4'!Y399)</f>
        <v>0</v>
      </c>
      <c r="Z399" s="93">
        <f>SUM('3:4'!Z399)</f>
        <v>0</v>
      </c>
      <c r="AA399" s="93">
        <f>SUM('3:4'!AA399)</f>
        <v>0</v>
      </c>
      <c r="AB399" s="73"/>
      <c r="AC399" s="54"/>
      <c r="AD399" s="370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300">
        <v>30100040</v>
      </c>
      <c r="B400" s="62" t="s">
        <v>81</v>
      </c>
      <c r="C400" s="16" t="s">
        <v>82</v>
      </c>
      <c r="D400" s="17">
        <v>5.03</v>
      </c>
      <c r="E400" s="17"/>
      <c r="F400" s="6"/>
      <c r="G400" s="93">
        <f>SUM('3:4'!G400)</f>
        <v>0</v>
      </c>
      <c r="H400" s="364">
        <f t="shared" si="147"/>
        <v>0</v>
      </c>
      <c r="I400" s="93">
        <f>SUM('3:4'!I400)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50</v>
      </c>
      <c r="M400" s="36">
        <f t="shared" si="152"/>
        <v>0</v>
      </c>
      <c r="N400" s="31">
        <f t="shared" si="159"/>
        <v>0</v>
      </c>
      <c r="O400" s="93">
        <f>SUM('3:4'!O400)</f>
        <v>0</v>
      </c>
      <c r="P400" s="93">
        <f>SUM('3:4'!P400)</f>
        <v>0</v>
      </c>
      <c r="Q400" s="93">
        <f>SUM('3:4'!Q400)</f>
        <v>0</v>
      </c>
      <c r="R400" s="93">
        <f>SUM('3:4'!R400)</f>
        <v>0</v>
      </c>
      <c r="S400" s="93">
        <f>SUM('3:4'!S400)</f>
        <v>0</v>
      </c>
      <c r="T400" s="93">
        <f>SUM('3:4'!T400)</f>
        <v>0</v>
      </c>
      <c r="U400" s="93">
        <f>SUM('3:4'!U400)</f>
        <v>0</v>
      </c>
      <c r="V400" s="206">
        <f t="shared" si="160"/>
        <v>0</v>
      </c>
      <c r="W400" s="33" t="str">
        <f t="shared" si="161"/>
        <v/>
      </c>
      <c r="X400" s="93">
        <f>SUM('3:4'!X400)</f>
        <v>0</v>
      </c>
      <c r="Y400" s="93">
        <f>SUM('3:4'!Y400)</f>
        <v>0</v>
      </c>
      <c r="Z400" s="93">
        <f>SUM('3:4'!Z400)</f>
        <v>0</v>
      </c>
      <c r="AA400" s="93">
        <f>SUM('3:4'!AA400)</f>
        <v>0</v>
      </c>
      <c r="AB400" s="73"/>
      <c r="AC400" s="54"/>
      <c r="AD400" s="370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300">
        <v>30100039</v>
      </c>
      <c r="B401" s="62" t="s">
        <v>81</v>
      </c>
      <c r="C401" s="16" t="s">
        <v>60</v>
      </c>
      <c r="D401" s="17">
        <v>5.03</v>
      </c>
      <c r="E401" s="17"/>
      <c r="F401" s="6"/>
      <c r="G401" s="93">
        <f>SUM('3:4'!G401)</f>
        <v>0</v>
      </c>
      <c r="H401" s="364">
        <f t="shared" si="147"/>
        <v>0</v>
      </c>
      <c r="I401" s="93">
        <f>SUM('3:4'!I401)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50</v>
      </c>
      <c r="M401" s="36">
        <f t="shared" si="152"/>
        <v>0</v>
      </c>
      <c r="N401" s="31">
        <f t="shared" si="159"/>
        <v>0</v>
      </c>
      <c r="O401" s="93">
        <f>SUM('3:4'!O401)</f>
        <v>0</v>
      </c>
      <c r="P401" s="93">
        <f>SUM('3:4'!P401)</f>
        <v>0</v>
      </c>
      <c r="Q401" s="93">
        <f>SUM('3:4'!Q401)</f>
        <v>0</v>
      </c>
      <c r="R401" s="93">
        <f>SUM('3:4'!R401)</f>
        <v>0</v>
      </c>
      <c r="S401" s="93">
        <f>SUM('3:4'!S401)</f>
        <v>0</v>
      </c>
      <c r="T401" s="93">
        <f>SUM('3:4'!T401)</f>
        <v>0</v>
      </c>
      <c r="U401" s="93">
        <f>SUM('3:4'!U401)</f>
        <v>0</v>
      </c>
      <c r="V401" s="206">
        <f t="shared" si="160"/>
        <v>0</v>
      </c>
      <c r="W401" s="33" t="str">
        <f t="shared" si="161"/>
        <v/>
      </c>
      <c r="X401" s="93">
        <f>SUM('3:4'!X401)</f>
        <v>0</v>
      </c>
      <c r="Y401" s="93">
        <f>SUM('3:4'!Y401)</f>
        <v>0</v>
      </c>
      <c r="Z401" s="93">
        <f>SUM('3:4'!Z401)</f>
        <v>0</v>
      </c>
      <c r="AA401" s="93">
        <f>SUM('3:4'!AA401)</f>
        <v>0</v>
      </c>
      <c r="AB401" s="73"/>
      <c r="AC401" s="54"/>
      <c r="AD401" s="370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300">
        <v>30100042</v>
      </c>
      <c r="B402" s="62" t="s">
        <v>81</v>
      </c>
      <c r="C402" s="16" t="s">
        <v>61</v>
      </c>
      <c r="D402" s="17">
        <v>5.03</v>
      </c>
      <c r="E402" s="17"/>
      <c r="F402" s="6"/>
      <c r="G402" s="93">
        <f>SUM('3:4'!G402)</f>
        <v>0</v>
      </c>
      <c r="H402" s="364">
        <f t="shared" si="147"/>
        <v>0</v>
      </c>
      <c r="I402" s="93">
        <f>SUM('3:4'!I402)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152"/>
        <v>0</v>
      </c>
      <c r="N402" s="31">
        <f t="shared" si="159"/>
        <v>0</v>
      </c>
      <c r="O402" s="93">
        <f>SUM('3:4'!O402)</f>
        <v>0</v>
      </c>
      <c r="P402" s="93">
        <f>SUM('3:4'!P402)</f>
        <v>0</v>
      </c>
      <c r="Q402" s="93">
        <f>SUM('3:4'!Q402)</f>
        <v>0</v>
      </c>
      <c r="R402" s="93">
        <f>SUM('3:4'!R402)</f>
        <v>0</v>
      </c>
      <c r="S402" s="93">
        <f>SUM('3:4'!S402)</f>
        <v>0</v>
      </c>
      <c r="T402" s="93">
        <f>SUM('3:4'!T402)</f>
        <v>0</v>
      </c>
      <c r="U402" s="93">
        <f>SUM('3:4'!U402)</f>
        <v>0</v>
      </c>
      <c r="V402" s="206">
        <f t="shared" si="160"/>
        <v>0</v>
      </c>
      <c r="W402" s="33" t="str">
        <f t="shared" si="161"/>
        <v/>
      </c>
      <c r="X402" s="93">
        <f>SUM('3:4'!X402)</f>
        <v>0</v>
      </c>
      <c r="Y402" s="93">
        <f>SUM('3:4'!Y402)</f>
        <v>0</v>
      </c>
      <c r="Z402" s="93">
        <f>SUM('3:4'!Z402)</f>
        <v>0</v>
      </c>
      <c r="AA402" s="93">
        <f>SUM('3:4'!AA402)</f>
        <v>0</v>
      </c>
      <c r="AB402" s="73"/>
      <c r="AC402" s="54"/>
      <c r="AD402" s="370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300">
        <v>30100041</v>
      </c>
      <c r="B403" s="62" t="s">
        <v>81</v>
      </c>
      <c r="C403" s="16" t="s">
        <v>65</v>
      </c>
      <c r="D403" s="17">
        <v>5.03</v>
      </c>
      <c r="E403" s="17"/>
      <c r="F403" s="6"/>
      <c r="G403" s="93">
        <f>SUM('3:4'!G403)</f>
        <v>0</v>
      </c>
      <c r="H403" s="364">
        <f t="shared" si="147"/>
        <v>0</v>
      </c>
      <c r="I403" s="93">
        <f>SUM('3:4'!I403)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152"/>
        <v>0</v>
      </c>
      <c r="N403" s="31">
        <f t="shared" si="159"/>
        <v>0</v>
      </c>
      <c r="O403" s="93">
        <f>SUM('3:4'!O403)</f>
        <v>0</v>
      </c>
      <c r="P403" s="93">
        <f>SUM('3:4'!P403)</f>
        <v>0</v>
      </c>
      <c r="Q403" s="93">
        <f>SUM('3:4'!Q403)</f>
        <v>0</v>
      </c>
      <c r="R403" s="93">
        <f>SUM('3:4'!R403)</f>
        <v>0</v>
      </c>
      <c r="S403" s="93">
        <f>SUM('3:4'!S403)</f>
        <v>0</v>
      </c>
      <c r="T403" s="93">
        <f>SUM('3:4'!T403)</f>
        <v>0</v>
      </c>
      <c r="U403" s="93">
        <f>SUM('3:4'!U403)</f>
        <v>0</v>
      </c>
      <c r="V403" s="206">
        <f t="shared" si="160"/>
        <v>0</v>
      </c>
      <c r="W403" s="33" t="str">
        <f t="shared" si="161"/>
        <v/>
      </c>
      <c r="X403" s="93">
        <f>SUM('3:4'!X403)</f>
        <v>0</v>
      </c>
      <c r="Y403" s="93">
        <f>SUM('3:4'!Y403)</f>
        <v>0</v>
      </c>
      <c r="Z403" s="93">
        <f>SUM('3:4'!Z403)</f>
        <v>0</v>
      </c>
      <c r="AA403" s="93">
        <f>SUM('3:4'!AA403)</f>
        <v>0</v>
      </c>
      <c r="AB403" s="73"/>
      <c r="AC403" s="54"/>
      <c r="AD403" s="370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300">
        <v>30100045</v>
      </c>
      <c r="B404" s="62" t="s">
        <v>83</v>
      </c>
      <c r="C404" s="16" t="s">
        <v>73</v>
      </c>
      <c r="D404" s="17">
        <v>5.03</v>
      </c>
      <c r="E404" s="17"/>
      <c r="F404" s="6"/>
      <c r="G404" s="93">
        <f>SUM('3:4'!G404)</f>
        <v>0</v>
      </c>
      <c r="H404" s="364">
        <f t="shared" si="147"/>
        <v>0</v>
      </c>
      <c r="I404" s="93">
        <f>SUM('3:4'!I404)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152"/>
        <v>0</v>
      </c>
      <c r="N404" s="31">
        <f t="shared" si="159"/>
        <v>0</v>
      </c>
      <c r="O404" s="93">
        <f>SUM('3:4'!O404)</f>
        <v>0</v>
      </c>
      <c r="P404" s="93">
        <f>SUM('3:4'!P404)</f>
        <v>0</v>
      </c>
      <c r="Q404" s="93">
        <f>SUM('3:4'!Q404)</f>
        <v>0</v>
      </c>
      <c r="R404" s="93">
        <f>SUM('3:4'!R404)</f>
        <v>0</v>
      </c>
      <c r="S404" s="93">
        <f>SUM('3:4'!S404)</f>
        <v>0</v>
      </c>
      <c r="T404" s="93">
        <f>SUM('3:4'!T404)</f>
        <v>0</v>
      </c>
      <c r="U404" s="93">
        <f>SUM('3:4'!U404)</f>
        <v>0</v>
      </c>
      <c r="V404" s="206">
        <f t="shared" si="160"/>
        <v>0</v>
      </c>
      <c r="W404" s="33" t="str">
        <f t="shared" si="161"/>
        <v/>
      </c>
      <c r="X404" s="93">
        <f>SUM('3:4'!X404)</f>
        <v>0</v>
      </c>
      <c r="Y404" s="93">
        <f>SUM('3:4'!Y404)</f>
        <v>0</v>
      </c>
      <c r="Z404" s="93">
        <f>SUM('3:4'!Z404)</f>
        <v>0</v>
      </c>
      <c r="AA404" s="93">
        <f>SUM('3:4'!AA404)</f>
        <v>0</v>
      </c>
      <c r="AB404" s="73"/>
      <c r="AC404" s="54"/>
      <c r="AD404" s="370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300">
        <v>30100044</v>
      </c>
      <c r="B405" s="62" t="s">
        <v>83</v>
      </c>
      <c r="C405" s="16" t="s">
        <v>61</v>
      </c>
      <c r="D405" s="17">
        <v>5.03</v>
      </c>
      <c r="E405" s="17"/>
      <c r="F405" s="6"/>
      <c r="G405" s="93">
        <f>SUM('3:4'!G405)</f>
        <v>0</v>
      </c>
      <c r="H405" s="364">
        <f t="shared" si="147"/>
        <v>0</v>
      </c>
      <c r="I405" s="93">
        <f>SUM('3:4'!I405)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152"/>
        <v>0</v>
      </c>
      <c r="N405" s="31">
        <f t="shared" si="159"/>
        <v>0</v>
      </c>
      <c r="O405" s="93">
        <f>SUM('3:4'!O405)</f>
        <v>0</v>
      </c>
      <c r="P405" s="93">
        <f>SUM('3:4'!P405)</f>
        <v>0</v>
      </c>
      <c r="Q405" s="93">
        <f>SUM('3:4'!Q405)</f>
        <v>0</v>
      </c>
      <c r="R405" s="93">
        <f>SUM('3:4'!R405)</f>
        <v>0</v>
      </c>
      <c r="S405" s="93">
        <f>SUM('3:4'!S405)</f>
        <v>0</v>
      </c>
      <c r="T405" s="93">
        <f>SUM('3:4'!T405)</f>
        <v>0</v>
      </c>
      <c r="U405" s="93">
        <f>SUM('3:4'!U405)</f>
        <v>0</v>
      </c>
      <c r="V405" s="206">
        <f t="shared" si="160"/>
        <v>0</v>
      </c>
      <c r="W405" s="33" t="str">
        <f t="shared" si="161"/>
        <v/>
      </c>
      <c r="X405" s="93">
        <f>SUM('3:4'!X405)</f>
        <v>0</v>
      </c>
      <c r="Y405" s="93">
        <f>SUM('3:4'!Y405)</f>
        <v>0</v>
      </c>
      <c r="Z405" s="93">
        <f>SUM('3:4'!Z405)</f>
        <v>0</v>
      </c>
      <c r="AA405" s="93">
        <f>SUM('3:4'!AA405)</f>
        <v>0</v>
      </c>
      <c r="AB405" s="73"/>
      <c r="AC405" s="54"/>
      <c r="AD405" s="370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300">
        <v>30100046</v>
      </c>
      <c r="B406" s="62" t="s">
        <v>83</v>
      </c>
      <c r="C406" s="16" t="s">
        <v>77</v>
      </c>
      <c r="D406" s="17">
        <v>5.03</v>
      </c>
      <c r="E406" s="17"/>
      <c r="F406" s="6"/>
      <c r="G406" s="93">
        <f>SUM('3:4'!G406)</f>
        <v>0</v>
      </c>
      <c r="H406" s="364">
        <f t="shared" si="147"/>
        <v>0</v>
      </c>
      <c r="I406" s="93">
        <f>SUM('3:4'!I406)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152"/>
        <v>0</v>
      </c>
      <c r="N406" s="31">
        <f t="shared" si="159"/>
        <v>0</v>
      </c>
      <c r="O406" s="93">
        <f>SUM('3:4'!O406)</f>
        <v>0</v>
      </c>
      <c r="P406" s="93">
        <f>SUM('3:4'!P406)</f>
        <v>0</v>
      </c>
      <c r="Q406" s="93">
        <f>SUM('3:4'!Q406)</f>
        <v>0</v>
      </c>
      <c r="R406" s="93">
        <f>SUM('3:4'!R406)</f>
        <v>0</v>
      </c>
      <c r="S406" s="93">
        <f>SUM('3:4'!S406)</f>
        <v>0</v>
      </c>
      <c r="T406" s="93">
        <f>SUM('3:4'!T406)</f>
        <v>0</v>
      </c>
      <c r="U406" s="93">
        <f>SUM('3:4'!U406)</f>
        <v>0</v>
      </c>
      <c r="V406" s="206">
        <f t="shared" si="160"/>
        <v>0</v>
      </c>
      <c r="W406" s="33" t="str">
        <f t="shared" si="161"/>
        <v/>
      </c>
      <c r="X406" s="93">
        <f>SUM('3:4'!X406)</f>
        <v>0</v>
      </c>
      <c r="Y406" s="93">
        <f>SUM('3:4'!Y406)</f>
        <v>0</v>
      </c>
      <c r="Z406" s="93">
        <f>SUM('3:4'!Z406)</f>
        <v>0</v>
      </c>
      <c r="AA406" s="93">
        <f>SUM('3:4'!AA406)</f>
        <v>0</v>
      </c>
      <c r="AB406" s="73"/>
      <c r="AC406" s="54"/>
      <c r="AD406" s="370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300">
        <v>30100043</v>
      </c>
      <c r="B407" s="192" t="s">
        <v>429</v>
      </c>
      <c r="C407" s="187" t="s">
        <v>427</v>
      </c>
      <c r="D407" s="17">
        <v>50.3</v>
      </c>
      <c r="E407" s="17"/>
      <c r="F407" s="6"/>
      <c r="G407" s="93">
        <f>SUM('3:4'!G407)</f>
        <v>0</v>
      </c>
      <c r="H407" s="364">
        <f t="shared" si="147"/>
        <v>0</v>
      </c>
      <c r="I407" s="93"/>
      <c r="J407" s="31"/>
      <c r="K407" s="35">
        <f t="array" ref="K407">IF(ISERROR(G407/L407),"",G407/L407)</f>
        <v>0</v>
      </c>
      <c r="L407" s="87">
        <v>50</v>
      </c>
      <c r="M407" s="36"/>
      <c r="N407" s="31"/>
      <c r="O407" s="93"/>
      <c r="P407" s="93"/>
      <c r="Q407" s="93"/>
      <c r="R407" s="93"/>
      <c r="S407" s="93"/>
      <c r="T407" s="93"/>
      <c r="U407" s="93"/>
      <c r="V407" s="206"/>
      <c r="W407" s="33"/>
      <c r="X407" s="93"/>
      <c r="Y407" s="93"/>
      <c r="Z407" s="93"/>
      <c r="AA407" s="93"/>
      <c r="AB407" s="73"/>
      <c r="AC407" s="54"/>
      <c r="AD407" s="370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300">
        <v>30100064</v>
      </c>
      <c r="B408" s="192" t="s">
        <v>400</v>
      </c>
      <c r="C408" s="187" t="s">
        <v>398</v>
      </c>
      <c r="D408" s="17">
        <v>5</v>
      </c>
      <c r="E408" s="17"/>
      <c r="F408" s="6"/>
      <c r="G408" s="93">
        <f>SUM('3:4'!G408)</f>
        <v>0</v>
      </c>
      <c r="H408" s="364">
        <f t="shared" si="147"/>
        <v>0</v>
      </c>
      <c r="I408" s="93">
        <f>SUM('3:4'!I408)</f>
        <v>0</v>
      </c>
      <c r="J408" s="31"/>
      <c r="K408" s="35"/>
      <c r="L408" s="87">
        <v>50</v>
      </c>
      <c r="M408" s="36"/>
      <c r="N408" s="31"/>
      <c r="O408" s="93">
        <f>SUM('3:4'!O408)</f>
        <v>0</v>
      </c>
      <c r="P408" s="93">
        <f>SUM('3:4'!P408)</f>
        <v>0</v>
      </c>
      <c r="Q408" s="93">
        <f>SUM('3:4'!Q408)</f>
        <v>0</v>
      </c>
      <c r="R408" s="93">
        <f>SUM('3:4'!R408)</f>
        <v>0</v>
      </c>
      <c r="S408" s="93">
        <f>SUM('3:4'!S408)</f>
        <v>0</v>
      </c>
      <c r="T408" s="93">
        <f>SUM('3:4'!T408)</f>
        <v>0</v>
      </c>
      <c r="U408" s="93">
        <f>SUM('3:4'!U408)</f>
        <v>0</v>
      </c>
      <c r="V408" s="206"/>
      <c r="W408" s="33"/>
      <c r="X408" s="93">
        <f>SUM('3:4'!X408)</f>
        <v>0</v>
      </c>
      <c r="Y408" s="93">
        <f>SUM('3:4'!Y408)</f>
        <v>0</v>
      </c>
      <c r="Z408" s="93">
        <f>SUM('3:4'!Z408)</f>
        <v>0</v>
      </c>
      <c r="AA408" s="93">
        <f>SUM('3:4'!AA408)</f>
        <v>0</v>
      </c>
      <c r="AB408" s="73"/>
      <c r="AC408" s="54"/>
      <c r="AD408" s="370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300">
        <v>30100049</v>
      </c>
      <c r="B409" s="62" t="s">
        <v>84</v>
      </c>
      <c r="C409" s="16" t="s">
        <v>64</v>
      </c>
      <c r="D409" s="17">
        <v>5.03</v>
      </c>
      <c r="E409" s="17"/>
      <c r="F409" s="6"/>
      <c r="G409" s="93">
        <f>SUM('3:4'!G409)</f>
        <v>0</v>
      </c>
      <c r="H409" s="364">
        <f t="shared" si="147"/>
        <v>0</v>
      </c>
      <c r="I409" s="93">
        <f>SUM('3:4'!I409)</f>
        <v>0</v>
      </c>
      <c r="J409" s="31" t="str">
        <f t="array" ref="J409">IF(ISERROR(G409/I409),"",G409/I409)</f>
        <v/>
      </c>
      <c r="K409" s="35">
        <f t="array" ref="K409">IF(ISERROR(G409/L409),"",G409/L409)</f>
        <v>0</v>
      </c>
      <c r="L409" s="87">
        <v>21.5</v>
      </c>
      <c r="M409" s="36">
        <f t="shared" ref="M409:M410" si="162">IF(ISERROR(I409-K409),"",I409-K409)</f>
        <v>0</v>
      </c>
      <c r="N409" s="31">
        <f t="shared" ref="N409:N410" si="163">SUM(O409:U409)</f>
        <v>0</v>
      </c>
      <c r="O409" s="93">
        <f>SUM('3:4'!O409)</f>
        <v>0</v>
      </c>
      <c r="P409" s="93">
        <f>SUM('3:4'!P409)</f>
        <v>0</v>
      </c>
      <c r="Q409" s="93">
        <f>SUM('3:4'!Q409)</f>
        <v>0</v>
      </c>
      <c r="R409" s="93">
        <f>SUM('3:4'!R409)</f>
        <v>0</v>
      </c>
      <c r="S409" s="93">
        <f>SUM('3:4'!S409)</f>
        <v>0</v>
      </c>
      <c r="T409" s="93">
        <f>SUM('3:4'!T409)</f>
        <v>0</v>
      </c>
      <c r="U409" s="93">
        <f>SUM('3:4'!U409)</f>
        <v>0</v>
      </c>
      <c r="V409" s="206">
        <f t="shared" ref="V409:V410" si="164">SUM(X409:AA409)</f>
        <v>0</v>
      </c>
      <c r="W409" s="33" t="str">
        <f t="shared" ref="W409:W410" si="165">IF(ISERROR(V409/G409),"",V409/G409)</f>
        <v/>
      </c>
      <c r="X409" s="93">
        <f>SUM('3:4'!X409)</f>
        <v>0</v>
      </c>
      <c r="Y409" s="93">
        <f>SUM('3:4'!Y409)</f>
        <v>0</v>
      </c>
      <c r="Z409" s="93">
        <f>SUM('3:4'!Z409)</f>
        <v>0</v>
      </c>
      <c r="AA409" s="93">
        <f>SUM('3:4'!AA409)</f>
        <v>0</v>
      </c>
      <c r="AB409" s="73"/>
      <c r="AC409" s="54"/>
      <c r="AD409" s="370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300">
        <v>30100050</v>
      </c>
      <c r="B410" s="62" t="s">
        <v>84</v>
      </c>
      <c r="C410" s="16" t="s">
        <v>65</v>
      </c>
      <c r="D410" s="17">
        <v>5.03</v>
      </c>
      <c r="E410" s="17"/>
      <c r="F410" s="6"/>
      <c r="G410" s="93">
        <f>SUM('3:4'!G410)</f>
        <v>0</v>
      </c>
      <c r="H410" s="364">
        <f t="shared" si="147"/>
        <v>0</v>
      </c>
      <c r="I410" s="93">
        <f>SUM('3:4'!I410)</f>
        <v>0</v>
      </c>
      <c r="J410" s="31" t="str">
        <f t="array" ref="J410">IF(ISERROR(G410/I410),"",G410/I410)</f>
        <v/>
      </c>
      <c r="K410" s="35">
        <f t="array" ref="K410">IF(ISERROR(G410/L410),"",G410/L410)</f>
        <v>0</v>
      </c>
      <c r="L410" s="87">
        <v>21.5</v>
      </c>
      <c r="M410" s="36">
        <f t="shared" si="162"/>
        <v>0</v>
      </c>
      <c r="N410" s="31">
        <f t="shared" si="163"/>
        <v>0</v>
      </c>
      <c r="O410" s="93">
        <f>SUM('3:4'!O410)</f>
        <v>0</v>
      </c>
      <c r="P410" s="93">
        <f>SUM('3:4'!P410)</f>
        <v>0</v>
      </c>
      <c r="Q410" s="93">
        <f>SUM('3:4'!Q410)</f>
        <v>0</v>
      </c>
      <c r="R410" s="93">
        <f>SUM('3:4'!R410)</f>
        <v>0</v>
      </c>
      <c r="S410" s="93">
        <f>SUM('3:4'!S410)</f>
        <v>0</v>
      </c>
      <c r="T410" s="93">
        <f>SUM('3:4'!T410)</f>
        <v>0</v>
      </c>
      <c r="U410" s="93">
        <f>SUM('3:4'!U410)</f>
        <v>0</v>
      </c>
      <c r="V410" s="206">
        <f t="shared" si="164"/>
        <v>0</v>
      </c>
      <c r="W410" s="33" t="str">
        <f t="shared" si="165"/>
        <v/>
      </c>
      <c r="X410" s="93">
        <f>SUM('3:4'!X410)</f>
        <v>0</v>
      </c>
      <c r="Y410" s="93">
        <f>SUM('3:4'!Y410)</f>
        <v>0</v>
      </c>
      <c r="Z410" s="93">
        <f>SUM('3:4'!Z410)</f>
        <v>0</v>
      </c>
      <c r="AA410" s="93">
        <f>SUM('3:4'!AA410)</f>
        <v>0</v>
      </c>
      <c r="AB410" s="73"/>
      <c r="AC410" s="54"/>
      <c r="AD410" s="370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300"/>
      <c r="B411" s="192" t="s">
        <v>360</v>
      </c>
      <c r="C411" s="187" t="s">
        <v>361</v>
      </c>
      <c r="D411" s="17"/>
      <c r="E411" s="17"/>
      <c r="F411" s="6"/>
      <c r="G411" s="93">
        <f>SUM('3:4'!G411)</f>
        <v>0</v>
      </c>
      <c r="H411" s="364">
        <f t="shared" si="147"/>
        <v>0</v>
      </c>
      <c r="I411" s="93">
        <f>SUM('3:4'!I411)</f>
        <v>0</v>
      </c>
      <c r="J411" s="31"/>
      <c r="K411" s="35"/>
      <c r="L411" s="87"/>
      <c r="M411" s="36"/>
      <c r="N411" s="31"/>
      <c r="O411" s="93">
        <f>SUM('3:4'!O411)</f>
        <v>0</v>
      </c>
      <c r="P411" s="93">
        <f>SUM('3:4'!P411)</f>
        <v>0</v>
      </c>
      <c r="Q411" s="93">
        <f>SUM('3:4'!Q411)</f>
        <v>0</v>
      </c>
      <c r="R411" s="93">
        <f>SUM('3:4'!R411)</f>
        <v>0</v>
      </c>
      <c r="S411" s="93">
        <f>SUM('3:4'!S411)</f>
        <v>0</v>
      </c>
      <c r="T411" s="93">
        <f>SUM('3:4'!T411)</f>
        <v>0</v>
      </c>
      <c r="U411" s="93">
        <f>SUM('3:4'!U411)</f>
        <v>0</v>
      </c>
      <c r="V411" s="206"/>
      <c r="W411" s="33"/>
      <c r="X411" s="93">
        <f>SUM('3:4'!X411)</f>
        <v>0</v>
      </c>
      <c r="Y411" s="93">
        <f>SUM('3:4'!Y411)</f>
        <v>0</v>
      </c>
      <c r="Z411" s="93">
        <f>SUM('3:4'!Z411)</f>
        <v>0</v>
      </c>
      <c r="AA411" s="93">
        <f>SUM('3:4'!AA411)</f>
        <v>0</v>
      </c>
      <c r="AB411" s="73"/>
      <c r="AC411" s="54"/>
      <c r="AD411" s="370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300">
        <v>30100055</v>
      </c>
      <c r="B412" s="63" t="s">
        <v>85</v>
      </c>
      <c r="C412" s="16" t="s">
        <v>60</v>
      </c>
      <c r="D412" s="17">
        <v>5.0599999999999996</v>
      </c>
      <c r="E412" s="17"/>
      <c r="F412" s="6"/>
      <c r="G412" s="93">
        <f>SUM('3:4'!G412)</f>
        <v>0</v>
      </c>
      <c r="H412" s="364">
        <f t="shared" si="147"/>
        <v>0</v>
      </c>
      <c r="I412" s="93">
        <f>SUM('3:4'!I412)</f>
        <v>0</v>
      </c>
      <c r="J412" s="31" t="str">
        <f t="array" ref="J412">IF(ISERROR(G412/I412),"",G412/I412)</f>
        <v/>
      </c>
      <c r="K412" s="35" t="str">
        <f t="array" ref="K412">IF(ISERROR(G412/L412),"",G412/L412)</f>
        <v/>
      </c>
      <c r="L412" s="87"/>
      <c r="M412" s="36" t="str">
        <f t="shared" ref="M412:M425" si="166">IF(ISERROR(I412-K412),"",I412-K412)</f>
        <v/>
      </c>
      <c r="N412" s="31">
        <f t="shared" ref="N412:N415" si="167">SUM(O412:U412)</f>
        <v>0</v>
      </c>
      <c r="O412" s="93">
        <f>SUM('3:4'!O412)</f>
        <v>0</v>
      </c>
      <c r="P412" s="93">
        <f>SUM('3:4'!P412)</f>
        <v>0</v>
      </c>
      <c r="Q412" s="93">
        <f>SUM('3:4'!Q412)</f>
        <v>0</v>
      </c>
      <c r="R412" s="93">
        <f>SUM('3:4'!R412)</f>
        <v>0</v>
      </c>
      <c r="S412" s="93">
        <f>SUM('3:4'!S412)</f>
        <v>0</v>
      </c>
      <c r="T412" s="93">
        <f>SUM('3:4'!T412)</f>
        <v>0</v>
      </c>
      <c r="U412" s="93">
        <f>SUM('3:4'!U412)</f>
        <v>0</v>
      </c>
      <c r="V412" s="206">
        <f t="shared" ref="V412:V415" si="168">SUM(X412:AA412)</f>
        <v>0</v>
      </c>
      <c r="W412" s="33" t="str">
        <f t="shared" ref="W412:W415" si="169">IF(ISERROR(V412/G412),"",V412/G412)</f>
        <v/>
      </c>
      <c r="X412" s="93">
        <f>SUM('3:4'!X412)</f>
        <v>0</v>
      </c>
      <c r="Y412" s="93">
        <f>SUM('3:4'!Y412)</f>
        <v>0</v>
      </c>
      <c r="Z412" s="93">
        <f>SUM('3:4'!Z412)</f>
        <v>0</v>
      </c>
      <c r="AA412" s="93">
        <f>SUM('3:4'!AA412)</f>
        <v>0</v>
      </c>
      <c r="AB412" s="73"/>
      <c r="AC412" s="54"/>
      <c r="AD412" s="370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300">
        <v>30100056</v>
      </c>
      <c r="B413" s="63" t="s">
        <v>85</v>
      </c>
      <c r="C413" s="16" t="s">
        <v>74</v>
      </c>
      <c r="D413" s="17">
        <v>5.0599999999999996</v>
      </c>
      <c r="E413" s="17"/>
      <c r="F413" s="6"/>
      <c r="G413" s="93">
        <f>SUM('3:4'!G413)</f>
        <v>0</v>
      </c>
      <c r="H413" s="364">
        <f t="shared" si="147"/>
        <v>0</v>
      </c>
      <c r="I413" s="93">
        <f>SUM('3:4'!I413)</f>
        <v>0</v>
      </c>
      <c r="J413" s="31" t="str">
        <f t="array" ref="J413">IF(ISERROR(G413/I413),"",G413/I413)</f>
        <v/>
      </c>
      <c r="K413" s="35" t="str">
        <f t="array" ref="K413">IF(ISERROR(G413/L413),"",G413/L413)</f>
        <v/>
      </c>
      <c r="L413" s="87"/>
      <c r="M413" s="36" t="str">
        <f t="shared" si="166"/>
        <v/>
      </c>
      <c r="N413" s="31">
        <f t="shared" si="167"/>
        <v>0</v>
      </c>
      <c r="O413" s="93">
        <f>SUM('3:4'!O413)</f>
        <v>0</v>
      </c>
      <c r="P413" s="93">
        <f>SUM('3:4'!P413)</f>
        <v>0</v>
      </c>
      <c r="Q413" s="93">
        <f>SUM('3:4'!Q413)</f>
        <v>0</v>
      </c>
      <c r="R413" s="93">
        <f>SUM('3:4'!R413)</f>
        <v>0</v>
      </c>
      <c r="S413" s="93">
        <f>SUM('3:4'!S413)</f>
        <v>0</v>
      </c>
      <c r="T413" s="93">
        <f>SUM('3:4'!T413)</f>
        <v>0</v>
      </c>
      <c r="U413" s="93">
        <f>SUM('3:4'!U413)</f>
        <v>0</v>
      </c>
      <c r="V413" s="206">
        <f t="shared" si="168"/>
        <v>0</v>
      </c>
      <c r="W413" s="33" t="str">
        <f t="shared" si="169"/>
        <v/>
      </c>
      <c r="X413" s="93">
        <f>SUM('3:4'!X413)</f>
        <v>0</v>
      </c>
      <c r="Y413" s="93">
        <f>SUM('3:4'!Y413)</f>
        <v>0</v>
      </c>
      <c r="Z413" s="93">
        <f>SUM('3:4'!Z413)</f>
        <v>0</v>
      </c>
      <c r="AA413" s="93">
        <f>SUM('3:4'!AA413)</f>
        <v>0</v>
      </c>
      <c r="AB413" s="73"/>
      <c r="AC413" s="54"/>
      <c r="AD413" s="370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300">
        <v>30100057</v>
      </c>
      <c r="B414" s="63" t="s">
        <v>85</v>
      </c>
      <c r="C414" s="16" t="s">
        <v>65</v>
      </c>
      <c r="D414" s="17">
        <v>5.0599999999999996</v>
      </c>
      <c r="E414" s="17"/>
      <c r="F414" s="6"/>
      <c r="G414" s="93">
        <f>SUM('3:4'!G414)</f>
        <v>0</v>
      </c>
      <c r="H414" s="364">
        <f t="shared" si="147"/>
        <v>0</v>
      </c>
      <c r="I414" s="93">
        <f>SUM('3:4'!I414)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si="166"/>
        <v/>
      </c>
      <c r="N414" s="31">
        <f t="shared" si="167"/>
        <v>0</v>
      </c>
      <c r="O414" s="93">
        <f>SUM('3:4'!O414)</f>
        <v>0</v>
      </c>
      <c r="P414" s="93">
        <f>SUM('3:4'!P414)</f>
        <v>0</v>
      </c>
      <c r="Q414" s="93">
        <f>SUM('3:4'!Q414)</f>
        <v>0</v>
      </c>
      <c r="R414" s="93">
        <f>SUM('3:4'!R414)</f>
        <v>0</v>
      </c>
      <c r="S414" s="93">
        <f>SUM('3:4'!S414)</f>
        <v>0</v>
      </c>
      <c r="T414" s="93">
        <f>SUM('3:4'!T414)</f>
        <v>0</v>
      </c>
      <c r="U414" s="93">
        <f>SUM('3:4'!U414)</f>
        <v>0</v>
      </c>
      <c r="V414" s="206">
        <f t="shared" si="168"/>
        <v>0</v>
      </c>
      <c r="W414" s="33" t="str">
        <f t="shared" si="169"/>
        <v/>
      </c>
      <c r="X414" s="93">
        <f>SUM('3:4'!X414)</f>
        <v>0</v>
      </c>
      <c r="Y414" s="93">
        <f>SUM('3:4'!Y414)</f>
        <v>0</v>
      </c>
      <c r="Z414" s="93">
        <f>SUM('3:4'!Z414)</f>
        <v>0</v>
      </c>
      <c r="AA414" s="93">
        <f>SUM('3:4'!AA414)</f>
        <v>0</v>
      </c>
      <c r="AB414" s="73"/>
      <c r="AC414" s="54"/>
      <c r="AD414" s="370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300">
        <v>30100058</v>
      </c>
      <c r="B415" s="63" t="s">
        <v>85</v>
      </c>
      <c r="C415" s="16" t="s">
        <v>61</v>
      </c>
      <c r="D415" s="17">
        <v>5.0599999999999996</v>
      </c>
      <c r="E415" s="17"/>
      <c r="F415" s="6"/>
      <c r="G415" s="93">
        <f>SUM('3:4'!G415)</f>
        <v>0</v>
      </c>
      <c r="H415" s="364">
        <f t="shared" si="147"/>
        <v>0</v>
      </c>
      <c r="I415" s="93">
        <f>SUM('3:4'!I415)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166"/>
        <v/>
      </c>
      <c r="N415" s="31">
        <f t="shared" si="167"/>
        <v>0</v>
      </c>
      <c r="O415" s="93">
        <f>SUM('3:4'!O415)</f>
        <v>0</v>
      </c>
      <c r="P415" s="93">
        <f>SUM('3:4'!P415)</f>
        <v>0</v>
      </c>
      <c r="Q415" s="93">
        <f>SUM('3:4'!Q415)</f>
        <v>0</v>
      </c>
      <c r="R415" s="93">
        <f>SUM('3:4'!R415)</f>
        <v>0</v>
      </c>
      <c r="S415" s="93">
        <f>SUM('3:4'!S415)</f>
        <v>0</v>
      </c>
      <c r="T415" s="93">
        <f>SUM('3:4'!T415)</f>
        <v>0</v>
      </c>
      <c r="U415" s="93">
        <f>SUM('3:4'!U415)</f>
        <v>0</v>
      </c>
      <c r="V415" s="206">
        <f t="shared" si="168"/>
        <v>0</v>
      </c>
      <c r="W415" s="33" t="str">
        <f t="shared" si="169"/>
        <v/>
      </c>
      <c r="X415" s="93">
        <f>SUM('3:4'!X415)</f>
        <v>0</v>
      </c>
      <c r="Y415" s="93">
        <f>SUM('3:4'!Y415)</f>
        <v>0</v>
      </c>
      <c r="Z415" s="93">
        <f>SUM('3:4'!Z415)</f>
        <v>0</v>
      </c>
      <c r="AA415" s="93">
        <f>SUM('3:4'!AA415)</f>
        <v>0</v>
      </c>
      <c r="AB415" s="73"/>
      <c r="AC415" s="54"/>
      <c r="AD415" s="370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5" customHeight="1">
      <c r="A416" s="302">
        <v>30600013</v>
      </c>
      <c r="B416" s="197" t="s">
        <v>368</v>
      </c>
      <c r="C416" s="187" t="s">
        <v>374</v>
      </c>
      <c r="D416" s="17"/>
      <c r="E416" s="17"/>
      <c r="F416" s="6"/>
      <c r="G416" s="93">
        <f>SUM('3:4'!G416)</f>
        <v>0</v>
      </c>
      <c r="H416" s="364">
        <f t="shared" si="147"/>
        <v>0</v>
      </c>
      <c r="I416" s="93">
        <f>SUM('3:4'!I416)</f>
        <v>0</v>
      </c>
      <c r="J416" s="31"/>
      <c r="K416" s="35">
        <f t="array" ref="K416">IF(ISERROR(G416/L416),"",G416/L416)</f>
        <v>0</v>
      </c>
      <c r="L416" s="87">
        <v>24</v>
      </c>
      <c r="M416" s="36">
        <f t="shared" si="166"/>
        <v>0</v>
      </c>
      <c r="N416" s="31"/>
      <c r="O416" s="93">
        <f>SUM('3:4'!O416)</f>
        <v>0</v>
      </c>
      <c r="P416" s="93">
        <f>SUM('3:4'!P416)</f>
        <v>0</v>
      </c>
      <c r="Q416" s="93">
        <f>SUM('3:4'!Q416)</f>
        <v>0</v>
      </c>
      <c r="R416" s="93">
        <f>SUM('3:4'!R416)</f>
        <v>0</v>
      </c>
      <c r="S416" s="93">
        <f>SUM('3:4'!S416)</f>
        <v>0</v>
      </c>
      <c r="T416" s="93">
        <f>SUM('3:4'!T416)</f>
        <v>0</v>
      </c>
      <c r="U416" s="93">
        <f>SUM('3:4'!U416)</f>
        <v>0</v>
      </c>
      <c r="V416" s="206"/>
      <c r="W416" s="33"/>
      <c r="X416" s="93">
        <f>SUM('3:4'!X416)</f>
        <v>0</v>
      </c>
      <c r="Y416" s="93">
        <f>SUM('3:4'!Y416)</f>
        <v>0</v>
      </c>
      <c r="Z416" s="93">
        <f>SUM('3:4'!Z416)</f>
        <v>0</v>
      </c>
      <c r="AA416" s="93">
        <f>SUM('3:4'!AA416)</f>
        <v>0</v>
      </c>
      <c r="AB416" s="73"/>
      <c r="AC416" s="54"/>
      <c r="AD416" s="370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5" customHeight="1">
      <c r="A417" s="302">
        <v>30600014</v>
      </c>
      <c r="B417" s="197" t="s">
        <v>368</v>
      </c>
      <c r="C417" s="187" t="s">
        <v>369</v>
      </c>
      <c r="D417" s="17"/>
      <c r="E417" s="17"/>
      <c r="F417" s="6"/>
      <c r="G417" s="93">
        <f>SUM('3:4'!G417)</f>
        <v>0</v>
      </c>
      <c r="H417" s="364">
        <f t="shared" si="147"/>
        <v>0</v>
      </c>
      <c r="I417" s="93">
        <f>SUM('3:4'!I417)</f>
        <v>0</v>
      </c>
      <c r="J417" s="31"/>
      <c r="K417" s="35">
        <f t="array" ref="K417">IF(ISERROR(G417/L417),"",G417/L417)</f>
        <v>0</v>
      </c>
      <c r="L417" s="87">
        <v>24</v>
      </c>
      <c r="M417" s="36">
        <f t="shared" si="166"/>
        <v>0</v>
      </c>
      <c r="N417" s="31"/>
      <c r="O417" s="93">
        <f>SUM('3:4'!O417)</f>
        <v>0</v>
      </c>
      <c r="P417" s="93">
        <f>SUM('3:4'!P417)</f>
        <v>0</v>
      </c>
      <c r="Q417" s="93">
        <f>SUM('3:4'!Q417)</f>
        <v>0</v>
      </c>
      <c r="R417" s="93">
        <f>SUM('3:4'!R417)</f>
        <v>0</v>
      </c>
      <c r="S417" s="93">
        <f>SUM('3:4'!S417)</f>
        <v>0</v>
      </c>
      <c r="T417" s="93">
        <f>SUM('3:4'!T417)</f>
        <v>0</v>
      </c>
      <c r="U417" s="93">
        <f>SUM('3:4'!U417)</f>
        <v>0</v>
      </c>
      <c r="V417" s="206"/>
      <c r="W417" s="33"/>
      <c r="X417" s="93">
        <f>SUM('3:4'!X417)</f>
        <v>0</v>
      </c>
      <c r="Y417" s="93">
        <f>SUM('3:4'!Y417)</f>
        <v>0</v>
      </c>
      <c r="Z417" s="93">
        <f>SUM('3:4'!Z417)</f>
        <v>0</v>
      </c>
      <c r="AA417" s="93">
        <f>SUM('3:4'!AA417)</f>
        <v>0</v>
      </c>
      <c r="AB417" s="73"/>
      <c r="AC417" s="54"/>
      <c r="AD417" s="370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02">
        <v>30600012</v>
      </c>
      <c r="B418" s="197" t="s">
        <v>368</v>
      </c>
      <c r="C418" s="187" t="s">
        <v>370</v>
      </c>
      <c r="D418" s="17"/>
      <c r="E418" s="17"/>
      <c r="F418" s="6"/>
      <c r="G418" s="93">
        <f>SUM('3:4'!G418)</f>
        <v>0</v>
      </c>
      <c r="H418" s="364">
        <f t="shared" si="147"/>
        <v>0</v>
      </c>
      <c r="I418" s="93">
        <f>SUM('3:4'!I418)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166"/>
        <v>0</v>
      </c>
      <c r="N418" s="31"/>
      <c r="O418" s="93">
        <f>SUM('3:4'!O418)</f>
        <v>0</v>
      </c>
      <c r="P418" s="93">
        <f>SUM('3:4'!P418)</f>
        <v>0</v>
      </c>
      <c r="Q418" s="93">
        <f>SUM('3:4'!Q418)</f>
        <v>0</v>
      </c>
      <c r="R418" s="93">
        <f>SUM('3:4'!R418)</f>
        <v>0</v>
      </c>
      <c r="S418" s="93">
        <f>SUM('3:4'!S418)</f>
        <v>0</v>
      </c>
      <c r="T418" s="93">
        <f>SUM('3:4'!T418)</f>
        <v>0</v>
      </c>
      <c r="U418" s="93">
        <f>SUM('3:4'!U418)</f>
        <v>0</v>
      </c>
      <c r="V418" s="206"/>
      <c r="W418" s="33"/>
      <c r="X418" s="93">
        <f>SUM('3:4'!X418)</f>
        <v>0</v>
      </c>
      <c r="Y418" s="93">
        <f>SUM('3:4'!Y418)</f>
        <v>0</v>
      </c>
      <c r="Z418" s="93">
        <f>SUM('3:4'!Z418)</f>
        <v>0</v>
      </c>
      <c r="AA418" s="93">
        <f>SUM('3:4'!AA418)</f>
        <v>0</v>
      </c>
      <c r="AB418" s="73"/>
      <c r="AC418" s="54"/>
      <c r="AD418" s="370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02">
        <v>30600011</v>
      </c>
      <c r="B419" s="197" t="s">
        <v>368</v>
      </c>
      <c r="C419" s="187" t="s">
        <v>371</v>
      </c>
      <c r="D419" s="17"/>
      <c r="E419" s="17"/>
      <c r="F419" s="6"/>
      <c r="G419" s="93">
        <f>SUM('3:4'!G419)</f>
        <v>0</v>
      </c>
      <c r="H419" s="364">
        <f t="shared" si="147"/>
        <v>0</v>
      </c>
      <c r="I419" s="93">
        <f>SUM('3:4'!I419)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166"/>
        <v>0</v>
      </c>
      <c r="N419" s="31"/>
      <c r="O419" s="93">
        <f>SUM('3:4'!O419)</f>
        <v>0</v>
      </c>
      <c r="P419" s="93">
        <f>SUM('3:4'!P419)</f>
        <v>0</v>
      </c>
      <c r="Q419" s="93">
        <f>SUM('3:4'!Q419)</f>
        <v>0</v>
      </c>
      <c r="R419" s="93">
        <f>SUM('3:4'!R419)</f>
        <v>0</v>
      </c>
      <c r="S419" s="93">
        <f>SUM('3:4'!S419)</f>
        <v>0</v>
      </c>
      <c r="T419" s="93">
        <f>SUM('3:4'!T419)</f>
        <v>0</v>
      </c>
      <c r="U419" s="93">
        <f>SUM('3:4'!U419)</f>
        <v>0</v>
      </c>
      <c r="V419" s="206"/>
      <c r="W419" s="33"/>
      <c r="X419" s="93">
        <f>SUM('3:4'!X419)</f>
        <v>0</v>
      </c>
      <c r="Y419" s="93">
        <f>SUM('3:4'!Y419)</f>
        <v>0</v>
      </c>
      <c r="Z419" s="93">
        <f>SUM('3:4'!Z419)</f>
        <v>0</v>
      </c>
      <c r="AA419" s="93">
        <f>SUM('3:4'!AA419)</f>
        <v>0</v>
      </c>
      <c r="AB419" s="73"/>
      <c r="AC419" s="54"/>
      <c r="AD419" s="370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02">
        <v>30300002</v>
      </c>
      <c r="B420" s="197" t="s">
        <v>407</v>
      </c>
      <c r="C420" s="187" t="s">
        <v>408</v>
      </c>
      <c r="D420" s="17"/>
      <c r="E420" s="17"/>
      <c r="F420" s="6"/>
      <c r="G420" s="93">
        <f>SUM('3:4'!G420)</f>
        <v>0</v>
      </c>
      <c r="H420" s="364">
        <f t="shared" si="147"/>
        <v>0</v>
      </c>
      <c r="I420" s="93">
        <f>SUM('3:4'!I420)</f>
        <v>0</v>
      </c>
      <c r="J420" s="31"/>
      <c r="K420" s="35">
        <f t="array" ref="K420">IF(ISERROR(G420/L420),"",G420/L420)</f>
        <v>0</v>
      </c>
      <c r="L420" s="87">
        <v>4</v>
      </c>
      <c r="M420" s="36">
        <f t="shared" si="166"/>
        <v>0</v>
      </c>
      <c r="N420" s="31"/>
      <c r="O420" s="93"/>
      <c r="P420" s="93"/>
      <c r="Q420" s="93"/>
      <c r="R420" s="93"/>
      <c r="S420" s="93"/>
      <c r="T420" s="93"/>
      <c r="U420" s="93"/>
      <c r="V420" s="206"/>
      <c r="W420" s="33"/>
      <c r="X420" s="93"/>
      <c r="Y420" s="93"/>
      <c r="Z420" s="93"/>
      <c r="AA420" s="93"/>
      <c r="AB420" s="73"/>
      <c r="AC420" s="54"/>
      <c r="AD420" s="370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02">
        <v>30300001</v>
      </c>
      <c r="B421" s="197" t="s">
        <v>407</v>
      </c>
      <c r="C421" s="187" t="s">
        <v>409</v>
      </c>
      <c r="D421" s="17"/>
      <c r="E421" s="17"/>
      <c r="F421" s="6"/>
      <c r="G421" s="93">
        <f>SUM('3:4'!G421)</f>
        <v>0</v>
      </c>
      <c r="H421" s="364">
        <f t="shared" si="147"/>
        <v>0</v>
      </c>
      <c r="I421" s="93">
        <f>SUM('3:4'!I421)</f>
        <v>0</v>
      </c>
      <c r="J421" s="31"/>
      <c r="K421" s="35">
        <f t="array" ref="K421">IF(ISERROR(G421/L421),"",G421/L421)</f>
        <v>0</v>
      </c>
      <c r="L421" s="87">
        <v>4</v>
      </c>
      <c r="M421" s="36">
        <f t="shared" si="166"/>
        <v>0</v>
      </c>
      <c r="N421" s="31"/>
      <c r="O421" s="93"/>
      <c r="P421" s="93"/>
      <c r="Q421" s="93"/>
      <c r="R421" s="93"/>
      <c r="S421" s="93"/>
      <c r="T421" s="93"/>
      <c r="U421" s="93"/>
      <c r="V421" s="206"/>
      <c r="W421" s="33"/>
      <c r="X421" s="93"/>
      <c r="Y421" s="93"/>
      <c r="Z421" s="93"/>
      <c r="AA421" s="93"/>
      <c r="AB421" s="73"/>
      <c r="AC421" s="54"/>
      <c r="AD421" s="370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302">
        <v>30300003</v>
      </c>
      <c r="B422" s="197" t="s">
        <v>407</v>
      </c>
      <c r="C422" s="187" t="s">
        <v>410</v>
      </c>
      <c r="D422" s="17"/>
      <c r="E422" s="17"/>
      <c r="F422" s="6"/>
      <c r="G422" s="93">
        <f>SUM('3:4'!G422)</f>
        <v>0</v>
      </c>
      <c r="H422" s="364">
        <f t="shared" si="147"/>
        <v>0</v>
      </c>
      <c r="I422" s="93">
        <f>SUM('3:4'!I422)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166"/>
        <v>0</v>
      </c>
      <c r="N422" s="31"/>
      <c r="O422" s="93"/>
      <c r="P422" s="93"/>
      <c r="Q422" s="93"/>
      <c r="R422" s="93"/>
      <c r="S422" s="93"/>
      <c r="T422" s="93"/>
      <c r="U422" s="93"/>
      <c r="V422" s="206"/>
      <c r="W422" s="33"/>
      <c r="X422" s="93"/>
      <c r="Y422" s="93"/>
      <c r="Z422" s="93"/>
      <c r="AA422" s="93"/>
      <c r="AB422" s="73"/>
      <c r="AC422" s="54"/>
      <c r="AD422" s="370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302">
        <v>30300005</v>
      </c>
      <c r="B423" s="63" t="s">
        <v>362</v>
      </c>
      <c r="C423" s="16" t="s">
        <v>337</v>
      </c>
      <c r="D423" s="17"/>
      <c r="E423" s="17"/>
      <c r="F423" s="6"/>
      <c r="G423" s="93">
        <f>SUM('3:4'!G423)</f>
        <v>0</v>
      </c>
      <c r="H423" s="364">
        <f t="shared" si="147"/>
        <v>0</v>
      </c>
      <c r="I423" s="93">
        <f>SUM('3:4'!I423)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166"/>
        <v>0</v>
      </c>
      <c r="N423" s="31"/>
      <c r="O423" s="93">
        <f>SUM('3:4'!O423)</f>
        <v>0</v>
      </c>
      <c r="P423" s="93">
        <f>SUM('3:4'!P423)</f>
        <v>0</v>
      </c>
      <c r="Q423" s="93">
        <f>SUM('3:4'!Q423)</f>
        <v>0</v>
      </c>
      <c r="R423" s="93">
        <f>SUM('3:4'!R423)</f>
        <v>0</v>
      </c>
      <c r="S423" s="93">
        <f>SUM('3:4'!S423)</f>
        <v>0</v>
      </c>
      <c r="T423" s="93">
        <f>SUM('3:4'!T423)</f>
        <v>0</v>
      </c>
      <c r="U423" s="93">
        <f>SUM('3:4'!U423)</f>
        <v>0</v>
      </c>
      <c r="V423" s="206"/>
      <c r="W423" s="33"/>
      <c r="X423" s="93">
        <f>SUM('3:4'!X423)</f>
        <v>0</v>
      </c>
      <c r="Y423" s="93">
        <f>SUM('3:4'!Y423)</f>
        <v>0</v>
      </c>
      <c r="Z423" s="93">
        <f>SUM('3:4'!Z423)</f>
        <v>0</v>
      </c>
      <c r="AA423" s="93">
        <f>SUM('3:4'!AA423)</f>
        <v>0</v>
      </c>
      <c r="AB423" s="73"/>
      <c r="AC423" s="54"/>
      <c r="AD423" s="370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302">
        <v>30300004</v>
      </c>
      <c r="B424" s="63" t="s">
        <v>362</v>
      </c>
      <c r="C424" s="16" t="s">
        <v>339</v>
      </c>
      <c r="D424" s="17"/>
      <c r="E424" s="17"/>
      <c r="F424" s="6"/>
      <c r="G424" s="93">
        <f>SUM('3:4'!G424)</f>
        <v>0</v>
      </c>
      <c r="H424" s="364">
        <f t="shared" si="147"/>
        <v>0</v>
      </c>
      <c r="I424" s="93">
        <f>SUM('3:4'!I424)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166"/>
        <v>0</v>
      </c>
      <c r="N424" s="31"/>
      <c r="O424" s="93">
        <f>SUM('3:4'!O424)</f>
        <v>0</v>
      </c>
      <c r="P424" s="93">
        <f>SUM('3:4'!P424)</f>
        <v>0</v>
      </c>
      <c r="Q424" s="93">
        <f>SUM('3:4'!Q424)</f>
        <v>0</v>
      </c>
      <c r="R424" s="93">
        <f>SUM('3:4'!R424)</f>
        <v>0</v>
      </c>
      <c r="S424" s="93">
        <f>SUM('3:4'!S424)</f>
        <v>0</v>
      </c>
      <c r="T424" s="93">
        <f>SUM('3:4'!T424)</f>
        <v>0</v>
      </c>
      <c r="U424" s="93">
        <f>SUM('3:4'!U424)</f>
        <v>0</v>
      </c>
      <c r="V424" s="206"/>
      <c r="W424" s="33"/>
      <c r="X424" s="93">
        <f>SUM('3:4'!X424)</f>
        <v>0</v>
      </c>
      <c r="Y424" s="93">
        <f>SUM('3:4'!Y424)</f>
        <v>0</v>
      </c>
      <c r="Z424" s="93">
        <f>SUM('3:4'!Z424)</f>
        <v>0</v>
      </c>
      <c r="AA424" s="93">
        <f>SUM('3:4'!AA424)</f>
        <v>0</v>
      </c>
      <c r="AB424" s="73"/>
      <c r="AC424" s="54"/>
      <c r="AD424" s="370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302">
        <v>30300006</v>
      </c>
      <c r="B425" s="63" t="s">
        <v>362</v>
      </c>
      <c r="C425" s="16" t="s">
        <v>341</v>
      </c>
      <c r="D425" s="17"/>
      <c r="E425" s="17"/>
      <c r="F425" s="6"/>
      <c r="G425" s="93">
        <f>SUM('3:4'!G425)</f>
        <v>0</v>
      </c>
      <c r="H425" s="364">
        <f t="shared" si="147"/>
        <v>0</v>
      </c>
      <c r="I425" s="93">
        <f>SUM('3:4'!I425)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166"/>
        <v>0</v>
      </c>
      <c r="N425" s="31"/>
      <c r="O425" s="93">
        <f>SUM('3:4'!O425)</f>
        <v>0</v>
      </c>
      <c r="P425" s="93">
        <f>SUM('3:4'!P425)</f>
        <v>0</v>
      </c>
      <c r="Q425" s="93">
        <f>SUM('3:4'!Q425)</f>
        <v>0</v>
      </c>
      <c r="R425" s="93">
        <f>SUM('3:4'!R425)</f>
        <v>0</v>
      </c>
      <c r="S425" s="93">
        <f>SUM('3:4'!S425)</f>
        <v>0</v>
      </c>
      <c r="T425" s="93">
        <f>SUM('3:4'!T425)</f>
        <v>0</v>
      </c>
      <c r="U425" s="93">
        <f>SUM('3:4'!U425)</f>
        <v>0</v>
      </c>
      <c r="V425" s="206"/>
      <c r="W425" s="33"/>
      <c r="X425" s="93">
        <f>SUM('3:4'!X425)</f>
        <v>0</v>
      </c>
      <c r="Y425" s="93">
        <f>SUM('3:4'!Y425)</f>
        <v>0</v>
      </c>
      <c r="Z425" s="93">
        <f>SUM('3:4'!Z425)</f>
        <v>0</v>
      </c>
      <c r="AA425" s="93">
        <f>SUM('3:4'!AA425)</f>
        <v>0</v>
      </c>
      <c r="AB425" s="73"/>
      <c r="AC425" s="54"/>
      <c r="AD425" s="370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>
      <c r="A426" s="724" t="s">
        <v>86</v>
      </c>
      <c r="B426" s="724"/>
      <c r="C426" s="359" t="s">
        <v>71</v>
      </c>
      <c r="D426" s="20"/>
      <c r="E426" s="20"/>
      <c r="F426" s="32"/>
      <c r="G426" s="94">
        <f>SUM(G369:G425)</f>
        <v>0</v>
      </c>
      <c r="H426" s="30">
        <f>SUM(H369:H425)</f>
        <v>0</v>
      </c>
      <c r="I426" s="30">
        <f>SUM(I369:I425)</f>
        <v>0</v>
      </c>
      <c r="J426" s="31" t="str">
        <f t="array" ref="J426">IF(ISERROR(G426/I426),"",G426/I426)</f>
        <v/>
      </c>
      <c r="K426" s="30">
        <f>SUM(K369:K425)</f>
        <v>0</v>
      </c>
      <c r="L426" s="87"/>
      <c r="M426" s="89">
        <f t="shared" ref="M426:V426" si="170">SUM(M369:M425)</f>
        <v>0</v>
      </c>
      <c r="N426" s="30">
        <f t="shared" si="170"/>
        <v>0</v>
      </c>
      <c r="O426" s="91">
        <f t="shared" si="170"/>
        <v>0</v>
      </c>
      <c r="P426" s="91">
        <f t="shared" si="170"/>
        <v>0</v>
      </c>
      <c r="Q426" s="91">
        <f t="shared" si="170"/>
        <v>0</v>
      </c>
      <c r="R426" s="91">
        <f t="shared" si="170"/>
        <v>0</v>
      </c>
      <c r="S426" s="92">
        <f t="shared" si="170"/>
        <v>0</v>
      </c>
      <c r="T426" s="91">
        <f t="shared" si="170"/>
        <v>0</v>
      </c>
      <c r="U426" s="91">
        <f t="shared" si="170"/>
        <v>0</v>
      </c>
      <c r="V426" s="206">
        <f t="shared" si="170"/>
        <v>0</v>
      </c>
      <c r="W426" s="33" t="str">
        <f t="shared" ref="W426:W433" si="171">IF(ISERROR(V426/G426),"",V426/G426)</f>
        <v/>
      </c>
      <c r="X426" s="92">
        <f>SUM(X369:X425)</f>
        <v>0</v>
      </c>
      <c r="Y426" s="92">
        <f>SUM(Y369:Y425)</f>
        <v>0</v>
      </c>
      <c r="Z426" s="92">
        <f>SUM(Z369:Z425)</f>
        <v>0</v>
      </c>
      <c r="AA426" s="92">
        <f>SUM(AA369:AA425)</f>
        <v>0</v>
      </c>
      <c r="AB426" s="75"/>
      <c r="AC426" s="70"/>
      <c r="AD426" s="370"/>
      <c r="AE426" s="74"/>
      <c r="AF426" s="74"/>
      <c r="AG426" s="74"/>
      <c r="AH426" s="7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>
      <c r="A427" s="299">
        <v>30400012</v>
      </c>
      <c r="B427" s="61" t="s">
        <v>87</v>
      </c>
      <c r="C427" s="16" t="s">
        <v>53</v>
      </c>
      <c r="D427" s="17">
        <v>5.03</v>
      </c>
      <c r="E427" s="17"/>
      <c r="F427" s="6"/>
      <c r="G427" s="93">
        <f>SUM('3:4'!G427)</f>
        <v>0</v>
      </c>
      <c r="H427" s="364">
        <f>D427*G427</f>
        <v>0</v>
      </c>
      <c r="I427" s="93">
        <f>SUM('3:4'!I427)</f>
        <v>0</v>
      </c>
      <c r="J427" s="31" t="str">
        <f t="array" ref="J427">IF(ISERROR(G427/I427),"",G427/I427)</f>
        <v/>
      </c>
      <c r="K427" s="35">
        <f t="array" ref="K427">IF(ISERROR(G427/L427),"",G427/L427)</f>
        <v>0</v>
      </c>
      <c r="L427" s="87">
        <v>8.8000000000000007</v>
      </c>
      <c r="M427" s="36">
        <f t="shared" ref="M427:M434" si="172">IF(ISERROR(I427-K427),"",I427-K427)</f>
        <v>0</v>
      </c>
      <c r="N427" s="31">
        <f t="shared" ref="N427:N434" si="173">SUM(O427:U427)</f>
        <v>0</v>
      </c>
      <c r="O427" s="93">
        <f>SUM('3:4'!O427)</f>
        <v>0</v>
      </c>
      <c r="P427" s="93">
        <f>SUM('3:4'!P427)</f>
        <v>0</v>
      </c>
      <c r="Q427" s="93">
        <f>SUM('3:4'!Q427)</f>
        <v>0</v>
      </c>
      <c r="R427" s="93">
        <f>SUM('3:4'!R427)</f>
        <v>0</v>
      </c>
      <c r="S427" s="93">
        <f>SUM('3:4'!S427)</f>
        <v>0</v>
      </c>
      <c r="T427" s="93">
        <f>SUM('3:4'!T427)</f>
        <v>0</v>
      </c>
      <c r="U427" s="93">
        <f>SUM('3:4'!U427)</f>
        <v>0</v>
      </c>
      <c r="V427" s="206">
        <f t="shared" ref="V427:V433" si="174">SUM(X427:AA427)</f>
        <v>0</v>
      </c>
      <c r="W427" s="33" t="str">
        <f t="shared" si="171"/>
        <v/>
      </c>
      <c r="X427" s="93">
        <f>SUM('3:4'!X427)</f>
        <v>0</v>
      </c>
      <c r="Y427" s="93">
        <f>SUM('3:4'!Y427)</f>
        <v>0</v>
      </c>
      <c r="Z427" s="93">
        <f>SUM('3:4'!Z427)</f>
        <v>0</v>
      </c>
      <c r="AA427" s="93">
        <f>SUM('3:4'!AA427)</f>
        <v>0</v>
      </c>
      <c r="AB427" s="73"/>
      <c r="AC427" s="54"/>
      <c r="AD427" s="370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299">
        <v>30400010</v>
      </c>
      <c r="B428" s="61" t="s">
        <v>87</v>
      </c>
      <c r="C428" s="16" t="s">
        <v>60</v>
      </c>
      <c r="D428" s="17">
        <v>5.03</v>
      </c>
      <c r="E428" s="17"/>
      <c r="F428" s="6"/>
      <c r="G428" s="93">
        <f>SUM('3:4'!G428)</f>
        <v>0</v>
      </c>
      <c r="H428" s="364">
        <f t="shared" ref="H428:H460" si="175">D428*G428</f>
        <v>0</v>
      </c>
      <c r="I428" s="93">
        <f>SUM('3:4'!I428)</f>
        <v>0</v>
      </c>
      <c r="J428" s="31" t="str">
        <f t="array" ref="J428">IF(ISERROR(G428/I428),"",G428/I428)</f>
        <v/>
      </c>
      <c r="K428" s="35">
        <f t="array" ref="K428">IF(ISERROR(G428/L428),"",G428/L428)</f>
        <v>0</v>
      </c>
      <c r="L428" s="87">
        <v>8.8000000000000007</v>
      </c>
      <c r="M428" s="36">
        <f t="shared" si="172"/>
        <v>0</v>
      </c>
      <c r="N428" s="31">
        <f t="shared" si="173"/>
        <v>0</v>
      </c>
      <c r="O428" s="93">
        <f>SUM('3:4'!O428)</f>
        <v>0</v>
      </c>
      <c r="P428" s="93">
        <f>SUM('3:4'!P428)</f>
        <v>0</v>
      </c>
      <c r="Q428" s="93">
        <f>SUM('3:4'!Q428)</f>
        <v>0</v>
      </c>
      <c r="R428" s="93">
        <f>SUM('3:4'!R428)</f>
        <v>0</v>
      </c>
      <c r="S428" s="93">
        <f>SUM('3:4'!S428)</f>
        <v>0</v>
      </c>
      <c r="T428" s="93">
        <f>SUM('3:4'!T428)</f>
        <v>0</v>
      </c>
      <c r="U428" s="93">
        <f>SUM('3:4'!U428)</f>
        <v>0</v>
      </c>
      <c r="V428" s="206">
        <f t="shared" si="174"/>
        <v>0</v>
      </c>
      <c r="W428" s="33" t="str">
        <f t="shared" si="171"/>
        <v/>
      </c>
      <c r="X428" s="93">
        <f>SUM('3:4'!X428)</f>
        <v>0</v>
      </c>
      <c r="Y428" s="93">
        <f>SUM('3:4'!Y428)</f>
        <v>0</v>
      </c>
      <c r="Z428" s="93">
        <f>SUM('3:4'!Z428)</f>
        <v>0</v>
      </c>
      <c r="AA428" s="93">
        <f>SUM('3:4'!AA428)</f>
        <v>0</v>
      </c>
      <c r="AB428" s="73"/>
      <c r="AC428" s="54"/>
      <c r="AD428" s="370"/>
      <c r="AE428" s="54"/>
      <c r="AF428" s="54"/>
      <c r="AG428" s="54"/>
      <c r="AH428" s="5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99">
        <v>30400011</v>
      </c>
      <c r="B429" s="61" t="s">
        <v>87</v>
      </c>
      <c r="C429" s="16" t="s">
        <v>74</v>
      </c>
      <c r="D429" s="17">
        <v>5.03</v>
      </c>
      <c r="E429" s="17"/>
      <c r="F429" s="6"/>
      <c r="G429" s="93">
        <f>SUM('3:4'!G429)</f>
        <v>0</v>
      </c>
      <c r="H429" s="364">
        <f t="shared" si="175"/>
        <v>0</v>
      </c>
      <c r="I429" s="93">
        <f>SUM('3:4'!I429)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8.8000000000000007</v>
      </c>
      <c r="M429" s="36">
        <f t="shared" si="172"/>
        <v>0</v>
      </c>
      <c r="N429" s="31">
        <f t="shared" si="173"/>
        <v>0</v>
      </c>
      <c r="O429" s="93">
        <f>SUM('3:4'!O429)</f>
        <v>0</v>
      </c>
      <c r="P429" s="93">
        <f>SUM('3:4'!P429)</f>
        <v>0</v>
      </c>
      <c r="Q429" s="93">
        <f>SUM('3:4'!Q429)</f>
        <v>0</v>
      </c>
      <c r="R429" s="93">
        <f>SUM('3:4'!R429)</f>
        <v>0</v>
      </c>
      <c r="S429" s="93">
        <f>SUM('3:4'!S429)</f>
        <v>0</v>
      </c>
      <c r="T429" s="93">
        <f>SUM('3:4'!T429)</f>
        <v>0</v>
      </c>
      <c r="U429" s="93">
        <f>SUM('3:4'!U429)</f>
        <v>0</v>
      </c>
      <c r="V429" s="206">
        <f t="shared" si="174"/>
        <v>0</v>
      </c>
      <c r="W429" s="33" t="str">
        <f t="shared" si="171"/>
        <v/>
      </c>
      <c r="X429" s="93">
        <f>SUM('3:4'!X429)</f>
        <v>0</v>
      </c>
      <c r="Y429" s="93">
        <f>SUM('3:4'!Y429)</f>
        <v>0</v>
      </c>
      <c r="Z429" s="93">
        <f>SUM('3:4'!Z429)</f>
        <v>0</v>
      </c>
      <c r="AA429" s="93">
        <f>SUM('3:4'!AA429)</f>
        <v>0</v>
      </c>
      <c r="AB429" s="73"/>
      <c r="AC429" s="54"/>
      <c r="AD429" s="370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99">
        <v>30400014</v>
      </c>
      <c r="B430" s="215" t="s">
        <v>513</v>
      </c>
      <c r="C430" s="16" t="s">
        <v>53</v>
      </c>
      <c r="D430" s="17">
        <v>5.03</v>
      </c>
      <c r="E430" s="17"/>
      <c r="F430" s="6"/>
      <c r="G430" s="93">
        <f>SUM('3:4'!G430)</f>
        <v>0</v>
      </c>
      <c r="H430" s="364">
        <f t="shared" si="175"/>
        <v>0</v>
      </c>
      <c r="I430" s="93">
        <f>SUM('3:4'!I430)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9.3000000000000007</v>
      </c>
      <c r="M430" s="36">
        <f t="shared" si="172"/>
        <v>0</v>
      </c>
      <c r="N430" s="31">
        <f t="shared" si="173"/>
        <v>0</v>
      </c>
      <c r="O430" s="93">
        <f>SUM('3:4'!O430)</f>
        <v>0</v>
      </c>
      <c r="P430" s="93">
        <f>SUM('3:4'!P430)</f>
        <v>0</v>
      </c>
      <c r="Q430" s="93">
        <f>SUM('3:4'!Q430)</f>
        <v>0</v>
      </c>
      <c r="R430" s="93">
        <f>SUM('3:4'!R430)</f>
        <v>0</v>
      </c>
      <c r="S430" s="93">
        <f>SUM('3:4'!S430)</f>
        <v>0</v>
      </c>
      <c r="T430" s="93">
        <f>SUM('3:4'!T430)</f>
        <v>0</v>
      </c>
      <c r="U430" s="93">
        <f>SUM('3:4'!U430)</f>
        <v>0</v>
      </c>
      <c r="V430" s="206">
        <f t="shared" si="174"/>
        <v>0</v>
      </c>
      <c r="W430" s="33" t="str">
        <f t="shared" si="171"/>
        <v/>
      </c>
      <c r="X430" s="93">
        <f>SUM('3:4'!X430)</f>
        <v>0</v>
      </c>
      <c r="Y430" s="93">
        <f>SUM('3:4'!Y430)</f>
        <v>0</v>
      </c>
      <c r="Z430" s="93">
        <f>SUM('3:4'!Z430)</f>
        <v>0</v>
      </c>
      <c r="AA430" s="93">
        <f>SUM('3:4'!AA430)</f>
        <v>0</v>
      </c>
      <c r="AB430" s="73"/>
      <c r="AC430" s="54"/>
      <c r="AD430" s="370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99">
        <v>30400013</v>
      </c>
      <c r="B431" s="215" t="s">
        <v>473</v>
      </c>
      <c r="C431" s="16" t="s">
        <v>72</v>
      </c>
      <c r="D431" s="17">
        <v>5.03</v>
      </c>
      <c r="E431" s="17"/>
      <c r="F431" s="6"/>
      <c r="G431" s="93">
        <f>SUM('3:4'!G431)</f>
        <v>0</v>
      </c>
      <c r="H431" s="364">
        <f t="shared" si="175"/>
        <v>0</v>
      </c>
      <c r="I431" s="93">
        <f>SUM('3:4'!I431)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9.3000000000000007</v>
      </c>
      <c r="M431" s="36">
        <f t="shared" si="172"/>
        <v>0</v>
      </c>
      <c r="N431" s="31">
        <f t="shared" si="173"/>
        <v>0</v>
      </c>
      <c r="O431" s="93">
        <f>SUM('3:4'!O431)</f>
        <v>0</v>
      </c>
      <c r="P431" s="93">
        <f>SUM('3:4'!P431)</f>
        <v>0</v>
      </c>
      <c r="Q431" s="93">
        <f>SUM('3:4'!Q431)</f>
        <v>0</v>
      </c>
      <c r="R431" s="93">
        <f>SUM('3:4'!R431)</f>
        <v>0</v>
      </c>
      <c r="S431" s="93">
        <f>SUM('3:4'!S431)</f>
        <v>0</v>
      </c>
      <c r="T431" s="93">
        <f>SUM('3:4'!T431)</f>
        <v>0</v>
      </c>
      <c r="U431" s="93">
        <f>SUM('3:4'!U431)</f>
        <v>0</v>
      </c>
      <c r="V431" s="206">
        <f t="shared" si="174"/>
        <v>0</v>
      </c>
      <c r="W431" s="33" t="str">
        <f t="shared" si="171"/>
        <v/>
      </c>
      <c r="X431" s="93">
        <f>SUM('3:4'!X431)</f>
        <v>0</v>
      </c>
      <c r="Y431" s="93">
        <f>SUM('3:4'!Y431)</f>
        <v>0</v>
      </c>
      <c r="Z431" s="93">
        <f>SUM('3:4'!Z431)</f>
        <v>0</v>
      </c>
      <c r="AA431" s="93">
        <f>SUM('3:4'!AA431)</f>
        <v>0</v>
      </c>
      <c r="AB431" s="73"/>
      <c r="AC431" s="54"/>
      <c r="AD431" s="370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99">
        <v>30400016</v>
      </c>
      <c r="B432" s="215" t="s">
        <v>513</v>
      </c>
      <c r="C432" s="16" t="s">
        <v>60</v>
      </c>
      <c r="D432" s="17">
        <v>5.03</v>
      </c>
      <c r="E432" s="17"/>
      <c r="F432" s="6"/>
      <c r="G432" s="93">
        <f>SUM('3:4'!G432)</f>
        <v>0</v>
      </c>
      <c r="H432" s="364">
        <f t="shared" si="175"/>
        <v>0</v>
      </c>
      <c r="I432" s="93">
        <f>SUM('3:4'!I432)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172"/>
        <v>0</v>
      </c>
      <c r="N432" s="31">
        <f t="shared" si="173"/>
        <v>0</v>
      </c>
      <c r="O432" s="93">
        <f>SUM('3:4'!O432)</f>
        <v>0</v>
      </c>
      <c r="P432" s="93">
        <f>SUM('3:4'!P432)</f>
        <v>0</v>
      </c>
      <c r="Q432" s="93">
        <f>SUM('3:4'!Q432)</f>
        <v>0</v>
      </c>
      <c r="R432" s="93">
        <f>SUM('3:4'!R432)</f>
        <v>0</v>
      </c>
      <c r="S432" s="93">
        <f>SUM('3:4'!S432)</f>
        <v>0</v>
      </c>
      <c r="T432" s="93">
        <f>SUM('3:4'!T432)</f>
        <v>0</v>
      </c>
      <c r="U432" s="93">
        <f>SUM('3:4'!U432)</f>
        <v>0</v>
      </c>
      <c r="V432" s="206">
        <f t="shared" si="174"/>
        <v>0</v>
      </c>
      <c r="W432" s="33" t="str">
        <f t="shared" si="171"/>
        <v/>
      </c>
      <c r="X432" s="93">
        <f>SUM('3:4'!X432)</f>
        <v>0</v>
      </c>
      <c r="Y432" s="93">
        <f>SUM('3:4'!Y432)</f>
        <v>0</v>
      </c>
      <c r="Z432" s="93">
        <f>SUM('3:4'!Z432)</f>
        <v>0</v>
      </c>
      <c r="AA432" s="93">
        <f>SUM('3:4'!AA432)</f>
        <v>0</v>
      </c>
      <c r="AB432" s="73"/>
      <c r="AC432" s="54"/>
      <c r="AD432" s="370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99">
        <v>30400017</v>
      </c>
      <c r="B433" s="215" t="s">
        <v>513</v>
      </c>
      <c r="C433" s="16" t="s">
        <v>66</v>
      </c>
      <c r="D433" s="17">
        <v>5.03</v>
      </c>
      <c r="E433" s="17"/>
      <c r="F433" s="6"/>
      <c r="G433" s="93">
        <f>SUM('3:4'!G433)</f>
        <v>0</v>
      </c>
      <c r="H433" s="364">
        <f t="shared" si="175"/>
        <v>0</v>
      </c>
      <c r="I433" s="93">
        <f>SUM('3:4'!I433)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172"/>
        <v>0</v>
      </c>
      <c r="N433" s="31">
        <f t="shared" si="173"/>
        <v>0</v>
      </c>
      <c r="O433" s="93">
        <f>SUM('3:4'!O433)</f>
        <v>0</v>
      </c>
      <c r="P433" s="93">
        <f>SUM('3:4'!P433)</f>
        <v>0</v>
      </c>
      <c r="Q433" s="93">
        <f>SUM('3:4'!Q433)</f>
        <v>0</v>
      </c>
      <c r="R433" s="93">
        <f>SUM('3:4'!R433)</f>
        <v>0</v>
      </c>
      <c r="S433" s="93">
        <f>SUM('3:4'!S433)</f>
        <v>0</v>
      </c>
      <c r="T433" s="93">
        <f>SUM('3:4'!T433)</f>
        <v>0</v>
      </c>
      <c r="U433" s="93">
        <f>SUM('3:4'!U433)</f>
        <v>0</v>
      </c>
      <c r="V433" s="206">
        <f t="shared" si="174"/>
        <v>0</v>
      </c>
      <c r="W433" s="33" t="str">
        <f t="shared" si="171"/>
        <v/>
      </c>
      <c r="X433" s="93">
        <f>SUM('3:4'!X433)</f>
        <v>0</v>
      </c>
      <c r="Y433" s="93">
        <f>SUM('3:4'!Y433)</f>
        <v>0</v>
      </c>
      <c r="Z433" s="93">
        <f>SUM('3:4'!Z433)</f>
        <v>0</v>
      </c>
      <c r="AA433" s="93">
        <f>SUM('3:4'!AA433)</f>
        <v>0</v>
      </c>
      <c r="AB433" s="73"/>
      <c r="AC433" s="54"/>
      <c r="AD433" s="370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99">
        <v>30400015</v>
      </c>
      <c r="B434" s="65" t="s">
        <v>512</v>
      </c>
      <c r="C434" s="16" t="s">
        <v>177</v>
      </c>
      <c r="D434" s="17">
        <v>5.03</v>
      </c>
      <c r="E434" s="17"/>
      <c r="F434" s="6"/>
      <c r="G434" s="93">
        <f>SUM('3:4'!G434)</f>
        <v>0</v>
      </c>
      <c r="H434" s="364">
        <f t="shared" si="175"/>
        <v>0</v>
      </c>
      <c r="I434" s="93">
        <f>SUM('3:4'!I434)</f>
        <v>0</v>
      </c>
      <c r="J434" s="31"/>
      <c r="K434" s="35">
        <f t="array" ref="K434">IF(ISERROR(G434/L434),"",G434/L434)</f>
        <v>0</v>
      </c>
      <c r="L434" s="87">
        <v>9.3000000000000007</v>
      </c>
      <c r="M434" s="36">
        <f t="shared" si="172"/>
        <v>0</v>
      </c>
      <c r="N434" s="31">
        <f t="shared" si="173"/>
        <v>0</v>
      </c>
      <c r="O434" s="93">
        <f>SUM('3:4'!O434)</f>
        <v>0</v>
      </c>
      <c r="P434" s="93">
        <f>SUM('3:4'!P434)</f>
        <v>0</v>
      </c>
      <c r="Q434" s="93">
        <f>SUM('3:4'!Q434)</f>
        <v>0</v>
      </c>
      <c r="R434" s="93">
        <f>SUM('3:4'!R434)</f>
        <v>0</v>
      </c>
      <c r="S434" s="93">
        <f>SUM('3:4'!S434)</f>
        <v>0</v>
      </c>
      <c r="T434" s="93">
        <f>SUM('3:4'!T434)</f>
        <v>0</v>
      </c>
      <c r="U434" s="93">
        <f>SUM('3:4'!U434)</f>
        <v>0</v>
      </c>
      <c r="V434" s="207"/>
      <c r="W434" s="33"/>
      <c r="X434" s="93">
        <f>SUM('3:4'!X434)</f>
        <v>0</v>
      </c>
      <c r="Y434" s="93">
        <f>SUM('3:4'!Y434)</f>
        <v>0</v>
      </c>
      <c r="Z434" s="93">
        <f>SUM('3:4'!Z434)</f>
        <v>0</v>
      </c>
      <c r="AA434" s="93">
        <f>SUM('3:4'!AA434)</f>
        <v>0</v>
      </c>
      <c r="AD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</row>
    <row r="435" spans="1:53">
      <c r="A435" s="304">
        <v>30600004</v>
      </c>
      <c r="B435" s="65" t="s">
        <v>162</v>
      </c>
      <c r="C435" s="16" t="s">
        <v>53</v>
      </c>
      <c r="D435" s="17">
        <v>5.03</v>
      </c>
      <c r="E435" s="17"/>
      <c r="F435" s="6"/>
      <c r="G435" s="93">
        <f>SUM('3:4'!G435)</f>
        <v>0</v>
      </c>
      <c r="H435" s="364">
        <f t="shared" si="175"/>
        <v>0</v>
      </c>
      <c r="I435" s="93">
        <f>SUM('3:4'!I435)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8</v>
      </c>
      <c r="M435" s="36">
        <f>IF(ISERROR(I435-K435),"",I435-K435)</f>
        <v>0</v>
      </c>
      <c r="N435" s="31">
        <f>SUM(O435:U435)</f>
        <v>0</v>
      </c>
      <c r="O435" s="93">
        <f>SUM('3:4'!O435)</f>
        <v>0</v>
      </c>
      <c r="P435" s="93">
        <f>SUM('3:4'!P435)</f>
        <v>0</v>
      </c>
      <c r="Q435" s="93">
        <f>SUM('3:4'!Q435)</f>
        <v>0</v>
      </c>
      <c r="R435" s="93">
        <f>SUM('3:4'!R435)</f>
        <v>0</v>
      </c>
      <c r="S435" s="93">
        <f>SUM('3:4'!S435)</f>
        <v>0</v>
      </c>
      <c r="T435" s="93">
        <f>SUM('3:4'!T435)</f>
        <v>0</v>
      </c>
      <c r="U435" s="93">
        <f>SUM('3:4'!U435)</f>
        <v>0</v>
      </c>
      <c r="V435" s="207">
        <f>SUM(X435:AA435)</f>
        <v>0</v>
      </c>
      <c r="W435" s="33" t="str">
        <f>IF(ISERROR(V435/G435),"",V435/G435)</f>
        <v/>
      </c>
      <c r="X435" s="93">
        <f>SUM('3:4'!X435)</f>
        <v>0</v>
      </c>
      <c r="Y435" s="93">
        <f>SUM('3:4'!Y435)</f>
        <v>0</v>
      </c>
      <c r="Z435" s="93">
        <f>SUM('3:4'!Z435)</f>
        <v>0</v>
      </c>
      <c r="AA435" s="93">
        <f>SUM('3:4'!AA435)</f>
        <v>0</v>
      </c>
      <c r="AD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</row>
    <row r="436" spans="1:53">
      <c r="A436" s="304">
        <v>30600001</v>
      </c>
      <c r="B436" s="65" t="s">
        <v>162</v>
      </c>
      <c r="C436" s="16" t="s">
        <v>55</v>
      </c>
      <c r="D436" s="17">
        <v>5.03</v>
      </c>
      <c r="E436" s="17"/>
      <c r="F436" s="6"/>
      <c r="G436" s="93">
        <f>SUM('3:4'!G436)</f>
        <v>0</v>
      </c>
      <c r="H436" s="364">
        <f t="shared" si="175"/>
        <v>0</v>
      </c>
      <c r="I436" s="93">
        <f>SUM('3:4'!I436)</f>
        <v>0</v>
      </c>
      <c r="J436" s="31" t="str">
        <f t="array" ref="J436">IF(ISERROR(G436/I436),"",G436/I436)</f>
        <v/>
      </c>
      <c r="K436" s="35">
        <f t="array" ref="K436">IF(ISERROR(G436/L436),"",G436/L436)</f>
        <v>0</v>
      </c>
      <c r="L436" s="87">
        <v>8</v>
      </c>
      <c r="M436" s="36">
        <f>IF(ISERROR(I436-K436),"",I436-K436)</f>
        <v>0</v>
      </c>
      <c r="N436" s="31">
        <f>SUM(O436:U436)</f>
        <v>0</v>
      </c>
      <c r="O436" s="93">
        <f>SUM('3:4'!O436)</f>
        <v>0</v>
      </c>
      <c r="P436" s="93">
        <f>SUM('3:4'!P436)</f>
        <v>0</v>
      </c>
      <c r="Q436" s="93">
        <f>SUM('3:4'!Q436)</f>
        <v>0</v>
      </c>
      <c r="R436" s="93">
        <f>SUM('3:4'!R436)</f>
        <v>0</v>
      </c>
      <c r="S436" s="93">
        <f>SUM('3:4'!S436)</f>
        <v>0</v>
      </c>
      <c r="T436" s="93">
        <f>SUM('3:4'!T436)</f>
        <v>0</v>
      </c>
      <c r="U436" s="93">
        <f>SUM('3:4'!U436)</f>
        <v>0</v>
      </c>
      <c r="V436" s="207">
        <f>SUM(X436:AA436)</f>
        <v>0</v>
      </c>
      <c r="W436" s="33" t="str">
        <f>IF(ISERROR(V436/G436),"",V436/G436)</f>
        <v/>
      </c>
      <c r="X436" s="93">
        <f>SUM('3:4'!X436)</f>
        <v>0</v>
      </c>
      <c r="Y436" s="93">
        <f>SUM('3:4'!Y436)</f>
        <v>0</v>
      </c>
      <c r="Z436" s="93">
        <f>SUM('3:4'!Z436)</f>
        <v>0</v>
      </c>
      <c r="AA436" s="93">
        <f>SUM('3:4'!AA436)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304">
        <v>30600002</v>
      </c>
      <c r="B437" s="65" t="s">
        <v>162</v>
      </c>
      <c r="C437" s="16" t="s">
        <v>60</v>
      </c>
      <c r="D437" s="17">
        <v>5.03</v>
      </c>
      <c r="E437" s="17"/>
      <c r="F437" s="6"/>
      <c r="G437" s="93">
        <f>SUM('3:4'!G437)</f>
        <v>0</v>
      </c>
      <c r="H437" s="364">
        <f t="shared" si="175"/>
        <v>0</v>
      </c>
      <c r="I437" s="93">
        <f>SUM('3:4'!I437)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SUM('3:4'!O437)</f>
        <v>0</v>
      </c>
      <c r="P437" s="93">
        <f>SUM('3:4'!P437)</f>
        <v>0</v>
      </c>
      <c r="Q437" s="93">
        <f>SUM('3:4'!Q437)</f>
        <v>0</v>
      </c>
      <c r="R437" s="93">
        <f>SUM('3:4'!R437)</f>
        <v>0</v>
      </c>
      <c r="S437" s="93">
        <f>SUM('3:4'!S437)</f>
        <v>0</v>
      </c>
      <c r="T437" s="93">
        <f>SUM('3:4'!T437)</f>
        <v>0</v>
      </c>
      <c r="U437" s="93">
        <f>SUM('3:4'!U437)</f>
        <v>0</v>
      </c>
      <c r="V437" s="207">
        <f>SUM(X437:AA437)</f>
        <v>0</v>
      </c>
      <c r="W437" s="33" t="str">
        <f>IF(ISERROR(V437/G437),"",V437/G437)</f>
        <v/>
      </c>
      <c r="X437" s="93">
        <f>SUM('3:4'!X437)</f>
        <v>0</v>
      </c>
      <c r="Y437" s="93">
        <f>SUM('3:4'!Y437)</f>
        <v>0</v>
      </c>
      <c r="Z437" s="93">
        <f>SUM('3:4'!Z437)</f>
        <v>0</v>
      </c>
      <c r="AA437" s="93">
        <f>SUM('3:4'!AA437)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304">
        <v>30600003</v>
      </c>
      <c r="B438" s="65" t="s">
        <v>162</v>
      </c>
      <c r="C438" s="195" t="s">
        <v>89</v>
      </c>
      <c r="D438" s="17">
        <v>5.03</v>
      </c>
      <c r="E438" s="17"/>
      <c r="F438" s="6"/>
      <c r="G438" s="93">
        <f>SUM('3:4'!G438)</f>
        <v>0</v>
      </c>
      <c r="H438" s="364">
        <f t="shared" si="175"/>
        <v>0</v>
      </c>
      <c r="I438" s="93">
        <f>SUM('3:4'!I438)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SUM('3:4'!O438)</f>
        <v>0</v>
      </c>
      <c r="P438" s="93">
        <f>SUM('3:4'!P438)</f>
        <v>0</v>
      </c>
      <c r="Q438" s="93">
        <f>SUM('3:4'!Q438)</f>
        <v>0</v>
      </c>
      <c r="R438" s="93">
        <f>SUM('3:4'!R438)</f>
        <v>0</v>
      </c>
      <c r="S438" s="93">
        <f>SUM('3:4'!S438)</f>
        <v>0</v>
      </c>
      <c r="T438" s="93">
        <f>SUM('3:4'!T438)</f>
        <v>0</v>
      </c>
      <c r="U438" s="93">
        <f>SUM('3:4'!U438)</f>
        <v>0</v>
      </c>
      <c r="V438" s="207">
        <f>SUM(X438:AA438)</f>
        <v>0</v>
      </c>
      <c r="W438" s="33" t="str">
        <f>IF(ISERROR(V438/G438),"",V438/G438)</f>
        <v/>
      </c>
      <c r="X438" s="93">
        <f>SUM('3:4'!X438)</f>
        <v>0</v>
      </c>
      <c r="Y438" s="93">
        <f>SUM('3:4'!Y438)</f>
        <v>0</v>
      </c>
      <c r="Z438" s="93">
        <f>SUM('3:4'!Z438)</f>
        <v>0</v>
      </c>
      <c r="AA438" s="93">
        <f>SUM('3:4'!AA438)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304">
        <v>30400030</v>
      </c>
      <c r="B439" s="65" t="s">
        <v>88</v>
      </c>
      <c r="C439" s="16" t="s">
        <v>53</v>
      </c>
      <c r="D439" s="17">
        <v>5.03</v>
      </c>
      <c r="E439" s="17"/>
      <c r="F439" s="6"/>
      <c r="G439" s="93">
        <f>SUM('3:4'!G439)</f>
        <v>0</v>
      </c>
      <c r="H439" s="364">
        <f t="shared" si="175"/>
        <v>0</v>
      </c>
      <c r="I439" s="93">
        <f>SUM('3:4'!I439)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10</v>
      </c>
      <c r="M439" s="36">
        <f t="shared" ref="M439:M460" si="176">IF(ISERROR(I439-K439),"",I439-K439)</f>
        <v>0</v>
      </c>
      <c r="N439" s="31">
        <f t="shared" ref="N439:N454" si="177">SUM(O439:U439)</f>
        <v>0</v>
      </c>
      <c r="O439" s="93">
        <f>SUM('3:4'!O439)</f>
        <v>0</v>
      </c>
      <c r="P439" s="93">
        <f>SUM('3:4'!P439)</f>
        <v>0</v>
      </c>
      <c r="Q439" s="93">
        <f>SUM('3:4'!Q439)</f>
        <v>0</v>
      </c>
      <c r="R439" s="93">
        <f>SUM('3:4'!R439)</f>
        <v>0</v>
      </c>
      <c r="S439" s="93">
        <f>SUM('3:4'!S439)</f>
        <v>0</v>
      </c>
      <c r="T439" s="93">
        <f>SUM('3:4'!T439)</f>
        <v>0</v>
      </c>
      <c r="U439" s="93">
        <f>SUM('3:4'!U439)</f>
        <v>0</v>
      </c>
      <c r="V439" s="206">
        <f t="shared" ref="V439:V446" si="178">SUM(X439:AA439)</f>
        <v>0</v>
      </c>
      <c r="W439" s="33" t="str">
        <f t="shared" ref="W439:W446" si="179">IF(ISERROR(V439/G439),"",V439/G439)</f>
        <v/>
      </c>
      <c r="X439" s="93">
        <f>SUM('3:4'!X439)</f>
        <v>0</v>
      </c>
      <c r="Y439" s="93">
        <f>SUM('3:4'!Y439)</f>
        <v>0</v>
      </c>
      <c r="Z439" s="93">
        <f>SUM('3:4'!Z439)</f>
        <v>0</v>
      </c>
      <c r="AA439" s="93">
        <f>SUM('3:4'!AA439)</f>
        <v>0</v>
      </c>
      <c r="AB439" s="73"/>
      <c r="AC439" s="54"/>
      <c r="AD439" s="370"/>
      <c r="AE439" s="54"/>
      <c r="AF439" s="54"/>
      <c r="AG439" s="54"/>
      <c r="AH439" s="54"/>
      <c r="AI439" s="57"/>
      <c r="AJ439" s="57"/>
      <c r="AK439" s="57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</row>
    <row r="440" spans="1:53">
      <c r="A440" s="304"/>
      <c r="B440" s="65" t="s">
        <v>88</v>
      </c>
      <c r="C440" s="16" t="s">
        <v>72</v>
      </c>
      <c r="D440" s="17">
        <v>5.03</v>
      </c>
      <c r="E440" s="17"/>
      <c r="F440" s="6"/>
      <c r="G440" s="93">
        <f>SUM('3:4'!G440)</f>
        <v>0</v>
      </c>
      <c r="H440" s="364">
        <f t="shared" si="175"/>
        <v>0</v>
      </c>
      <c r="I440" s="93">
        <f>SUM('3:4'!I440)</f>
        <v>0</v>
      </c>
      <c r="J440" s="31" t="str">
        <f t="array" ref="J440">IF(ISERROR(G440/I440),"",G440/I440)</f>
        <v/>
      </c>
      <c r="K440" s="35" t="str">
        <f t="array" ref="K440">IF(ISERROR(G440/L440),"",G440/L440)</f>
        <v/>
      </c>
      <c r="L440" s="87"/>
      <c r="M440" s="36" t="str">
        <f t="shared" si="176"/>
        <v/>
      </c>
      <c r="N440" s="31">
        <f t="shared" si="177"/>
        <v>0</v>
      </c>
      <c r="O440" s="93">
        <f>SUM('3:4'!O440)</f>
        <v>0</v>
      </c>
      <c r="P440" s="93">
        <f>SUM('3:4'!P440)</f>
        <v>0</v>
      </c>
      <c r="Q440" s="93">
        <f>SUM('3:4'!Q440)</f>
        <v>0</v>
      </c>
      <c r="R440" s="93">
        <f>SUM('3:4'!R440)</f>
        <v>0</v>
      </c>
      <c r="S440" s="93">
        <f>SUM('3:4'!S440)</f>
        <v>0</v>
      </c>
      <c r="T440" s="93">
        <f>SUM('3:4'!T440)</f>
        <v>0</v>
      </c>
      <c r="U440" s="93">
        <f>SUM('3:4'!U440)</f>
        <v>0</v>
      </c>
      <c r="V440" s="206">
        <f t="shared" si="178"/>
        <v>0</v>
      </c>
      <c r="W440" s="33" t="str">
        <f t="shared" si="179"/>
        <v/>
      </c>
      <c r="X440" s="93">
        <f>SUM('3:4'!X440)</f>
        <v>0</v>
      </c>
      <c r="Y440" s="93">
        <f>SUM('3:4'!Y440)</f>
        <v>0</v>
      </c>
      <c r="Z440" s="93">
        <f>SUM('3:4'!Z440)</f>
        <v>0</v>
      </c>
      <c r="AA440" s="93">
        <f>SUM('3:4'!AA440)</f>
        <v>0</v>
      </c>
      <c r="AB440" s="73"/>
      <c r="AC440" s="54"/>
      <c r="AD440" s="370"/>
      <c r="AE440" s="54"/>
      <c r="AF440" s="54"/>
      <c r="AG440" s="54"/>
      <c r="AH440" s="54"/>
      <c r="AI440" s="57"/>
      <c r="AJ440" s="57"/>
      <c r="AK440" s="57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</row>
    <row r="441" spans="1:53">
      <c r="A441" s="304"/>
      <c r="B441" s="65" t="s">
        <v>88</v>
      </c>
      <c r="C441" s="16" t="s">
        <v>60</v>
      </c>
      <c r="D441" s="17">
        <v>5.03</v>
      </c>
      <c r="E441" s="17"/>
      <c r="F441" s="6"/>
      <c r="G441" s="93">
        <f>SUM('3:4'!G441)</f>
        <v>0</v>
      </c>
      <c r="H441" s="364">
        <f t="shared" si="175"/>
        <v>0</v>
      </c>
      <c r="I441" s="93">
        <f>SUM('3:4'!I441)</f>
        <v>0</v>
      </c>
      <c r="J441" s="31" t="str">
        <f t="array" ref="J441">IF(ISERROR(G441/I441),"",G441/I441)</f>
        <v/>
      </c>
      <c r="K441" s="35" t="str">
        <f t="array" ref="K441">IF(ISERROR(G441/L441),"",G441/L441)</f>
        <v/>
      </c>
      <c r="L441" s="87"/>
      <c r="M441" s="36" t="str">
        <f t="shared" si="176"/>
        <v/>
      </c>
      <c r="N441" s="31">
        <f t="shared" si="177"/>
        <v>0</v>
      </c>
      <c r="O441" s="93">
        <f>SUM('3:4'!O441)</f>
        <v>0</v>
      </c>
      <c r="P441" s="93">
        <f>SUM('3:4'!P441)</f>
        <v>0</v>
      </c>
      <c r="Q441" s="93">
        <f>SUM('3:4'!Q441)</f>
        <v>0</v>
      </c>
      <c r="R441" s="93">
        <f>SUM('3:4'!R441)</f>
        <v>0</v>
      </c>
      <c r="S441" s="93">
        <f>SUM('3:4'!S441)</f>
        <v>0</v>
      </c>
      <c r="T441" s="93">
        <f>SUM('3:4'!T441)</f>
        <v>0</v>
      </c>
      <c r="U441" s="93">
        <f>SUM('3:4'!U441)</f>
        <v>0</v>
      </c>
      <c r="V441" s="206">
        <f t="shared" si="178"/>
        <v>0</v>
      </c>
      <c r="W441" s="33" t="str">
        <f t="shared" si="179"/>
        <v/>
      </c>
      <c r="X441" s="93">
        <f>SUM('3:4'!X441)</f>
        <v>0</v>
      </c>
      <c r="Y441" s="93">
        <f>SUM('3:4'!Y441)</f>
        <v>0</v>
      </c>
      <c r="Z441" s="93">
        <f>SUM('3:4'!Z441)</f>
        <v>0</v>
      </c>
      <c r="AA441" s="93">
        <f>SUM('3:4'!AA441)</f>
        <v>0</v>
      </c>
      <c r="AB441" s="73"/>
      <c r="AC441" s="54"/>
      <c r="AD441" s="370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304">
        <v>30401031</v>
      </c>
      <c r="B442" s="65" t="s">
        <v>88</v>
      </c>
      <c r="C442" s="16" t="s">
        <v>66</v>
      </c>
      <c r="D442" s="17">
        <v>5.03</v>
      </c>
      <c r="E442" s="17"/>
      <c r="F442" s="6"/>
      <c r="G442" s="93">
        <f>SUM('3:4'!G442)</f>
        <v>0</v>
      </c>
      <c r="H442" s="364">
        <f t="shared" si="175"/>
        <v>0</v>
      </c>
      <c r="I442" s="93">
        <f>SUM('3:4'!I442)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176"/>
        <v/>
      </c>
      <c r="N442" s="31">
        <f t="shared" si="177"/>
        <v>0</v>
      </c>
      <c r="O442" s="93">
        <f>SUM('3:4'!O442)</f>
        <v>0</v>
      </c>
      <c r="P442" s="93">
        <f>SUM('3:4'!P442)</f>
        <v>0</v>
      </c>
      <c r="Q442" s="93">
        <f>SUM('3:4'!Q442)</f>
        <v>0</v>
      </c>
      <c r="R442" s="93">
        <f>SUM('3:4'!R442)</f>
        <v>0</v>
      </c>
      <c r="S442" s="93">
        <f>SUM('3:4'!S442)</f>
        <v>0</v>
      </c>
      <c r="T442" s="93">
        <f>SUM('3:4'!T442)</f>
        <v>0</v>
      </c>
      <c r="U442" s="93">
        <f>SUM('3:4'!U442)</f>
        <v>0</v>
      </c>
      <c r="V442" s="206">
        <f t="shared" si="178"/>
        <v>0</v>
      </c>
      <c r="W442" s="33" t="str">
        <f t="shared" si="179"/>
        <v/>
      </c>
      <c r="X442" s="93">
        <f>SUM('3:4'!X442)</f>
        <v>0</v>
      </c>
      <c r="Y442" s="93">
        <f>SUM('3:4'!Y442)</f>
        <v>0</v>
      </c>
      <c r="Z442" s="93">
        <f>SUM('3:4'!Z442)</f>
        <v>0</v>
      </c>
      <c r="AA442" s="93">
        <f>SUM('3:4'!AA442)</f>
        <v>0</v>
      </c>
      <c r="AB442" s="73"/>
      <c r="AC442" s="54"/>
      <c r="AD442" s="370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304">
        <v>30600005</v>
      </c>
      <c r="B443" s="61" t="s">
        <v>90</v>
      </c>
      <c r="C443" s="16" t="s">
        <v>55</v>
      </c>
      <c r="D443" s="17">
        <v>9.36</v>
      </c>
      <c r="E443" s="17"/>
      <c r="F443" s="6"/>
      <c r="G443" s="93">
        <f>SUM('3:4'!G443)</f>
        <v>0</v>
      </c>
      <c r="H443" s="364">
        <f t="shared" si="175"/>
        <v>0</v>
      </c>
      <c r="I443" s="93">
        <f>SUM('3:4'!I443)</f>
        <v>0</v>
      </c>
      <c r="J443" s="31" t="str">
        <f t="array" ref="J443">IF(ISERROR(G443/I443),"",G443/I443)</f>
        <v/>
      </c>
      <c r="K443" s="35">
        <f t="array" ref="K443">IF(ISERROR(G443/L443),"",G443/L443)</f>
        <v>0</v>
      </c>
      <c r="L443" s="87">
        <v>6</v>
      </c>
      <c r="M443" s="36">
        <f t="shared" si="176"/>
        <v>0</v>
      </c>
      <c r="N443" s="31">
        <f t="shared" si="177"/>
        <v>0</v>
      </c>
      <c r="O443" s="93">
        <f>SUM('3:4'!O443)</f>
        <v>0</v>
      </c>
      <c r="P443" s="93">
        <f>SUM('3:4'!P443)</f>
        <v>0</v>
      </c>
      <c r="Q443" s="93">
        <f>SUM('3:4'!Q443)</f>
        <v>0</v>
      </c>
      <c r="R443" s="93">
        <f>SUM('3:4'!R443)</f>
        <v>0</v>
      </c>
      <c r="S443" s="93">
        <f>SUM('3:4'!S443)</f>
        <v>0</v>
      </c>
      <c r="T443" s="93">
        <f>SUM('3:4'!T443)</f>
        <v>0</v>
      </c>
      <c r="U443" s="93">
        <f>SUM('3:4'!U443)</f>
        <v>0</v>
      </c>
      <c r="V443" s="206">
        <f t="shared" si="178"/>
        <v>0</v>
      </c>
      <c r="W443" s="33" t="str">
        <f t="shared" si="179"/>
        <v/>
      </c>
      <c r="X443" s="93">
        <f>SUM('3:4'!X443)</f>
        <v>0</v>
      </c>
      <c r="Y443" s="93">
        <f>SUM('3:4'!Y443)</f>
        <v>0</v>
      </c>
      <c r="Z443" s="93">
        <f>SUM('3:4'!Z443)</f>
        <v>0</v>
      </c>
      <c r="AA443" s="93">
        <f>SUM('3:4'!AA443)</f>
        <v>0</v>
      </c>
      <c r="AB443" s="73"/>
      <c r="AC443" s="54"/>
      <c r="AD443" s="370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304">
        <v>30600008</v>
      </c>
      <c r="B444" s="61" t="s">
        <v>90</v>
      </c>
      <c r="C444" s="16" t="s">
        <v>53</v>
      </c>
      <c r="D444" s="17">
        <v>9.36</v>
      </c>
      <c r="E444" s="17"/>
      <c r="F444" s="6"/>
      <c r="G444" s="93">
        <f>SUM('3:4'!G444)</f>
        <v>0</v>
      </c>
      <c r="H444" s="364">
        <f t="shared" si="175"/>
        <v>0</v>
      </c>
      <c r="I444" s="93">
        <f>SUM('3:4'!I444)</f>
        <v>0</v>
      </c>
      <c r="J444" s="31" t="str">
        <f t="array" ref="J444">IF(ISERROR(G444/I444),"",G444/I444)</f>
        <v/>
      </c>
      <c r="K444" s="35">
        <f t="array" ref="K444">IF(ISERROR(G444/L444),"",G444/L444)</f>
        <v>0</v>
      </c>
      <c r="L444" s="87">
        <v>6</v>
      </c>
      <c r="M444" s="36">
        <f t="shared" si="176"/>
        <v>0</v>
      </c>
      <c r="N444" s="31">
        <f t="shared" si="177"/>
        <v>0</v>
      </c>
      <c r="O444" s="93">
        <f>SUM('3:4'!O444)</f>
        <v>0</v>
      </c>
      <c r="P444" s="93">
        <f>SUM('3:4'!P444)</f>
        <v>0</v>
      </c>
      <c r="Q444" s="93">
        <f>SUM('3:4'!Q444)</f>
        <v>0</v>
      </c>
      <c r="R444" s="93">
        <f>SUM('3:4'!R444)</f>
        <v>0</v>
      </c>
      <c r="S444" s="93">
        <f>SUM('3:4'!S444)</f>
        <v>0</v>
      </c>
      <c r="T444" s="93">
        <f>SUM('3:4'!T444)</f>
        <v>0</v>
      </c>
      <c r="U444" s="93">
        <f>SUM('3:4'!U444)</f>
        <v>0</v>
      </c>
      <c r="V444" s="206">
        <f t="shared" si="178"/>
        <v>0</v>
      </c>
      <c r="W444" s="33" t="str">
        <f t="shared" si="179"/>
        <v/>
      </c>
      <c r="X444" s="93">
        <f>SUM('3:4'!X444)</f>
        <v>0</v>
      </c>
      <c r="Y444" s="93">
        <f>SUM('3:4'!Y444)</f>
        <v>0</v>
      </c>
      <c r="Z444" s="93">
        <f>SUM('3:4'!Z444)</f>
        <v>0</v>
      </c>
      <c r="AA444" s="93">
        <f>SUM('3:4'!AA444)</f>
        <v>0</v>
      </c>
      <c r="AB444" s="73"/>
      <c r="AC444" s="54"/>
      <c r="AD444" s="370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304">
        <v>30600007</v>
      </c>
      <c r="B445" s="61" t="s">
        <v>90</v>
      </c>
      <c r="C445" s="16" t="s">
        <v>89</v>
      </c>
      <c r="D445" s="17">
        <v>9.36</v>
      </c>
      <c r="E445" s="17"/>
      <c r="F445" s="6"/>
      <c r="G445" s="93">
        <f>SUM('3:4'!G445)</f>
        <v>0</v>
      </c>
      <c r="H445" s="364">
        <f t="shared" si="175"/>
        <v>0</v>
      </c>
      <c r="I445" s="93">
        <f>SUM('3:4'!I445)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176"/>
        <v>0</v>
      </c>
      <c r="N445" s="31">
        <f t="shared" si="177"/>
        <v>0</v>
      </c>
      <c r="O445" s="93">
        <f>SUM('3:4'!O445)</f>
        <v>0</v>
      </c>
      <c r="P445" s="93">
        <f>SUM('3:4'!P445)</f>
        <v>0</v>
      </c>
      <c r="Q445" s="93">
        <f>SUM('3:4'!Q445)</f>
        <v>0</v>
      </c>
      <c r="R445" s="93">
        <f>SUM('3:4'!R445)</f>
        <v>0</v>
      </c>
      <c r="S445" s="93">
        <f>SUM('3:4'!S445)</f>
        <v>0</v>
      </c>
      <c r="T445" s="93">
        <f>SUM('3:4'!T445)</f>
        <v>0</v>
      </c>
      <c r="U445" s="93">
        <f>SUM('3:4'!U445)</f>
        <v>0</v>
      </c>
      <c r="V445" s="206">
        <f t="shared" si="178"/>
        <v>0</v>
      </c>
      <c r="W445" s="33" t="str">
        <f t="shared" si="179"/>
        <v/>
      </c>
      <c r="X445" s="93">
        <f>SUM('3:4'!X445)</f>
        <v>0</v>
      </c>
      <c r="Y445" s="93">
        <f>SUM('3:4'!Y445)</f>
        <v>0</v>
      </c>
      <c r="Z445" s="93">
        <f>SUM('3:4'!Z445)</f>
        <v>0</v>
      </c>
      <c r="AA445" s="93">
        <f>SUM('3:4'!AA445)</f>
        <v>0</v>
      </c>
      <c r="AB445" s="73"/>
      <c r="AC445" s="54"/>
      <c r="AD445" s="370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304">
        <v>30600006</v>
      </c>
      <c r="B446" s="61" t="s">
        <v>90</v>
      </c>
      <c r="C446" s="16" t="s">
        <v>60</v>
      </c>
      <c r="D446" s="17">
        <v>9.36</v>
      </c>
      <c r="E446" s="17"/>
      <c r="F446" s="6"/>
      <c r="G446" s="93">
        <f>SUM('3:4'!G446)</f>
        <v>0</v>
      </c>
      <c r="H446" s="364">
        <f t="shared" si="175"/>
        <v>0</v>
      </c>
      <c r="I446" s="93">
        <f>SUM('3:4'!I446)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176"/>
        <v>0</v>
      </c>
      <c r="N446" s="31">
        <f t="shared" si="177"/>
        <v>0</v>
      </c>
      <c r="O446" s="93">
        <f>SUM('3:4'!O446)</f>
        <v>0</v>
      </c>
      <c r="P446" s="93">
        <f>SUM('3:4'!P446)</f>
        <v>0</v>
      </c>
      <c r="Q446" s="93">
        <f>SUM('3:4'!Q446)</f>
        <v>0</v>
      </c>
      <c r="R446" s="93">
        <f>SUM('3:4'!R446)</f>
        <v>0</v>
      </c>
      <c r="S446" s="93">
        <f>SUM('3:4'!S446)</f>
        <v>0</v>
      </c>
      <c r="T446" s="93">
        <f>SUM('3:4'!T446)</f>
        <v>0</v>
      </c>
      <c r="U446" s="93">
        <f>SUM('3:4'!U446)</f>
        <v>0</v>
      </c>
      <c r="V446" s="206">
        <f t="shared" si="178"/>
        <v>0</v>
      </c>
      <c r="W446" s="33" t="str">
        <f t="shared" si="179"/>
        <v/>
      </c>
      <c r="X446" s="93">
        <f>SUM('3:4'!X446)</f>
        <v>0</v>
      </c>
      <c r="Y446" s="93">
        <f>SUM('3:4'!Y446)</f>
        <v>0</v>
      </c>
      <c r="Z446" s="93">
        <f>SUM('3:4'!Z446)</f>
        <v>0</v>
      </c>
      <c r="AA446" s="93">
        <f>SUM('3:4'!AA446)</f>
        <v>0</v>
      </c>
      <c r="AB446" s="73"/>
      <c r="AC446" s="54"/>
      <c r="AD446" s="370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299">
        <v>30400026</v>
      </c>
      <c r="B447" s="190" t="s">
        <v>393</v>
      </c>
      <c r="C447" s="187" t="s">
        <v>395</v>
      </c>
      <c r="D447" s="17">
        <v>5</v>
      </c>
      <c r="E447" s="17"/>
      <c r="F447" s="6"/>
      <c r="G447" s="93">
        <f>SUM('3:4'!G447)</f>
        <v>0</v>
      </c>
      <c r="H447" s="364">
        <f t="shared" si="175"/>
        <v>0</v>
      </c>
      <c r="I447" s="93">
        <f>SUM('3:4'!I447)</f>
        <v>0</v>
      </c>
      <c r="J447" s="31"/>
      <c r="K447" s="35">
        <f t="array" ref="K447">IF(ISERROR(G447/L447),"",G447/L447)</f>
        <v>0</v>
      </c>
      <c r="L447" s="87">
        <v>5</v>
      </c>
      <c r="M447" s="36">
        <f t="shared" si="176"/>
        <v>0</v>
      </c>
      <c r="N447" s="31">
        <f t="shared" si="177"/>
        <v>0</v>
      </c>
      <c r="O447" s="93">
        <f>SUM('3:4'!O447)</f>
        <v>0</v>
      </c>
      <c r="P447" s="93">
        <f>SUM('3:4'!P447)</f>
        <v>0</v>
      </c>
      <c r="Q447" s="93">
        <f>SUM('3:4'!Q447)</f>
        <v>0</v>
      </c>
      <c r="R447" s="93">
        <f>SUM('3:4'!R447)</f>
        <v>0</v>
      </c>
      <c r="S447" s="93">
        <f>SUM('3:4'!S447)</f>
        <v>0</v>
      </c>
      <c r="T447" s="93">
        <f>SUM('3:4'!T447)</f>
        <v>0</v>
      </c>
      <c r="U447" s="93">
        <f>SUM('3:4'!U447)</f>
        <v>0</v>
      </c>
      <c r="V447" s="206"/>
      <c r="W447" s="33"/>
      <c r="X447" s="93">
        <f>SUM('3:4'!X447)</f>
        <v>0</v>
      </c>
      <c r="Y447" s="93">
        <f>SUM('3:4'!Y447)</f>
        <v>0</v>
      </c>
      <c r="Z447" s="93">
        <f>SUM('3:4'!Z447)</f>
        <v>0</v>
      </c>
      <c r="AA447" s="93">
        <f>SUM('3:4'!AA447)</f>
        <v>0</v>
      </c>
      <c r="AB447" s="73"/>
      <c r="AC447" s="54"/>
      <c r="AD447" s="370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299">
        <v>30400028</v>
      </c>
      <c r="B448" s="190" t="s">
        <v>393</v>
      </c>
      <c r="C448" s="187" t="s">
        <v>402</v>
      </c>
      <c r="D448" s="17">
        <v>5</v>
      </c>
      <c r="E448" s="17"/>
      <c r="F448" s="6"/>
      <c r="G448" s="93">
        <f>SUM('3:4'!G448)</f>
        <v>0</v>
      </c>
      <c r="H448" s="364">
        <f t="shared" si="175"/>
        <v>0</v>
      </c>
      <c r="I448" s="93">
        <f>SUM('3:4'!I448)</f>
        <v>0</v>
      </c>
      <c r="J448" s="31"/>
      <c r="K448" s="35">
        <f t="array" ref="K448">IF(ISERROR(G448/L448),"",G448/L448)</f>
        <v>0</v>
      </c>
      <c r="L448" s="87">
        <v>5</v>
      </c>
      <c r="M448" s="36">
        <f t="shared" si="176"/>
        <v>0</v>
      </c>
      <c r="N448" s="31">
        <f t="shared" si="177"/>
        <v>0</v>
      </c>
      <c r="O448" s="93">
        <f>SUM('3:4'!O448)</f>
        <v>0</v>
      </c>
      <c r="P448" s="93">
        <f>SUM('3:4'!P448)</f>
        <v>0</v>
      </c>
      <c r="Q448" s="93">
        <f>SUM('3:4'!Q448)</f>
        <v>0</v>
      </c>
      <c r="R448" s="93">
        <f>SUM('3:4'!R448)</f>
        <v>0</v>
      </c>
      <c r="S448" s="93">
        <f>SUM('3:4'!S448)</f>
        <v>0</v>
      </c>
      <c r="T448" s="93">
        <f>SUM('3:4'!T448)</f>
        <v>0</v>
      </c>
      <c r="U448" s="93">
        <f>SUM('3:4'!U448)</f>
        <v>0</v>
      </c>
      <c r="V448" s="206"/>
      <c r="W448" s="33"/>
      <c r="X448" s="93">
        <f>SUM('3:4'!X448)</f>
        <v>0</v>
      </c>
      <c r="Y448" s="93">
        <f>SUM('3:4'!Y448)</f>
        <v>0</v>
      </c>
      <c r="Z448" s="93">
        <f>SUM('3:4'!Z448)</f>
        <v>0</v>
      </c>
      <c r="AA448" s="93">
        <f>SUM('3:4'!AA448)</f>
        <v>0</v>
      </c>
      <c r="AB448" s="73"/>
      <c r="AC448" s="54"/>
      <c r="AD448" s="370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99">
        <v>30400027</v>
      </c>
      <c r="B449" s="190" t="s">
        <v>404</v>
      </c>
      <c r="C449" s="187" t="s">
        <v>405</v>
      </c>
      <c r="D449" s="17">
        <v>5</v>
      </c>
      <c r="E449" s="17"/>
      <c r="F449" s="6"/>
      <c r="G449" s="93">
        <f>SUM('3:4'!G449)</f>
        <v>0</v>
      </c>
      <c r="H449" s="364">
        <f t="shared" si="175"/>
        <v>0</v>
      </c>
      <c r="I449" s="93">
        <f>SUM('3:4'!I449)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176"/>
        <v>0</v>
      </c>
      <c r="N449" s="31">
        <f t="shared" si="177"/>
        <v>0</v>
      </c>
      <c r="O449" s="93">
        <f>SUM('3:4'!O449)</f>
        <v>0</v>
      </c>
      <c r="P449" s="93">
        <f>SUM('3:4'!P449)</f>
        <v>0</v>
      </c>
      <c r="Q449" s="93">
        <f>SUM('3:4'!Q449)</f>
        <v>0</v>
      </c>
      <c r="R449" s="93">
        <f>SUM('3:4'!R449)</f>
        <v>0</v>
      </c>
      <c r="S449" s="93">
        <f>SUM('3:4'!S449)</f>
        <v>0</v>
      </c>
      <c r="T449" s="93">
        <f>SUM('3:4'!T449)</f>
        <v>0</v>
      </c>
      <c r="U449" s="93">
        <f>SUM('3:4'!U449)</f>
        <v>0</v>
      </c>
      <c r="V449" s="206"/>
      <c r="W449" s="33"/>
      <c r="X449" s="93">
        <f>SUM('3:4'!X449)</f>
        <v>0</v>
      </c>
      <c r="Y449" s="93">
        <f>SUM('3:4'!Y449)</f>
        <v>0</v>
      </c>
      <c r="Z449" s="93">
        <f>SUM('3:4'!Z449)</f>
        <v>0</v>
      </c>
      <c r="AA449" s="93">
        <f>SUM('3:4'!AA449)</f>
        <v>0</v>
      </c>
      <c r="AB449" s="73"/>
      <c r="AC449" s="54"/>
      <c r="AD449" s="370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99"/>
      <c r="B450" s="61" t="s">
        <v>342</v>
      </c>
      <c r="C450" s="187" t="s">
        <v>372</v>
      </c>
      <c r="D450" s="17">
        <v>5</v>
      </c>
      <c r="E450" s="17"/>
      <c r="F450" s="6"/>
      <c r="G450" s="93">
        <f>SUM('3:4'!G450)</f>
        <v>0</v>
      </c>
      <c r="H450" s="364">
        <f t="shared" si="175"/>
        <v>0</v>
      </c>
      <c r="I450" s="93">
        <f>SUM('3:4'!I450)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176"/>
        <v>0</v>
      </c>
      <c r="N450" s="31">
        <f t="shared" si="177"/>
        <v>0</v>
      </c>
      <c r="O450" s="93">
        <f>SUM('3:4'!O450)</f>
        <v>0</v>
      </c>
      <c r="P450" s="93">
        <f>SUM('3:4'!P450)</f>
        <v>0</v>
      </c>
      <c r="Q450" s="93">
        <f>SUM('3:4'!Q450)</f>
        <v>0</v>
      </c>
      <c r="R450" s="93">
        <f>SUM('3:4'!R450)</f>
        <v>0</v>
      </c>
      <c r="S450" s="93">
        <f>SUM('3:4'!S450)</f>
        <v>0</v>
      </c>
      <c r="T450" s="93">
        <f>SUM('3:4'!T450)</f>
        <v>0</v>
      </c>
      <c r="U450" s="93">
        <f>SUM('3:4'!U450)</f>
        <v>0</v>
      </c>
      <c r="V450" s="206"/>
      <c r="W450" s="33"/>
      <c r="X450" s="93">
        <f>SUM('3:4'!X450)</f>
        <v>0</v>
      </c>
      <c r="Y450" s="93">
        <f>SUM('3:4'!Y450)</f>
        <v>0</v>
      </c>
      <c r="Z450" s="93">
        <f>SUM('3:4'!Z450)</f>
        <v>0</v>
      </c>
      <c r="AA450" s="93">
        <f>SUM('3:4'!AA450)</f>
        <v>0</v>
      </c>
      <c r="AB450" s="73"/>
      <c r="AC450" s="54"/>
      <c r="AD450" s="370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99">
        <v>30600009</v>
      </c>
      <c r="B451" s="61" t="s">
        <v>343</v>
      </c>
      <c r="C451" s="16" t="s">
        <v>345</v>
      </c>
      <c r="D451" s="17">
        <v>5</v>
      </c>
      <c r="E451" s="17"/>
      <c r="F451" s="6"/>
      <c r="G451" s="93">
        <f>SUM('3:4'!G451)</f>
        <v>0</v>
      </c>
      <c r="H451" s="364">
        <f t="shared" si="175"/>
        <v>0</v>
      </c>
      <c r="I451" s="93">
        <f>SUM('3:4'!I451)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176"/>
        <v>0</v>
      </c>
      <c r="N451" s="31">
        <f t="shared" si="177"/>
        <v>0</v>
      </c>
      <c r="O451" s="93">
        <f>SUM('3:4'!O451)</f>
        <v>0</v>
      </c>
      <c r="P451" s="93">
        <f>SUM('3:4'!P451)</f>
        <v>0</v>
      </c>
      <c r="Q451" s="93">
        <f>SUM('3:4'!Q451)</f>
        <v>0</v>
      </c>
      <c r="R451" s="93">
        <f>SUM('3:4'!R451)</f>
        <v>0</v>
      </c>
      <c r="S451" s="93">
        <f>SUM('3:4'!S451)</f>
        <v>0</v>
      </c>
      <c r="T451" s="93">
        <f>SUM('3:4'!T451)</f>
        <v>0</v>
      </c>
      <c r="U451" s="93">
        <f>SUM('3:4'!U451)</f>
        <v>0</v>
      </c>
      <c r="V451" s="206"/>
      <c r="W451" s="33"/>
      <c r="X451" s="93">
        <f>SUM('3:4'!X451)</f>
        <v>0</v>
      </c>
      <c r="Y451" s="93">
        <f>SUM('3:4'!Y451)</f>
        <v>0</v>
      </c>
      <c r="Z451" s="93">
        <f>SUM('3:4'!Z451)</f>
        <v>0</v>
      </c>
      <c r="AA451" s="93">
        <f>SUM('3:4'!AA451)</f>
        <v>0</v>
      </c>
      <c r="AB451" s="73"/>
      <c r="AC451" s="54"/>
      <c r="AD451" s="370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99">
        <v>30600010</v>
      </c>
      <c r="B452" s="61" t="s">
        <v>343</v>
      </c>
      <c r="C452" s="16" t="s">
        <v>347</v>
      </c>
      <c r="D452" s="17">
        <v>5</v>
      </c>
      <c r="E452" s="17"/>
      <c r="F452" s="6"/>
      <c r="G452" s="93">
        <f>SUM('3:4'!G452)</f>
        <v>0</v>
      </c>
      <c r="H452" s="364">
        <f t="shared" si="175"/>
        <v>0</v>
      </c>
      <c r="I452" s="93">
        <f>SUM('3:4'!I452)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176"/>
        <v>0</v>
      </c>
      <c r="N452" s="31">
        <f t="shared" si="177"/>
        <v>0</v>
      </c>
      <c r="O452" s="93">
        <f>SUM('3:4'!O452)</f>
        <v>0</v>
      </c>
      <c r="P452" s="93">
        <f>SUM('3:4'!P452)</f>
        <v>0</v>
      </c>
      <c r="Q452" s="93">
        <f>SUM('3:4'!Q452)</f>
        <v>0</v>
      </c>
      <c r="R452" s="93">
        <f>SUM('3:4'!R452)</f>
        <v>0</v>
      </c>
      <c r="S452" s="93">
        <f>SUM('3:4'!S452)</f>
        <v>0</v>
      </c>
      <c r="T452" s="93">
        <f>SUM('3:4'!T452)</f>
        <v>0</v>
      </c>
      <c r="U452" s="93">
        <f>SUM('3:4'!U452)</f>
        <v>0</v>
      </c>
      <c r="V452" s="206"/>
      <c r="W452" s="33"/>
      <c r="X452" s="93">
        <f>SUM('3:4'!X452)</f>
        <v>0</v>
      </c>
      <c r="Y452" s="93">
        <f>SUM('3:4'!Y452)</f>
        <v>0</v>
      </c>
      <c r="Z452" s="93">
        <f>SUM('3:4'!Z452)</f>
        <v>0</v>
      </c>
      <c r="AA452" s="93">
        <f>SUM('3:4'!AA452)</f>
        <v>0</v>
      </c>
      <c r="AB452" s="73"/>
      <c r="AC452" s="54"/>
      <c r="AD452" s="370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99">
        <v>30400001</v>
      </c>
      <c r="B453" s="65" t="s">
        <v>514</v>
      </c>
      <c r="C453" s="16" t="s">
        <v>61</v>
      </c>
      <c r="D453" s="17">
        <v>5.0599999999999996</v>
      </c>
      <c r="E453" s="17"/>
      <c r="F453" s="6"/>
      <c r="G453" s="93">
        <f>SUM('3:4'!G453)</f>
        <v>0</v>
      </c>
      <c r="H453" s="364">
        <f t="shared" si="175"/>
        <v>0</v>
      </c>
      <c r="I453" s="93">
        <f>SUM('3:4'!I453)</f>
        <v>0</v>
      </c>
      <c r="J453" s="31" t="str">
        <f t="array" ref="J453">IF(ISERROR(G453/I453),"",G453/I453)</f>
        <v/>
      </c>
      <c r="K453" s="35">
        <f t="array" ref="K453">IF(ISERROR(G453/L453),"",G453/L453)</f>
        <v>0</v>
      </c>
      <c r="L453" s="87">
        <v>15.5</v>
      </c>
      <c r="M453" s="36">
        <f t="shared" si="176"/>
        <v>0</v>
      </c>
      <c r="N453" s="31">
        <f t="shared" si="177"/>
        <v>0</v>
      </c>
      <c r="O453" s="93">
        <f>SUM('3:4'!O453)</f>
        <v>0</v>
      </c>
      <c r="P453" s="93">
        <f>SUM('3:4'!P453)</f>
        <v>0</v>
      </c>
      <c r="Q453" s="93">
        <f>SUM('3:4'!Q453)</f>
        <v>0</v>
      </c>
      <c r="R453" s="93">
        <f>SUM('3:4'!R453)</f>
        <v>0</v>
      </c>
      <c r="S453" s="93">
        <f>SUM('3:4'!S453)</f>
        <v>0</v>
      </c>
      <c r="T453" s="93">
        <f>SUM('3:4'!T453)</f>
        <v>0</v>
      </c>
      <c r="U453" s="93">
        <f>SUM('3:4'!U453)</f>
        <v>0</v>
      </c>
      <c r="V453" s="206">
        <f t="shared" ref="V453:V454" si="180">SUM(X453:AA453)</f>
        <v>0</v>
      </c>
      <c r="W453" s="33" t="str">
        <f t="shared" ref="W453:W454" si="181">IF(ISERROR(V453/G453),"",V453/G453)</f>
        <v/>
      </c>
      <c r="X453" s="93">
        <f>SUM('3:4'!X453)</f>
        <v>0</v>
      </c>
      <c r="Y453" s="93">
        <f>SUM('3:4'!Y453)</f>
        <v>0</v>
      </c>
      <c r="Z453" s="93">
        <f>SUM('3:4'!Z453)</f>
        <v>0</v>
      </c>
      <c r="AA453" s="93">
        <f>SUM('3:4'!AA453)</f>
        <v>0</v>
      </c>
      <c r="AB453" s="73"/>
      <c r="AC453" s="54"/>
      <c r="AD453" s="370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99">
        <v>30400002</v>
      </c>
      <c r="B454" s="65" t="s">
        <v>514</v>
      </c>
      <c r="C454" s="16" t="s">
        <v>72</v>
      </c>
      <c r="D454" s="17">
        <v>5.0599999999999996</v>
      </c>
      <c r="E454" s="17"/>
      <c r="F454" s="6"/>
      <c r="G454" s="93">
        <f>SUM('3:4'!G454)</f>
        <v>0</v>
      </c>
      <c r="H454" s="364">
        <f t="shared" si="175"/>
        <v>0</v>
      </c>
      <c r="I454" s="93">
        <f>SUM('3:4'!I454)</f>
        <v>0</v>
      </c>
      <c r="J454" s="31" t="str">
        <f t="array" ref="J454">IF(ISERROR(G454/I454),"",G454/I454)</f>
        <v/>
      </c>
      <c r="K454" s="35">
        <f t="array" ref="K454">IF(ISERROR(G454/L454),"",G454/L454)</f>
        <v>0</v>
      </c>
      <c r="L454" s="87">
        <v>15.5</v>
      </c>
      <c r="M454" s="36">
        <f t="shared" si="176"/>
        <v>0</v>
      </c>
      <c r="N454" s="31">
        <f t="shared" si="177"/>
        <v>0</v>
      </c>
      <c r="O454" s="93">
        <f>SUM('3:4'!O454)</f>
        <v>0</v>
      </c>
      <c r="P454" s="93">
        <f>SUM('3:4'!P454)</f>
        <v>0</v>
      </c>
      <c r="Q454" s="93">
        <f>SUM('3:4'!Q454)</f>
        <v>0</v>
      </c>
      <c r="R454" s="93">
        <f>SUM('3:4'!R454)</f>
        <v>0</v>
      </c>
      <c r="S454" s="93">
        <f>SUM('3:4'!S454)</f>
        <v>0</v>
      </c>
      <c r="T454" s="93">
        <f>SUM('3:4'!T454)</f>
        <v>0</v>
      </c>
      <c r="U454" s="93">
        <f>SUM('3:4'!U454)</f>
        <v>0</v>
      </c>
      <c r="V454" s="206">
        <f t="shared" si="180"/>
        <v>0</v>
      </c>
      <c r="W454" s="33" t="str">
        <f t="shared" si="181"/>
        <v/>
      </c>
      <c r="X454" s="93">
        <f>SUM('3:4'!X454)</f>
        <v>0</v>
      </c>
      <c r="Y454" s="93">
        <f>SUM('3:4'!Y454)</f>
        <v>0</v>
      </c>
      <c r="Z454" s="93">
        <f>SUM('3:4'!Z454)</f>
        <v>0</v>
      </c>
      <c r="AA454" s="93">
        <f>SUM('3:4'!AA454)</f>
        <v>0</v>
      </c>
      <c r="AB454" s="73"/>
      <c r="AC454" s="54"/>
      <c r="AD454" s="370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99">
        <v>30400004</v>
      </c>
      <c r="B455" s="215" t="s">
        <v>419</v>
      </c>
      <c r="C455" s="187" t="s">
        <v>73</v>
      </c>
      <c r="D455" s="17"/>
      <c r="E455" s="17"/>
      <c r="F455" s="6"/>
      <c r="G455" s="93">
        <f>SUM('3:4'!G455)</f>
        <v>0</v>
      </c>
      <c r="H455" s="364">
        <f t="shared" si="175"/>
        <v>0</v>
      </c>
      <c r="I455" s="93">
        <f>SUM('3:4'!I455)</f>
        <v>0</v>
      </c>
      <c r="J455" s="31"/>
      <c r="K455" s="35">
        <f t="array" ref="K455">IF(ISERROR(G455/L455),"",G455/L455)</f>
        <v>0</v>
      </c>
      <c r="L455" s="87">
        <v>24</v>
      </c>
      <c r="M455" s="36">
        <f t="shared" si="176"/>
        <v>0</v>
      </c>
      <c r="N455" s="31"/>
      <c r="O455" s="93"/>
      <c r="P455" s="93"/>
      <c r="Q455" s="93"/>
      <c r="R455" s="93"/>
      <c r="S455" s="93"/>
      <c r="T455" s="93"/>
      <c r="U455" s="93"/>
      <c r="V455" s="206"/>
      <c r="W455" s="33"/>
      <c r="X455" s="93"/>
      <c r="Y455" s="93"/>
      <c r="Z455" s="93"/>
      <c r="AA455" s="93"/>
      <c r="AB455" s="73"/>
      <c r="AC455" s="54"/>
      <c r="AD455" s="370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99">
        <v>30400003</v>
      </c>
      <c r="B456" s="215" t="s">
        <v>419</v>
      </c>
      <c r="C456" s="187" t="s">
        <v>60</v>
      </c>
      <c r="D456" s="17"/>
      <c r="E456" s="17"/>
      <c r="F456" s="6"/>
      <c r="G456" s="93">
        <f>SUM('3:4'!G456)</f>
        <v>0</v>
      </c>
      <c r="H456" s="364">
        <f t="shared" si="175"/>
        <v>0</v>
      </c>
      <c r="I456" s="93">
        <f>SUM('3:4'!I456)</f>
        <v>0</v>
      </c>
      <c r="J456" s="31"/>
      <c r="K456" s="35">
        <f t="array" ref="K456">IF(ISERROR(G456/L456),"",G456/L456)</f>
        <v>0</v>
      </c>
      <c r="L456" s="87">
        <v>24</v>
      </c>
      <c r="M456" s="36">
        <f t="shared" si="176"/>
        <v>0</v>
      </c>
      <c r="N456" s="31"/>
      <c r="O456" s="93"/>
      <c r="P456" s="93"/>
      <c r="Q456" s="93"/>
      <c r="R456" s="93"/>
      <c r="S456" s="93"/>
      <c r="T456" s="93"/>
      <c r="U456" s="93"/>
      <c r="V456" s="206"/>
      <c r="W456" s="33"/>
      <c r="X456" s="93"/>
      <c r="Y456" s="93"/>
      <c r="Z456" s="93"/>
      <c r="AA456" s="93"/>
      <c r="AB456" s="73"/>
      <c r="AC456" s="54"/>
      <c r="AD456" s="370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99">
        <v>30400005</v>
      </c>
      <c r="B457" s="215" t="s">
        <v>419</v>
      </c>
      <c r="C457" s="187" t="s">
        <v>422</v>
      </c>
      <c r="D457" s="17"/>
      <c r="E457" s="17"/>
      <c r="F457" s="6"/>
      <c r="G457" s="93">
        <f>SUM('3:4'!G457)</f>
        <v>0</v>
      </c>
      <c r="H457" s="364">
        <f t="shared" si="175"/>
        <v>0</v>
      </c>
      <c r="I457" s="93">
        <f>SUM('3:4'!I457)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176"/>
        <v>0</v>
      </c>
      <c r="N457" s="31"/>
      <c r="O457" s="93"/>
      <c r="P457" s="93"/>
      <c r="Q457" s="93"/>
      <c r="R457" s="93"/>
      <c r="S457" s="93"/>
      <c r="T457" s="93"/>
      <c r="U457" s="93"/>
      <c r="V457" s="206"/>
      <c r="W457" s="33"/>
      <c r="X457" s="93"/>
      <c r="Y457" s="93"/>
      <c r="Z457" s="93"/>
      <c r="AA457" s="93"/>
      <c r="AB457" s="73"/>
      <c r="AC457" s="54"/>
      <c r="AD457" s="370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99">
        <v>30400007</v>
      </c>
      <c r="B458" s="65" t="s">
        <v>91</v>
      </c>
      <c r="C458" s="16" t="s">
        <v>74</v>
      </c>
      <c r="D458" s="17">
        <v>5.07</v>
      </c>
      <c r="E458" s="17"/>
      <c r="F458" s="6"/>
      <c r="G458" s="93">
        <f>SUM('3:4'!G458)</f>
        <v>0</v>
      </c>
      <c r="H458" s="364">
        <f t="shared" si="175"/>
        <v>0</v>
      </c>
      <c r="I458" s="93">
        <f>SUM('3:4'!I458)</f>
        <v>0</v>
      </c>
      <c r="J458" s="31" t="str">
        <f t="array" ref="J458">IF(ISERROR(G458/I458),"",G458/I458)</f>
        <v/>
      </c>
      <c r="K458" s="35">
        <f t="array" ref="K458">IF(ISERROR(G458/L458),"",G458/L458)</f>
        <v>0</v>
      </c>
      <c r="L458" s="87">
        <v>9</v>
      </c>
      <c r="M458" s="36">
        <f t="shared" si="176"/>
        <v>0</v>
      </c>
      <c r="N458" s="31">
        <f t="shared" ref="N458:N460" si="182">SUM(O458:U458)</f>
        <v>0</v>
      </c>
      <c r="O458" s="93">
        <f>SUM('3:4'!O458)</f>
        <v>0</v>
      </c>
      <c r="P458" s="93">
        <f>SUM('3:4'!P458)</f>
        <v>0</v>
      </c>
      <c r="Q458" s="93">
        <f>SUM('3:4'!Q458)</f>
        <v>0</v>
      </c>
      <c r="R458" s="93">
        <f>SUM('3:4'!R458)</f>
        <v>0</v>
      </c>
      <c r="S458" s="93">
        <f>SUM('3:4'!S458)</f>
        <v>0</v>
      </c>
      <c r="T458" s="93">
        <f>SUM('3:4'!T458)</f>
        <v>0</v>
      </c>
      <c r="U458" s="93">
        <f>SUM('3:4'!U458)</f>
        <v>0</v>
      </c>
      <c r="V458" s="206">
        <f t="shared" ref="V458:V460" si="183">SUM(X458:AA458)</f>
        <v>0</v>
      </c>
      <c r="W458" s="33" t="str">
        <f t="shared" ref="W458:W482" si="184">IF(ISERROR(V458/G458),"",V458/G458)</f>
        <v/>
      </c>
      <c r="X458" s="93">
        <f>SUM('3:4'!X458)</f>
        <v>0</v>
      </c>
      <c r="Y458" s="93">
        <f>SUM('3:4'!Y458)</f>
        <v>0</v>
      </c>
      <c r="Z458" s="93">
        <f>SUM('3:4'!Z458)</f>
        <v>0</v>
      </c>
      <c r="AA458" s="93">
        <f>SUM('3:4'!AA458)</f>
        <v>0</v>
      </c>
      <c r="AB458" s="73"/>
      <c r="AC458" s="54"/>
      <c r="AD458" s="370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99">
        <v>30400006</v>
      </c>
      <c r="B459" s="65" t="s">
        <v>91</v>
      </c>
      <c r="C459" s="16" t="s">
        <v>53</v>
      </c>
      <c r="D459" s="17">
        <v>5.07</v>
      </c>
      <c r="E459" s="17"/>
      <c r="F459" s="6"/>
      <c r="G459" s="93">
        <f>SUM('3:4'!G459)</f>
        <v>0</v>
      </c>
      <c r="H459" s="364">
        <f t="shared" si="175"/>
        <v>0</v>
      </c>
      <c r="I459" s="93">
        <f>SUM('3:4'!I459)</f>
        <v>0</v>
      </c>
      <c r="J459" s="31" t="str">
        <f t="array" ref="J459">IF(ISERROR(G459/I459),"",G459/I459)</f>
        <v/>
      </c>
      <c r="K459" s="35">
        <f t="array" ref="K459">IF(ISERROR(G459/L459),"",G459/L459)</f>
        <v>0</v>
      </c>
      <c r="L459" s="87">
        <v>9</v>
      </c>
      <c r="M459" s="36">
        <f t="shared" si="176"/>
        <v>0</v>
      </c>
      <c r="N459" s="31">
        <f t="shared" si="182"/>
        <v>0</v>
      </c>
      <c r="O459" s="93">
        <f>SUM('3:4'!O459)</f>
        <v>0</v>
      </c>
      <c r="P459" s="93">
        <f>SUM('3:4'!P459)</f>
        <v>0</v>
      </c>
      <c r="Q459" s="93">
        <f>SUM('3:4'!Q459)</f>
        <v>0</v>
      </c>
      <c r="R459" s="93">
        <f>SUM('3:4'!R459)</f>
        <v>0</v>
      </c>
      <c r="S459" s="93">
        <f>SUM('3:4'!S459)</f>
        <v>0</v>
      </c>
      <c r="T459" s="93">
        <f>SUM('3:4'!T459)</f>
        <v>0</v>
      </c>
      <c r="U459" s="93">
        <f>SUM('3:4'!U459)</f>
        <v>0</v>
      </c>
      <c r="V459" s="206">
        <f t="shared" si="183"/>
        <v>0</v>
      </c>
      <c r="W459" s="33" t="str">
        <f t="shared" si="184"/>
        <v/>
      </c>
      <c r="X459" s="93">
        <f>SUM('3:4'!X459)</f>
        <v>0</v>
      </c>
      <c r="Y459" s="93">
        <f>SUM('3:4'!Y459)</f>
        <v>0</v>
      </c>
      <c r="Z459" s="93">
        <f>SUM('3:4'!Z459)</f>
        <v>0</v>
      </c>
      <c r="AA459" s="93">
        <f>SUM('3:4'!AA459)</f>
        <v>0</v>
      </c>
      <c r="AB459" s="73"/>
      <c r="AC459" s="54"/>
      <c r="AD459" s="370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99">
        <v>30400006</v>
      </c>
      <c r="B460" s="65" t="s">
        <v>91</v>
      </c>
      <c r="C460" s="16" t="s">
        <v>60</v>
      </c>
      <c r="D460" s="17">
        <v>5.0599999999999996</v>
      </c>
      <c r="E460" s="17"/>
      <c r="F460" s="53"/>
      <c r="G460" s="93">
        <f>SUM('3:4'!G460)</f>
        <v>0</v>
      </c>
      <c r="H460" s="364">
        <f t="shared" si="175"/>
        <v>0</v>
      </c>
      <c r="I460" s="93">
        <f>SUM('3:4'!I460)</f>
        <v>0</v>
      </c>
      <c r="J460" s="31" t="str">
        <f t="array" ref="J460">IF(ISERROR(G460/I460),"",G460/I460)</f>
        <v/>
      </c>
      <c r="K460" s="364">
        <f t="array" ref="K460">IF(ISERROR(G460/L460),"",G460/L460)</f>
        <v>0</v>
      </c>
      <c r="L460" s="87">
        <v>9</v>
      </c>
      <c r="M460" s="36">
        <f t="shared" si="176"/>
        <v>0</v>
      </c>
      <c r="N460" s="31">
        <f t="shared" si="182"/>
        <v>0</v>
      </c>
      <c r="O460" s="93">
        <f>SUM('3:4'!O460)</f>
        <v>0</v>
      </c>
      <c r="P460" s="93">
        <f>SUM('3:4'!P460)</f>
        <v>0</v>
      </c>
      <c r="Q460" s="93">
        <f>SUM('3:4'!Q460)</f>
        <v>0</v>
      </c>
      <c r="R460" s="93">
        <f>SUM('3:4'!R460)</f>
        <v>0</v>
      </c>
      <c r="S460" s="93">
        <f>SUM('3:4'!S460)</f>
        <v>0</v>
      </c>
      <c r="T460" s="93">
        <f>SUM('3:4'!T460)</f>
        <v>0</v>
      </c>
      <c r="U460" s="93">
        <f>SUM('3:4'!U460)</f>
        <v>0</v>
      </c>
      <c r="V460" s="206">
        <f t="shared" si="183"/>
        <v>0</v>
      </c>
      <c r="W460" s="33" t="str">
        <f t="shared" si="184"/>
        <v/>
      </c>
      <c r="X460" s="93">
        <f>SUM('3:4'!X460)</f>
        <v>0</v>
      </c>
      <c r="Y460" s="93">
        <f>SUM('3:4'!Y460)</f>
        <v>0</v>
      </c>
      <c r="Z460" s="93">
        <f>SUM('3:4'!Z460)</f>
        <v>0</v>
      </c>
      <c r="AA460" s="93">
        <f>SUM('3:4'!AA460)</f>
        <v>0</v>
      </c>
      <c r="AB460" s="73"/>
      <c r="AC460" s="54"/>
      <c r="AD460" s="370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725" t="s">
        <v>92</v>
      </c>
      <c r="B461" s="726"/>
      <c r="C461" s="359" t="s">
        <v>71</v>
      </c>
      <c r="D461" s="20"/>
      <c r="E461" s="20"/>
      <c r="F461" s="32"/>
      <c r="G461" s="99">
        <f>SUM(G427:G460)</f>
        <v>0</v>
      </c>
      <c r="H461" s="30">
        <f>SUM(H427:H460)</f>
        <v>0</v>
      </c>
      <c r="I461" s="30">
        <f>SUM(I427:I460)</f>
        <v>0</v>
      </c>
      <c r="J461" s="31" t="str">
        <f t="array" ref="J461">IF(ISERROR(G461/I461),"",G461/I461)</f>
        <v/>
      </c>
      <c r="K461" s="30">
        <f>SUM(K427:K460)</f>
        <v>0</v>
      </c>
      <c r="L461" s="98"/>
      <c r="M461" s="89">
        <f t="shared" ref="M461:V461" si="185">SUM(M427:M460)</f>
        <v>0</v>
      </c>
      <c r="N461" s="30">
        <f t="shared" si="185"/>
        <v>0</v>
      </c>
      <c r="O461" s="91">
        <f t="shared" si="185"/>
        <v>0</v>
      </c>
      <c r="P461" s="91">
        <f t="shared" si="185"/>
        <v>0</v>
      </c>
      <c r="Q461" s="91">
        <f t="shared" si="185"/>
        <v>0</v>
      </c>
      <c r="R461" s="91">
        <f t="shared" si="185"/>
        <v>0</v>
      </c>
      <c r="S461" s="92">
        <f t="shared" si="185"/>
        <v>0</v>
      </c>
      <c r="T461" s="91">
        <f t="shared" si="185"/>
        <v>0</v>
      </c>
      <c r="U461" s="91">
        <f t="shared" si="185"/>
        <v>0</v>
      </c>
      <c r="V461" s="206">
        <f t="shared" si="185"/>
        <v>0</v>
      </c>
      <c r="W461" s="33" t="str">
        <f t="shared" si="184"/>
        <v/>
      </c>
      <c r="X461" s="92">
        <f>SUM(X427:X460)</f>
        <v>0</v>
      </c>
      <c r="Y461" s="92">
        <f>SUM(Y427:Y460)</f>
        <v>0</v>
      </c>
      <c r="Z461" s="92">
        <f>SUM(Z427:Z460)</f>
        <v>0</v>
      </c>
      <c r="AA461" s="92">
        <f>SUM(AA427:AA460)</f>
        <v>0</v>
      </c>
      <c r="AB461" s="75"/>
      <c r="AC461" s="70"/>
      <c r="AD461" s="370"/>
      <c r="AE461" s="74"/>
      <c r="AF461" s="74"/>
      <c r="AG461" s="74"/>
      <c r="AH461" s="7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99">
        <v>30100038</v>
      </c>
      <c r="B462" s="62" t="s">
        <v>93</v>
      </c>
      <c r="C462" s="16" t="s">
        <v>94</v>
      </c>
      <c r="D462" s="17">
        <v>5.03</v>
      </c>
      <c r="E462" s="17"/>
      <c r="F462" s="6"/>
      <c r="G462" s="93">
        <f>SUM('3:4'!G462)</f>
        <v>0</v>
      </c>
      <c r="H462" s="364">
        <f>D462*G462</f>
        <v>0</v>
      </c>
      <c r="I462" s="93">
        <f>SUM('3:4'!I462)</f>
        <v>0</v>
      </c>
      <c r="J462" s="31" t="str">
        <f t="array" ref="J462">IF(ISERROR(G462/I462),"",G462/I462)</f>
        <v/>
      </c>
      <c r="K462" s="35">
        <f t="array" ref="K462">IF(ISERROR(G462/L462),"",G462/L462)</f>
        <v>0</v>
      </c>
      <c r="L462" s="87">
        <v>25</v>
      </c>
      <c r="M462" s="36">
        <f t="shared" ref="M462:M476" si="186">IF(ISERROR(I462-K462),"",I462-K462)</f>
        <v>0</v>
      </c>
      <c r="N462" s="31">
        <f t="shared" ref="N462:N476" si="187">SUM(O462:U462)</f>
        <v>0</v>
      </c>
      <c r="O462" s="93">
        <f>SUM('3:4'!O462)</f>
        <v>0</v>
      </c>
      <c r="P462" s="93">
        <f>SUM('3:4'!P462)</f>
        <v>0</v>
      </c>
      <c r="Q462" s="93">
        <f>SUM('3:4'!Q462)</f>
        <v>0</v>
      </c>
      <c r="R462" s="93">
        <f>SUM('3:4'!R462)</f>
        <v>0</v>
      </c>
      <c r="S462" s="93">
        <f>SUM('3:4'!S462)</f>
        <v>0</v>
      </c>
      <c r="T462" s="93">
        <f>SUM('3:4'!T462)</f>
        <v>0</v>
      </c>
      <c r="U462" s="93">
        <f>SUM('3:4'!U462)</f>
        <v>0</v>
      </c>
      <c r="V462" s="206">
        <f t="shared" ref="V462:V476" si="188">SUM(X462:AA462)</f>
        <v>0</v>
      </c>
      <c r="W462" s="33" t="str">
        <f t="shared" si="184"/>
        <v/>
      </c>
      <c r="X462" s="93">
        <f>SUM('3:4'!X462)</f>
        <v>0</v>
      </c>
      <c r="Y462" s="93">
        <f>SUM('3:4'!Y462)</f>
        <v>0</v>
      </c>
      <c r="Z462" s="93">
        <f>SUM('3:4'!Z462)</f>
        <v>0</v>
      </c>
      <c r="AA462" s="93">
        <f>SUM('3:4'!AA462)</f>
        <v>0</v>
      </c>
      <c r="AB462" s="73"/>
      <c r="AC462" s="54"/>
      <c r="AD462" s="370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299">
        <v>30100037</v>
      </c>
      <c r="B463" s="62" t="s">
        <v>93</v>
      </c>
      <c r="C463" s="16" t="s">
        <v>74</v>
      </c>
      <c r="D463" s="17">
        <v>5.03</v>
      </c>
      <c r="E463" s="17"/>
      <c r="F463" s="6"/>
      <c r="G463" s="93">
        <f>SUM('3:4'!G463)</f>
        <v>0</v>
      </c>
      <c r="H463" s="364">
        <f t="shared" ref="H463:H476" si="189">D463*G463</f>
        <v>0</v>
      </c>
      <c r="I463" s="93">
        <f>SUM('3:4'!I463)</f>
        <v>0</v>
      </c>
      <c r="J463" s="31" t="str">
        <f t="array" ref="J463">IF(ISERROR(G463/I463),"",G463/I463)</f>
        <v/>
      </c>
      <c r="K463" s="35">
        <f t="array" ref="K463">IF(ISERROR(G463/L463),"",G463/L463)</f>
        <v>0</v>
      </c>
      <c r="L463" s="87">
        <v>25</v>
      </c>
      <c r="M463" s="36">
        <f t="shared" si="186"/>
        <v>0</v>
      </c>
      <c r="N463" s="31">
        <f t="shared" si="187"/>
        <v>0</v>
      </c>
      <c r="O463" s="93">
        <f>SUM('3:4'!O463)</f>
        <v>0</v>
      </c>
      <c r="P463" s="93">
        <f>SUM('3:4'!P463)</f>
        <v>0</v>
      </c>
      <c r="Q463" s="93">
        <f>SUM('3:4'!Q463)</f>
        <v>0</v>
      </c>
      <c r="R463" s="93">
        <f>SUM('3:4'!R463)</f>
        <v>0</v>
      </c>
      <c r="S463" s="93">
        <f>SUM('3:4'!S463)</f>
        <v>0</v>
      </c>
      <c r="T463" s="93">
        <f>SUM('3:4'!T463)</f>
        <v>0</v>
      </c>
      <c r="U463" s="93">
        <f>SUM('3:4'!U463)</f>
        <v>0</v>
      </c>
      <c r="V463" s="206">
        <f t="shared" si="188"/>
        <v>0</v>
      </c>
      <c r="W463" s="33" t="str">
        <f t="shared" si="184"/>
        <v/>
      </c>
      <c r="X463" s="93">
        <f>SUM('3:4'!X463)</f>
        <v>0</v>
      </c>
      <c r="Y463" s="93">
        <f>SUM('3:4'!Y463)</f>
        <v>0</v>
      </c>
      <c r="Z463" s="93">
        <f>SUM('3:4'!Z463)</f>
        <v>0</v>
      </c>
      <c r="AA463" s="93">
        <f>SUM('3:4'!AA463)</f>
        <v>0</v>
      </c>
      <c r="AB463" s="73"/>
      <c r="AC463" s="54"/>
      <c r="AD463" s="370"/>
      <c r="AE463" s="54"/>
      <c r="AF463" s="54"/>
      <c r="AG463" s="54"/>
      <c r="AH463" s="5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99">
        <v>30100051</v>
      </c>
      <c r="B464" s="62" t="s">
        <v>58</v>
      </c>
      <c r="C464" s="16" t="s">
        <v>65</v>
      </c>
      <c r="D464" s="17">
        <v>5.04</v>
      </c>
      <c r="E464" s="17"/>
      <c r="F464" s="6"/>
      <c r="G464" s="93">
        <f>SUM('3:4'!G464)</f>
        <v>0</v>
      </c>
      <c r="H464" s="364">
        <f t="shared" si="189"/>
        <v>0</v>
      </c>
      <c r="I464" s="93">
        <f>SUM('3:4'!I464)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20</v>
      </c>
      <c r="M464" s="36">
        <f t="shared" si="186"/>
        <v>0</v>
      </c>
      <c r="N464" s="31">
        <f t="shared" si="187"/>
        <v>0</v>
      </c>
      <c r="O464" s="93">
        <f>SUM('3:4'!O464)</f>
        <v>0</v>
      </c>
      <c r="P464" s="93">
        <f>SUM('3:4'!P464)</f>
        <v>0</v>
      </c>
      <c r="Q464" s="93">
        <f>SUM('3:4'!Q464)</f>
        <v>0</v>
      </c>
      <c r="R464" s="93">
        <f>SUM('3:4'!R464)</f>
        <v>0</v>
      </c>
      <c r="S464" s="93">
        <f>SUM('3:4'!S464)</f>
        <v>0</v>
      </c>
      <c r="T464" s="93">
        <f>SUM('3:4'!T464)</f>
        <v>0</v>
      </c>
      <c r="U464" s="93">
        <f>SUM('3:4'!U464)</f>
        <v>0</v>
      </c>
      <c r="V464" s="206">
        <f t="shared" si="188"/>
        <v>0</v>
      </c>
      <c r="W464" s="33" t="str">
        <f t="shared" si="184"/>
        <v/>
      </c>
      <c r="X464" s="93">
        <f>SUM('3:4'!X464)</f>
        <v>0</v>
      </c>
      <c r="Y464" s="93">
        <f>SUM('3:4'!Y464)</f>
        <v>0</v>
      </c>
      <c r="Z464" s="93">
        <f>SUM('3:4'!Z464)</f>
        <v>0</v>
      </c>
      <c r="AA464" s="93">
        <f>SUM('3:4'!AA464)</f>
        <v>0</v>
      </c>
      <c r="AB464" s="73"/>
      <c r="AC464" s="54"/>
      <c r="AD464" s="370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99"/>
      <c r="B465" s="63" t="s">
        <v>95</v>
      </c>
      <c r="C465" s="16" t="s">
        <v>82</v>
      </c>
      <c r="D465" s="17">
        <v>5.03</v>
      </c>
      <c r="E465" s="17"/>
      <c r="F465" s="6"/>
      <c r="G465" s="93">
        <f>SUM('3:4'!G465)</f>
        <v>0</v>
      </c>
      <c r="H465" s="364">
        <f t="shared" si="189"/>
        <v>0</v>
      </c>
      <c r="I465" s="93">
        <f>SUM('3:4'!I465)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4</v>
      </c>
      <c r="M465" s="36">
        <f t="shared" si="186"/>
        <v>0</v>
      </c>
      <c r="N465" s="31">
        <f t="shared" si="187"/>
        <v>0</v>
      </c>
      <c r="O465" s="93">
        <f>SUM('3:4'!O465)</f>
        <v>0</v>
      </c>
      <c r="P465" s="93">
        <f>SUM('3:4'!P465)</f>
        <v>0</v>
      </c>
      <c r="Q465" s="93">
        <f>SUM('3:4'!Q465)</f>
        <v>0</v>
      </c>
      <c r="R465" s="93">
        <f>SUM('3:4'!R465)</f>
        <v>0</v>
      </c>
      <c r="S465" s="93">
        <f>SUM('3:4'!S465)</f>
        <v>0</v>
      </c>
      <c r="T465" s="93">
        <f>SUM('3:4'!T465)</f>
        <v>0</v>
      </c>
      <c r="U465" s="93">
        <f>SUM('3:4'!U465)</f>
        <v>0</v>
      </c>
      <c r="V465" s="206">
        <f t="shared" si="188"/>
        <v>0</v>
      </c>
      <c r="W465" s="33" t="str">
        <f t="shared" si="184"/>
        <v/>
      </c>
      <c r="X465" s="93">
        <f>SUM('3:4'!X465)</f>
        <v>0</v>
      </c>
      <c r="Y465" s="93">
        <f>SUM('3:4'!Y465)</f>
        <v>0</v>
      </c>
      <c r="Z465" s="93">
        <f>SUM('3:4'!Z465)</f>
        <v>0</v>
      </c>
      <c r="AA465" s="93">
        <f>SUM('3:4'!AA465)</f>
        <v>0</v>
      </c>
      <c r="AB465" s="73"/>
      <c r="AC465" s="54"/>
      <c r="AD465" s="370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99">
        <v>30100054</v>
      </c>
      <c r="B466" s="63" t="s">
        <v>95</v>
      </c>
      <c r="C466" s="365" t="s">
        <v>72</v>
      </c>
      <c r="D466" s="17">
        <v>5.03</v>
      </c>
      <c r="E466" s="17"/>
      <c r="F466" s="6"/>
      <c r="G466" s="93">
        <f>SUM('3:4'!G466)</f>
        <v>0</v>
      </c>
      <c r="H466" s="364">
        <f t="shared" si="189"/>
        <v>0</v>
      </c>
      <c r="I466" s="93">
        <f>SUM('3:4'!I466)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4</v>
      </c>
      <c r="M466" s="36">
        <f t="shared" si="186"/>
        <v>0</v>
      </c>
      <c r="N466" s="31">
        <f t="shared" si="187"/>
        <v>0</v>
      </c>
      <c r="O466" s="93">
        <f>SUM('3:4'!O466)</f>
        <v>0</v>
      </c>
      <c r="P466" s="93">
        <f>SUM('3:4'!P466)</f>
        <v>0</v>
      </c>
      <c r="Q466" s="93">
        <f>SUM('3:4'!Q466)</f>
        <v>0</v>
      </c>
      <c r="R466" s="93">
        <f>SUM('3:4'!R466)</f>
        <v>0</v>
      </c>
      <c r="S466" s="93">
        <f>SUM('3:4'!S466)</f>
        <v>0</v>
      </c>
      <c r="T466" s="93">
        <f>SUM('3:4'!T466)</f>
        <v>0</v>
      </c>
      <c r="U466" s="93">
        <f>SUM('3:4'!U466)</f>
        <v>0</v>
      </c>
      <c r="V466" s="206">
        <f t="shared" si="188"/>
        <v>0</v>
      </c>
      <c r="W466" s="33" t="str">
        <f t="shared" si="184"/>
        <v/>
      </c>
      <c r="X466" s="93">
        <f>SUM('3:4'!X466)</f>
        <v>0</v>
      </c>
      <c r="Y466" s="93">
        <f>SUM('3:4'!Y466)</f>
        <v>0</v>
      </c>
      <c r="Z466" s="93">
        <f>SUM('3:4'!Z466)</f>
        <v>0</v>
      </c>
      <c r="AA466" s="93">
        <f>SUM('3:4'!AA466)</f>
        <v>0</v>
      </c>
      <c r="AB466" s="73"/>
      <c r="AC466" s="54"/>
      <c r="AD466" s="370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99">
        <v>30100053</v>
      </c>
      <c r="B467" s="63" t="s">
        <v>95</v>
      </c>
      <c r="C467" s="16" t="s">
        <v>73</v>
      </c>
      <c r="D467" s="17">
        <v>5.03</v>
      </c>
      <c r="E467" s="17"/>
      <c r="F467" s="6"/>
      <c r="G467" s="93">
        <f>SUM('3:4'!G467)</f>
        <v>0</v>
      </c>
      <c r="H467" s="364">
        <f t="shared" si="189"/>
        <v>0</v>
      </c>
      <c r="I467" s="93">
        <f>SUM('3:4'!I467)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86"/>
        <v>0</v>
      </c>
      <c r="N467" s="31">
        <f t="shared" si="187"/>
        <v>0</v>
      </c>
      <c r="O467" s="93">
        <f>SUM('3:4'!O467)</f>
        <v>0</v>
      </c>
      <c r="P467" s="93">
        <f>SUM('3:4'!P467)</f>
        <v>0</v>
      </c>
      <c r="Q467" s="93">
        <f>SUM('3:4'!Q467)</f>
        <v>0</v>
      </c>
      <c r="R467" s="93">
        <f>SUM('3:4'!R467)</f>
        <v>0</v>
      </c>
      <c r="S467" s="93">
        <f>SUM('3:4'!S467)</f>
        <v>0</v>
      </c>
      <c r="T467" s="93">
        <f>SUM('3:4'!T467)</f>
        <v>0</v>
      </c>
      <c r="U467" s="93">
        <f>SUM('3:4'!U467)</f>
        <v>0</v>
      </c>
      <c r="V467" s="206">
        <f t="shared" si="188"/>
        <v>0</v>
      </c>
      <c r="W467" s="33" t="str">
        <f t="shared" si="184"/>
        <v/>
      </c>
      <c r="X467" s="93">
        <f>SUM('3:4'!X467)</f>
        <v>0</v>
      </c>
      <c r="Y467" s="93">
        <f>SUM('3:4'!Y467)</f>
        <v>0</v>
      </c>
      <c r="Z467" s="93">
        <f>SUM('3:4'!Z467)</f>
        <v>0</v>
      </c>
      <c r="AA467" s="93">
        <f>SUM('3:4'!AA467)</f>
        <v>0</v>
      </c>
      <c r="AB467" s="73"/>
      <c r="AC467" s="54"/>
      <c r="AD467" s="370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99"/>
      <c r="B468" s="63" t="s">
        <v>95</v>
      </c>
      <c r="C468" s="16" t="s">
        <v>60</v>
      </c>
      <c r="D468" s="17">
        <v>5.03</v>
      </c>
      <c r="E468" s="17"/>
      <c r="F468" s="6"/>
      <c r="G468" s="93">
        <f>SUM('3:4'!G468)</f>
        <v>0</v>
      </c>
      <c r="H468" s="364">
        <f t="shared" si="189"/>
        <v>0</v>
      </c>
      <c r="I468" s="93">
        <f>SUM('3:4'!I468)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86"/>
        <v>0</v>
      </c>
      <c r="N468" s="31">
        <f t="shared" si="187"/>
        <v>0</v>
      </c>
      <c r="O468" s="93">
        <f>SUM('3:4'!O468)</f>
        <v>0</v>
      </c>
      <c r="P468" s="93">
        <f>SUM('3:4'!P468)</f>
        <v>0</v>
      </c>
      <c r="Q468" s="93">
        <f>SUM('3:4'!Q468)</f>
        <v>0</v>
      </c>
      <c r="R468" s="93">
        <f>SUM('3:4'!R468)</f>
        <v>0</v>
      </c>
      <c r="S468" s="93">
        <f>SUM('3:4'!S468)</f>
        <v>0</v>
      </c>
      <c r="T468" s="93">
        <f>SUM('3:4'!T468)</f>
        <v>0</v>
      </c>
      <c r="U468" s="93">
        <f>SUM('3:4'!U468)</f>
        <v>0</v>
      </c>
      <c r="V468" s="206">
        <f t="shared" si="188"/>
        <v>0</v>
      </c>
      <c r="W468" s="33" t="str">
        <f t="shared" si="184"/>
        <v/>
      </c>
      <c r="X468" s="93">
        <f>SUM('3:4'!X468)</f>
        <v>0</v>
      </c>
      <c r="Y468" s="93">
        <f>SUM('3:4'!Y468)</f>
        <v>0</v>
      </c>
      <c r="Z468" s="93">
        <f>SUM('3:4'!Z468)</f>
        <v>0</v>
      </c>
      <c r="AA468" s="93">
        <f>SUM('3:4'!AA468)</f>
        <v>0</v>
      </c>
      <c r="AB468" s="73"/>
      <c r="AC468" s="54"/>
      <c r="AD468" s="370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99"/>
      <c r="B469" s="63" t="s">
        <v>95</v>
      </c>
      <c r="C469" s="365" t="s">
        <v>96</v>
      </c>
      <c r="D469" s="17">
        <v>5.03</v>
      </c>
      <c r="E469" s="17"/>
      <c r="F469" s="6"/>
      <c r="G469" s="93">
        <f>SUM('3:4'!G469)</f>
        <v>0</v>
      </c>
      <c r="H469" s="364">
        <f t="shared" si="189"/>
        <v>0</v>
      </c>
      <c r="I469" s="93">
        <f>SUM('3:4'!I469)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86"/>
        <v>0</v>
      </c>
      <c r="N469" s="31">
        <f t="shared" si="187"/>
        <v>0</v>
      </c>
      <c r="O469" s="93">
        <f>SUM('3:4'!O469)</f>
        <v>0</v>
      </c>
      <c r="P469" s="93">
        <f>SUM('3:4'!P469)</f>
        <v>0</v>
      </c>
      <c r="Q469" s="93">
        <f>SUM('3:4'!Q469)</f>
        <v>0</v>
      </c>
      <c r="R469" s="93">
        <f>SUM('3:4'!R469)</f>
        <v>0</v>
      </c>
      <c r="S469" s="93">
        <f>SUM('3:4'!S469)</f>
        <v>0</v>
      </c>
      <c r="T469" s="93">
        <f>SUM('3:4'!T469)</f>
        <v>0</v>
      </c>
      <c r="U469" s="93">
        <f>SUM('3:4'!U469)</f>
        <v>0</v>
      </c>
      <c r="V469" s="206">
        <f t="shared" si="188"/>
        <v>0</v>
      </c>
      <c r="W469" s="33" t="str">
        <f t="shared" si="184"/>
        <v/>
      </c>
      <c r="X469" s="93">
        <f>SUM('3:4'!X469)</f>
        <v>0</v>
      </c>
      <c r="Y469" s="93">
        <f>SUM('3:4'!Y469)</f>
        <v>0</v>
      </c>
      <c r="Z469" s="93">
        <f>SUM('3:4'!Z469)</f>
        <v>0</v>
      </c>
      <c r="AA469" s="93">
        <f>SUM('3:4'!AA469)</f>
        <v>0</v>
      </c>
      <c r="AB469" s="73"/>
      <c r="AC469" s="54"/>
      <c r="AD469" s="370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99">
        <v>30101067</v>
      </c>
      <c r="B470" s="63" t="s">
        <v>97</v>
      </c>
      <c r="C470" s="365" t="s">
        <v>82</v>
      </c>
      <c r="D470" s="17">
        <v>5.03</v>
      </c>
      <c r="E470" s="17"/>
      <c r="F470" s="6"/>
      <c r="G470" s="93">
        <f>SUM('3:4'!G470)</f>
        <v>0</v>
      </c>
      <c r="H470" s="364">
        <f t="shared" si="189"/>
        <v>0</v>
      </c>
      <c r="I470" s="93">
        <f>SUM('3:4'!I470)</f>
        <v>0</v>
      </c>
      <c r="J470" s="31" t="str">
        <f t="array" ref="J470">IF(ISERROR(G470/I470),"",G470/I470)</f>
        <v/>
      </c>
      <c r="K470" s="35" t="str">
        <f t="array" ref="K470">IF(ISERROR(G470/L470),"",G470/L470)</f>
        <v/>
      </c>
      <c r="L470" s="87"/>
      <c r="M470" s="36" t="str">
        <f t="shared" si="186"/>
        <v/>
      </c>
      <c r="N470" s="31">
        <f t="shared" si="187"/>
        <v>0</v>
      </c>
      <c r="O470" s="93">
        <f>SUM('3:4'!O470)</f>
        <v>0</v>
      </c>
      <c r="P470" s="93">
        <f>SUM('3:4'!P470)</f>
        <v>0</v>
      </c>
      <c r="Q470" s="93">
        <f>SUM('3:4'!Q470)</f>
        <v>0</v>
      </c>
      <c r="R470" s="93">
        <f>SUM('3:4'!R470)</f>
        <v>0</v>
      </c>
      <c r="S470" s="93">
        <f>SUM('3:4'!S470)</f>
        <v>0</v>
      </c>
      <c r="T470" s="93">
        <f>SUM('3:4'!T470)</f>
        <v>0</v>
      </c>
      <c r="U470" s="93">
        <f>SUM('3:4'!U470)</f>
        <v>0</v>
      </c>
      <c r="V470" s="206">
        <f t="shared" si="188"/>
        <v>0</v>
      </c>
      <c r="W470" s="33" t="str">
        <f t="shared" si="184"/>
        <v/>
      </c>
      <c r="X470" s="93">
        <f>SUM('3:4'!X470)</f>
        <v>0</v>
      </c>
      <c r="Y470" s="93">
        <f>SUM('3:4'!Y470)</f>
        <v>0</v>
      </c>
      <c r="Z470" s="93">
        <f>SUM('3:4'!Z470)</f>
        <v>0</v>
      </c>
      <c r="AA470" s="93">
        <f>SUM('3:4'!AA470)</f>
        <v>0</v>
      </c>
      <c r="AB470" s="73"/>
      <c r="AC470" s="54"/>
      <c r="AD470" s="370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99">
        <v>30101068</v>
      </c>
      <c r="B471" s="63" t="s">
        <v>97</v>
      </c>
      <c r="C471" s="365" t="s">
        <v>72</v>
      </c>
      <c r="D471" s="17">
        <v>5.03</v>
      </c>
      <c r="E471" s="17"/>
      <c r="F471" s="6"/>
      <c r="G471" s="93">
        <f>SUM('3:4'!G471)</f>
        <v>0</v>
      </c>
      <c r="H471" s="364">
        <f t="shared" si="189"/>
        <v>0</v>
      </c>
      <c r="I471" s="93">
        <f>SUM('3:4'!I471)</f>
        <v>0</v>
      </c>
      <c r="J471" s="31" t="str">
        <f t="array" ref="J471">IF(ISERROR(G471/I471),"",G471/I471)</f>
        <v/>
      </c>
      <c r="K471" s="35" t="str">
        <f t="array" ref="K471">IF(ISERROR(G471/L471),"",G471/L471)</f>
        <v/>
      </c>
      <c r="L471" s="87"/>
      <c r="M471" s="36" t="str">
        <f t="shared" si="186"/>
        <v/>
      </c>
      <c r="N471" s="31">
        <f t="shared" si="187"/>
        <v>0</v>
      </c>
      <c r="O471" s="93">
        <f>SUM('3:4'!O471)</f>
        <v>0</v>
      </c>
      <c r="P471" s="93">
        <f>SUM('3:4'!P471)</f>
        <v>0</v>
      </c>
      <c r="Q471" s="93">
        <f>SUM('3:4'!Q471)</f>
        <v>0</v>
      </c>
      <c r="R471" s="93">
        <f>SUM('3:4'!R471)</f>
        <v>0</v>
      </c>
      <c r="S471" s="93">
        <f>SUM('3:4'!S471)</f>
        <v>0</v>
      </c>
      <c r="T471" s="93">
        <f>SUM('3:4'!T471)</f>
        <v>0</v>
      </c>
      <c r="U471" s="93">
        <f>SUM('3:4'!U471)</f>
        <v>0</v>
      </c>
      <c r="V471" s="206">
        <f t="shared" si="188"/>
        <v>0</v>
      </c>
      <c r="W471" s="33" t="str">
        <f t="shared" si="184"/>
        <v/>
      </c>
      <c r="X471" s="93">
        <f>SUM('3:4'!X471)</f>
        <v>0</v>
      </c>
      <c r="Y471" s="93">
        <f>SUM('3:4'!Y471)</f>
        <v>0</v>
      </c>
      <c r="Z471" s="93">
        <f>SUM('3:4'!Z471)</f>
        <v>0</v>
      </c>
      <c r="AA471" s="93">
        <f>SUM('3:4'!AA471)</f>
        <v>0</v>
      </c>
      <c r="AB471" s="73"/>
      <c r="AC471" s="54"/>
      <c r="AD471" s="370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99">
        <v>30101069</v>
      </c>
      <c r="B472" s="63" t="s">
        <v>97</v>
      </c>
      <c r="C472" s="365" t="s">
        <v>60</v>
      </c>
      <c r="D472" s="17">
        <v>5.03</v>
      </c>
      <c r="E472" s="17"/>
      <c r="F472" s="6"/>
      <c r="G472" s="93">
        <f>SUM('3:4'!G472)</f>
        <v>0</v>
      </c>
      <c r="H472" s="364">
        <f t="shared" si="189"/>
        <v>0</v>
      </c>
      <c r="I472" s="93">
        <f>SUM('3:4'!I472)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86"/>
        <v/>
      </c>
      <c r="N472" s="31">
        <f t="shared" si="187"/>
        <v>0</v>
      </c>
      <c r="O472" s="93">
        <f>SUM('3:4'!O472)</f>
        <v>0</v>
      </c>
      <c r="P472" s="93">
        <f>SUM('3:4'!P472)</f>
        <v>0</v>
      </c>
      <c r="Q472" s="93">
        <f>SUM('3:4'!Q472)</f>
        <v>0</v>
      </c>
      <c r="R472" s="93">
        <f>SUM('3:4'!R472)</f>
        <v>0</v>
      </c>
      <c r="S472" s="93">
        <f>SUM('3:4'!S472)</f>
        <v>0</v>
      </c>
      <c r="T472" s="93">
        <f>SUM('3:4'!T472)</f>
        <v>0</v>
      </c>
      <c r="U472" s="93">
        <f>SUM('3:4'!U472)</f>
        <v>0</v>
      </c>
      <c r="V472" s="206">
        <f t="shared" si="188"/>
        <v>0</v>
      </c>
      <c r="W472" s="33" t="str">
        <f t="shared" si="184"/>
        <v/>
      </c>
      <c r="X472" s="93">
        <f>SUM('3:4'!X472)</f>
        <v>0</v>
      </c>
      <c r="Y472" s="93">
        <f>SUM('3:4'!Y472)</f>
        <v>0</v>
      </c>
      <c r="Z472" s="93">
        <f>SUM('3:4'!Z472)</f>
        <v>0</v>
      </c>
      <c r="AA472" s="93">
        <f>SUM('3:4'!AA472)</f>
        <v>0</v>
      </c>
      <c r="AB472" s="73"/>
      <c r="AC472" s="54"/>
      <c r="AD472" s="370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99">
        <v>30101070</v>
      </c>
      <c r="B473" s="63" t="s">
        <v>97</v>
      </c>
      <c r="C473" s="365" t="s">
        <v>96</v>
      </c>
      <c r="D473" s="17">
        <v>5.03</v>
      </c>
      <c r="E473" s="17"/>
      <c r="F473" s="6"/>
      <c r="G473" s="93">
        <f>SUM('3:4'!G473)</f>
        <v>0</v>
      </c>
      <c r="H473" s="364">
        <f t="shared" si="189"/>
        <v>0</v>
      </c>
      <c r="I473" s="93">
        <f>SUM('3:4'!I473)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86"/>
        <v/>
      </c>
      <c r="N473" s="31">
        <f t="shared" si="187"/>
        <v>0</v>
      </c>
      <c r="O473" s="93">
        <f>SUM('3:4'!O473)</f>
        <v>0</v>
      </c>
      <c r="P473" s="93">
        <f>SUM('3:4'!P473)</f>
        <v>0</v>
      </c>
      <c r="Q473" s="93">
        <f>SUM('3:4'!Q473)</f>
        <v>0</v>
      </c>
      <c r="R473" s="93">
        <f>SUM('3:4'!R473)</f>
        <v>0</v>
      </c>
      <c r="S473" s="93">
        <f>SUM('3:4'!S473)</f>
        <v>0</v>
      </c>
      <c r="T473" s="93">
        <f>SUM('3:4'!T473)</f>
        <v>0</v>
      </c>
      <c r="U473" s="93">
        <f>SUM('3:4'!U473)</f>
        <v>0</v>
      </c>
      <c r="V473" s="206">
        <f t="shared" si="188"/>
        <v>0</v>
      </c>
      <c r="W473" s="33" t="str">
        <f t="shared" si="184"/>
        <v/>
      </c>
      <c r="X473" s="93">
        <f>SUM('3:4'!X473)</f>
        <v>0</v>
      </c>
      <c r="Y473" s="93">
        <f>SUM('3:4'!Y473)</f>
        <v>0</v>
      </c>
      <c r="Z473" s="93">
        <f>SUM('3:4'!Z473)</f>
        <v>0</v>
      </c>
      <c r="AA473" s="93">
        <f>SUM('3:4'!AA473)</f>
        <v>0</v>
      </c>
      <c r="AB473" s="73"/>
      <c r="AC473" s="54"/>
      <c r="AD473" s="370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99">
        <v>30101071</v>
      </c>
      <c r="B474" s="63" t="s">
        <v>97</v>
      </c>
      <c r="C474" s="365" t="s">
        <v>73</v>
      </c>
      <c r="D474" s="17">
        <v>5.03</v>
      </c>
      <c r="E474" s="17"/>
      <c r="F474" s="6"/>
      <c r="G474" s="93">
        <f>SUM('3:4'!G474)</f>
        <v>0</v>
      </c>
      <c r="H474" s="364">
        <f t="shared" si="189"/>
        <v>0</v>
      </c>
      <c r="I474" s="93">
        <f>SUM('3:4'!I474)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86"/>
        <v/>
      </c>
      <c r="N474" s="31">
        <f t="shared" si="187"/>
        <v>0</v>
      </c>
      <c r="O474" s="93">
        <f>SUM('3:4'!O474)</f>
        <v>0</v>
      </c>
      <c r="P474" s="93">
        <f>SUM('3:4'!P474)</f>
        <v>0</v>
      </c>
      <c r="Q474" s="93">
        <f>SUM('3:4'!Q474)</f>
        <v>0</v>
      </c>
      <c r="R474" s="93">
        <f>SUM('3:4'!R474)</f>
        <v>0</v>
      </c>
      <c r="S474" s="93">
        <f>SUM('3:4'!S474)</f>
        <v>0</v>
      </c>
      <c r="T474" s="93">
        <f>SUM('3:4'!T474)</f>
        <v>0</v>
      </c>
      <c r="U474" s="93">
        <f>SUM('3:4'!U474)</f>
        <v>0</v>
      </c>
      <c r="V474" s="206">
        <f t="shared" si="188"/>
        <v>0</v>
      </c>
      <c r="W474" s="33" t="str">
        <f t="shared" si="184"/>
        <v/>
      </c>
      <c r="X474" s="93">
        <f>SUM('3:4'!X474)</f>
        <v>0</v>
      </c>
      <c r="Y474" s="93">
        <f>SUM('3:4'!Y474)</f>
        <v>0</v>
      </c>
      <c r="Z474" s="93">
        <f>SUM('3:4'!Z474)</f>
        <v>0</v>
      </c>
      <c r="AA474" s="93">
        <f>SUM('3:4'!AA474)</f>
        <v>0</v>
      </c>
      <c r="AB474" s="73"/>
      <c r="AC474" s="54"/>
      <c r="AD474" s="370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300">
        <v>30100001</v>
      </c>
      <c r="B475" s="62" t="s">
        <v>98</v>
      </c>
      <c r="C475" s="16" t="s">
        <v>74</v>
      </c>
      <c r="D475" s="17">
        <v>5.0599999999999996</v>
      </c>
      <c r="E475" s="17"/>
      <c r="F475" s="6"/>
      <c r="G475" s="93">
        <f>SUM('3:4'!G475)</f>
        <v>0</v>
      </c>
      <c r="H475" s="364">
        <f t="shared" si="189"/>
        <v>0</v>
      </c>
      <c r="I475" s="93">
        <f>SUM('3:4'!I475)</f>
        <v>0</v>
      </c>
      <c r="J475" s="31" t="str">
        <f t="array" ref="J475">IF(ISERROR(G475/I475),"",G475/I475)</f>
        <v/>
      </c>
      <c r="K475" s="35">
        <f t="array" ref="K475">IF(ISERROR(G475/L475),"",G475/L475)</f>
        <v>0</v>
      </c>
      <c r="L475" s="87">
        <v>25</v>
      </c>
      <c r="M475" s="36">
        <f t="shared" si="186"/>
        <v>0</v>
      </c>
      <c r="N475" s="31">
        <f t="shared" si="187"/>
        <v>0</v>
      </c>
      <c r="O475" s="93">
        <f>SUM('3:4'!O475)</f>
        <v>0</v>
      </c>
      <c r="P475" s="93">
        <f>SUM('3:4'!P475)</f>
        <v>0</v>
      </c>
      <c r="Q475" s="93">
        <f>SUM('3:4'!Q475)</f>
        <v>0</v>
      </c>
      <c r="R475" s="93">
        <f>SUM('3:4'!R475)</f>
        <v>0</v>
      </c>
      <c r="S475" s="93">
        <f>SUM('3:4'!S475)</f>
        <v>0</v>
      </c>
      <c r="T475" s="93">
        <f>SUM('3:4'!T475)</f>
        <v>0</v>
      </c>
      <c r="U475" s="93">
        <f>SUM('3:4'!U475)</f>
        <v>0</v>
      </c>
      <c r="V475" s="206">
        <f t="shared" si="188"/>
        <v>0</v>
      </c>
      <c r="W475" s="33" t="str">
        <f t="shared" si="184"/>
        <v/>
      </c>
      <c r="X475" s="93">
        <f>SUM('3:4'!X475)</f>
        <v>0</v>
      </c>
      <c r="Y475" s="93">
        <f>SUM('3:4'!Y475)</f>
        <v>0</v>
      </c>
      <c r="Z475" s="93">
        <f>SUM('3:4'!Z475)</f>
        <v>0</v>
      </c>
      <c r="AA475" s="93">
        <f>SUM('3:4'!AA475)</f>
        <v>0</v>
      </c>
      <c r="AB475" s="73"/>
      <c r="AC475" s="54"/>
      <c r="AD475" s="370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300">
        <v>30100002</v>
      </c>
      <c r="B476" s="62" t="s">
        <v>98</v>
      </c>
      <c r="C476" s="16" t="s">
        <v>94</v>
      </c>
      <c r="D476" s="17">
        <v>5.0599999999999996</v>
      </c>
      <c r="E476" s="17"/>
      <c r="F476" s="6"/>
      <c r="G476" s="93">
        <f>SUM('3:4'!G476)</f>
        <v>0</v>
      </c>
      <c r="H476" s="364">
        <f t="shared" si="189"/>
        <v>0</v>
      </c>
      <c r="I476" s="93">
        <f>SUM('3:4'!I476)</f>
        <v>0</v>
      </c>
      <c r="J476" s="31" t="str">
        <f t="array" ref="J476">IF(ISERROR(G476/I476),"",G476/I476)</f>
        <v/>
      </c>
      <c r="K476" s="35">
        <f t="array" ref="K476">IF(ISERROR(G476/L476),"",G476/L476)</f>
        <v>0</v>
      </c>
      <c r="L476" s="87">
        <v>25</v>
      </c>
      <c r="M476" s="36">
        <f t="shared" si="186"/>
        <v>0</v>
      </c>
      <c r="N476" s="31">
        <f t="shared" si="187"/>
        <v>0</v>
      </c>
      <c r="O476" s="93">
        <f>SUM('3:4'!O476)</f>
        <v>0</v>
      </c>
      <c r="P476" s="93">
        <f>SUM('3:4'!P476)</f>
        <v>0</v>
      </c>
      <c r="Q476" s="93">
        <f>SUM('3:4'!Q476)</f>
        <v>0</v>
      </c>
      <c r="R476" s="93">
        <f>SUM('3:4'!R476)</f>
        <v>0</v>
      </c>
      <c r="S476" s="93">
        <f>SUM('3:4'!S476)</f>
        <v>0</v>
      </c>
      <c r="T476" s="93">
        <f>SUM('3:4'!T476)</f>
        <v>0</v>
      </c>
      <c r="U476" s="93">
        <f>SUM('3:4'!U476)</f>
        <v>0</v>
      </c>
      <c r="V476" s="206">
        <f t="shared" si="188"/>
        <v>0</v>
      </c>
      <c r="W476" s="33" t="str">
        <f t="shared" si="184"/>
        <v/>
      </c>
      <c r="X476" s="93">
        <f>SUM('3:4'!X476)</f>
        <v>0</v>
      </c>
      <c r="Y476" s="93">
        <f>SUM('3:4'!Y476)</f>
        <v>0</v>
      </c>
      <c r="Z476" s="93">
        <f>SUM('3:4'!Z476)</f>
        <v>0</v>
      </c>
      <c r="AA476" s="93">
        <f>SUM('3:4'!AA476)</f>
        <v>0</v>
      </c>
      <c r="AB476" s="73"/>
      <c r="AC476" s="54"/>
      <c r="AD476" s="370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725" t="s">
        <v>99</v>
      </c>
      <c r="B477" s="726"/>
      <c r="C477" s="359" t="s">
        <v>71</v>
      </c>
      <c r="D477" s="20"/>
      <c r="E477" s="20"/>
      <c r="F477" s="32"/>
      <c r="G477" s="99">
        <f>SUM(G462:G476)</f>
        <v>0</v>
      </c>
      <c r="H477" s="30">
        <f>SUM(H462:H476)</f>
        <v>0</v>
      </c>
      <c r="I477" s="30">
        <f>SUM(I462:I476)</f>
        <v>0</v>
      </c>
      <c r="J477" s="31" t="str">
        <f t="array" ref="J477">IF(ISERROR(G477/I477),"",G477/I477)</f>
        <v/>
      </c>
      <c r="K477" s="30">
        <f>SUM(K462:K476)</f>
        <v>0</v>
      </c>
      <c r="L477" s="98"/>
      <c r="M477" s="89">
        <f t="shared" ref="M477:V477" si="190">SUM(M462:M476)</f>
        <v>0</v>
      </c>
      <c r="N477" s="30">
        <f t="shared" si="190"/>
        <v>0</v>
      </c>
      <c r="O477" s="30">
        <f t="shared" si="190"/>
        <v>0</v>
      </c>
      <c r="P477" s="30">
        <f t="shared" si="190"/>
        <v>0</v>
      </c>
      <c r="Q477" s="30">
        <f t="shared" si="190"/>
        <v>0</v>
      </c>
      <c r="R477" s="30">
        <f t="shared" si="190"/>
        <v>0</v>
      </c>
      <c r="S477" s="30">
        <f t="shared" si="190"/>
        <v>0</v>
      </c>
      <c r="T477" s="30">
        <f t="shared" si="190"/>
        <v>0</v>
      </c>
      <c r="U477" s="30">
        <f t="shared" si="190"/>
        <v>0</v>
      </c>
      <c r="V477" s="208">
        <f t="shared" si="190"/>
        <v>0</v>
      </c>
      <c r="W477" s="33" t="str">
        <f t="shared" si="184"/>
        <v/>
      </c>
      <c r="X477" s="94">
        <f>SUM(X462:X476)</f>
        <v>0</v>
      </c>
      <c r="Y477" s="94">
        <f>SUM(Y462:Y476)</f>
        <v>0</v>
      </c>
      <c r="Z477" s="94">
        <f>SUM(Z462:Z476)</f>
        <v>0</v>
      </c>
      <c r="AA477" s="94">
        <f>SUM(AA462:AA476)</f>
        <v>0</v>
      </c>
      <c r="AB477" s="75"/>
      <c r="AC477" s="70"/>
      <c r="AD477" s="370"/>
      <c r="AE477" s="74"/>
      <c r="AF477" s="74"/>
      <c r="AG477" s="74"/>
      <c r="AH477" s="7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300">
        <v>30400025</v>
      </c>
      <c r="B478" s="192" t="s">
        <v>232</v>
      </c>
      <c r="C478" s="16" t="s">
        <v>53</v>
      </c>
      <c r="D478" s="17">
        <v>5.04</v>
      </c>
      <c r="E478" s="17"/>
      <c r="F478" s="6"/>
      <c r="G478" s="93">
        <f>SUM('3:4'!G478)</f>
        <v>0</v>
      </c>
      <c r="H478" s="364">
        <f t="shared" ref="H478:H486" si="191">D478*G478</f>
        <v>0</v>
      </c>
      <c r="I478" s="93">
        <f>SUM('3:4'!I478)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22</v>
      </c>
      <c r="M478" s="36">
        <f t="shared" ref="M478:M482" si="192">IF(ISERROR(I478-K478),"",I478-K478)</f>
        <v>0</v>
      </c>
      <c r="N478" s="31">
        <f t="shared" ref="N478:N482" si="193">SUM(O478:U478)</f>
        <v>0</v>
      </c>
      <c r="O478" s="93">
        <f>SUM('3:4'!O478)</f>
        <v>0</v>
      </c>
      <c r="P478" s="93">
        <f>SUM('3:4'!P478)</f>
        <v>0</v>
      </c>
      <c r="Q478" s="93">
        <f>SUM('3:4'!Q478)</f>
        <v>0</v>
      </c>
      <c r="R478" s="93">
        <f>SUM('3:4'!R478)</f>
        <v>0</v>
      </c>
      <c r="S478" s="93">
        <f>SUM('3:4'!S478)</f>
        <v>0</v>
      </c>
      <c r="T478" s="93">
        <f>SUM('3:4'!T478)</f>
        <v>0</v>
      </c>
      <c r="U478" s="93">
        <f>SUM('3:4'!U478)</f>
        <v>0</v>
      </c>
      <c r="V478" s="206">
        <f t="shared" ref="V478:V482" si="194">SUM(X478:AA478)</f>
        <v>0</v>
      </c>
      <c r="W478" s="33" t="str">
        <f t="shared" si="184"/>
        <v/>
      </c>
      <c r="X478" s="93">
        <f>SUM('3:4'!X478)</f>
        <v>0</v>
      </c>
      <c r="Y478" s="93">
        <f>SUM('3:4'!Y478)</f>
        <v>0</v>
      </c>
      <c r="Z478" s="93">
        <f>SUM('3:4'!Z478)</f>
        <v>0</v>
      </c>
      <c r="AA478" s="93">
        <f>SUM('3:4'!AA478)</f>
        <v>0</v>
      </c>
      <c r="AB478" s="73"/>
      <c r="AC478" s="54"/>
      <c r="AD478" s="370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300">
        <v>30400023</v>
      </c>
      <c r="B479" s="192" t="s">
        <v>232</v>
      </c>
      <c r="C479" s="16" t="s">
        <v>60</v>
      </c>
      <c r="D479" s="17">
        <v>5.04</v>
      </c>
      <c r="E479" s="17"/>
      <c r="F479" s="6"/>
      <c r="G479" s="93">
        <f>SUM('3:4'!G479)</f>
        <v>0</v>
      </c>
      <c r="H479" s="364">
        <f t="shared" si="191"/>
        <v>0</v>
      </c>
      <c r="I479" s="93">
        <f>SUM('3:4'!I479)</f>
        <v>0</v>
      </c>
      <c r="J479" s="31" t="str">
        <f t="array" ref="J479">IF(ISERROR(G479/I479),"",G479/I479)</f>
        <v/>
      </c>
      <c r="K479" s="35">
        <f t="array" ref="K479">IF(ISERROR(G479/L479),"",G479/L479)</f>
        <v>0</v>
      </c>
      <c r="L479" s="87">
        <v>22</v>
      </c>
      <c r="M479" s="36">
        <f t="shared" si="192"/>
        <v>0</v>
      </c>
      <c r="N479" s="31">
        <f t="shared" si="193"/>
        <v>0</v>
      </c>
      <c r="O479" s="93">
        <f>SUM('3:4'!O479)</f>
        <v>0</v>
      </c>
      <c r="P479" s="93">
        <f>SUM('3:4'!P479)</f>
        <v>0</v>
      </c>
      <c r="Q479" s="93">
        <f>SUM('3:4'!Q479)</f>
        <v>0</v>
      </c>
      <c r="R479" s="93">
        <f>SUM('3:4'!R479)</f>
        <v>0</v>
      </c>
      <c r="S479" s="93">
        <f>SUM('3:4'!S479)</f>
        <v>0</v>
      </c>
      <c r="T479" s="93">
        <f>SUM('3:4'!T479)</f>
        <v>0</v>
      </c>
      <c r="U479" s="93">
        <f>SUM('3:4'!U479)</f>
        <v>0</v>
      </c>
      <c r="V479" s="206">
        <f t="shared" si="194"/>
        <v>0</v>
      </c>
      <c r="W479" s="33" t="str">
        <f t="shared" si="184"/>
        <v/>
      </c>
      <c r="X479" s="93">
        <f>SUM('3:4'!X479)</f>
        <v>0</v>
      </c>
      <c r="Y479" s="93">
        <f>SUM('3:4'!Y479)</f>
        <v>0</v>
      </c>
      <c r="Z479" s="93">
        <f>SUM('3:4'!Z479)</f>
        <v>0</v>
      </c>
      <c r="AA479" s="93">
        <f>SUM('3:4'!AA479)</f>
        <v>0</v>
      </c>
      <c r="AB479" s="73"/>
      <c r="AC479" s="54"/>
      <c r="AD479" s="370"/>
      <c r="AE479" s="54"/>
      <c r="AF479" s="54"/>
      <c r="AG479" s="54"/>
      <c r="AH479" s="5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300">
        <v>30400024</v>
      </c>
      <c r="B480" s="192" t="s">
        <v>232</v>
      </c>
      <c r="C480" s="16" t="s">
        <v>74</v>
      </c>
      <c r="D480" s="17">
        <v>5.04</v>
      </c>
      <c r="E480" s="17"/>
      <c r="F480" s="6"/>
      <c r="G480" s="93">
        <f>SUM('3:4'!G480)</f>
        <v>0</v>
      </c>
      <c r="H480" s="364">
        <f t="shared" si="191"/>
        <v>0</v>
      </c>
      <c r="I480" s="93">
        <f>SUM('3:4'!I480)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si="192"/>
        <v>0</v>
      </c>
      <c r="N480" s="31">
        <f t="shared" si="193"/>
        <v>0</v>
      </c>
      <c r="O480" s="93">
        <f>SUM('3:4'!O480)</f>
        <v>0</v>
      </c>
      <c r="P480" s="93">
        <f>SUM('3:4'!P480)</f>
        <v>0</v>
      </c>
      <c r="Q480" s="93">
        <f>SUM('3:4'!Q480)</f>
        <v>0</v>
      </c>
      <c r="R480" s="93">
        <f>SUM('3:4'!R480)</f>
        <v>0</v>
      </c>
      <c r="S480" s="93">
        <f>SUM('3:4'!S480)</f>
        <v>0</v>
      </c>
      <c r="T480" s="93">
        <f>SUM('3:4'!T480)</f>
        <v>0</v>
      </c>
      <c r="U480" s="93">
        <f>SUM('3:4'!U480)</f>
        <v>0</v>
      </c>
      <c r="V480" s="206">
        <f t="shared" si="194"/>
        <v>0</v>
      </c>
      <c r="W480" s="33" t="str">
        <f t="shared" si="184"/>
        <v/>
      </c>
      <c r="X480" s="93">
        <f>SUM('3:4'!X480)</f>
        <v>0</v>
      </c>
      <c r="Y480" s="93">
        <f>SUM('3:4'!Y480)</f>
        <v>0</v>
      </c>
      <c r="Z480" s="93">
        <f>SUM('3:4'!Z480)</f>
        <v>0</v>
      </c>
      <c r="AA480" s="93">
        <f>SUM('3:4'!AA480)</f>
        <v>0</v>
      </c>
      <c r="AB480" s="73"/>
      <c r="AC480" s="54"/>
      <c r="AD480" s="370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300"/>
      <c r="B481" s="192" t="s">
        <v>232</v>
      </c>
      <c r="C481" s="16" t="s">
        <v>66</v>
      </c>
      <c r="D481" s="17">
        <v>5.04</v>
      </c>
      <c r="E481" s="17"/>
      <c r="F481" s="6"/>
      <c r="G481" s="93">
        <f>SUM('3:4'!G481)</f>
        <v>0</v>
      </c>
      <c r="H481" s="364">
        <f t="shared" si="191"/>
        <v>0</v>
      </c>
      <c r="I481" s="93">
        <f>SUM('3:4'!I481)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92"/>
        <v>0</v>
      </c>
      <c r="N481" s="31">
        <f t="shared" si="193"/>
        <v>0</v>
      </c>
      <c r="O481" s="93">
        <f>SUM('3:4'!O481)</f>
        <v>0</v>
      </c>
      <c r="P481" s="93">
        <f>SUM('3:4'!P481)</f>
        <v>0</v>
      </c>
      <c r="Q481" s="93">
        <f>SUM('3:4'!Q481)</f>
        <v>0</v>
      </c>
      <c r="R481" s="93">
        <f>SUM('3:4'!R481)</f>
        <v>0</v>
      </c>
      <c r="S481" s="93">
        <f>SUM('3:4'!S481)</f>
        <v>0</v>
      </c>
      <c r="T481" s="93">
        <f>SUM('3:4'!T481)</f>
        <v>0</v>
      </c>
      <c r="U481" s="93">
        <f>SUM('3:4'!U481)</f>
        <v>0</v>
      </c>
      <c r="V481" s="206">
        <f t="shared" si="194"/>
        <v>0</v>
      </c>
      <c r="W481" s="33" t="str">
        <f t="shared" si="184"/>
        <v/>
      </c>
      <c r="X481" s="93">
        <f>SUM('3:4'!X481)</f>
        <v>0</v>
      </c>
      <c r="Y481" s="93">
        <f>SUM('3:4'!Y481)</f>
        <v>0</v>
      </c>
      <c r="Z481" s="93">
        <f>SUM('3:4'!Z481)</f>
        <v>0</v>
      </c>
      <c r="AA481" s="93">
        <f>SUM('3:4'!AA481)</f>
        <v>0</v>
      </c>
      <c r="AB481" s="73"/>
      <c r="AC481" s="54"/>
      <c r="AD481" s="370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300"/>
      <c r="B482" s="192" t="s">
        <v>232</v>
      </c>
      <c r="C482" s="16" t="s">
        <v>101</v>
      </c>
      <c r="D482" s="17">
        <v>5.04</v>
      </c>
      <c r="E482" s="17"/>
      <c r="F482" s="6"/>
      <c r="G482" s="93">
        <f>SUM('3:4'!G482)</f>
        <v>0</v>
      </c>
      <c r="H482" s="364">
        <f t="shared" si="191"/>
        <v>0</v>
      </c>
      <c r="I482" s="93">
        <f>SUM('3:4'!I482)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92"/>
        <v>0</v>
      </c>
      <c r="N482" s="31">
        <f t="shared" si="193"/>
        <v>0</v>
      </c>
      <c r="O482" s="93">
        <f>SUM('3:4'!O482)</f>
        <v>0</v>
      </c>
      <c r="P482" s="93">
        <f>SUM('3:4'!P482)</f>
        <v>0</v>
      </c>
      <c r="Q482" s="93">
        <f>SUM('3:4'!Q482)</f>
        <v>0</v>
      </c>
      <c r="R482" s="93">
        <f>SUM('3:4'!R482)</f>
        <v>0</v>
      </c>
      <c r="S482" s="93">
        <f>SUM('3:4'!S482)</f>
        <v>0</v>
      </c>
      <c r="T482" s="93">
        <f>SUM('3:4'!T482)</f>
        <v>0</v>
      </c>
      <c r="U482" s="93">
        <f>SUM('3:4'!U482)</f>
        <v>0</v>
      </c>
      <c r="V482" s="206">
        <f t="shared" si="194"/>
        <v>0</v>
      </c>
      <c r="W482" s="33" t="str">
        <f t="shared" si="184"/>
        <v/>
      </c>
      <c r="X482" s="93">
        <f>SUM('3:4'!X482)</f>
        <v>0</v>
      </c>
      <c r="Y482" s="93">
        <f>SUM('3:4'!Y482)</f>
        <v>0</v>
      </c>
      <c r="Z482" s="93">
        <f>SUM('3:4'!Z482)</f>
        <v>0</v>
      </c>
      <c r="AA482" s="93">
        <f>SUM('3:4'!AA482)</f>
        <v>0</v>
      </c>
      <c r="AB482" s="73"/>
      <c r="AC482" s="54"/>
      <c r="AD482" s="370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300">
        <v>30400019</v>
      </c>
      <c r="B483" s="192" t="s">
        <v>439</v>
      </c>
      <c r="C483" s="187" t="s">
        <v>441</v>
      </c>
      <c r="D483" s="17">
        <v>5.04</v>
      </c>
      <c r="E483" s="17"/>
      <c r="F483" s="6"/>
      <c r="G483" s="93">
        <f>SUM('3:4'!G483)</f>
        <v>0</v>
      </c>
      <c r="H483" s="364">
        <f t="shared" si="191"/>
        <v>0</v>
      </c>
      <c r="I483" s="93">
        <f>SUM('3:4'!I483)</f>
        <v>0</v>
      </c>
      <c r="J483" s="31"/>
      <c r="K483" s="35"/>
      <c r="L483" s="87">
        <v>13.5</v>
      </c>
      <c r="M483" s="36"/>
      <c r="N483" s="31"/>
      <c r="O483" s="93"/>
      <c r="P483" s="93"/>
      <c r="Q483" s="93"/>
      <c r="R483" s="93"/>
      <c r="S483" s="93"/>
      <c r="T483" s="93"/>
      <c r="U483" s="93"/>
      <c r="V483" s="206"/>
      <c r="W483" s="33"/>
      <c r="X483" s="93"/>
      <c r="Y483" s="93"/>
      <c r="Z483" s="93"/>
      <c r="AA483" s="93"/>
      <c r="AB483" s="73"/>
      <c r="AC483" s="54"/>
      <c r="AD483" s="370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300">
        <v>30400020</v>
      </c>
      <c r="B484" s="192" t="s">
        <v>439</v>
      </c>
      <c r="C484" s="187" t="s">
        <v>523</v>
      </c>
      <c r="D484" s="17">
        <v>5.04</v>
      </c>
      <c r="E484" s="17"/>
      <c r="F484" s="6"/>
      <c r="G484" s="93"/>
      <c r="H484" s="508">
        <f t="shared" si="191"/>
        <v>0</v>
      </c>
      <c r="I484" s="93"/>
      <c r="J484" s="31"/>
      <c r="K484" s="35"/>
      <c r="L484" s="87">
        <v>13.5</v>
      </c>
      <c r="M484" s="36"/>
      <c r="N484" s="31"/>
      <c r="O484" s="93"/>
      <c r="P484" s="93"/>
      <c r="Q484" s="93"/>
      <c r="R484" s="93"/>
      <c r="S484" s="93"/>
      <c r="T484" s="93"/>
      <c r="U484" s="93"/>
      <c r="V484" s="206"/>
      <c r="W484" s="33"/>
      <c r="X484" s="93"/>
      <c r="Y484" s="93"/>
      <c r="Z484" s="93"/>
      <c r="AA484" s="93"/>
      <c r="AB484" s="73"/>
      <c r="AC484" s="54"/>
      <c r="AD484" s="482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300">
        <v>30400021</v>
      </c>
      <c r="B485" s="192" t="s">
        <v>439</v>
      </c>
      <c r="C485" s="187" t="s">
        <v>525</v>
      </c>
      <c r="D485" s="17">
        <v>5.04</v>
      </c>
      <c r="E485" s="17"/>
      <c r="F485" s="6"/>
      <c r="G485" s="93"/>
      <c r="H485" s="508">
        <f t="shared" si="191"/>
        <v>0</v>
      </c>
      <c r="I485" s="93"/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6"/>
      <c r="W485" s="33"/>
      <c r="X485" s="93"/>
      <c r="Y485" s="93"/>
      <c r="Z485" s="93"/>
      <c r="AA485" s="93"/>
      <c r="AB485" s="73"/>
      <c r="AC485" s="54"/>
      <c r="AD485" s="509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300">
        <v>30400022</v>
      </c>
      <c r="B486" s="192" t="s">
        <v>232</v>
      </c>
      <c r="C486" s="16" t="s">
        <v>55</v>
      </c>
      <c r="D486" s="17">
        <v>5.04</v>
      </c>
      <c r="E486" s="17"/>
      <c r="F486" s="6"/>
      <c r="G486" s="93">
        <f>SUM('3:4'!G486)</f>
        <v>0</v>
      </c>
      <c r="H486" s="364">
        <f t="shared" si="191"/>
        <v>0</v>
      </c>
      <c r="I486" s="93">
        <f>SUM('3:4'!I486)</f>
        <v>0</v>
      </c>
      <c r="J486" s="31" t="str">
        <f t="array" ref="J486">IF(ISERROR(G486/I486),"",G486/I486)</f>
        <v/>
      </c>
      <c r="K486" s="35">
        <f t="array" ref="K486">IF(ISERROR(G486/L486),"",G486/L486)</f>
        <v>0</v>
      </c>
      <c r="L486" s="87">
        <v>22</v>
      </c>
      <c r="M486" s="36">
        <f t="shared" ref="M486" si="195">IF(ISERROR(I486-K486),"",I486-K486)</f>
        <v>0</v>
      </c>
      <c r="N486" s="31">
        <f t="shared" ref="N486" si="196">SUM(O486:U486)</f>
        <v>0</v>
      </c>
      <c r="O486" s="93">
        <f>SUM('3:4'!O486)</f>
        <v>0</v>
      </c>
      <c r="P486" s="93">
        <f>SUM('3:4'!P486)</f>
        <v>0</v>
      </c>
      <c r="Q486" s="93">
        <f>SUM('3:4'!Q486)</f>
        <v>0</v>
      </c>
      <c r="R486" s="93">
        <f>SUM('3:4'!R486)</f>
        <v>0</v>
      </c>
      <c r="S486" s="93">
        <f>SUM('3:4'!S486)</f>
        <v>0</v>
      </c>
      <c r="T486" s="93">
        <f>SUM('3:4'!T486)</f>
        <v>0</v>
      </c>
      <c r="U486" s="93">
        <f>SUM('3:4'!U486)</f>
        <v>0</v>
      </c>
      <c r="V486" s="206">
        <f t="shared" ref="V486" si="197">SUM(X486:AA486)</f>
        <v>0</v>
      </c>
      <c r="W486" s="33" t="str">
        <f t="shared" ref="W486:W491" si="198">IF(ISERROR(V486/G486),"",V486/G486)</f>
        <v/>
      </c>
      <c r="X486" s="93">
        <f>SUM('3:4'!X486)</f>
        <v>0</v>
      </c>
      <c r="Y486" s="93">
        <f>SUM('3:4'!Y486)</f>
        <v>0</v>
      </c>
      <c r="Z486" s="93">
        <f>SUM('3:4'!Z486)</f>
        <v>0</v>
      </c>
      <c r="AA486" s="93">
        <f>SUM('3:4'!AA486)</f>
        <v>0</v>
      </c>
      <c r="AB486" s="73"/>
      <c r="AC486" s="54"/>
      <c r="AD486" s="370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725" t="s">
        <v>102</v>
      </c>
      <c r="B487" s="726"/>
      <c r="C487" s="359" t="s">
        <v>71</v>
      </c>
      <c r="D487" s="20"/>
      <c r="E487" s="20"/>
      <c r="F487" s="32"/>
      <c r="G487" s="99">
        <f>SUM(G478:G486)</f>
        <v>0</v>
      </c>
      <c r="H487" s="30">
        <f>SUM(H478:H486)</f>
        <v>0</v>
      </c>
      <c r="I487" s="30">
        <f>SUM(I478:I486)</f>
        <v>0</v>
      </c>
      <c r="J487" s="31" t="str">
        <f t="array" ref="J487">IF(ISERROR(G487/I487),"",G487/I487)</f>
        <v/>
      </c>
      <c r="K487" s="30">
        <f>SUM(K478:K486)</f>
        <v>0</v>
      </c>
      <c r="L487" s="98"/>
      <c r="M487" s="89">
        <f>SUM(M478:M486)</f>
        <v>0</v>
      </c>
      <c r="N487" s="30">
        <f>SUM(N478:N486)</f>
        <v>0</v>
      </c>
      <c r="O487" s="91">
        <f>SUM(O478:O486)</f>
        <v>0</v>
      </c>
      <c r="P487" s="91">
        <f>SUM(P478:P486)</f>
        <v>0</v>
      </c>
      <c r="Q487" s="91">
        <f>SUM(Q478:Q486)</f>
        <v>0</v>
      </c>
      <c r="R487" s="91"/>
      <c r="S487" s="92">
        <f>SUM(S478:S486)</f>
        <v>0</v>
      </c>
      <c r="T487" s="91">
        <f>SUM(T478:T486)</f>
        <v>0</v>
      </c>
      <c r="U487" s="91">
        <f>SUM(U478:U486)</f>
        <v>0</v>
      </c>
      <c r="V487" s="206">
        <f>SUM(V478:V486)</f>
        <v>0</v>
      </c>
      <c r="W487" s="33" t="str">
        <f t="shared" si="198"/>
        <v/>
      </c>
      <c r="X487" s="92">
        <f>SUM(X478:X486)</f>
        <v>0</v>
      </c>
      <c r="Y487" s="92">
        <f>SUM(Y478:Y486)</f>
        <v>0</v>
      </c>
      <c r="Z487" s="92">
        <f>SUM(Z478:Z486)</f>
        <v>0</v>
      </c>
      <c r="AA487" s="92">
        <f>SUM(AA478:AA486)</f>
        <v>0</v>
      </c>
      <c r="AB487" s="75"/>
      <c r="AC487" s="70"/>
      <c r="AD487" s="370"/>
      <c r="AE487" s="74"/>
      <c r="AF487" s="74"/>
      <c r="AG487" s="74"/>
      <c r="AH487" s="7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299">
        <v>30700013</v>
      </c>
      <c r="B488" s="64" t="s">
        <v>103</v>
      </c>
      <c r="C488" s="358"/>
      <c r="D488" s="17">
        <v>3.65</v>
      </c>
      <c r="E488" s="17"/>
      <c r="F488" s="53"/>
      <c r="G488" s="93">
        <f>SUM('3:4'!G488)</f>
        <v>0</v>
      </c>
      <c r="H488" s="364">
        <f>D488*G488</f>
        <v>0</v>
      </c>
      <c r="I488" s="93">
        <f>SUM('3:4'!I488)</f>
        <v>0</v>
      </c>
      <c r="J488" s="31" t="str">
        <f t="array" ref="J488">IF(ISERROR(G488/I488),"",G488/I488)</f>
        <v/>
      </c>
      <c r="K488" s="364">
        <f t="array" ref="K488">IF(ISERROR(G488/L488),"",G488/L488)</f>
        <v>0</v>
      </c>
      <c r="L488" s="87">
        <v>5</v>
      </c>
      <c r="M488" s="36">
        <f t="shared" ref="M488:M491" si="199">IF(ISERROR(I488-K488),"",I488-K488)</f>
        <v>0</v>
      </c>
      <c r="N488" s="31">
        <f t="shared" ref="N488:N491" si="200">SUM(O488:U488)</f>
        <v>0</v>
      </c>
      <c r="O488" s="93">
        <f>SUM('3:4'!O488)</f>
        <v>0</v>
      </c>
      <c r="P488" s="93">
        <f>SUM('3:4'!P488)</f>
        <v>0</v>
      </c>
      <c r="Q488" s="93">
        <f>SUM('3:4'!Q488)</f>
        <v>0</v>
      </c>
      <c r="R488" s="93">
        <f>SUM('3:4'!R488)</f>
        <v>0</v>
      </c>
      <c r="S488" s="93">
        <f>SUM('3:4'!S488)</f>
        <v>0</v>
      </c>
      <c r="T488" s="93">
        <f>SUM('3:4'!T488)</f>
        <v>0</v>
      </c>
      <c r="U488" s="93">
        <f>SUM('3:4'!U488)</f>
        <v>0</v>
      </c>
      <c r="V488" s="206">
        <f t="shared" ref="V488:V491" si="201">SUM(X488:AA488)</f>
        <v>0</v>
      </c>
      <c r="W488" s="33" t="str">
        <f t="shared" si="198"/>
        <v/>
      </c>
      <c r="X488" s="93">
        <f>SUM('3:4'!X488)</f>
        <v>0</v>
      </c>
      <c r="Y488" s="93">
        <f>SUM('3:4'!Y488)</f>
        <v>0</v>
      </c>
      <c r="Z488" s="93">
        <f>SUM('3:4'!Z488)</f>
        <v>0</v>
      </c>
      <c r="AA488" s="93">
        <f>SUM('3:4'!AA488)</f>
        <v>0</v>
      </c>
      <c r="AB488" s="73"/>
      <c r="AC488" s="54"/>
      <c r="AD488" s="370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299">
        <v>30700014</v>
      </c>
      <c r="B489" s="64" t="s">
        <v>0</v>
      </c>
      <c r="C489" s="358"/>
      <c r="D489" s="17">
        <v>6.58</v>
      </c>
      <c r="E489" s="17"/>
      <c r="F489" s="6"/>
      <c r="G489" s="93">
        <f>SUM('3:4'!G489)</f>
        <v>0</v>
      </c>
      <c r="H489" s="364">
        <f t="shared" ref="H489:H502" si="202">D489*G489</f>
        <v>0</v>
      </c>
      <c r="I489" s="93">
        <f>SUM('3:4'!I489)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5</v>
      </c>
      <c r="M489" s="36">
        <f t="shared" si="199"/>
        <v>0</v>
      </c>
      <c r="N489" s="31">
        <f t="shared" si="200"/>
        <v>0</v>
      </c>
      <c r="O489" s="93">
        <f>SUM('3:4'!O489)</f>
        <v>0</v>
      </c>
      <c r="P489" s="93">
        <f>SUM('3:4'!P489)</f>
        <v>0</v>
      </c>
      <c r="Q489" s="93">
        <f>SUM('3:4'!Q489)</f>
        <v>0</v>
      </c>
      <c r="R489" s="93">
        <f>SUM('3:4'!R489)</f>
        <v>0</v>
      </c>
      <c r="S489" s="93">
        <f>SUM('3:4'!S489)</f>
        <v>0</v>
      </c>
      <c r="T489" s="93">
        <f>SUM('3:4'!T489)</f>
        <v>0</v>
      </c>
      <c r="U489" s="93">
        <f>SUM('3:4'!U489)</f>
        <v>0</v>
      </c>
      <c r="V489" s="206">
        <f t="shared" si="201"/>
        <v>0</v>
      </c>
      <c r="W489" s="33" t="str">
        <f t="shared" si="198"/>
        <v/>
      </c>
      <c r="X489" s="93">
        <f>SUM('3:4'!X489)</f>
        <v>0</v>
      </c>
      <c r="Y489" s="93">
        <f>SUM('3:4'!Y489)</f>
        <v>0</v>
      </c>
      <c r="Z489" s="93">
        <f>SUM('3:4'!Z489)</f>
        <v>0</v>
      </c>
      <c r="AA489" s="93">
        <f>SUM('3:4'!AA489)</f>
        <v>0</v>
      </c>
      <c r="AB489" s="73"/>
      <c r="AC489" s="54"/>
      <c r="AD489" s="370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299">
        <v>30700016</v>
      </c>
      <c r="B490" s="64" t="s">
        <v>1</v>
      </c>
      <c r="C490" s="358"/>
      <c r="D490" s="17">
        <v>7.8</v>
      </c>
      <c r="E490" s="17"/>
      <c r="F490" s="6"/>
      <c r="G490" s="93">
        <f>SUM('3:4'!G490)</f>
        <v>0</v>
      </c>
      <c r="H490" s="364">
        <f t="shared" si="202"/>
        <v>0</v>
      </c>
      <c r="I490" s="93">
        <f>SUM('3:4'!I490)</f>
        <v>0</v>
      </c>
      <c r="J490" s="31" t="str">
        <f t="array" ref="J490">IF(ISERROR(G490/I490),"",G490/I490)</f>
        <v/>
      </c>
      <c r="K490" s="35">
        <f t="array" ref="K490">IF(ISERROR(G490/L490),"",G490/L490)</f>
        <v>0</v>
      </c>
      <c r="L490" s="87">
        <v>4.5999999999999996</v>
      </c>
      <c r="M490" s="36">
        <f t="shared" si="199"/>
        <v>0</v>
      </c>
      <c r="N490" s="31">
        <f t="shared" si="200"/>
        <v>0</v>
      </c>
      <c r="O490" s="93">
        <f>SUM('3:4'!O490)</f>
        <v>0</v>
      </c>
      <c r="P490" s="93">
        <f>SUM('3:4'!P490)</f>
        <v>0</v>
      </c>
      <c r="Q490" s="93">
        <f>SUM('3:4'!Q490)</f>
        <v>0</v>
      </c>
      <c r="R490" s="93">
        <f>SUM('3:4'!R490)</f>
        <v>0</v>
      </c>
      <c r="S490" s="93">
        <f>SUM('3:4'!S490)</f>
        <v>0</v>
      </c>
      <c r="T490" s="93">
        <f>SUM('3:4'!T490)</f>
        <v>0</v>
      </c>
      <c r="U490" s="93">
        <f>SUM('3:4'!U490)</f>
        <v>0</v>
      </c>
      <c r="V490" s="206">
        <f t="shared" si="201"/>
        <v>0</v>
      </c>
      <c r="W490" s="33" t="str">
        <f t="shared" si="198"/>
        <v/>
      </c>
      <c r="X490" s="93">
        <f>SUM('3:4'!X490)</f>
        <v>0</v>
      </c>
      <c r="Y490" s="93">
        <f>SUM('3:4'!Y490)</f>
        <v>0</v>
      </c>
      <c r="Z490" s="93">
        <f>SUM('3:4'!Z490)</f>
        <v>0</v>
      </c>
      <c r="AA490" s="93">
        <f>SUM('3:4'!AA490)</f>
        <v>0</v>
      </c>
      <c r="AB490" s="73"/>
      <c r="AC490" s="54"/>
      <c r="AD490" s="370"/>
      <c r="AE490" s="54"/>
      <c r="AF490" s="54"/>
      <c r="AG490" s="54"/>
      <c r="AH490" s="5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99">
        <v>30700017</v>
      </c>
      <c r="B491" s="64" t="s">
        <v>2</v>
      </c>
      <c r="C491" s="358"/>
      <c r="D491" s="17">
        <v>4.4000000000000004</v>
      </c>
      <c r="E491" s="17"/>
      <c r="F491" s="6"/>
      <c r="G491" s="93">
        <f>SUM('3:4'!G491)</f>
        <v>0</v>
      </c>
      <c r="H491" s="364">
        <f t="shared" si="202"/>
        <v>0</v>
      </c>
      <c r="I491" s="93">
        <f>SUM('3:4'!I491)</f>
        <v>0</v>
      </c>
      <c r="J491" s="31" t="str">
        <f t="array" ref="J491">IF(ISERROR(G491/I491),"",G491/I491)</f>
        <v/>
      </c>
      <c r="K491" s="35">
        <f t="array" ref="K491">IF(ISERROR(G491/L491),"",G491/L491)</f>
        <v>0</v>
      </c>
      <c r="L491" s="87">
        <v>5.8</v>
      </c>
      <c r="M491" s="36">
        <f t="shared" si="199"/>
        <v>0</v>
      </c>
      <c r="N491" s="31">
        <f t="shared" si="200"/>
        <v>0</v>
      </c>
      <c r="O491" s="93">
        <f>SUM('3:4'!O491)</f>
        <v>0</v>
      </c>
      <c r="P491" s="93">
        <f>SUM('3:4'!P491)</f>
        <v>0</v>
      </c>
      <c r="Q491" s="93">
        <f>SUM('3:4'!Q491)</f>
        <v>0</v>
      </c>
      <c r="R491" s="93">
        <f>SUM('3:4'!R491)</f>
        <v>0</v>
      </c>
      <c r="S491" s="93">
        <f>SUM('3:4'!S491)</f>
        <v>0</v>
      </c>
      <c r="T491" s="93">
        <f>SUM('3:4'!T491)</f>
        <v>0</v>
      </c>
      <c r="U491" s="93">
        <f>SUM('3:4'!U491)</f>
        <v>0</v>
      </c>
      <c r="V491" s="206">
        <f t="shared" si="201"/>
        <v>0</v>
      </c>
      <c r="W491" s="33" t="str">
        <f t="shared" si="198"/>
        <v/>
      </c>
      <c r="X491" s="93">
        <f>SUM('3:4'!X491)</f>
        <v>0</v>
      </c>
      <c r="Y491" s="93">
        <f>SUM('3:4'!Y491)</f>
        <v>0</v>
      </c>
      <c r="Z491" s="93">
        <f>SUM('3:4'!Z491)</f>
        <v>0</v>
      </c>
      <c r="AA491" s="93">
        <f>SUM('3:4'!AA491)</f>
        <v>0</v>
      </c>
      <c r="AB491" s="73"/>
      <c r="AC491" s="54"/>
      <c r="AD491" s="370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99"/>
      <c r="B492" s="64" t="s">
        <v>348</v>
      </c>
      <c r="C492" s="188" t="s">
        <v>376</v>
      </c>
      <c r="D492" s="17"/>
      <c r="E492" s="17"/>
      <c r="F492" s="6"/>
      <c r="G492" s="93">
        <f>SUM('3:4'!G492)</f>
        <v>0</v>
      </c>
      <c r="H492" s="364">
        <f t="shared" si="202"/>
        <v>0</v>
      </c>
      <c r="I492" s="93">
        <f>SUM('3:4'!I492)</f>
        <v>0</v>
      </c>
      <c r="J492" s="31"/>
      <c r="K492" s="35"/>
      <c r="L492" s="87"/>
      <c r="M492" s="36"/>
      <c r="N492" s="31"/>
      <c r="O492" s="93">
        <f>SUM('3:4'!O492)</f>
        <v>0</v>
      </c>
      <c r="P492" s="93">
        <f>SUM('3:4'!P492)</f>
        <v>0</v>
      </c>
      <c r="Q492" s="93">
        <f>SUM('3:4'!Q492)</f>
        <v>0</v>
      </c>
      <c r="R492" s="93">
        <f>SUM('3:4'!R492)</f>
        <v>0</v>
      </c>
      <c r="S492" s="93">
        <f>SUM('3:4'!S492)</f>
        <v>0</v>
      </c>
      <c r="T492" s="93">
        <f>SUM('3:4'!T492)</f>
        <v>0</v>
      </c>
      <c r="U492" s="93">
        <f>SUM('3:4'!U492)</f>
        <v>0</v>
      </c>
      <c r="V492" s="206"/>
      <c r="W492" s="33"/>
      <c r="X492" s="93">
        <f>SUM('3:4'!X492)</f>
        <v>0</v>
      </c>
      <c r="Y492" s="93">
        <f>SUM('3:4'!Y492)</f>
        <v>0</v>
      </c>
      <c r="Z492" s="93">
        <f>SUM('3:4'!Z492)</f>
        <v>0</v>
      </c>
      <c r="AA492" s="93">
        <f>SUM('3:4'!AA492)</f>
        <v>0</v>
      </c>
      <c r="AB492" s="73"/>
      <c r="AC492" s="54"/>
      <c r="AD492" s="370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99">
        <v>30700001</v>
      </c>
      <c r="B493" s="191" t="s">
        <v>359</v>
      </c>
      <c r="C493" s="358"/>
      <c r="D493" s="17"/>
      <c r="E493" s="17"/>
      <c r="F493" s="6"/>
      <c r="G493" s="93">
        <f>SUM('3:4'!G493)</f>
        <v>0</v>
      </c>
      <c r="H493" s="364">
        <f t="shared" si="202"/>
        <v>0</v>
      </c>
      <c r="I493" s="93">
        <f>SUM('3:4'!I493)</f>
        <v>0</v>
      </c>
      <c r="J493" s="31"/>
      <c r="K493" s="35"/>
      <c r="L493" s="87">
        <v>6</v>
      </c>
      <c r="M493" s="36"/>
      <c r="N493" s="31"/>
      <c r="O493" s="93">
        <f>SUM('3:4'!O493)</f>
        <v>0</v>
      </c>
      <c r="P493" s="93">
        <f>SUM('3:4'!P493)</f>
        <v>0</v>
      </c>
      <c r="Q493" s="93">
        <f>SUM('3:4'!Q493)</f>
        <v>0</v>
      </c>
      <c r="R493" s="93">
        <f>SUM('3:4'!R493)</f>
        <v>0</v>
      </c>
      <c r="S493" s="93">
        <f>SUM('3:4'!S493)</f>
        <v>0</v>
      </c>
      <c r="T493" s="93">
        <f>SUM('3:4'!T493)</f>
        <v>0</v>
      </c>
      <c r="U493" s="93">
        <f>SUM('3:4'!U493)</f>
        <v>0</v>
      </c>
      <c r="V493" s="206"/>
      <c r="W493" s="33"/>
      <c r="X493" s="93">
        <f>SUM('3:4'!X493)</f>
        <v>0</v>
      </c>
      <c r="Y493" s="93">
        <f>SUM('3:4'!Y493)</f>
        <v>0</v>
      </c>
      <c r="Z493" s="93">
        <f>SUM('3:4'!Z493)</f>
        <v>0</v>
      </c>
      <c r="AA493" s="93">
        <f>SUM('3:4'!AA493)</f>
        <v>0</v>
      </c>
      <c r="AB493" s="73"/>
      <c r="AC493" s="54"/>
      <c r="AD493" s="370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305"/>
      <c r="B494" s="66" t="s">
        <v>104</v>
      </c>
      <c r="C494" s="358" t="s">
        <v>53</v>
      </c>
      <c r="D494" s="17">
        <v>6.04</v>
      </c>
      <c r="E494" s="17"/>
      <c r="F494" s="6"/>
      <c r="G494" s="93">
        <f>SUM('3:4'!G494)</f>
        <v>0</v>
      </c>
      <c r="H494" s="364">
        <f t="shared" si="202"/>
        <v>0</v>
      </c>
      <c r="I494" s="93">
        <f>SUM('3:4'!I494)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6</v>
      </c>
      <c r="M494" s="36">
        <f t="shared" ref="M494:M495" si="203">IF(ISERROR(I494-K494),"",I494-K494)</f>
        <v>0</v>
      </c>
      <c r="N494" s="31">
        <f t="shared" ref="N494:N495" si="204">SUM(O494:U494)</f>
        <v>0</v>
      </c>
      <c r="O494" s="93">
        <f>SUM('3:4'!O494)</f>
        <v>0</v>
      </c>
      <c r="P494" s="93">
        <f>SUM('3:4'!P494)</f>
        <v>0</v>
      </c>
      <c r="Q494" s="93">
        <f>SUM('3:4'!Q494)</f>
        <v>0</v>
      </c>
      <c r="R494" s="93">
        <f>SUM('3:4'!R494)</f>
        <v>0</v>
      </c>
      <c r="S494" s="93">
        <f>SUM('3:4'!S494)</f>
        <v>0</v>
      </c>
      <c r="T494" s="93">
        <f>SUM('3:4'!T494)</f>
        <v>0</v>
      </c>
      <c r="U494" s="93">
        <f>SUM('3:4'!U494)</f>
        <v>0</v>
      </c>
      <c r="V494" s="206">
        <f t="shared" ref="V494:V495" si="205">SUM(X494:AA494)</f>
        <v>0</v>
      </c>
      <c r="W494" s="33" t="str">
        <f t="shared" ref="W494:W495" si="206">IF(ISERROR(V494/G494),"",V494/G494)</f>
        <v/>
      </c>
      <c r="X494" s="93">
        <f>SUM('3:4'!X494)</f>
        <v>0</v>
      </c>
      <c r="Y494" s="93">
        <f>SUM('3:4'!Y494)</f>
        <v>0</v>
      </c>
      <c r="Z494" s="93">
        <f>SUM('3:4'!Z494)</f>
        <v>0</v>
      </c>
      <c r="AA494" s="93">
        <f>SUM('3:4'!AA494)</f>
        <v>0</v>
      </c>
      <c r="AB494" s="73"/>
      <c r="AC494" s="54"/>
      <c r="AD494" s="370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305">
        <v>30700019</v>
      </c>
      <c r="B495" s="66" t="s">
        <v>104</v>
      </c>
      <c r="C495" s="358" t="s">
        <v>60</v>
      </c>
      <c r="D495" s="17">
        <v>6.04</v>
      </c>
      <c r="E495" s="17"/>
      <c r="F495" s="6"/>
      <c r="G495" s="93">
        <f>SUM('3:4'!G495)</f>
        <v>0</v>
      </c>
      <c r="H495" s="364">
        <f t="shared" si="202"/>
        <v>0</v>
      </c>
      <c r="I495" s="93">
        <f>SUM('3:4'!I495)</f>
        <v>0</v>
      </c>
      <c r="J495" s="31" t="str">
        <f t="array" ref="J495">IF(ISERROR(G495/I495),"",G495/I495)</f>
        <v/>
      </c>
      <c r="K495" s="35">
        <f t="array" ref="K495">IF(ISERROR(G495/L495),"",G495/L495)</f>
        <v>0</v>
      </c>
      <c r="L495" s="87">
        <v>6</v>
      </c>
      <c r="M495" s="36">
        <f t="shared" si="203"/>
        <v>0</v>
      </c>
      <c r="N495" s="31">
        <f t="shared" si="204"/>
        <v>0</v>
      </c>
      <c r="O495" s="93">
        <f>SUM('3:4'!O495)</f>
        <v>0</v>
      </c>
      <c r="P495" s="93">
        <f>SUM('3:4'!P495)</f>
        <v>0</v>
      </c>
      <c r="Q495" s="93">
        <f>SUM('3:4'!Q495)</f>
        <v>0</v>
      </c>
      <c r="R495" s="93">
        <f>SUM('3:4'!R495)</f>
        <v>0</v>
      </c>
      <c r="S495" s="93">
        <f>SUM('3:4'!S495)</f>
        <v>0</v>
      </c>
      <c r="T495" s="93">
        <f>SUM('3:4'!T495)</f>
        <v>0</v>
      </c>
      <c r="U495" s="93">
        <f>SUM('3:4'!U495)</f>
        <v>0</v>
      </c>
      <c r="V495" s="206">
        <f t="shared" si="205"/>
        <v>0</v>
      </c>
      <c r="W495" s="33" t="str">
        <f t="shared" si="206"/>
        <v/>
      </c>
      <c r="X495" s="93">
        <f>SUM('3:4'!X495)</f>
        <v>0</v>
      </c>
      <c r="Y495" s="93">
        <f>SUM('3:4'!Y495)</f>
        <v>0</v>
      </c>
      <c r="Z495" s="93">
        <f>SUM('3:4'!Z495)</f>
        <v>0</v>
      </c>
      <c r="AA495" s="93">
        <f>SUM('3:4'!AA495)</f>
        <v>0</v>
      </c>
      <c r="AB495" s="73"/>
      <c r="AC495" s="54"/>
      <c r="AD495" s="370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305">
        <v>30601015</v>
      </c>
      <c r="B496" s="281" t="s">
        <v>443</v>
      </c>
      <c r="C496" s="358" t="s">
        <v>53</v>
      </c>
      <c r="D496" s="17"/>
      <c r="E496" s="17"/>
      <c r="F496" s="6"/>
      <c r="G496" s="93">
        <f>SUM('3:4'!G496)</f>
        <v>0</v>
      </c>
      <c r="H496" s="364">
        <f t="shared" si="202"/>
        <v>0</v>
      </c>
      <c r="I496" s="93"/>
      <c r="J496" s="31"/>
      <c r="K496" s="35"/>
      <c r="L496" s="87"/>
      <c r="M496" s="36"/>
      <c r="N496" s="31"/>
      <c r="O496" s="93"/>
      <c r="P496" s="93"/>
      <c r="Q496" s="93"/>
      <c r="R496" s="93"/>
      <c r="S496" s="93"/>
      <c r="T496" s="93"/>
      <c r="U496" s="93"/>
      <c r="V496" s="206"/>
      <c r="W496" s="33"/>
      <c r="X496" s="93"/>
      <c r="Y496" s="93"/>
      <c r="Z496" s="93"/>
      <c r="AA496" s="93"/>
      <c r="AB496" s="73"/>
      <c r="AC496" s="54"/>
      <c r="AD496" s="370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305">
        <v>30101016</v>
      </c>
      <c r="B497" s="281" t="s">
        <v>443</v>
      </c>
      <c r="C497" s="358" t="s">
        <v>60</v>
      </c>
      <c r="D497" s="17"/>
      <c r="E497" s="17"/>
      <c r="F497" s="6"/>
      <c r="G497" s="93">
        <f>SUM('3:4'!G497)</f>
        <v>0</v>
      </c>
      <c r="H497" s="364">
        <f t="shared" si="202"/>
        <v>0</v>
      </c>
      <c r="I497" s="93"/>
      <c r="J497" s="31"/>
      <c r="K497" s="35"/>
      <c r="L497" s="87"/>
      <c r="M497" s="36"/>
      <c r="N497" s="31"/>
      <c r="O497" s="93"/>
      <c r="P497" s="93"/>
      <c r="Q497" s="93"/>
      <c r="R497" s="93"/>
      <c r="S497" s="93"/>
      <c r="T497" s="93"/>
      <c r="U497" s="93"/>
      <c r="V497" s="206"/>
      <c r="W497" s="33"/>
      <c r="X497" s="93"/>
      <c r="Y497" s="93"/>
      <c r="Z497" s="93"/>
      <c r="AA497" s="93"/>
      <c r="AB497" s="73"/>
      <c r="AC497" s="54"/>
      <c r="AD497" s="370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299">
        <v>30700018</v>
      </c>
      <c r="B498" s="61" t="s">
        <v>159</v>
      </c>
      <c r="C498" s="16"/>
      <c r="D498" s="17">
        <v>7.3</v>
      </c>
      <c r="E498" s="17"/>
      <c r="F498" s="6"/>
      <c r="G498" s="93">
        <f>SUM('3:4'!G498)</f>
        <v>0</v>
      </c>
      <c r="H498" s="364">
        <f t="shared" si="202"/>
        <v>0</v>
      </c>
      <c r="I498" s="93">
        <f>SUM('3:4'!I498)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7.5</v>
      </c>
      <c r="M498" s="36">
        <f t="shared" ref="M498" si="207">IF(ISERROR(I498-K498),"",I498-K498)</f>
        <v>0</v>
      </c>
      <c r="N498" s="31">
        <f t="shared" ref="N498" si="208">SUM(O498:U498)</f>
        <v>0</v>
      </c>
      <c r="O498" s="93">
        <f>SUM('3:4'!O498)</f>
        <v>0</v>
      </c>
      <c r="P498" s="93">
        <f>SUM('3:4'!P498)</f>
        <v>0</v>
      </c>
      <c r="Q498" s="93">
        <f>SUM('3:4'!Q498)</f>
        <v>0</v>
      </c>
      <c r="R498" s="93">
        <f>SUM('3:4'!R498)</f>
        <v>0</v>
      </c>
      <c r="S498" s="93">
        <f>SUM('3:4'!S498)</f>
        <v>0</v>
      </c>
      <c r="T498" s="93">
        <f>SUM('3:4'!T498)</f>
        <v>0</v>
      </c>
      <c r="U498" s="93">
        <f>SUM('3:4'!U498)</f>
        <v>0</v>
      </c>
      <c r="V498" s="206">
        <f t="shared" ref="V498" si="209">SUM(X498:AA498)</f>
        <v>0</v>
      </c>
      <c r="W498" s="33" t="str">
        <f t="shared" ref="W498" si="210">IF(ISERROR(V498/G498),"",V498/G498)</f>
        <v/>
      </c>
      <c r="X498" s="93">
        <f>SUM('3:4'!X498)</f>
        <v>0</v>
      </c>
      <c r="Y498" s="93">
        <f>SUM('3:4'!Y498)</f>
        <v>0</v>
      </c>
      <c r="Z498" s="93">
        <f>SUM('3:4'!Z498)</f>
        <v>0</v>
      </c>
      <c r="AA498" s="93">
        <f>SUM('3:4'!AA498)</f>
        <v>0</v>
      </c>
      <c r="AB498" s="73"/>
      <c r="AC498" s="54"/>
      <c r="AD498" s="370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299">
        <v>30700010</v>
      </c>
      <c r="B499" s="61" t="s">
        <v>105</v>
      </c>
      <c r="C499" s="16"/>
      <c r="D499" s="17">
        <f>78*120/1000</f>
        <v>9.36</v>
      </c>
      <c r="E499" s="17"/>
      <c r="F499" s="6"/>
      <c r="G499" s="93">
        <f>SUM('3:4'!G499)</f>
        <v>0</v>
      </c>
      <c r="H499" s="364">
        <f t="shared" si="202"/>
        <v>0</v>
      </c>
      <c r="I499" s="93">
        <f>SUM('3:4'!I499)</f>
        <v>0</v>
      </c>
      <c r="J499" s="31"/>
      <c r="K499" s="35"/>
      <c r="L499" s="87"/>
      <c r="M499" s="36"/>
      <c r="N499" s="31"/>
      <c r="O499" s="93">
        <f>SUM('3:4'!O499)</f>
        <v>0</v>
      </c>
      <c r="P499" s="93">
        <f>SUM('3:4'!P499)</f>
        <v>0</v>
      </c>
      <c r="Q499" s="93">
        <f>SUM('3:4'!Q499)</f>
        <v>0</v>
      </c>
      <c r="R499" s="93">
        <f>SUM('3:4'!R499)</f>
        <v>0</v>
      </c>
      <c r="S499" s="93">
        <f>SUM('3:4'!S499)</f>
        <v>0</v>
      </c>
      <c r="T499" s="93">
        <f>SUM('3:4'!T499)</f>
        <v>0</v>
      </c>
      <c r="U499" s="93">
        <f>SUM('3:4'!U499)</f>
        <v>0</v>
      </c>
      <c r="V499" s="206"/>
      <c r="W499" s="33"/>
      <c r="X499" s="93">
        <f>SUM('3:4'!X499)</f>
        <v>0</v>
      </c>
      <c r="Y499" s="93">
        <f>SUM('3:4'!Y499)</f>
        <v>0</v>
      </c>
      <c r="Z499" s="93">
        <f>SUM('3:4'!Z499)</f>
        <v>0</v>
      </c>
      <c r="AA499" s="93">
        <f>SUM('3:4'!AA499)</f>
        <v>0</v>
      </c>
      <c r="AB499" s="73"/>
      <c r="AC499" s="54"/>
      <c r="AD499" s="370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299">
        <v>30700015</v>
      </c>
      <c r="B500" s="360" t="s">
        <v>159</v>
      </c>
      <c r="C500" s="16"/>
      <c r="D500" s="17">
        <v>4.5</v>
      </c>
      <c r="E500" s="17"/>
      <c r="F500" s="6"/>
      <c r="G500" s="93">
        <f>SUM('3:4'!G500)</f>
        <v>0</v>
      </c>
      <c r="H500" s="364">
        <f t="shared" si="202"/>
        <v>0</v>
      </c>
      <c r="I500" s="93">
        <f>SUM('3:4'!I500)</f>
        <v>0</v>
      </c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6"/>
      <c r="W500" s="33"/>
      <c r="X500" s="93"/>
      <c r="Y500" s="93"/>
      <c r="Z500" s="93"/>
      <c r="AA500" s="93"/>
      <c r="AB500" s="73"/>
      <c r="AC500" s="54"/>
      <c r="AD500" s="370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99">
        <v>30700012</v>
      </c>
      <c r="B501" s="360" t="s">
        <v>160</v>
      </c>
      <c r="C501" s="16"/>
      <c r="D501" s="17">
        <v>4.5</v>
      </c>
      <c r="E501" s="17"/>
      <c r="F501" s="6"/>
      <c r="G501" s="93">
        <f>SUM('3:4'!G501)</f>
        <v>0</v>
      </c>
      <c r="H501" s="364">
        <f t="shared" si="202"/>
        <v>0</v>
      </c>
      <c r="I501" s="93">
        <f>SUM('3:4'!I501)</f>
        <v>0</v>
      </c>
      <c r="J501" s="31"/>
      <c r="K501" s="35"/>
      <c r="L501" s="87"/>
      <c r="M501" s="36"/>
      <c r="N501" s="31"/>
      <c r="O501" s="93">
        <f>SUM('3:4'!O501)</f>
        <v>0</v>
      </c>
      <c r="P501" s="93">
        <f>SUM('3:4'!P501)</f>
        <v>0</v>
      </c>
      <c r="Q501" s="93">
        <f>SUM('3:4'!Q501)</f>
        <v>0</v>
      </c>
      <c r="R501" s="93">
        <f>SUM('3:4'!R501)</f>
        <v>0</v>
      </c>
      <c r="S501" s="93">
        <f>SUM('3:4'!S501)</f>
        <v>0</v>
      </c>
      <c r="T501" s="93">
        <f>SUM('3:4'!T501)</f>
        <v>0</v>
      </c>
      <c r="U501" s="93">
        <f>SUM('3:4'!U501)</f>
        <v>0</v>
      </c>
      <c r="V501" s="206"/>
      <c r="W501" s="33"/>
      <c r="X501" s="93">
        <f>SUM('3:4'!X501)</f>
        <v>0</v>
      </c>
      <c r="Y501" s="93">
        <f>SUM('3:4'!Y501)</f>
        <v>0</v>
      </c>
      <c r="Z501" s="93">
        <f>SUM('3:4'!Z501)</f>
        <v>0</v>
      </c>
      <c r="AA501" s="93">
        <f>SUM('3:4'!AA501)</f>
        <v>0</v>
      </c>
      <c r="AB501" s="73"/>
      <c r="AC501" s="54"/>
      <c r="AD501" s="370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99"/>
      <c r="B502" s="360"/>
      <c r="C502" s="16"/>
      <c r="D502" s="17"/>
      <c r="E502" s="17"/>
      <c r="F502" s="6"/>
      <c r="G502" s="93">
        <f>SUM('3:4'!G502)</f>
        <v>0</v>
      </c>
      <c r="H502" s="364">
        <f t="shared" si="202"/>
        <v>0</v>
      </c>
      <c r="I502" s="93">
        <f>SUM('3:4'!I502)</f>
        <v>0</v>
      </c>
      <c r="J502" s="31"/>
      <c r="K502" s="35"/>
      <c r="L502" s="87"/>
      <c r="M502" s="36"/>
      <c r="N502" s="31"/>
      <c r="O502" s="93">
        <f>SUM('3:4'!O502)</f>
        <v>0</v>
      </c>
      <c r="P502" s="93">
        <f>SUM('3:4'!P502)</f>
        <v>0</v>
      </c>
      <c r="Q502" s="93">
        <f>SUM('3:4'!Q502)</f>
        <v>0</v>
      </c>
      <c r="R502" s="93">
        <f>SUM('3:4'!R502)</f>
        <v>0</v>
      </c>
      <c r="S502" s="93">
        <f>SUM('3:4'!S502)</f>
        <v>0</v>
      </c>
      <c r="T502" s="93">
        <f>SUM('3:4'!T502)</f>
        <v>0</v>
      </c>
      <c r="U502" s="93">
        <f>SUM('3:4'!U502)</f>
        <v>0</v>
      </c>
      <c r="V502" s="206"/>
      <c r="W502" s="33"/>
      <c r="X502" s="93">
        <f>SUM('3:4'!X502)</f>
        <v>0</v>
      </c>
      <c r="Y502" s="93">
        <f>SUM('3:4'!Y502)</f>
        <v>0</v>
      </c>
      <c r="Z502" s="93">
        <f>SUM('3:4'!Z502)</f>
        <v>0</v>
      </c>
      <c r="AA502" s="93">
        <f>SUM('3:4'!AA502)</f>
        <v>0</v>
      </c>
      <c r="AB502" s="73"/>
      <c r="AC502" s="54"/>
      <c r="AD502" s="370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725" t="s">
        <v>106</v>
      </c>
      <c r="B503" s="726"/>
      <c r="C503" s="359" t="s">
        <v>71</v>
      </c>
      <c r="D503" s="20"/>
      <c r="E503" s="20"/>
      <c r="F503" s="32"/>
      <c r="G503" s="94">
        <f>SUM(G488:G502)</f>
        <v>0</v>
      </c>
      <c r="H503" s="30">
        <f>SUM(H488:H502)</f>
        <v>0</v>
      </c>
      <c r="I503" s="30">
        <f>SUM(I488:I502)</f>
        <v>0</v>
      </c>
      <c r="J503" s="31" t="str">
        <f t="array" ref="J503">IF(ISERROR(G503/I503),"",G503/I503)</f>
        <v/>
      </c>
      <c r="K503" s="30">
        <f>SUM(K488:K498)</f>
        <v>0</v>
      </c>
      <c r="L503" s="98"/>
      <c r="M503" s="89">
        <f t="shared" ref="M503:V503" si="211">SUM(M488:M498)</f>
        <v>0</v>
      </c>
      <c r="N503" s="20">
        <f t="shared" si="211"/>
        <v>0</v>
      </c>
      <c r="O503" s="91">
        <f t="shared" si="211"/>
        <v>0</v>
      </c>
      <c r="P503" s="91">
        <f t="shared" si="211"/>
        <v>0</v>
      </c>
      <c r="Q503" s="91">
        <f t="shared" si="211"/>
        <v>0</v>
      </c>
      <c r="R503" s="91">
        <f t="shared" si="211"/>
        <v>0</v>
      </c>
      <c r="S503" s="92">
        <f t="shared" si="211"/>
        <v>0</v>
      </c>
      <c r="T503" s="91">
        <f t="shared" si="211"/>
        <v>0</v>
      </c>
      <c r="U503" s="91">
        <f t="shared" si="211"/>
        <v>0</v>
      </c>
      <c r="V503" s="206">
        <f t="shared" si="211"/>
        <v>0</v>
      </c>
      <c r="W503" s="33" t="str">
        <f t="shared" ref="W503:W504" si="212">IF(ISERROR(V503/G503),"",V503/G503)</f>
        <v/>
      </c>
      <c r="X503" s="92">
        <f>SUM(X488:X498)</f>
        <v>0</v>
      </c>
      <c r="Y503" s="92">
        <f>SUM(Y488:Y498)</f>
        <v>0</v>
      </c>
      <c r="Z503" s="92">
        <f>SUM(Z488:Z498)</f>
        <v>0</v>
      </c>
      <c r="AA503" s="92">
        <f>SUM(AA488:AA498)</f>
        <v>0</v>
      </c>
      <c r="AB503" s="70"/>
      <c r="AC503" s="70"/>
      <c r="AD503" s="58"/>
      <c r="AE503" s="70"/>
      <c r="AF503" s="70"/>
      <c r="AG503" s="70"/>
      <c r="AH503" s="70"/>
      <c r="AI503" s="58"/>
      <c r="AJ503" s="58"/>
      <c r="AK503" s="58"/>
      <c r="AL503" s="58"/>
      <c r="AM503" s="58"/>
      <c r="AN503" s="58"/>
      <c r="AO503" s="58"/>
      <c r="AP503" s="58"/>
      <c r="AQ503" s="58"/>
      <c r="AR503" s="58"/>
      <c r="AS503" s="58"/>
      <c r="AT503" s="58"/>
      <c r="AU503" s="58"/>
      <c r="AV503" s="58"/>
      <c r="AW503" s="58"/>
      <c r="AX503" s="58"/>
      <c r="AY503" s="58"/>
      <c r="AZ503" s="58"/>
      <c r="BA503" s="58"/>
    </row>
    <row r="504" spans="1:53">
      <c r="A504" s="736" t="s">
        <v>108</v>
      </c>
      <c r="B504" s="737"/>
      <c r="C504" s="737"/>
      <c r="D504" s="737"/>
      <c r="E504" s="737"/>
      <c r="F504" s="738"/>
      <c r="G504" s="193">
        <f>SUM(G368,G426,G461,G477,G487,G503)</f>
        <v>0</v>
      </c>
      <c r="H504" s="193">
        <f>SUM(H368,H426,H461,H477,H487,H503)</f>
        <v>0</v>
      </c>
      <c r="I504" s="193">
        <f>SUM(I368,I426,I461,I477,I487,I503)</f>
        <v>0</v>
      </c>
      <c r="J504" s="52" t="str">
        <f t="array" ref="J504">IF(ISERROR(G504/I504),"",G504/I504)</f>
        <v/>
      </c>
      <c r="K504" s="193">
        <f>SUM(K368,K426,K461,K477,K487,K503)</f>
        <v>0</v>
      </c>
      <c r="L504" s="52" t="str">
        <f>IF(ISERROR(G504/K504),"",G504/K504)</f>
        <v/>
      </c>
      <c r="M504" s="193">
        <f t="shared" ref="M504:V504" si="213">SUM(M368,M426,M461,M477,M487,M503)</f>
        <v>0</v>
      </c>
      <c r="N504" s="193">
        <f t="shared" si="213"/>
        <v>0</v>
      </c>
      <c r="O504" s="193">
        <f t="shared" si="213"/>
        <v>0</v>
      </c>
      <c r="P504" s="193">
        <f t="shared" si="213"/>
        <v>0</v>
      </c>
      <c r="Q504" s="193">
        <f t="shared" si="213"/>
        <v>0</v>
      </c>
      <c r="R504" s="193">
        <f t="shared" si="213"/>
        <v>0</v>
      </c>
      <c r="S504" s="193">
        <f t="shared" si="213"/>
        <v>0</v>
      </c>
      <c r="T504" s="193">
        <f t="shared" si="213"/>
        <v>0</v>
      </c>
      <c r="U504" s="193">
        <f t="shared" si="213"/>
        <v>0</v>
      </c>
      <c r="V504" s="193">
        <f t="shared" si="213"/>
        <v>0</v>
      </c>
      <c r="W504" s="78" t="str">
        <f t="shared" si="212"/>
        <v/>
      </c>
      <c r="X504" s="193">
        <f>SUM(X368,X426,X461,X477,X487,X503)</f>
        <v>0</v>
      </c>
      <c r="Y504" s="193">
        <f>SUM(Y368,Y426,Y461,Y477,Y487,Y503)</f>
        <v>0</v>
      </c>
      <c r="Z504" s="193">
        <f>SUM(Z368,Z426,Z461,Z477,Z487,Z503)</f>
        <v>0</v>
      </c>
      <c r="AA504" s="193">
        <f>SUM(AA368,AA426,AA461,AA477,AA487,AA503)</f>
        <v>0</v>
      </c>
      <c r="AB504" s="76"/>
      <c r="AC504" s="71"/>
      <c r="AD504" s="370"/>
      <c r="AE504" s="77"/>
      <c r="AF504" s="77"/>
      <c r="AG504" s="77"/>
      <c r="AH504" s="77"/>
      <c r="AI504" s="57"/>
      <c r="AJ504" s="57"/>
      <c r="AK504" s="57"/>
      <c r="AL504" s="753"/>
      <c r="AM504" s="753"/>
      <c r="AN504" s="753"/>
      <c r="AO504" s="753"/>
      <c r="AP504" s="753"/>
      <c r="AQ504" s="753"/>
      <c r="AR504" s="753"/>
      <c r="AS504" s="753"/>
      <c r="AT504" s="753"/>
      <c r="AU504" s="753"/>
      <c r="AV504" s="753"/>
      <c r="AW504" s="753"/>
      <c r="AX504" s="753"/>
      <c r="AY504" s="753"/>
      <c r="AZ504" s="753"/>
      <c r="BA504" s="753"/>
    </row>
    <row r="505" spans="1:53" ht="15.75" customHeight="1">
      <c r="A505" s="635" t="s">
        <v>503</v>
      </c>
      <c r="B505" s="362" t="s">
        <v>110</v>
      </c>
      <c r="C505" s="739" t="s">
        <v>111</v>
      </c>
      <c r="D505" s="739"/>
      <c r="E505" s="718" t="s">
        <v>112</v>
      </c>
      <c r="F505" s="718"/>
      <c r="G505" s="729" t="s">
        <v>113</v>
      </c>
      <c r="H505" s="729"/>
      <c r="I505" s="718" t="s">
        <v>114</v>
      </c>
      <c r="J505" s="718"/>
      <c r="K505" s="718" t="s">
        <v>36</v>
      </c>
      <c r="L505" s="718"/>
      <c r="M505" s="718" t="s">
        <v>115</v>
      </c>
      <c r="N505" s="718"/>
      <c r="O505" s="718" t="s">
        <v>116</v>
      </c>
      <c r="P505" s="729" t="s">
        <v>117</v>
      </c>
      <c r="Q505" s="729"/>
      <c r="R505" s="729" t="s">
        <v>36</v>
      </c>
      <c r="S505" s="729"/>
      <c r="T505" s="729" t="s">
        <v>118</v>
      </c>
      <c r="U505" s="729"/>
      <c r="V505" s="729" t="s">
        <v>119</v>
      </c>
      <c r="W505" s="729"/>
      <c r="X505" s="729" t="s">
        <v>36</v>
      </c>
      <c r="Y505" s="729"/>
      <c r="Z505" s="729" t="s">
        <v>118</v>
      </c>
      <c r="AA505" s="729"/>
      <c r="AB505" s="12"/>
      <c r="AC505" s="12"/>
      <c r="AD505" s="12"/>
      <c r="AE505" s="3"/>
      <c r="AF505" s="3"/>
      <c r="AG505" s="3"/>
      <c r="AH505" s="368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21"/>
      <c r="AV505" s="21"/>
      <c r="AW505" s="21"/>
      <c r="AX505" s="21"/>
      <c r="AY505" s="21"/>
      <c r="AZ505" s="21"/>
      <c r="BA505" s="21"/>
    </row>
    <row r="506" spans="1:53">
      <c r="A506" s="636"/>
      <c r="B506" s="362" t="s">
        <v>120</v>
      </c>
      <c r="C506" s="740">
        <f>SUM('3:4'!C506)</f>
        <v>0</v>
      </c>
      <c r="D506" s="741"/>
      <c r="E506" s="742">
        <f>D506*11</f>
        <v>0</v>
      </c>
      <c r="F506" s="742"/>
      <c r="G506" s="653">
        <v>0</v>
      </c>
      <c r="H506" s="654"/>
      <c r="I506" s="718">
        <f>G506*11</f>
        <v>0</v>
      </c>
      <c r="J506" s="718"/>
      <c r="K506" s="718">
        <f>E506-I506</f>
        <v>0</v>
      </c>
      <c r="L506" s="718"/>
      <c r="M506" s="743" t="str">
        <f>IF(ISERROR(K506/E506),"",K506/E506)</f>
        <v/>
      </c>
      <c r="N506" s="743"/>
      <c r="O506" s="718"/>
      <c r="P506" s="729" t="s">
        <v>70</v>
      </c>
      <c r="Q506" s="729"/>
      <c r="R506" s="744">
        <f>SUM(O368:U368)</f>
        <v>0</v>
      </c>
      <c r="S506" s="744"/>
      <c r="T506" s="745" t="str">
        <f t="array" ref="T506">IF(ISERROR(R506/R513),"",R506/R513)</f>
        <v/>
      </c>
      <c r="U506" s="745"/>
      <c r="V506" s="729" t="s">
        <v>41</v>
      </c>
      <c r="W506" s="729"/>
      <c r="X506" s="744">
        <f>SUM(O368,O426,O461,O477,O487,O503)</f>
        <v>0</v>
      </c>
      <c r="Y506" s="744"/>
      <c r="Z506" s="745" t="str">
        <f t="array" ref="Z506">IF(ISERROR(X506/X513),"",X506/X513)</f>
        <v/>
      </c>
      <c r="AA506" s="745"/>
      <c r="AB506" s="12"/>
      <c r="AC506" s="22"/>
      <c r="AD506" s="22"/>
      <c r="AE506" s="3"/>
      <c r="AF506" s="3"/>
      <c r="AG506" s="3"/>
      <c r="AH506" s="370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21"/>
      <c r="AV506" s="21"/>
      <c r="AW506" s="21"/>
      <c r="AX506" s="21"/>
      <c r="AY506" s="21"/>
      <c r="AZ506" s="21"/>
      <c r="BA506" s="21"/>
    </row>
    <row r="507" spans="1:53" ht="15.75" customHeight="1">
      <c r="A507" s="636"/>
      <c r="B507" s="362" t="s">
        <v>121</v>
      </c>
      <c r="C507" s="740">
        <f>SUM('3:4'!C507)</f>
        <v>0</v>
      </c>
      <c r="D507" s="741"/>
      <c r="E507" s="742">
        <f>D507*11</f>
        <v>0</v>
      </c>
      <c r="F507" s="742"/>
      <c r="G507" s="653">
        <v>0</v>
      </c>
      <c r="H507" s="654"/>
      <c r="I507" s="718">
        <f>G507*11</f>
        <v>0</v>
      </c>
      <c r="J507" s="718"/>
      <c r="K507" s="718">
        <f>E507-I507</f>
        <v>0</v>
      </c>
      <c r="L507" s="718"/>
      <c r="M507" s="743" t="str">
        <f>IF(ISERROR(K507/E507),"",K507/E507)</f>
        <v/>
      </c>
      <c r="N507" s="743"/>
      <c r="O507" s="718"/>
      <c r="P507" s="729" t="s">
        <v>86</v>
      </c>
      <c r="Q507" s="729"/>
      <c r="R507" s="744">
        <f>SUM(O426:U426)</f>
        <v>0</v>
      </c>
      <c r="S507" s="744"/>
      <c r="T507" s="745" t="str">
        <f>IF(ISERROR(R507/R513),"",R507/R513)</f>
        <v/>
      </c>
      <c r="U507" s="745"/>
      <c r="V507" s="729" t="s">
        <v>42</v>
      </c>
      <c r="W507" s="729"/>
      <c r="X507" s="744">
        <f>SUM(O369,O427,O462,O478,O488,O504)</f>
        <v>0</v>
      </c>
      <c r="Y507" s="744"/>
      <c r="Z507" s="745" t="str">
        <f>IF(ISERROR(X507/X513),"",X507/X513)</f>
        <v/>
      </c>
      <c r="AA507" s="745"/>
      <c r="AB507" s="12"/>
      <c r="AC507" s="22"/>
      <c r="AD507" s="22"/>
      <c r="AE507" s="3"/>
      <c r="AF507" s="3"/>
      <c r="AG507" s="3"/>
      <c r="AH507" s="370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21"/>
      <c r="AV507" s="21"/>
      <c r="AW507" s="21"/>
      <c r="AX507" s="21"/>
      <c r="AY507" s="21"/>
      <c r="AZ507" s="21"/>
      <c r="BA507" s="21"/>
    </row>
    <row r="508" spans="1:53">
      <c r="A508" s="636"/>
      <c r="B508" s="362" t="s">
        <v>122</v>
      </c>
      <c r="C508" s="740">
        <f>SUM('3:4'!C508)</f>
        <v>0</v>
      </c>
      <c r="D508" s="741"/>
      <c r="E508" s="742">
        <f>D508*11</f>
        <v>0</v>
      </c>
      <c r="F508" s="742"/>
      <c r="G508" s="653">
        <v>0</v>
      </c>
      <c r="H508" s="654"/>
      <c r="I508" s="718">
        <f>G508*11</f>
        <v>0</v>
      </c>
      <c r="J508" s="718"/>
      <c r="K508" s="718">
        <f>E508-I508</f>
        <v>0</v>
      </c>
      <c r="L508" s="718"/>
      <c r="M508" s="743" t="str">
        <f>IF(ISERROR(K508/E508),"",K508/E508)</f>
        <v/>
      </c>
      <c r="N508" s="743"/>
      <c r="O508" s="718"/>
      <c r="P508" s="729" t="s">
        <v>92</v>
      </c>
      <c r="Q508" s="729"/>
      <c r="R508" s="744">
        <f>SUM(O461:U461)</f>
        <v>0</v>
      </c>
      <c r="S508" s="744"/>
      <c r="T508" s="745" t="str">
        <f>IF(ISERROR(R508/R513),"",R508/R513)</f>
        <v/>
      </c>
      <c r="U508" s="745"/>
      <c r="V508" s="729" t="s">
        <v>43</v>
      </c>
      <c r="W508" s="729"/>
      <c r="X508" s="744">
        <f>SUM(O371,O428,O463,O479,O489,O505)</f>
        <v>0</v>
      </c>
      <c r="Y508" s="744"/>
      <c r="Z508" s="745" t="str">
        <f>IF(ISERROR(X508/X513),"",X508/X513)</f>
        <v/>
      </c>
      <c r="AA508" s="745"/>
      <c r="AB508" s="12"/>
      <c r="AC508" s="22"/>
      <c r="AD508" s="22"/>
      <c r="AE508" s="3"/>
      <c r="AF508" s="3"/>
      <c r="AG508" s="370"/>
      <c r="AH508" s="370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636"/>
      <c r="B509" s="362" t="s">
        <v>47</v>
      </c>
      <c r="C509" s="638">
        <v>1</v>
      </c>
      <c r="D509" s="639"/>
      <c r="E509" s="742">
        <f>D509*11</f>
        <v>0</v>
      </c>
      <c r="F509" s="742"/>
      <c r="G509" s="653">
        <v>1</v>
      </c>
      <c r="H509" s="654"/>
      <c r="I509" s="718">
        <f>G509*11</f>
        <v>11</v>
      </c>
      <c r="J509" s="718"/>
      <c r="K509" s="718">
        <f>E509-I509</f>
        <v>-11</v>
      </c>
      <c r="L509" s="718"/>
      <c r="M509" s="743" t="str">
        <f>IF(ISERROR(K509/E509),"",K509/E509)</f>
        <v/>
      </c>
      <c r="N509" s="743"/>
      <c r="O509" s="718"/>
      <c r="P509" s="729" t="s">
        <v>99</v>
      </c>
      <c r="Q509" s="729"/>
      <c r="R509" s="744">
        <f>SUM(O477:U477)</f>
        <v>0</v>
      </c>
      <c r="S509" s="744"/>
      <c r="T509" s="745" t="str">
        <f>IF(ISERROR(R509/R513),"",R509/R513)</f>
        <v/>
      </c>
      <c r="U509" s="745"/>
      <c r="V509" s="729" t="s">
        <v>44</v>
      </c>
      <c r="W509" s="729"/>
      <c r="X509" s="744">
        <f>SUM(O372,O429,O464,O480,O490,O506)</f>
        <v>0</v>
      </c>
      <c r="Y509" s="744"/>
      <c r="Z509" s="745" t="str">
        <f>IF(ISERROR(X509/X513),"",X509/X513)</f>
        <v/>
      </c>
      <c r="AA509" s="745"/>
      <c r="AB509" s="12"/>
      <c r="AC509" s="22"/>
      <c r="AD509" s="22"/>
      <c r="AE509" s="3"/>
      <c r="AF509" s="3"/>
      <c r="AG509" s="370"/>
      <c r="AH509" s="370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>
      <c r="A510" s="637"/>
      <c r="B510" s="362" t="s">
        <v>123</v>
      </c>
      <c r="C510" s="747">
        <f>SUM(C506:D509)</f>
        <v>1</v>
      </c>
      <c r="D510" s="718"/>
      <c r="E510" s="718">
        <f>SUM(F506:F509)</f>
        <v>0</v>
      </c>
      <c r="F510" s="718"/>
      <c r="G510" s="747">
        <f>SUM(G506:H509)</f>
        <v>1</v>
      </c>
      <c r="H510" s="718"/>
      <c r="I510" s="718">
        <f>SUM(I506:J509)</f>
        <v>11</v>
      </c>
      <c r="J510" s="718"/>
      <c r="K510" s="718">
        <f>SUM(K506:L509)</f>
        <v>-11</v>
      </c>
      <c r="L510" s="718"/>
      <c r="M510" s="743" t="str">
        <f>IF(ISERROR(K510/E510),"",K510/E510)</f>
        <v/>
      </c>
      <c r="N510" s="743"/>
      <c r="O510" s="718"/>
      <c r="P510" s="729" t="s">
        <v>102</v>
      </c>
      <c r="Q510" s="729"/>
      <c r="R510" s="744">
        <f>SUM(O487:U487)</f>
        <v>0</v>
      </c>
      <c r="S510" s="744"/>
      <c r="T510" s="745" t="str">
        <f>IF(ISERROR(R510/R513),"",R510/R513)</f>
        <v/>
      </c>
      <c r="U510" s="745"/>
      <c r="V510" s="729" t="s">
        <v>45</v>
      </c>
      <c r="W510" s="729"/>
      <c r="X510" s="744">
        <f>SUM(O373,O430,O465,O481,O491,O507)</f>
        <v>0</v>
      </c>
      <c r="Y510" s="744"/>
      <c r="Z510" s="745" t="str">
        <f>IF(ISERROR(X510/X513),"",X510/X513)</f>
        <v/>
      </c>
      <c r="AA510" s="745"/>
      <c r="AB510" s="12"/>
      <c r="AC510" s="22"/>
      <c r="AD510" s="22"/>
      <c r="AE510" s="3"/>
      <c r="AF510" s="3"/>
      <c r="AG510" s="370"/>
      <c r="AH510" s="370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367"/>
      <c r="AV510" s="367"/>
      <c r="AW510" s="367"/>
      <c r="AX510" s="367"/>
      <c r="AY510" s="367"/>
      <c r="AZ510" s="367"/>
      <c r="BA510" s="367"/>
    </row>
    <row r="511" spans="1:53" ht="17.25">
      <c r="A511" s="309" t="s">
        <v>504</v>
      </c>
      <c r="B511" s="362">
        <f>G504</f>
        <v>0</v>
      </c>
      <c r="C511" s="744" t="s">
        <v>155</v>
      </c>
      <c r="D511" s="744"/>
      <c r="E511" s="729">
        <f>H504</f>
        <v>0</v>
      </c>
      <c r="F511" s="729"/>
      <c r="G511" s="729" t="s">
        <v>34</v>
      </c>
      <c r="H511" s="729"/>
      <c r="I511" s="746" t="str">
        <f>L504</f>
        <v/>
      </c>
      <c r="J511" s="746"/>
      <c r="K511" s="718" t="s">
        <v>32</v>
      </c>
      <c r="L511" s="718"/>
      <c r="M511" s="746" t="str">
        <f>J504</f>
        <v/>
      </c>
      <c r="N511" s="746"/>
      <c r="O511" s="718"/>
      <c r="P511" s="729" t="s">
        <v>106</v>
      </c>
      <c r="Q511" s="729"/>
      <c r="R511" s="744">
        <f>SUM(O503:U503)</f>
        <v>0</v>
      </c>
      <c r="S511" s="744"/>
      <c r="T511" s="745" t="str">
        <f>IF(ISERROR(R511/R513),"",R511/R513)</f>
        <v/>
      </c>
      <c r="U511" s="745"/>
      <c r="V511" s="729" t="s">
        <v>46</v>
      </c>
      <c r="W511" s="729"/>
      <c r="X511" s="744">
        <f>SUM(O374,O431,O466,O482,O492,O508)</f>
        <v>0</v>
      </c>
      <c r="Y511" s="744"/>
      <c r="Z511" s="745" t="str">
        <f>IF(ISERROR(X511/X513),"",X511/X513)</f>
        <v/>
      </c>
      <c r="AA511" s="745"/>
      <c r="AB511" s="12"/>
      <c r="AC511" s="22"/>
      <c r="AD511" s="22"/>
      <c r="AE511" s="3"/>
      <c r="AF511" s="3"/>
      <c r="AG511" s="370"/>
      <c r="AH511" s="370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367"/>
      <c r="AV511" s="367"/>
      <c r="AW511" s="367"/>
      <c r="AX511" s="367"/>
      <c r="AY511" s="367"/>
      <c r="AZ511" s="367"/>
      <c r="BA511" s="367"/>
    </row>
    <row r="512" spans="1:53" ht="15.75" customHeight="1">
      <c r="A512" s="310" t="s">
        <v>505</v>
      </c>
      <c r="B512" s="362">
        <f>I504+C510</f>
        <v>1</v>
      </c>
      <c r="C512" s="729" t="s">
        <v>114</v>
      </c>
      <c r="D512" s="729"/>
      <c r="E512" s="739">
        <f>K504+I510</f>
        <v>11</v>
      </c>
      <c r="F512" s="739"/>
      <c r="G512" s="729" t="s">
        <v>150</v>
      </c>
      <c r="H512" s="729"/>
      <c r="I512" s="746">
        <f>B512-E512</f>
        <v>-10</v>
      </c>
      <c r="J512" s="746"/>
      <c r="K512" s="718" t="s">
        <v>151</v>
      </c>
      <c r="L512" s="718"/>
      <c r="M512" s="743">
        <f>IF(ISERROR(I512/B512),"",I512/B512)</f>
        <v>-10</v>
      </c>
      <c r="N512" s="743"/>
      <c r="O512" s="718"/>
      <c r="P512" s="729" t="s">
        <v>107</v>
      </c>
      <c r="Q512" s="729"/>
      <c r="R512" s="744"/>
      <c r="S512" s="744"/>
      <c r="T512" s="745" t="str">
        <f>IF(ISERROR(R512/R513),"",R512/R513)</f>
        <v/>
      </c>
      <c r="U512" s="745"/>
      <c r="V512" s="729" t="s">
        <v>47</v>
      </c>
      <c r="W512" s="729"/>
      <c r="X512" s="744">
        <f>SUM(O375,O432,O467,O486,O493,O509)</f>
        <v>0</v>
      </c>
      <c r="Y512" s="744"/>
      <c r="Z512" s="745" t="str">
        <f>IF(ISERROR(X512/X513),"",X512/X513)</f>
        <v/>
      </c>
      <c r="AA512" s="745"/>
      <c r="AB512" s="12"/>
      <c r="AC512" s="22"/>
      <c r="AD512" s="22"/>
      <c r="AE512" s="3"/>
      <c r="AF512" s="3"/>
      <c r="AG512" s="370"/>
      <c r="AH512" s="370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367"/>
      <c r="AV512" s="367"/>
      <c r="AW512" s="367"/>
      <c r="AX512" s="367"/>
      <c r="AY512" s="367"/>
      <c r="AZ512" s="367"/>
      <c r="BA512" s="367"/>
    </row>
    <row r="513" spans="1:53" ht="15.75" customHeight="1">
      <c r="A513" s="310" t="s">
        <v>507</v>
      </c>
      <c r="B513" s="362">
        <f>N504</f>
        <v>0</v>
      </c>
      <c r="C513" s="729" t="s">
        <v>149</v>
      </c>
      <c r="D513" s="729"/>
      <c r="E513" s="745">
        <f>IF(ISERROR(B513/B512),"",B513/B512)</f>
        <v>0</v>
      </c>
      <c r="F513" s="745"/>
      <c r="G513" s="729" t="s">
        <v>158</v>
      </c>
      <c r="H513" s="729"/>
      <c r="I513" s="718">
        <f>V504</f>
        <v>0</v>
      </c>
      <c r="J513" s="718"/>
      <c r="K513" s="718" t="s">
        <v>156</v>
      </c>
      <c r="L513" s="718"/>
      <c r="M513" s="743" t="str">
        <f t="array" ref="M513">IF(ISERROR(I513/B511),"",I513/B511)</f>
        <v/>
      </c>
      <c r="N513" s="743"/>
      <c r="O513" s="718"/>
      <c r="P513" s="729" t="s">
        <v>123</v>
      </c>
      <c r="Q513" s="729"/>
      <c r="R513" s="744">
        <f>SUM(R506:S512)</f>
        <v>0</v>
      </c>
      <c r="S513" s="744"/>
      <c r="T513" s="745">
        <f>SUM(T506:U512)</f>
        <v>0</v>
      </c>
      <c r="U513" s="745"/>
      <c r="V513" s="729" t="s">
        <v>123</v>
      </c>
      <c r="W513" s="729"/>
      <c r="X513" s="744">
        <f>SUM(X506:Y512)</f>
        <v>0</v>
      </c>
      <c r="Y513" s="744"/>
      <c r="Z513" s="745">
        <f>SUM(Z506:AA512)</f>
        <v>0</v>
      </c>
      <c r="AA513" s="745"/>
      <c r="AB513" s="12"/>
      <c r="AC513" s="22"/>
      <c r="AD513" s="22"/>
      <c r="AE513" s="3"/>
      <c r="AF513" s="3"/>
      <c r="AG513" s="370"/>
      <c r="AH513" s="370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67"/>
      <c r="AV513" s="367"/>
      <c r="AW513" s="367"/>
      <c r="AX513" s="367"/>
      <c r="AY513" s="367"/>
      <c r="AZ513" s="367"/>
      <c r="BA513" s="367"/>
    </row>
    <row r="514" spans="1:53" ht="17.25">
      <c r="A514" s="329" t="s">
        <v>508</v>
      </c>
      <c r="B514" s="366"/>
      <c r="C514" s="7"/>
      <c r="D514" s="7"/>
      <c r="E514" s="15"/>
      <c r="F514" s="15"/>
      <c r="G514" s="756" t="str">
        <f>IF(ISERROR(#REF!/#REF!),"",#REF!/#REF!)</f>
        <v/>
      </c>
      <c r="H514" s="756"/>
      <c r="I514" s="756"/>
      <c r="J514" s="8"/>
      <c r="K514" s="47"/>
      <c r="L514" s="12"/>
      <c r="M514" s="12"/>
      <c r="N514" s="756" t="str">
        <f>IF(ISERROR(G514/#REF!),"",G514/#REF!)</f>
        <v/>
      </c>
      <c r="O514" s="756"/>
      <c r="P514" s="756"/>
      <c r="Q514" s="756"/>
      <c r="R514" s="756"/>
      <c r="S514" s="370"/>
      <c r="T514" s="15"/>
      <c r="U514" s="15"/>
      <c r="V514" s="209"/>
      <c r="W514" s="8"/>
      <c r="X514" s="9"/>
      <c r="Y514" s="9"/>
      <c r="Z514" s="9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9"/>
      <c r="AN514" s="9"/>
      <c r="AO514" s="9"/>
      <c r="AP514" s="9"/>
      <c r="AQ514" s="9"/>
      <c r="AR514" s="9"/>
      <c r="AS514" s="12"/>
      <c r="AT514" s="12"/>
      <c r="AU514" s="12"/>
      <c r="AV514" s="12"/>
      <c r="AW514" s="12"/>
      <c r="AX514" s="12"/>
      <c r="AY514" s="12"/>
      <c r="AZ514" s="12"/>
      <c r="BA514" s="12"/>
    </row>
    <row r="515" spans="1:53" ht="15.75" customHeight="1">
      <c r="A515" s="311" t="s">
        <v>509</v>
      </c>
      <c r="B515" s="366"/>
      <c r="C515" s="7"/>
      <c r="D515" s="7"/>
      <c r="E515" s="7"/>
      <c r="F515" s="7"/>
      <c r="G515" s="11"/>
      <c r="H515" s="7"/>
      <c r="I515" s="11"/>
      <c r="J515" s="44"/>
      <c r="K515" s="48"/>
      <c r="L515" s="7"/>
      <c r="M515" s="7"/>
      <c r="N515" s="7"/>
      <c r="O515" s="7"/>
      <c r="P515" s="7"/>
      <c r="Q515" s="7"/>
      <c r="R515" s="7"/>
      <c r="S515" s="7"/>
      <c r="T515" s="7"/>
      <c r="U515" s="18"/>
      <c r="V515" s="210"/>
      <c r="W515" s="18"/>
      <c r="X515" s="7"/>
      <c r="Y515" s="7"/>
      <c r="Z515" s="7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7"/>
      <c r="AN515" s="7"/>
      <c r="AO515" s="7"/>
      <c r="AP515" s="7"/>
      <c r="AQ515" s="7"/>
      <c r="AR515" s="7"/>
      <c r="AS515" s="15"/>
      <c r="AT515" s="15"/>
      <c r="AU515" s="15"/>
      <c r="AV515" s="15"/>
      <c r="AW515" s="15"/>
      <c r="AX515" s="15"/>
      <c r="AY515" s="15"/>
      <c r="AZ515" s="15"/>
      <c r="BA515" s="15"/>
    </row>
    <row r="516" spans="1:53">
      <c r="A516" s="744" t="s">
        <v>157</v>
      </c>
      <c r="B516" s="744"/>
      <c r="C516" s="739">
        <f>SUM(B170,B340,B511)</f>
        <v>5797</v>
      </c>
      <c r="D516" s="739"/>
      <c r="E516" s="744" t="s">
        <v>124</v>
      </c>
      <c r="F516" s="744"/>
      <c r="G516" s="739">
        <f>SUM(E170,E340,E511)</f>
        <v>23020.29</v>
      </c>
      <c r="H516" s="739"/>
      <c r="I516" s="729" t="s">
        <v>34</v>
      </c>
      <c r="J516" s="744"/>
      <c r="K516" s="757">
        <f>IF(ISERROR(C516/G517),"",C516/G517)</f>
        <v>12.307820221238435</v>
      </c>
      <c r="L516" s="758"/>
      <c r="M516" s="729" t="s">
        <v>32</v>
      </c>
      <c r="N516" s="729"/>
      <c r="O516" s="759">
        <f t="array" ref="O516">IF(ISERROR(C516/C517),"",C516/C517)</f>
        <v>7.8359015950256827</v>
      </c>
      <c r="P516" s="760"/>
      <c r="Q516" s="7"/>
      <c r="R516" s="7"/>
      <c r="S516" s="7"/>
      <c r="T516" s="7"/>
      <c r="U516" s="18"/>
      <c r="V516" s="210"/>
      <c r="W516" s="18"/>
      <c r="X516" s="7"/>
      <c r="Y516" s="7"/>
      <c r="Z516" s="7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7"/>
      <c r="AN516" s="7"/>
      <c r="AO516" s="7"/>
      <c r="AP516" s="7"/>
      <c r="AQ516" s="7"/>
      <c r="AR516" s="7"/>
      <c r="AS516" s="15"/>
      <c r="AT516" s="15"/>
      <c r="AU516" s="15"/>
      <c r="AV516" s="15"/>
      <c r="AW516" s="15"/>
      <c r="AX516" s="15"/>
      <c r="AY516" s="15"/>
      <c r="AZ516" s="15"/>
      <c r="BA516" s="15"/>
    </row>
    <row r="517" spans="1:53">
      <c r="A517" s="729" t="s">
        <v>125</v>
      </c>
      <c r="B517" s="729"/>
      <c r="C517" s="739">
        <f>SUM(B171,B341,B512)</f>
        <v>739.8</v>
      </c>
      <c r="D517" s="739"/>
      <c r="E517" s="729" t="s">
        <v>114</v>
      </c>
      <c r="F517" s="729"/>
      <c r="G517" s="739">
        <f>SUM(E171,E341,E512)</f>
        <v>471.00135489440027</v>
      </c>
      <c r="H517" s="739"/>
      <c r="I517" s="761" t="s">
        <v>150</v>
      </c>
      <c r="J517" s="762"/>
      <c r="K517" s="754">
        <f>C517-G517</f>
        <v>268.79864510559969</v>
      </c>
      <c r="L517" s="755"/>
      <c r="M517" s="754" t="s">
        <v>151</v>
      </c>
      <c r="N517" s="755"/>
      <c r="O517" s="763">
        <f>IF(ISERROR(K517/C517),"",K517/C517)</f>
        <v>0.36333961220005367</v>
      </c>
      <c r="P517" s="764"/>
      <c r="Q517" s="7"/>
      <c r="R517" s="7"/>
      <c r="S517" s="7"/>
      <c r="T517" s="7"/>
      <c r="U517" s="18"/>
      <c r="V517" s="210"/>
      <c r="W517" s="18"/>
      <c r="X517" s="7"/>
      <c r="Y517" s="7"/>
      <c r="Z517" s="7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7"/>
      <c r="AN517" s="7"/>
      <c r="AO517" s="7"/>
      <c r="AP517" s="7"/>
      <c r="AQ517" s="7"/>
      <c r="AR517" s="7"/>
      <c r="AS517" s="15"/>
      <c r="AT517" s="15"/>
      <c r="AU517" s="15"/>
      <c r="AV517" s="15"/>
      <c r="AW517" s="15"/>
      <c r="AX517" s="15"/>
      <c r="AY517" s="15"/>
      <c r="AZ517" s="15"/>
      <c r="BA517" s="15"/>
    </row>
    <row r="518" spans="1:53">
      <c r="A518" s="761" t="s">
        <v>148</v>
      </c>
      <c r="B518" s="762"/>
      <c r="C518" s="739">
        <f>SUM(B172,B342,B513)</f>
        <v>0</v>
      </c>
      <c r="D518" s="739"/>
      <c r="E518" s="761" t="s">
        <v>149</v>
      </c>
      <c r="F518" s="762"/>
      <c r="G518" s="763">
        <f>IF(ISERROR(C518/C517),"",C518/C517)</f>
        <v>0</v>
      </c>
      <c r="H518" s="764"/>
      <c r="I518" s="729" t="s">
        <v>126</v>
      </c>
      <c r="J518" s="744"/>
      <c r="K518" s="739">
        <f>SUM(I172,I342,I513)</f>
        <v>0</v>
      </c>
      <c r="L518" s="739"/>
      <c r="M518" s="744" t="s">
        <v>127</v>
      </c>
      <c r="N518" s="744"/>
      <c r="O518" s="763">
        <f t="array" ref="O518">IF(ISERROR(K518/C516),"",K518/C516)</f>
        <v>0</v>
      </c>
      <c r="P518" s="764"/>
      <c r="Q518" s="7"/>
      <c r="R518" s="7"/>
      <c r="S518" s="7"/>
      <c r="T518" s="7"/>
      <c r="U518" s="18"/>
      <c r="V518" s="210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 ht="17.25">
      <c r="A519" s="311" t="s">
        <v>510</v>
      </c>
      <c r="B519" s="19"/>
      <c r="C519" s="26"/>
      <c r="D519" s="26"/>
      <c r="E519" s="25"/>
      <c r="F519" s="25"/>
      <c r="G519" s="370"/>
      <c r="H519" s="22"/>
      <c r="I519" s="370"/>
      <c r="J519" s="8"/>
      <c r="K519" s="54"/>
      <c r="L519" s="368"/>
      <c r="M519" s="368"/>
      <c r="N519" s="15"/>
      <c r="O519" s="15"/>
      <c r="P519" s="15"/>
      <c r="Q519" s="15"/>
      <c r="R519" s="15"/>
      <c r="S519" s="15"/>
      <c r="T519" s="368"/>
      <c r="U519" s="368"/>
      <c r="V519" s="211"/>
      <c r="W519" s="368"/>
      <c r="X519" s="12"/>
      <c r="Y519" s="12"/>
      <c r="Z519" s="12"/>
      <c r="AA519" s="4"/>
      <c r="AB519" s="4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761" t="s">
        <v>130</v>
      </c>
      <c r="B520" s="762"/>
      <c r="C520" s="761" t="s">
        <v>131</v>
      </c>
      <c r="D520" s="762"/>
      <c r="E520" s="761" t="s">
        <v>118</v>
      </c>
      <c r="F520" s="762"/>
      <c r="G520" s="771" t="s">
        <v>116</v>
      </c>
      <c r="H520" s="772"/>
      <c r="I520" s="761" t="s">
        <v>117</v>
      </c>
      <c r="J520" s="755"/>
      <c r="K520" s="761" t="s">
        <v>14</v>
      </c>
      <c r="L520" s="762"/>
      <c r="M520" s="761" t="s">
        <v>118</v>
      </c>
      <c r="N520" s="762"/>
      <c r="O520" s="729" t="s">
        <v>119</v>
      </c>
      <c r="P520" s="729"/>
      <c r="Q520" s="761" t="s">
        <v>14</v>
      </c>
      <c r="R520" s="762"/>
      <c r="S520" s="761" t="s">
        <v>118</v>
      </c>
      <c r="T520" s="762"/>
      <c r="U520" s="14"/>
      <c r="V520" s="203"/>
      <c r="W520" s="12"/>
      <c r="X520" s="3"/>
      <c r="Y520" s="14"/>
      <c r="Z520" s="15"/>
      <c r="AA520" s="15"/>
      <c r="AB520" s="15"/>
      <c r="AC520" s="15"/>
      <c r="AD520" s="15"/>
      <c r="AE520" s="15"/>
      <c r="AF520" s="15"/>
      <c r="AG520" s="15"/>
      <c r="AH520" s="11"/>
      <c r="AI520" s="11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 ht="23.25" customHeight="1">
      <c r="A521" s="765" t="s">
        <v>70</v>
      </c>
      <c r="B521" s="762"/>
      <c r="C521" s="766">
        <f>SUM(G28,G198,G368)</f>
        <v>0</v>
      </c>
      <c r="D521" s="762"/>
      <c r="E521" s="767">
        <f>IF(ISERROR(C521/C527),"",C521/C527)</f>
        <v>0</v>
      </c>
      <c r="F521" s="768"/>
      <c r="G521" s="773"/>
      <c r="H521" s="774"/>
      <c r="I521" s="769" t="s">
        <v>15</v>
      </c>
      <c r="J521" s="770"/>
      <c r="K521" s="754">
        <f t="shared" ref="K521:K526" si="214">SUM(R165,U335,U506)</f>
        <v>0</v>
      </c>
      <c r="L521" s="755"/>
      <c r="M521" s="767" t="str">
        <f t="array" ref="M521">IF(ISERROR(K521/K527),"",K521/K527)</f>
        <v/>
      </c>
      <c r="N521" s="768"/>
      <c r="O521" s="729" t="s">
        <v>41</v>
      </c>
      <c r="P521" s="729"/>
      <c r="Q521" s="777">
        <f t="shared" ref="Q521:Q526" si="215">SUM(X165,AA335,AA506)</f>
        <v>0</v>
      </c>
      <c r="R521" s="778"/>
      <c r="S521" s="767" t="str">
        <f t="array" ref="S521">IF(ISERROR(Q521/Q527),"",Q521/Q527)</f>
        <v/>
      </c>
      <c r="T521" s="768"/>
      <c r="U521" s="14"/>
      <c r="V521" s="203"/>
      <c r="W521" s="22"/>
      <c r="X521" s="3"/>
      <c r="Y521" s="14"/>
      <c r="Z521" s="15"/>
      <c r="AA521" s="15"/>
      <c r="AB521" s="15"/>
      <c r="AC521" s="15"/>
      <c r="AD521" s="15"/>
      <c r="AE521" s="15"/>
      <c r="AF521" s="15"/>
      <c r="AG521" s="15"/>
      <c r="AH521" s="11"/>
      <c r="AI521" s="11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>
      <c r="A522" s="765" t="s">
        <v>86</v>
      </c>
      <c r="B522" s="762"/>
      <c r="C522" s="761">
        <f>SUM(G86,G256,G426)</f>
        <v>0</v>
      </c>
      <c r="D522" s="762"/>
      <c r="E522" s="767">
        <f>IF(ISERROR(C522/C527),"",C522/C527)</f>
        <v>0</v>
      </c>
      <c r="F522" s="768"/>
      <c r="G522" s="773"/>
      <c r="H522" s="774"/>
      <c r="I522" s="769" t="s">
        <v>16</v>
      </c>
      <c r="J522" s="770"/>
      <c r="K522" s="754">
        <f t="shared" si="214"/>
        <v>0</v>
      </c>
      <c r="L522" s="755"/>
      <c r="M522" s="767" t="str">
        <f>IF(ISERROR(K522/K527),"",K522/K527)</f>
        <v/>
      </c>
      <c r="N522" s="768"/>
      <c r="O522" s="729" t="s">
        <v>42</v>
      </c>
      <c r="P522" s="729"/>
      <c r="Q522" s="761">
        <f t="shared" si="215"/>
        <v>0</v>
      </c>
      <c r="R522" s="762"/>
      <c r="S522" s="767" t="str">
        <f>IF(ISERROR(Q522/Q527),"",Q522/Q527)</f>
        <v/>
      </c>
      <c r="T522" s="768"/>
      <c r="U522" s="14"/>
      <c r="V522" s="203"/>
      <c r="W522" s="22"/>
      <c r="X522" s="3"/>
      <c r="Y522" s="14"/>
      <c r="Z522" s="15"/>
      <c r="AA522" s="15"/>
      <c r="AB522" s="15"/>
      <c r="AC522" s="15"/>
      <c r="AD522" s="15"/>
      <c r="AE522" s="15"/>
      <c r="AF522" s="15"/>
      <c r="AG522" s="15"/>
      <c r="AH522" s="11"/>
      <c r="AI522" s="11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765" t="s">
        <v>92</v>
      </c>
      <c r="B523" s="762"/>
      <c r="C523" s="761">
        <f>SUM(G121,G291,G461)</f>
        <v>2150</v>
      </c>
      <c r="D523" s="762"/>
      <c r="E523" s="767">
        <f>IF(ISERROR(C523/C527),"",C523/C527)</f>
        <v>0.37088149042608248</v>
      </c>
      <c r="F523" s="768"/>
      <c r="G523" s="773"/>
      <c r="H523" s="774"/>
      <c r="I523" s="769" t="s">
        <v>17</v>
      </c>
      <c r="J523" s="770"/>
      <c r="K523" s="754">
        <f t="shared" si="214"/>
        <v>0</v>
      </c>
      <c r="L523" s="755"/>
      <c r="M523" s="767" t="str">
        <f>IF(ISERROR(K523/K527),"",K523/K527)</f>
        <v/>
      </c>
      <c r="N523" s="768"/>
      <c r="O523" s="729" t="s">
        <v>43</v>
      </c>
      <c r="P523" s="729"/>
      <c r="Q523" s="761">
        <f t="shared" si="215"/>
        <v>0</v>
      </c>
      <c r="R523" s="762"/>
      <c r="S523" s="767" t="str">
        <f>IF(ISERROR(Q523/Q527),"",Q523/Q527)</f>
        <v/>
      </c>
      <c r="T523" s="768"/>
      <c r="U523" s="14"/>
      <c r="V523" s="203"/>
      <c r="W523" s="2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7"/>
      <c r="AI523" s="7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15.75" customHeight="1">
      <c r="A524" s="765" t="s">
        <v>99</v>
      </c>
      <c r="B524" s="762"/>
      <c r="C524" s="761">
        <f>SUM(G137,G307,G477)</f>
        <v>0</v>
      </c>
      <c r="D524" s="762"/>
      <c r="E524" s="767">
        <f>IF(ISERROR(C524/C527),"",C524/C527)</f>
        <v>0</v>
      </c>
      <c r="F524" s="768"/>
      <c r="G524" s="773"/>
      <c r="H524" s="774"/>
      <c r="I524" s="769" t="s">
        <v>18</v>
      </c>
      <c r="J524" s="770"/>
      <c r="K524" s="754">
        <f t="shared" si="214"/>
        <v>0</v>
      </c>
      <c r="L524" s="755"/>
      <c r="M524" s="767" t="str">
        <f>IF(ISERROR(K524/K527),"",K524/K527)</f>
        <v/>
      </c>
      <c r="N524" s="768"/>
      <c r="O524" s="729" t="s">
        <v>21</v>
      </c>
      <c r="P524" s="729"/>
      <c r="Q524" s="761">
        <f t="shared" si="215"/>
        <v>0</v>
      </c>
      <c r="R524" s="762"/>
      <c r="S524" s="767" t="str">
        <f>IF(ISERROR(Q524/Q527),"",Q524/Q527)</f>
        <v/>
      </c>
      <c r="T524" s="768"/>
      <c r="U524" s="14"/>
      <c r="V524" s="203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7"/>
      <c r="AI524" s="7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 ht="15.75" customHeight="1">
      <c r="A525" s="765" t="s">
        <v>102</v>
      </c>
      <c r="B525" s="762"/>
      <c r="C525" s="761">
        <f>SUM(G147,G317,G487)</f>
        <v>2910</v>
      </c>
      <c r="D525" s="762"/>
      <c r="E525" s="767">
        <f>IF(ISERROR(C525/C527),"",C525/C527)</f>
        <v>0.50198378471623251</v>
      </c>
      <c r="F525" s="768"/>
      <c r="G525" s="773"/>
      <c r="H525" s="774"/>
      <c r="I525" s="769" t="s">
        <v>19</v>
      </c>
      <c r="J525" s="770"/>
      <c r="K525" s="754">
        <f t="shared" si="214"/>
        <v>0</v>
      </c>
      <c r="L525" s="755"/>
      <c r="M525" s="767" t="str">
        <f>IF(ISERROR(K525/K527),"",K525/K527)</f>
        <v/>
      </c>
      <c r="N525" s="768"/>
      <c r="O525" s="729" t="s">
        <v>45</v>
      </c>
      <c r="P525" s="729"/>
      <c r="Q525" s="761">
        <f t="shared" si="215"/>
        <v>0</v>
      </c>
      <c r="R525" s="762"/>
      <c r="S525" s="767" t="str">
        <f>IF(ISERROR(Q525/Q527),"",Q525/Q527)</f>
        <v/>
      </c>
      <c r="T525" s="768"/>
      <c r="U525" s="14"/>
      <c r="V525" s="203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7"/>
      <c r="AI525" s="7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 ht="15.75" customHeight="1">
      <c r="A526" s="765" t="s">
        <v>106</v>
      </c>
      <c r="B526" s="762"/>
      <c r="C526" s="761">
        <f>SUM(G162,G332,G503)</f>
        <v>737</v>
      </c>
      <c r="D526" s="762"/>
      <c r="E526" s="767">
        <f>IF(ISERROR(C526/C527),"",C526/C527)</f>
        <v>0.12713472485768501</v>
      </c>
      <c r="F526" s="768"/>
      <c r="G526" s="773"/>
      <c r="H526" s="774"/>
      <c r="I526" s="769" t="s">
        <v>20</v>
      </c>
      <c r="J526" s="770"/>
      <c r="K526" s="754">
        <f t="shared" si="214"/>
        <v>0</v>
      </c>
      <c r="L526" s="755"/>
      <c r="M526" s="767" t="str">
        <f>IF(ISERROR(K526/K527),"",K526/K527)</f>
        <v/>
      </c>
      <c r="N526" s="768"/>
      <c r="O526" s="729" t="s">
        <v>46</v>
      </c>
      <c r="P526" s="729"/>
      <c r="Q526" s="761">
        <f t="shared" si="215"/>
        <v>0</v>
      </c>
      <c r="R526" s="762"/>
      <c r="S526" s="767" t="str">
        <f>IF(ISERROR(Q526/Q527),"",Q526/Q527)</f>
        <v/>
      </c>
      <c r="T526" s="768"/>
      <c r="U526" s="14"/>
      <c r="V526" s="203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761" t="s">
        <v>123</v>
      </c>
      <c r="B527" s="762"/>
      <c r="C527" s="766">
        <f>SUM(C521:C526)</f>
        <v>5797</v>
      </c>
      <c r="D527" s="762"/>
      <c r="E527" s="767">
        <f>SUM(E521:F526)</f>
        <v>1</v>
      </c>
      <c r="F527" s="762"/>
      <c r="G527" s="775"/>
      <c r="H527" s="776"/>
      <c r="I527" s="761" t="s">
        <v>123</v>
      </c>
      <c r="J527" s="755"/>
      <c r="K527" s="754">
        <f>SUM(R172,U342,U513)</f>
        <v>0</v>
      </c>
      <c r="L527" s="755"/>
      <c r="M527" s="767">
        <f>SUM(M521:N526)</f>
        <v>0</v>
      </c>
      <c r="N527" s="768"/>
      <c r="O527" s="729" t="s">
        <v>123</v>
      </c>
      <c r="P527" s="729"/>
      <c r="Q527" s="777">
        <f>SUM(X172,AA342,AA513)</f>
        <v>0</v>
      </c>
      <c r="R527" s="778"/>
      <c r="S527" s="767">
        <f>SUM(S521:T526)</f>
        <v>0</v>
      </c>
      <c r="T527" s="768"/>
      <c r="U527" s="14"/>
      <c r="V527" s="203"/>
      <c r="W527" s="1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330" t="s">
        <v>511</v>
      </c>
      <c r="B528" s="67"/>
      <c r="C528" s="1"/>
      <c r="D528" s="1"/>
      <c r="E528" s="1"/>
      <c r="F528" s="1"/>
      <c r="G528" s="27"/>
      <c r="H528" s="2"/>
      <c r="I528" s="27"/>
      <c r="J528" s="2"/>
      <c r="K528" s="49"/>
      <c r="L528" s="2"/>
      <c r="M528" s="2"/>
      <c r="N528" s="2"/>
      <c r="O528" s="2"/>
      <c r="P528" s="2"/>
      <c r="Q528" s="2"/>
      <c r="R528" s="2"/>
      <c r="S528" s="2"/>
      <c r="T528" s="2"/>
      <c r="U528" s="24"/>
      <c r="V528" s="212"/>
      <c r="W528" s="24"/>
      <c r="X528" s="5"/>
      <c r="Y528" s="5"/>
      <c r="Z528" s="24"/>
      <c r="AA528" s="3"/>
      <c r="AB528" s="368"/>
      <c r="AC528" s="368"/>
      <c r="AD528" s="368"/>
      <c r="AE528" s="368"/>
      <c r="AF528" s="368"/>
      <c r="AG528" s="368"/>
      <c r="AH528" s="368"/>
      <c r="AI528" s="368"/>
      <c r="AJ528" s="368"/>
      <c r="AK528" s="368"/>
      <c r="AL528" s="368"/>
      <c r="AM528" s="12"/>
      <c r="AN528" s="12"/>
      <c r="AO528" s="12"/>
      <c r="AP528" s="12"/>
      <c r="AQ528" s="12"/>
      <c r="AR528" s="12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8.75" customHeight="1">
      <c r="A529" s="769" t="s">
        <v>132</v>
      </c>
      <c r="B529" s="783"/>
      <c r="C529" s="358" t="s">
        <v>133</v>
      </c>
      <c r="D529" s="358" t="s">
        <v>134</v>
      </c>
      <c r="E529" s="358" t="s">
        <v>3</v>
      </c>
      <c r="F529" s="358" t="s">
        <v>4</v>
      </c>
      <c r="G529" s="358" t="s">
        <v>5</v>
      </c>
      <c r="H529" s="87" t="s">
        <v>6</v>
      </c>
      <c r="I529" s="87" t="s">
        <v>7</v>
      </c>
      <c r="J529" s="87" t="s">
        <v>135</v>
      </c>
      <c r="K529" s="363" t="s">
        <v>8</v>
      </c>
      <c r="L529" s="87" t="s">
        <v>9</v>
      </c>
      <c r="M529" s="87" t="s">
        <v>136</v>
      </c>
      <c r="N529" s="87" t="s">
        <v>10</v>
      </c>
      <c r="O529" s="87" t="s">
        <v>137</v>
      </c>
      <c r="P529" s="364" t="s">
        <v>138</v>
      </c>
      <c r="Q529" s="87" t="s">
        <v>139</v>
      </c>
      <c r="R529" s="36" t="s">
        <v>140</v>
      </c>
      <c r="S529" s="358" t="s">
        <v>141</v>
      </c>
      <c r="T529" s="358" t="s">
        <v>142</v>
      </c>
      <c r="U529" s="51"/>
      <c r="V529" s="213"/>
      <c r="X529" s="14"/>
      <c r="Y529" s="14"/>
      <c r="Z529" s="15"/>
      <c r="AA529" s="15"/>
      <c r="AB529" s="15"/>
      <c r="AC529" s="368"/>
      <c r="AD529" s="368"/>
      <c r="AE529" s="368"/>
      <c r="AF529" s="368"/>
      <c r="AG529" s="368"/>
      <c r="AH529" s="368"/>
      <c r="AI529" s="368"/>
      <c r="AJ529" s="368"/>
      <c r="AK529" s="368"/>
      <c r="AL529" s="368"/>
      <c r="AM529" s="368"/>
      <c r="AN529" s="15"/>
      <c r="AO529" s="368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779" t="s">
        <v>143</v>
      </c>
      <c r="B530" s="780"/>
      <c r="C530" s="93">
        <f>SUM('3:4'!C530)</f>
        <v>62</v>
      </c>
      <c r="D530" s="93">
        <f>SUM('3:4'!D530)</f>
        <v>62</v>
      </c>
      <c r="E530" s="93">
        <f>SUM('3:4'!E530)</f>
        <v>0</v>
      </c>
      <c r="F530" s="93">
        <f>SUM('3:4'!F530)</f>
        <v>0</v>
      </c>
      <c r="G530" s="93">
        <f>SUM('3:4'!G530)</f>
        <v>0</v>
      </c>
      <c r="H530" s="93">
        <f>SUM('3:4'!H530)</f>
        <v>2</v>
      </c>
      <c r="I530" s="93">
        <f>SUM('3:4'!I530)</f>
        <v>0</v>
      </c>
      <c r="J530" s="93">
        <f>+C530-H530-I530</f>
        <v>60</v>
      </c>
      <c r="K530" s="93">
        <f>SUM('3:4'!K530)</f>
        <v>0</v>
      </c>
      <c r="L530" s="93">
        <f>SUM('3:4'!L530)</f>
        <v>0</v>
      </c>
      <c r="M530" s="93">
        <f>SUM('3:4'!M530)</f>
        <v>0</v>
      </c>
      <c r="N530" s="93">
        <f>SUM('3:4'!N530)</f>
        <v>0</v>
      </c>
      <c r="O530" s="93">
        <f>SUM('3:4'!O530)</f>
        <v>0</v>
      </c>
      <c r="P530" s="93">
        <f>SUM('3:4'!P530)</f>
        <v>0</v>
      </c>
      <c r="Q530" s="93">
        <f>J530-K530-L530</f>
        <v>60</v>
      </c>
      <c r="R530" s="93">
        <f>Q530*11-M530-N530</f>
        <v>660</v>
      </c>
      <c r="S530" s="200">
        <f>IF(ISERROR(Q530/J530),"",Q530/J530)</f>
        <v>1</v>
      </c>
      <c r="T530" s="194">
        <f t="array" ref="T530">IF(ISERROR((O530:P530)/C530),"",SUM(O530:P530)/C530)</f>
        <v>0</v>
      </c>
      <c r="X530" s="14"/>
      <c r="Y530" s="14"/>
      <c r="Z530" s="15"/>
      <c r="AA530" s="15"/>
      <c r="AB530" s="15"/>
      <c r="AC530" s="368"/>
      <c r="AD530" s="368"/>
      <c r="AE530" s="368"/>
      <c r="AF530" s="368"/>
      <c r="AG530" s="368"/>
      <c r="AH530" s="368"/>
      <c r="AI530" s="368"/>
      <c r="AJ530" s="368"/>
      <c r="AK530" s="368"/>
      <c r="AL530" s="368"/>
      <c r="AM530" s="368"/>
      <c r="AN530" s="15"/>
      <c r="AO530" s="368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>
      <c r="A531" s="779" t="s">
        <v>144</v>
      </c>
      <c r="B531" s="780"/>
      <c r="C531" s="93">
        <f>SUM('3:4'!C531)</f>
        <v>60</v>
      </c>
      <c r="D531" s="93">
        <f>SUM('3:4'!D531)</f>
        <v>60</v>
      </c>
      <c r="E531" s="93">
        <f>SUM('3:4'!E531)</f>
        <v>0</v>
      </c>
      <c r="F531" s="93">
        <f>SUM('3:4'!F531)</f>
        <v>0</v>
      </c>
      <c r="G531" s="93">
        <f>SUM('3:4'!G531)</f>
        <v>0</v>
      </c>
      <c r="H531" s="93">
        <f>SUM('3:4'!H531)</f>
        <v>1</v>
      </c>
      <c r="I531" s="93">
        <f>SUM('3:4'!I531)</f>
        <v>0</v>
      </c>
      <c r="J531" s="93">
        <f t="shared" ref="J531:J532" si="216">C531-G531-H531-I531</f>
        <v>59</v>
      </c>
      <c r="K531" s="93">
        <f>SUM('3:4'!K531)</f>
        <v>0</v>
      </c>
      <c r="L531" s="93">
        <f>SUM('3:4'!L531)</f>
        <v>0</v>
      </c>
      <c r="M531" s="93">
        <f>SUM('3:4'!M531)</f>
        <v>0</v>
      </c>
      <c r="N531" s="93">
        <f>SUM('3:4'!N531)</f>
        <v>0</v>
      </c>
      <c r="O531" s="93">
        <f>SUM('3:4'!O531)</f>
        <v>0</v>
      </c>
      <c r="P531" s="93">
        <f>SUM('3:4'!P531)</f>
        <v>0</v>
      </c>
      <c r="Q531" s="93">
        <f t="shared" ref="Q531:Q532" si="217">J531-K531-L531</f>
        <v>59</v>
      </c>
      <c r="R531" s="93">
        <f t="shared" ref="R531:R532" si="218">Q531*11-M531-N531</f>
        <v>649</v>
      </c>
      <c r="S531" s="194">
        <f t="array" ref="S531">IF(ISERROR(Q531/J531),"",Q531/J531)</f>
        <v>1</v>
      </c>
      <c r="T531" s="194">
        <f t="array" ref="T531">IF(ISERROR((O531:P531)/C531),"",SUM(O531:P531)/C531)</f>
        <v>0</v>
      </c>
      <c r="X531" s="14"/>
      <c r="Y531" s="14"/>
      <c r="Z531" s="15"/>
      <c r="AA531" s="15"/>
      <c r="AB531" s="15"/>
      <c r="AC531" s="368"/>
      <c r="AD531" s="368"/>
      <c r="AE531" s="368"/>
      <c r="AF531" s="368"/>
      <c r="AG531" s="368"/>
      <c r="AH531" s="368"/>
      <c r="AI531" s="368"/>
      <c r="AJ531" s="368"/>
      <c r="AK531" s="368"/>
      <c r="AL531" s="368"/>
      <c r="AM531" s="368"/>
      <c r="AN531" s="15"/>
      <c r="AO531" s="368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>
      <c r="A532" s="779" t="s">
        <v>145</v>
      </c>
      <c r="B532" s="780"/>
      <c r="C532" s="93">
        <f>SUM('3:4'!C532)</f>
        <v>20</v>
      </c>
      <c r="D532" s="93">
        <f>SUM('3:4'!D532)</f>
        <v>20</v>
      </c>
      <c r="E532" s="93">
        <f>SUM('3:4'!E532)</f>
        <v>0</v>
      </c>
      <c r="F532" s="93">
        <f>SUM('3:4'!F532)</f>
        <v>0</v>
      </c>
      <c r="G532" s="93">
        <f>SUM('3:4'!G532)</f>
        <v>0</v>
      </c>
      <c r="H532" s="93">
        <f>SUM('3:4'!H532)</f>
        <v>20</v>
      </c>
      <c r="I532" s="93">
        <f>SUM('3:4'!I532)</f>
        <v>0</v>
      </c>
      <c r="J532" s="93">
        <f t="shared" si="216"/>
        <v>0</v>
      </c>
      <c r="K532" s="93">
        <f>SUM('3:4'!K532)</f>
        <v>0</v>
      </c>
      <c r="L532" s="93">
        <f>SUM('3:4'!L532)</f>
        <v>0</v>
      </c>
      <c r="M532" s="93">
        <f>SUM('3:4'!M532)</f>
        <v>0</v>
      </c>
      <c r="N532" s="93">
        <f>SUM('3:4'!N532)</f>
        <v>0</v>
      </c>
      <c r="O532" s="93">
        <f>SUM('3:4'!O532)</f>
        <v>0</v>
      </c>
      <c r="P532" s="93">
        <f>SUM('3:4'!P532)</f>
        <v>0</v>
      </c>
      <c r="Q532" s="93">
        <f t="shared" si="217"/>
        <v>0</v>
      </c>
      <c r="R532" s="93">
        <f t="shared" si="218"/>
        <v>0</v>
      </c>
      <c r="S532" s="194" t="str">
        <f t="array" ref="S532">IF(ISERROR(Q532/J532),"",Q532/J532)</f>
        <v/>
      </c>
      <c r="T532" s="194">
        <f t="array" ref="T532">IF(ISERROR((O532:P532)/C532),"",SUM(O532:P532)/C532)</f>
        <v>0</v>
      </c>
      <c r="V532" s="213"/>
      <c r="X532" s="14"/>
      <c r="Y532" s="14"/>
      <c r="Z532" s="15"/>
      <c r="AA532" s="15"/>
      <c r="AB532" s="15"/>
      <c r="AC532" s="368"/>
      <c r="AD532" s="368"/>
      <c r="AE532" s="368"/>
      <c r="AF532" s="368"/>
      <c r="AG532" s="368"/>
      <c r="AH532" s="368"/>
      <c r="AI532" s="368"/>
      <c r="AJ532" s="368"/>
      <c r="AK532" s="368"/>
      <c r="AL532" s="368"/>
      <c r="AM532" s="368"/>
      <c r="AN532" s="15"/>
      <c r="AO532" s="368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s="42" customFormat="1">
      <c r="A533" s="781" t="s">
        <v>11</v>
      </c>
      <c r="B533" s="782"/>
      <c r="C533" s="37">
        <f>SUM(C530:C532)</f>
        <v>142</v>
      </c>
      <c r="D533" s="37">
        <f>SUM(D530:D532)</f>
        <v>142</v>
      </c>
      <c r="E533" s="37">
        <f t="shared" ref="E533:N533" si="219">SUM(E530:E532)</f>
        <v>0</v>
      </c>
      <c r="F533" s="37">
        <f t="shared" si="219"/>
        <v>0</v>
      </c>
      <c r="G533" s="37">
        <f t="shared" si="219"/>
        <v>0</v>
      </c>
      <c r="H533" s="37">
        <f t="shared" si="219"/>
        <v>23</v>
      </c>
      <c r="I533" s="37">
        <f t="shared" si="219"/>
        <v>0</v>
      </c>
      <c r="J533" s="45">
        <f t="shared" si="219"/>
        <v>119</v>
      </c>
      <c r="K533" s="88">
        <f t="shared" si="219"/>
        <v>0</v>
      </c>
      <c r="L533" s="37">
        <f t="shared" si="219"/>
        <v>0</v>
      </c>
      <c r="M533" s="37">
        <f t="shared" si="219"/>
        <v>0</v>
      </c>
      <c r="N533" s="37">
        <f t="shared" si="219"/>
        <v>0</v>
      </c>
      <c r="O533" s="37">
        <f>SUM(O530:O532)</f>
        <v>0</v>
      </c>
      <c r="P533" s="37">
        <f>SUM(P530:P532)</f>
        <v>0</v>
      </c>
      <c r="Q533" s="37">
        <f>SUM(Q530:Q532)</f>
        <v>119</v>
      </c>
      <c r="R533" s="37">
        <f>SUM(R530:R532)</f>
        <v>1309</v>
      </c>
      <c r="S533" s="38">
        <f t="array" ref="S533">IF(ISERROR(Q533/J533),"",Q533/J533)</f>
        <v>1</v>
      </c>
      <c r="T533" s="39">
        <f t="array" ref="T533">IF(ISERROR((O533:P533)/C533),"",SUM(O533:P533)/C533)</f>
        <v>0</v>
      </c>
      <c r="V533" s="214"/>
      <c r="X533" s="29"/>
      <c r="Y533" s="29"/>
      <c r="Z533" s="40"/>
      <c r="AA533" s="40"/>
      <c r="AB533" s="40"/>
      <c r="AC533" s="41"/>
      <c r="AD533" s="4"/>
      <c r="AE533" s="41"/>
      <c r="AF533" s="41"/>
      <c r="AG533" s="41"/>
      <c r="AH533" s="41"/>
      <c r="AI533" s="4"/>
      <c r="AJ533" s="4"/>
      <c r="AK533" s="4"/>
      <c r="AL533" s="4"/>
      <c r="AM533" s="4"/>
      <c r="AN533" s="15"/>
      <c r="AO533" s="4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313"/>
      <c r="B534" s="68"/>
      <c r="C534" s="14"/>
      <c r="D534" s="14"/>
      <c r="E534" s="14"/>
      <c r="F534" s="14"/>
      <c r="G534" s="4"/>
      <c r="H534" s="14"/>
      <c r="I534" s="4"/>
      <c r="J534" s="43"/>
      <c r="K534" s="28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203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</row>
    <row r="535" spans="1:53">
      <c r="A535" s="313"/>
      <c r="B535" s="68" t="s">
        <v>146</v>
      </c>
      <c r="C535" s="14"/>
      <c r="D535" s="14"/>
      <c r="E535" s="14"/>
      <c r="F535" s="14"/>
      <c r="G535" s="4"/>
      <c r="H535" s="14"/>
      <c r="I535" s="4" t="s">
        <v>147</v>
      </c>
      <c r="J535" s="43" t="s">
        <v>449</v>
      </c>
      <c r="K535" s="28"/>
      <c r="L535" s="14"/>
      <c r="M535" s="14"/>
      <c r="N535" s="14"/>
      <c r="O535" s="14"/>
      <c r="P535" s="14"/>
      <c r="Q535" s="14"/>
      <c r="R535" s="14"/>
      <c r="S535" s="14"/>
      <c r="T535" s="14"/>
      <c r="V535" s="203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</row>
    <row r="536" spans="1:53">
      <c r="A536" s="179"/>
      <c r="B536" s="257"/>
      <c r="C536" s="257"/>
      <c r="D536" s="51"/>
      <c r="E536" s="257"/>
    </row>
    <row r="537" spans="1:53">
      <c r="A537" s="327"/>
      <c r="B537" s="258"/>
      <c r="C537" s="257"/>
      <c r="D537" s="51"/>
      <c r="E537" s="257"/>
    </row>
    <row r="538" spans="1:53">
      <c r="A538" s="327"/>
      <c r="B538" s="260"/>
      <c r="C538" s="257"/>
      <c r="D538" s="51"/>
      <c r="E538" s="257"/>
    </row>
    <row r="539" spans="1:53">
      <c r="A539" s="331"/>
      <c r="B539" s="257"/>
      <c r="C539" s="257"/>
      <c r="D539" s="51"/>
      <c r="E539" s="257"/>
    </row>
    <row r="540" spans="1:53">
      <c r="A540" s="331"/>
      <c r="B540" s="257"/>
      <c r="C540" s="257"/>
      <c r="D540" s="51"/>
      <c r="E540" s="257"/>
      <c r="J540" s="46" t="s">
        <v>174</v>
      </c>
      <c r="K540" s="50" t="s">
        <v>176</v>
      </c>
      <c r="L540" t="s">
        <v>175</v>
      </c>
    </row>
    <row r="541" spans="1:53">
      <c r="A541" s="331"/>
      <c r="B541" s="257"/>
      <c r="C541" s="257"/>
      <c r="D541" s="259"/>
      <c r="E541" s="257"/>
      <c r="H541" s="100" t="s">
        <v>163</v>
      </c>
      <c r="J541" s="101">
        <f>+G28+G198+G368</f>
        <v>0</v>
      </c>
      <c r="K541" s="101">
        <f>+H28+H198+H368</f>
        <v>0</v>
      </c>
      <c r="L541" s="101">
        <f>+I28+I198+I368</f>
        <v>0</v>
      </c>
      <c r="M541" s="50" t="e">
        <f>+J541/L541</f>
        <v>#DIV/0!</v>
      </c>
    </row>
    <row r="542" spans="1:53">
      <c r="A542" s="331"/>
      <c r="B542" s="257"/>
      <c r="C542" s="257"/>
      <c r="D542" s="259"/>
      <c r="E542" s="257"/>
      <c r="H542" s="100" t="s">
        <v>164</v>
      </c>
      <c r="J542" s="101">
        <f>+G426+G256+G86</f>
        <v>0</v>
      </c>
      <c r="K542" s="101">
        <f>+H426+H256+H86</f>
        <v>0</v>
      </c>
      <c r="L542" s="101">
        <f>+I426+I256+I86</f>
        <v>0</v>
      </c>
      <c r="M542" s="50" t="e">
        <f>+J542/L542</f>
        <v>#DIV/0!</v>
      </c>
    </row>
    <row r="543" spans="1:53">
      <c r="A543" s="331"/>
      <c r="B543" s="257"/>
      <c r="C543" s="257"/>
      <c r="D543" s="259"/>
      <c r="E543" s="257"/>
      <c r="H543" s="100" t="s">
        <v>165</v>
      </c>
      <c r="J543" s="101">
        <f>+G461+G291+G121</f>
        <v>2150</v>
      </c>
      <c r="K543" s="101">
        <f>+H461+H291+H121</f>
        <v>4165.8899999999994</v>
      </c>
      <c r="L543" s="101">
        <f>+I461+I291+I121</f>
        <v>338.3</v>
      </c>
      <c r="M543" s="50">
        <f>+J543/L543</f>
        <v>6.3553059414720661</v>
      </c>
    </row>
    <row r="544" spans="1:53">
      <c r="A544" s="331"/>
      <c r="B544" s="257"/>
      <c r="C544" s="257"/>
      <c r="D544" s="259"/>
      <c r="E544" s="257"/>
      <c r="H544" s="100" t="s">
        <v>166</v>
      </c>
      <c r="J544" s="101">
        <f>+G477+G307+G137</f>
        <v>0</v>
      </c>
      <c r="K544" s="101">
        <f>+H477+H307+H137</f>
        <v>0</v>
      </c>
      <c r="L544" s="101">
        <f>+I477+I307+I137</f>
        <v>0</v>
      </c>
      <c r="M544" s="50" t="e">
        <f t="shared" ref="M544:M545" si="220">+J544/L544</f>
        <v>#DIV/0!</v>
      </c>
    </row>
    <row r="545" spans="1:13">
      <c r="A545" s="331"/>
      <c r="B545" s="257"/>
      <c r="C545" s="257"/>
      <c r="D545" s="259"/>
      <c r="E545" s="257"/>
      <c r="H545" s="100" t="s">
        <v>167</v>
      </c>
      <c r="J545" s="101">
        <f>+G503+G332+G162</f>
        <v>737</v>
      </c>
      <c r="K545" s="101">
        <f>+H503+H332+H162</f>
        <v>4188</v>
      </c>
      <c r="L545" s="101">
        <f>+I503+I332+I162</f>
        <v>237</v>
      </c>
      <c r="M545" s="50">
        <f t="shared" si="220"/>
        <v>3.109704641350211</v>
      </c>
    </row>
    <row r="546" spans="1:13">
      <c r="A546" s="331"/>
      <c r="B546" s="257"/>
      <c r="C546" s="257"/>
      <c r="D546" s="259"/>
      <c r="E546" s="257"/>
      <c r="J546" s="101">
        <f>SUM(J541:J545)</f>
        <v>2887</v>
      </c>
      <c r="K546" s="101"/>
      <c r="L546" s="101"/>
      <c r="M546" s="50"/>
    </row>
    <row r="547" spans="1:13">
      <c r="A547" s="331"/>
      <c r="B547" s="257"/>
      <c r="C547" s="257"/>
      <c r="D547" s="259"/>
      <c r="E547" s="257"/>
    </row>
    <row r="548" spans="1:13">
      <c r="A548" s="331"/>
      <c r="B548" s="257"/>
      <c r="C548" s="257"/>
      <c r="D548" s="259"/>
      <c r="E548" s="257"/>
      <c r="G548" t="s">
        <v>168</v>
      </c>
    </row>
    <row r="549" spans="1:13">
      <c r="A549" s="331"/>
      <c r="B549" s="257"/>
      <c r="C549" s="257"/>
      <c r="D549" s="259"/>
      <c r="E549" s="257"/>
      <c r="H549" s="100" t="s">
        <v>163</v>
      </c>
      <c r="J549" s="46">
        <f>+G28</f>
        <v>0</v>
      </c>
      <c r="K549" s="101">
        <f>+H28</f>
        <v>0</v>
      </c>
      <c r="L549" s="101">
        <f>+I28</f>
        <v>0</v>
      </c>
      <c r="M549" s="102" t="e">
        <f>+J549/L549</f>
        <v>#DIV/0!</v>
      </c>
    </row>
    <row r="550" spans="1:13">
      <c r="A550" s="331"/>
      <c r="B550" s="257"/>
      <c r="C550" s="257"/>
      <c r="D550" s="259"/>
      <c r="E550" s="257"/>
      <c r="H550" s="100" t="s">
        <v>164</v>
      </c>
      <c r="J550" s="46">
        <f>G86</f>
        <v>0</v>
      </c>
      <c r="K550" s="101">
        <f>H86</f>
        <v>0</v>
      </c>
      <c r="L550" s="101">
        <f>I86</f>
        <v>0</v>
      </c>
      <c r="M550" s="102" t="e">
        <f>+J550/L550</f>
        <v>#DIV/0!</v>
      </c>
    </row>
    <row r="551" spans="1:13">
      <c r="E551" s="252"/>
      <c r="H551" s="100" t="s">
        <v>165</v>
      </c>
      <c r="J551" s="46">
        <f>+G121</f>
        <v>556</v>
      </c>
      <c r="K551" s="101">
        <f>+H121</f>
        <v>2790.56</v>
      </c>
      <c r="L551" s="101">
        <f>+I121</f>
        <v>27.5</v>
      </c>
      <c r="M551" s="102">
        <f>+J551/L551</f>
        <v>20.218181818181819</v>
      </c>
    </row>
    <row r="552" spans="1:13">
      <c r="H552" s="100" t="s">
        <v>166</v>
      </c>
      <c r="J552" s="46">
        <f>+G137</f>
        <v>0</v>
      </c>
      <c r="K552" s="101">
        <f>+H137</f>
        <v>0</v>
      </c>
      <c r="L552" s="101">
        <f>+I137</f>
        <v>0</v>
      </c>
      <c r="M552" s="102" t="e">
        <f>+J552/L552</f>
        <v>#DIV/0!</v>
      </c>
    </row>
    <row r="553" spans="1:13">
      <c r="H553" s="100" t="s">
        <v>167</v>
      </c>
      <c r="J553" s="46">
        <f>+G162</f>
        <v>216</v>
      </c>
      <c r="K553" s="101">
        <f>+H162</f>
        <v>950.40000000000009</v>
      </c>
      <c r="L553" s="101">
        <f>+I162</f>
        <v>60.5</v>
      </c>
      <c r="M553" s="102">
        <f>+J553/L553</f>
        <v>3.5702479338842976</v>
      </c>
    </row>
    <row r="554" spans="1:13">
      <c r="J554" s="46">
        <f>+B170</f>
        <v>1966</v>
      </c>
      <c r="M554" s="102"/>
    </row>
    <row r="555" spans="1:13">
      <c r="G555" t="s">
        <v>169</v>
      </c>
      <c r="M555" s="102"/>
    </row>
    <row r="556" spans="1:13">
      <c r="H556" s="100" t="s">
        <v>163</v>
      </c>
      <c r="J556" s="46">
        <f>+G198</f>
        <v>0</v>
      </c>
      <c r="K556" s="101">
        <f>+H198</f>
        <v>0</v>
      </c>
      <c r="L556" s="101">
        <f>+I198</f>
        <v>0</v>
      </c>
      <c r="M556" s="102" t="e">
        <f>+J556/L556</f>
        <v>#DIV/0!</v>
      </c>
    </row>
    <row r="557" spans="1:13">
      <c r="H557" s="100" t="s">
        <v>164</v>
      </c>
      <c r="J557" s="46">
        <f>+G256</f>
        <v>0</v>
      </c>
      <c r="K557" s="101">
        <f>+H256</f>
        <v>0</v>
      </c>
      <c r="L557" s="101">
        <f>+I256</f>
        <v>0</v>
      </c>
      <c r="M557" s="102" t="e">
        <f>+J557/L557</f>
        <v>#DIV/0!</v>
      </c>
    </row>
    <row r="558" spans="1:13">
      <c r="H558" s="100" t="s">
        <v>165</v>
      </c>
      <c r="J558" s="46">
        <f>+G291</f>
        <v>1594</v>
      </c>
      <c r="K558" s="101">
        <f>+H291</f>
        <v>1375.33</v>
      </c>
      <c r="L558" s="101">
        <f>+I291</f>
        <v>310.8</v>
      </c>
      <c r="M558" s="102">
        <f>+J558/L558</f>
        <v>5.1287001287001281</v>
      </c>
    </row>
    <row r="559" spans="1:13">
      <c r="H559" s="100" t="s">
        <v>166</v>
      </c>
      <c r="J559" s="46">
        <f>+G307</f>
        <v>0</v>
      </c>
      <c r="K559" s="101">
        <f>+H307</f>
        <v>0</v>
      </c>
      <c r="L559" s="101">
        <f>+I307</f>
        <v>0</v>
      </c>
      <c r="M559" s="102" t="e">
        <f>+J559/L559</f>
        <v>#DIV/0!</v>
      </c>
    </row>
    <row r="560" spans="1:13">
      <c r="H560" s="100" t="s">
        <v>167</v>
      </c>
      <c r="J560" s="46">
        <f>+G332</f>
        <v>521</v>
      </c>
      <c r="K560" s="101">
        <f>+H332</f>
        <v>3237.6000000000004</v>
      </c>
      <c r="L560" s="101">
        <f>+I332</f>
        <v>176.5</v>
      </c>
      <c r="M560" s="102">
        <f>+J560/L560</f>
        <v>2.951841359773371</v>
      </c>
    </row>
    <row r="561" spans="7:13">
      <c r="G561" t="s">
        <v>170</v>
      </c>
      <c r="J561" s="46">
        <f>+B340</f>
        <v>3831</v>
      </c>
      <c r="K561" s="101"/>
      <c r="L561" s="101"/>
      <c r="M561" s="102"/>
    </row>
    <row r="562" spans="7:13">
      <c r="H562" s="100" t="s">
        <v>163</v>
      </c>
      <c r="J562" s="46">
        <f>+G368</f>
        <v>0</v>
      </c>
      <c r="K562" s="101">
        <f>+H368</f>
        <v>0</v>
      </c>
      <c r="L562" s="101">
        <f>+I368</f>
        <v>0</v>
      </c>
      <c r="M562" s="102" t="e">
        <f>+J562/L562</f>
        <v>#DIV/0!</v>
      </c>
    </row>
    <row r="563" spans="7:13">
      <c r="H563" s="100" t="s">
        <v>164</v>
      </c>
      <c r="J563" s="46">
        <f>+G426</f>
        <v>0</v>
      </c>
      <c r="K563" s="101">
        <f>+H426</f>
        <v>0</v>
      </c>
      <c r="L563" s="101">
        <f>+I426</f>
        <v>0</v>
      </c>
      <c r="M563" s="102" t="e">
        <f>+J563/L563</f>
        <v>#DIV/0!</v>
      </c>
    </row>
    <row r="564" spans="7:13">
      <c r="H564" s="100" t="s">
        <v>165</v>
      </c>
      <c r="J564" s="46">
        <f>+G461</f>
        <v>0</v>
      </c>
      <c r="K564" s="101">
        <f>+H461</f>
        <v>0</v>
      </c>
      <c r="L564" s="101">
        <f>+I461</f>
        <v>0</v>
      </c>
      <c r="M564" s="102" t="e">
        <f>+J564/L564</f>
        <v>#DIV/0!</v>
      </c>
    </row>
    <row r="565" spans="7:13">
      <c r="H565" s="100" t="s">
        <v>166</v>
      </c>
      <c r="J565" s="46">
        <f>+G477</f>
        <v>0</v>
      </c>
      <c r="K565" s="101">
        <f>+H477</f>
        <v>0</v>
      </c>
      <c r="L565" s="101">
        <f>+I477</f>
        <v>0</v>
      </c>
      <c r="M565" s="102" t="e">
        <f>+J565/L565</f>
        <v>#DIV/0!</v>
      </c>
    </row>
    <row r="566" spans="7:13">
      <c r="H566" s="100" t="s">
        <v>167</v>
      </c>
      <c r="J566" s="46">
        <f>+G503</f>
        <v>0</v>
      </c>
      <c r="K566" s="101">
        <f>+H503</f>
        <v>0</v>
      </c>
      <c r="L566" s="101">
        <f>+I503</f>
        <v>0</v>
      </c>
      <c r="M566" s="102" t="e">
        <f>+J566/L566</f>
        <v>#DIV/0!</v>
      </c>
    </row>
    <row r="567" spans="7:13">
      <c r="J567" s="46">
        <f>+B511</f>
        <v>0</v>
      </c>
    </row>
  </sheetData>
  <mergeCells count="558"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M526:N526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C522:D522"/>
    <mergeCell ref="E522:F522"/>
    <mergeCell ref="I522:J522"/>
    <mergeCell ref="K522:L522"/>
    <mergeCell ref="M522:N522"/>
    <mergeCell ref="O522:P522"/>
    <mergeCell ref="Q522:R522"/>
    <mergeCell ref="S522:T522"/>
    <mergeCell ref="A523:B523"/>
    <mergeCell ref="C523:D523"/>
    <mergeCell ref="E523:F523"/>
    <mergeCell ref="I523:J523"/>
    <mergeCell ref="K523:L523"/>
    <mergeCell ref="M523:N523"/>
    <mergeCell ref="O523:P523"/>
    <mergeCell ref="Q523:R523"/>
    <mergeCell ref="S523:T523"/>
    <mergeCell ref="M520:N520"/>
    <mergeCell ref="O520:P520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A520:B520"/>
    <mergeCell ref="C520:D520"/>
    <mergeCell ref="E520:F520"/>
    <mergeCell ref="G520:H527"/>
    <mergeCell ref="I520:J520"/>
    <mergeCell ref="K520:L520"/>
    <mergeCell ref="A525:B525"/>
    <mergeCell ref="C525:D525"/>
    <mergeCell ref="E525:F525"/>
    <mergeCell ref="I525:J525"/>
    <mergeCell ref="O521:P521"/>
    <mergeCell ref="Q521:R521"/>
    <mergeCell ref="S521:T521"/>
    <mergeCell ref="A522:B522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8:B518"/>
    <mergeCell ref="C518:D518"/>
    <mergeCell ref="E518:F518"/>
    <mergeCell ref="G518:H518"/>
    <mergeCell ref="I518:J518"/>
    <mergeCell ref="K518:L518"/>
    <mergeCell ref="M518:N518"/>
    <mergeCell ref="O518:P518"/>
    <mergeCell ref="G514:I514"/>
    <mergeCell ref="N514:R514"/>
    <mergeCell ref="A516:B516"/>
    <mergeCell ref="C516:D516"/>
    <mergeCell ref="E516:F516"/>
    <mergeCell ref="G516:H516"/>
    <mergeCell ref="I516:J516"/>
    <mergeCell ref="K516:L516"/>
    <mergeCell ref="M516:N516"/>
    <mergeCell ref="O516:P516"/>
    <mergeCell ref="C512:D512"/>
    <mergeCell ref="E512:F512"/>
    <mergeCell ref="G512:H512"/>
    <mergeCell ref="I512:J512"/>
    <mergeCell ref="K512:L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M512:N512"/>
    <mergeCell ref="P512:Q512"/>
    <mergeCell ref="R512:S512"/>
    <mergeCell ref="T512:U512"/>
    <mergeCell ref="V512:W512"/>
    <mergeCell ref="X512:Y512"/>
    <mergeCell ref="V513:W513"/>
    <mergeCell ref="X513:Y513"/>
    <mergeCell ref="Z513:AA513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V511:W511"/>
    <mergeCell ref="X511:Y511"/>
    <mergeCell ref="Z511:AA511"/>
    <mergeCell ref="C510:D510"/>
    <mergeCell ref="E510:F510"/>
    <mergeCell ref="G510:H510"/>
    <mergeCell ref="I510:J510"/>
    <mergeCell ref="K510:L510"/>
    <mergeCell ref="M510:N510"/>
    <mergeCell ref="P510:Q510"/>
    <mergeCell ref="R510:S510"/>
    <mergeCell ref="T510:U510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Z509:AA509"/>
    <mergeCell ref="M509:N509"/>
    <mergeCell ref="P509:Q509"/>
    <mergeCell ref="R509:S509"/>
    <mergeCell ref="T509:U509"/>
    <mergeCell ref="V509:W509"/>
    <mergeCell ref="X509:Y509"/>
    <mergeCell ref="C508:D508"/>
    <mergeCell ref="E508:F508"/>
    <mergeCell ref="G508:H508"/>
    <mergeCell ref="I508:J508"/>
    <mergeCell ref="K508:L508"/>
    <mergeCell ref="M508:N508"/>
    <mergeCell ref="P508:Q508"/>
    <mergeCell ref="R508:S508"/>
    <mergeCell ref="T508:U508"/>
    <mergeCell ref="C507:D507"/>
    <mergeCell ref="E507:F507"/>
    <mergeCell ref="G507:H507"/>
    <mergeCell ref="I507:J507"/>
    <mergeCell ref="K507:L507"/>
    <mergeCell ref="M507:N507"/>
    <mergeCell ref="P507:Q507"/>
    <mergeCell ref="V507:W507"/>
    <mergeCell ref="X507:Y507"/>
    <mergeCell ref="R505:S505"/>
    <mergeCell ref="T505:U505"/>
    <mergeCell ref="R506:S506"/>
    <mergeCell ref="T506:U506"/>
    <mergeCell ref="R507:S507"/>
    <mergeCell ref="T507:U507"/>
    <mergeCell ref="V506:W506"/>
    <mergeCell ref="X506:Y506"/>
    <mergeCell ref="Z506:AA506"/>
    <mergeCell ref="Z507:AA507"/>
    <mergeCell ref="A487:B487"/>
    <mergeCell ref="A503:B503"/>
    <mergeCell ref="A504:F504"/>
    <mergeCell ref="AL504:AR504"/>
    <mergeCell ref="AS504:BA504"/>
    <mergeCell ref="A505:A510"/>
    <mergeCell ref="C505:D505"/>
    <mergeCell ref="E505:F505"/>
    <mergeCell ref="G505:H505"/>
    <mergeCell ref="I505:J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K505:L505"/>
    <mergeCell ref="M505:N505"/>
    <mergeCell ref="O505:O513"/>
    <mergeCell ref="P505:Q505"/>
    <mergeCell ref="A368:B368"/>
    <mergeCell ref="A426:B426"/>
    <mergeCell ref="A461:B461"/>
    <mergeCell ref="A477:B477"/>
    <mergeCell ref="AJ344:AJ346"/>
    <mergeCell ref="AK344:AK346"/>
    <mergeCell ref="AL344:BA344"/>
    <mergeCell ref="O345:O346"/>
    <mergeCell ref="P345:P346"/>
    <mergeCell ref="Q345:Q346"/>
    <mergeCell ref="R345:R346"/>
    <mergeCell ref="S345:S346"/>
    <mergeCell ref="T345:T346"/>
    <mergeCell ref="U345:U346"/>
    <mergeCell ref="N344:N346"/>
    <mergeCell ref="O344:U344"/>
    <mergeCell ref="V344:V346"/>
    <mergeCell ref="W344:W346"/>
    <mergeCell ref="X344:AA344"/>
    <mergeCell ref="AI344:AI346"/>
    <mergeCell ref="X345:X346"/>
    <mergeCell ref="Y345:Y346"/>
    <mergeCell ref="Z345:Z346"/>
    <mergeCell ref="AA345:AA346"/>
    <mergeCell ref="G344:H345"/>
    <mergeCell ref="I344:I346"/>
    <mergeCell ref="J344:J346"/>
    <mergeCell ref="K344:K346"/>
    <mergeCell ref="L344:L346"/>
    <mergeCell ref="M344:M346"/>
    <mergeCell ref="V342:W342"/>
    <mergeCell ref="X342:Y342"/>
    <mergeCell ref="Z342:AA342"/>
    <mergeCell ref="A343:BA343"/>
    <mergeCell ref="A344:A346"/>
    <mergeCell ref="B344:B346"/>
    <mergeCell ref="C344:C346"/>
    <mergeCell ref="D344:D346"/>
    <mergeCell ref="E344:E346"/>
    <mergeCell ref="F344:F346"/>
    <mergeCell ref="AL345:AR345"/>
    <mergeCell ref="AS345:BA345"/>
    <mergeCell ref="C341:D341"/>
    <mergeCell ref="E341:F341"/>
    <mergeCell ref="G341:H341"/>
    <mergeCell ref="I341:J341"/>
    <mergeCell ref="K341:L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M341:N341"/>
    <mergeCell ref="P341:Q341"/>
    <mergeCell ref="R341:S341"/>
    <mergeCell ref="T341:U341"/>
    <mergeCell ref="V341:W341"/>
    <mergeCell ref="X341:Y341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M340:N340"/>
    <mergeCell ref="P340:Q340"/>
    <mergeCell ref="R340:S340"/>
    <mergeCell ref="T340:U340"/>
    <mergeCell ref="V340:W340"/>
    <mergeCell ref="X340:Y340"/>
    <mergeCell ref="Z340:AA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Z338:AA338"/>
    <mergeCell ref="M338:N338"/>
    <mergeCell ref="P338:Q338"/>
    <mergeCell ref="R338:S338"/>
    <mergeCell ref="T338:U338"/>
    <mergeCell ref="V338:W338"/>
    <mergeCell ref="X338:Y338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C336:D336"/>
    <mergeCell ref="E336:F336"/>
    <mergeCell ref="G336:H336"/>
    <mergeCell ref="I336:J336"/>
    <mergeCell ref="K336:L336"/>
    <mergeCell ref="M336:N336"/>
    <mergeCell ref="P336:Q336"/>
    <mergeCell ref="V336:W336"/>
    <mergeCell ref="X336:Y336"/>
    <mergeCell ref="R334:S334"/>
    <mergeCell ref="T334:U334"/>
    <mergeCell ref="R335:S335"/>
    <mergeCell ref="T335:U335"/>
    <mergeCell ref="R336:S336"/>
    <mergeCell ref="T336:U336"/>
    <mergeCell ref="V335:W335"/>
    <mergeCell ref="X335:Y335"/>
    <mergeCell ref="Z335:AA335"/>
    <mergeCell ref="Z336:AA336"/>
    <mergeCell ref="A317:B317"/>
    <mergeCell ref="A332:B332"/>
    <mergeCell ref="A333:F333"/>
    <mergeCell ref="AL333:AR333"/>
    <mergeCell ref="AS333:BA333"/>
    <mergeCell ref="A334:A339"/>
    <mergeCell ref="C334:D334"/>
    <mergeCell ref="E334:F334"/>
    <mergeCell ref="G334:H334"/>
    <mergeCell ref="I334:J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K334:L334"/>
    <mergeCell ref="M334:N334"/>
    <mergeCell ref="O334:O342"/>
    <mergeCell ref="P334:Q334"/>
    <mergeCell ref="AL175:AR175"/>
    <mergeCell ref="AS175:BA175"/>
    <mergeCell ref="A198:B198"/>
    <mergeCell ref="A256:B256"/>
    <mergeCell ref="A291:B291"/>
    <mergeCell ref="A307:B307"/>
    <mergeCell ref="AJ174:AJ176"/>
    <mergeCell ref="AK174:AK176"/>
    <mergeCell ref="AL174:BA174"/>
    <mergeCell ref="O175:O176"/>
    <mergeCell ref="P175:P176"/>
    <mergeCell ref="Q175:Q176"/>
    <mergeCell ref="R175:R176"/>
    <mergeCell ref="S175:S176"/>
    <mergeCell ref="T175:T176"/>
    <mergeCell ref="U175:U176"/>
    <mergeCell ref="N174:N176"/>
    <mergeCell ref="O174:U174"/>
    <mergeCell ref="V174:V176"/>
    <mergeCell ref="W174:W176"/>
    <mergeCell ref="X174:AA174"/>
    <mergeCell ref="AI174:AI176"/>
    <mergeCell ref="X175:X176"/>
    <mergeCell ref="Y175:Y176"/>
    <mergeCell ref="Z175:Z176"/>
    <mergeCell ref="AA175:AA176"/>
    <mergeCell ref="G174:H175"/>
    <mergeCell ref="I174:I176"/>
    <mergeCell ref="J174:J176"/>
    <mergeCell ref="K174:K176"/>
    <mergeCell ref="L174:L176"/>
    <mergeCell ref="M174:M176"/>
    <mergeCell ref="A174:A176"/>
    <mergeCell ref="B174:B176"/>
    <mergeCell ref="C174:C176"/>
    <mergeCell ref="D174:D176"/>
    <mergeCell ref="E174:E176"/>
    <mergeCell ref="F174:F176"/>
    <mergeCell ref="R172:S172"/>
    <mergeCell ref="T172:U172"/>
    <mergeCell ref="V172:W172"/>
    <mergeCell ref="X172:Y172"/>
    <mergeCell ref="Z172:AA172"/>
    <mergeCell ref="A173:BA173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Z170:AA170"/>
    <mergeCell ref="M170:N170"/>
    <mergeCell ref="P170:Q170"/>
    <mergeCell ref="R170:S170"/>
    <mergeCell ref="T170:U170"/>
    <mergeCell ref="V170:W170"/>
    <mergeCell ref="X170:Y170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C167:D167"/>
    <mergeCell ref="E167:F167"/>
    <mergeCell ref="G167:H167"/>
    <mergeCell ref="I167:J167"/>
    <mergeCell ref="K167:L167"/>
    <mergeCell ref="Z167:AA167"/>
    <mergeCell ref="C168:D168"/>
    <mergeCell ref="E168:F168"/>
    <mergeCell ref="G168:H168"/>
    <mergeCell ref="I168:J168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7:W167"/>
    <mergeCell ref="X167:Y167"/>
    <mergeCell ref="V168:W168"/>
    <mergeCell ref="X168:Y168"/>
    <mergeCell ref="Z168:AA168"/>
    <mergeCell ref="Z165:AA165"/>
    <mergeCell ref="C166:D166"/>
    <mergeCell ref="E166:F166"/>
    <mergeCell ref="G166:H166"/>
    <mergeCell ref="I166:J166"/>
    <mergeCell ref="K166:L166"/>
    <mergeCell ref="R166:S166"/>
    <mergeCell ref="T166:U166"/>
    <mergeCell ref="V166:W166"/>
    <mergeCell ref="X166:Y166"/>
    <mergeCell ref="Z166:AA166"/>
    <mergeCell ref="P164:Q164"/>
    <mergeCell ref="M165:N165"/>
    <mergeCell ref="P165:Q165"/>
    <mergeCell ref="M166:N166"/>
    <mergeCell ref="P166:Q166"/>
    <mergeCell ref="R165:S165"/>
    <mergeCell ref="T165:U165"/>
    <mergeCell ref="V165:W165"/>
    <mergeCell ref="X165:Y165"/>
    <mergeCell ref="A137:B137"/>
    <mergeCell ref="A147:B147"/>
    <mergeCell ref="A162:B162"/>
    <mergeCell ref="A163:F163"/>
    <mergeCell ref="A164:A169"/>
    <mergeCell ref="C164:D164"/>
    <mergeCell ref="E164:F164"/>
    <mergeCell ref="Y5:Y6"/>
    <mergeCell ref="Z5:Z6"/>
    <mergeCell ref="R164:S164"/>
    <mergeCell ref="T164:U164"/>
    <mergeCell ref="V164:W164"/>
    <mergeCell ref="X164:Y164"/>
    <mergeCell ref="Z164:AA164"/>
    <mergeCell ref="C165:D165"/>
    <mergeCell ref="E165:F165"/>
    <mergeCell ref="G165:H165"/>
    <mergeCell ref="I165:J165"/>
    <mergeCell ref="K165:L165"/>
    <mergeCell ref="G164:H164"/>
    <mergeCell ref="I164:J164"/>
    <mergeCell ref="K164:L164"/>
    <mergeCell ref="M164:N164"/>
    <mergeCell ref="O164:O172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67"/>
  <sheetViews>
    <sheetView topLeftCell="A517" zoomScaleNormal="100" workbookViewId="0">
      <selection activeCell="G482" sqref="G482"/>
    </sheetView>
  </sheetViews>
  <sheetFormatPr defaultRowHeight="15.75"/>
  <cols>
    <col min="1" max="1" width="9.75" style="121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1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328" t="s">
        <v>500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0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708" t="s">
        <v>23</v>
      </c>
      <c r="B2" s="708"/>
      <c r="C2" s="708"/>
      <c r="D2" s="708"/>
      <c r="E2" s="708"/>
      <c r="F2" s="708"/>
      <c r="G2" s="708"/>
      <c r="H2" s="708"/>
      <c r="I2" s="708"/>
      <c r="J2" s="708"/>
      <c r="K2" s="708"/>
      <c r="L2" s="708"/>
      <c r="M2" s="708"/>
      <c r="N2" s="708"/>
      <c r="O2" s="708"/>
      <c r="P2" s="708"/>
      <c r="Q2" s="708"/>
      <c r="R2" s="708"/>
      <c r="S2" s="708"/>
      <c r="T2" s="708"/>
      <c r="U2" s="708"/>
      <c r="V2" s="708"/>
      <c r="W2" s="708"/>
      <c r="X2" s="708"/>
      <c r="Y2" s="708"/>
      <c r="Z2" s="708"/>
      <c r="AA2" s="708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29" t="s">
        <v>501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656" t="s">
        <v>502</v>
      </c>
      <c r="B4" s="709" t="s">
        <v>25</v>
      </c>
      <c r="C4" s="709" t="s">
        <v>26</v>
      </c>
      <c r="D4" s="709" t="s">
        <v>27</v>
      </c>
      <c r="E4" s="712" t="s">
        <v>28</v>
      </c>
      <c r="F4" s="715" t="s">
        <v>29</v>
      </c>
      <c r="G4" s="718" t="s">
        <v>30</v>
      </c>
      <c r="H4" s="718"/>
      <c r="I4" s="709" t="s">
        <v>31</v>
      </c>
      <c r="J4" s="719" t="s">
        <v>32</v>
      </c>
      <c r="K4" s="730" t="s">
        <v>33</v>
      </c>
      <c r="L4" s="709" t="s">
        <v>34</v>
      </c>
      <c r="M4" s="733" t="s">
        <v>35</v>
      </c>
      <c r="N4" s="727" t="s">
        <v>36</v>
      </c>
      <c r="O4" s="718" t="s">
        <v>37</v>
      </c>
      <c r="P4" s="718"/>
      <c r="Q4" s="718"/>
      <c r="R4" s="718"/>
      <c r="S4" s="718"/>
      <c r="T4" s="718"/>
      <c r="U4" s="718"/>
      <c r="V4" s="735" t="s">
        <v>38</v>
      </c>
      <c r="W4" s="727" t="s">
        <v>39</v>
      </c>
      <c r="X4" s="718" t="s">
        <v>40</v>
      </c>
      <c r="Y4" s="718"/>
      <c r="Z4" s="718"/>
      <c r="AA4" s="718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657"/>
      <c r="B5" s="710"/>
      <c r="C5" s="710"/>
      <c r="D5" s="710"/>
      <c r="E5" s="713"/>
      <c r="F5" s="716"/>
      <c r="G5" s="718"/>
      <c r="H5" s="718"/>
      <c r="I5" s="710"/>
      <c r="J5" s="720"/>
      <c r="K5" s="731"/>
      <c r="L5" s="710"/>
      <c r="M5" s="734"/>
      <c r="N5" s="727"/>
      <c r="O5" s="718" t="s">
        <v>41</v>
      </c>
      <c r="P5" s="718" t="s">
        <v>42</v>
      </c>
      <c r="Q5" s="718" t="s">
        <v>43</v>
      </c>
      <c r="R5" s="728" t="s">
        <v>44</v>
      </c>
      <c r="S5" s="729" t="s">
        <v>45</v>
      </c>
      <c r="T5" s="718" t="s">
        <v>46</v>
      </c>
      <c r="U5" s="718" t="s">
        <v>47</v>
      </c>
      <c r="V5" s="735"/>
      <c r="W5" s="727"/>
      <c r="X5" s="718" t="s">
        <v>13</v>
      </c>
      <c r="Y5" s="718" t="s">
        <v>48</v>
      </c>
      <c r="Z5" s="718" t="s">
        <v>49</v>
      </c>
      <c r="AA5" s="718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658"/>
      <c r="B6" s="711"/>
      <c r="C6" s="711"/>
      <c r="D6" s="711"/>
      <c r="E6" s="714"/>
      <c r="F6" s="717"/>
      <c r="G6" s="335" t="s">
        <v>50</v>
      </c>
      <c r="H6" s="335" t="s">
        <v>51</v>
      </c>
      <c r="I6" s="711"/>
      <c r="J6" s="721"/>
      <c r="K6" s="732"/>
      <c r="L6" s="711"/>
      <c r="M6" s="734"/>
      <c r="N6" s="727"/>
      <c r="O6" s="718"/>
      <c r="P6" s="718"/>
      <c r="Q6" s="718"/>
      <c r="R6" s="728"/>
      <c r="S6" s="729"/>
      <c r="T6" s="718"/>
      <c r="U6" s="718"/>
      <c r="V6" s="735"/>
      <c r="W6" s="727"/>
      <c r="X6" s="718"/>
      <c r="Y6" s="718"/>
      <c r="Z6" s="718"/>
      <c r="AA6" s="718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31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SUM('3:23'!G7)</f>
        <v>558</v>
      </c>
      <c r="H7" s="95">
        <f t="shared" ref="H7:H24" si="0">D7*G7</f>
        <v>2806.7400000000002</v>
      </c>
      <c r="I7" s="93">
        <f>SUM('3:23'!I7)</f>
        <v>44</v>
      </c>
      <c r="J7" s="31">
        <f>IF(ISERROR(G7/I7),"",G7/I7)</f>
        <v>12.681818181818182</v>
      </c>
      <c r="K7" s="96">
        <f t="array" ref="K7">IF(ISERROR(G7/L7),"",G7/L7)</f>
        <v>34.875</v>
      </c>
      <c r="L7" s="84">
        <v>16</v>
      </c>
      <c r="M7" s="97">
        <f t="shared" ref="M7:M16" si="1">IF(ISERROR(I7-K7),"",I7-K7)</f>
        <v>9.125</v>
      </c>
      <c r="N7" s="93">
        <f>SUM('3:23'!N7)</f>
        <v>0</v>
      </c>
      <c r="O7" s="93">
        <f>SUM('3:23'!O7)</f>
        <v>0</v>
      </c>
      <c r="P7" s="93">
        <f>SUM('3:23'!P7)</f>
        <v>0</v>
      </c>
      <c r="Q7" s="93">
        <f>SUM('3:23'!Q7)</f>
        <v>0</v>
      </c>
      <c r="R7" s="93">
        <f>SUM('3:23'!R7)</f>
        <v>0</v>
      </c>
      <c r="S7" s="93">
        <f>SUM('3:23'!S7)</f>
        <v>0</v>
      </c>
      <c r="T7" s="93">
        <f>SUM('3:23'!T7)</f>
        <v>0</v>
      </c>
      <c r="U7" s="93">
        <f>SUM('3:23'!U7)</f>
        <v>0</v>
      </c>
      <c r="V7" s="205">
        <f t="shared" ref="V7:V27" si="2">SUM(X7:AA7)</f>
        <v>0</v>
      </c>
      <c r="W7" s="33">
        <f t="shared" ref="W7:W16" si="3">IF(ISERROR(V7/G7),"",V7/G7)</f>
        <v>0</v>
      </c>
      <c r="X7" s="93">
        <f>SUM('3:23'!X7)</f>
        <v>0</v>
      </c>
      <c r="Y7" s="93">
        <f>SUM('3:23'!Y7)</f>
        <v>0</v>
      </c>
      <c r="Z7" s="93">
        <f>SUM('3:23'!Z7)</f>
        <v>0</v>
      </c>
      <c r="AA7" s="93">
        <f>SUM('3:23'!AA7)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300"/>
      <c r="B8" s="62" t="s">
        <v>54</v>
      </c>
      <c r="C8" s="16" t="s">
        <v>53</v>
      </c>
      <c r="D8" s="17">
        <v>5.03</v>
      </c>
      <c r="E8" s="17"/>
      <c r="F8" s="6"/>
      <c r="G8" s="93">
        <f>SUM('3:23'!G8)</f>
        <v>0</v>
      </c>
      <c r="H8" s="95">
        <f t="shared" si="0"/>
        <v>0</v>
      </c>
      <c r="I8" s="93">
        <f>SUM('3:23'!I8)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SUM('3:23'!N8)</f>
        <v>0</v>
      </c>
      <c r="O8" s="93">
        <f>SUM('3:23'!O8)</f>
        <v>0</v>
      </c>
      <c r="P8" s="93">
        <f>SUM('3:23'!P8)</f>
        <v>0</v>
      </c>
      <c r="Q8" s="93">
        <f>SUM('3:23'!Q8)</f>
        <v>0</v>
      </c>
      <c r="R8" s="93">
        <f>SUM('3:23'!R8)</f>
        <v>0</v>
      </c>
      <c r="S8" s="93">
        <f>SUM('3:23'!S8)</f>
        <v>0</v>
      </c>
      <c r="T8" s="93">
        <f>SUM('3:23'!T8)</f>
        <v>0</v>
      </c>
      <c r="U8" s="93">
        <f>SUM('3:23'!U8)</f>
        <v>0</v>
      </c>
      <c r="V8" s="205">
        <f t="shared" si="2"/>
        <v>0</v>
      </c>
      <c r="W8" s="33" t="str">
        <f t="shared" si="3"/>
        <v/>
      </c>
      <c r="X8" s="93">
        <f>SUM('3:23'!X8)</f>
        <v>0</v>
      </c>
      <c r="Y8" s="93">
        <f>SUM('3:23'!Y8)</f>
        <v>0</v>
      </c>
      <c r="Z8" s="93">
        <f>SUM('3:23'!Z8)</f>
        <v>0</v>
      </c>
      <c r="AA8" s="93">
        <f>SUM('3:23'!AA8)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301"/>
      <c r="B9" s="62" t="s">
        <v>54</v>
      </c>
      <c r="C9" s="16" t="s">
        <v>55</v>
      </c>
      <c r="D9" s="17">
        <v>5.03</v>
      </c>
      <c r="E9" s="17"/>
      <c r="F9" s="6"/>
      <c r="G9" s="93">
        <f>SUM('3:23'!G9)</f>
        <v>0</v>
      </c>
      <c r="H9" s="95">
        <f t="shared" si="0"/>
        <v>0</v>
      </c>
      <c r="I9" s="93">
        <f>SUM('3:23'!I9)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SUM('3:23'!N9)</f>
        <v>0</v>
      </c>
      <c r="O9" s="93">
        <f>SUM('3:23'!O9)</f>
        <v>0</v>
      </c>
      <c r="P9" s="93">
        <f>SUM('3:23'!P9)</f>
        <v>0</v>
      </c>
      <c r="Q9" s="93">
        <f>SUM('3:23'!Q9)</f>
        <v>0</v>
      </c>
      <c r="R9" s="93">
        <f>SUM('3:23'!R9)</f>
        <v>0</v>
      </c>
      <c r="S9" s="93">
        <f>SUM('3:23'!S9)</f>
        <v>0</v>
      </c>
      <c r="T9" s="93">
        <f>SUM('3:23'!T9)</f>
        <v>0</v>
      </c>
      <c r="U9" s="93">
        <f>SUM('3:23'!U9)</f>
        <v>0</v>
      </c>
      <c r="V9" s="205">
        <f t="shared" si="2"/>
        <v>0</v>
      </c>
      <c r="W9" s="33" t="str">
        <f t="shared" si="3"/>
        <v/>
      </c>
      <c r="X9" s="93">
        <f>SUM('3:23'!X9)</f>
        <v>0</v>
      </c>
      <c r="Y9" s="93">
        <f>SUM('3:23'!Y9)</f>
        <v>0</v>
      </c>
      <c r="Z9" s="93">
        <f>SUM('3:23'!Z9)</f>
        <v>0</v>
      </c>
      <c r="AA9" s="93">
        <f>SUM('3:23'!AA9)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31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SUM('3:23'!G10)</f>
        <v>933</v>
      </c>
      <c r="H10" s="95">
        <f t="shared" si="0"/>
        <v>4692.99</v>
      </c>
      <c r="I10" s="93">
        <f>SUM('3:23'!I10)</f>
        <v>52</v>
      </c>
      <c r="J10" s="31">
        <f t="array" ref="J10">IF(ISERROR(G10/I10),"",G10/I10)</f>
        <v>17.942307692307693</v>
      </c>
      <c r="K10" s="35">
        <f t="array" ref="K10">IF(ISERROR(G10/L10),"",G10/L10)</f>
        <v>49.10526315789474</v>
      </c>
      <c r="L10" s="87">
        <v>19</v>
      </c>
      <c r="M10" s="36">
        <f t="shared" si="1"/>
        <v>2.8947368421052602</v>
      </c>
      <c r="N10" s="93">
        <f>SUM('3:23'!N10)</f>
        <v>0</v>
      </c>
      <c r="O10" s="93">
        <f>SUM('3:23'!O10)</f>
        <v>0</v>
      </c>
      <c r="P10" s="93">
        <f>SUM('3:23'!P10)</f>
        <v>0</v>
      </c>
      <c r="Q10" s="93">
        <f>SUM('3:23'!Q10)</f>
        <v>0</v>
      </c>
      <c r="R10" s="93">
        <f>SUM('3:23'!R10)</f>
        <v>0</v>
      </c>
      <c r="S10" s="93">
        <f>SUM('3:23'!S10)</f>
        <v>0</v>
      </c>
      <c r="T10" s="93">
        <f>SUM('3:23'!T10)</f>
        <v>0</v>
      </c>
      <c r="U10" s="93">
        <f>SUM('3:23'!U10)</f>
        <v>0</v>
      </c>
      <c r="V10" s="205">
        <f t="shared" si="2"/>
        <v>0</v>
      </c>
      <c r="W10" s="33">
        <f t="shared" si="3"/>
        <v>0</v>
      </c>
      <c r="X10" s="93">
        <f>SUM('3:23'!X10)</f>
        <v>0</v>
      </c>
      <c r="Y10" s="93">
        <f>SUM('3:23'!Y10)</f>
        <v>0</v>
      </c>
      <c r="Z10" s="93">
        <f>SUM('3:23'!Z10)</f>
        <v>0</v>
      </c>
      <c r="AA10" s="93">
        <f>SUM('3:23'!AA10)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31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SUM('3:23'!G11)</f>
        <v>569</v>
      </c>
      <c r="H11" s="95">
        <f t="shared" si="0"/>
        <v>2862.07</v>
      </c>
      <c r="I11" s="93">
        <f>SUM('3:23'!I11)</f>
        <v>36</v>
      </c>
      <c r="J11" s="31">
        <f t="array" ref="J11">IF(ISERROR(G11/I11),"",G11/I11)</f>
        <v>15.805555555555555</v>
      </c>
      <c r="K11" s="35">
        <f t="array" ref="K11">IF(ISERROR(G11/L11),"",G11/L11)</f>
        <v>28.45</v>
      </c>
      <c r="L11" s="87">
        <v>20</v>
      </c>
      <c r="M11" s="36">
        <f t="shared" si="1"/>
        <v>7.5500000000000007</v>
      </c>
      <c r="N11" s="93">
        <f>SUM('3:23'!N11)</f>
        <v>0</v>
      </c>
      <c r="O11" s="93">
        <f>SUM('3:23'!O11)</f>
        <v>0</v>
      </c>
      <c r="P11" s="93">
        <f>SUM('3:23'!P11)</f>
        <v>0</v>
      </c>
      <c r="Q11" s="93">
        <f>SUM('3:23'!Q11)</f>
        <v>0</v>
      </c>
      <c r="R11" s="93">
        <f>SUM('3:23'!R11)</f>
        <v>0</v>
      </c>
      <c r="S11" s="93">
        <f>SUM('3:23'!S11)</f>
        <v>0</v>
      </c>
      <c r="T11" s="93">
        <f>SUM('3:23'!T11)</f>
        <v>0</v>
      </c>
      <c r="U11" s="93">
        <f>SUM('3:23'!U11)</f>
        <v>0</v>
      </c>
      <c r="V11" s="205">
        <f t="shared" si="2"/>
        <v>0</v>
      </c>
      <c r="W11" s="33">
        <f t="shared" si="3"/>
        <v>0</v>
      </c>
      <c r="X11" s="93">
        <f>SUM('3:23'!X11)</f>
        <v>0</v>
      </c>
      <c r="Y11" s="93">
        <f>SUM('3:23'!Y11)</f>
        <v>0</v>
      </c>
      <c r="Z11" s="93">
        <f>SUM('3:23'!Z11)</f>
        <v>0</v>
      </c>
      <c r="AA11" s="93">
        <f>SUM('3:23'!AA11)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31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SUM('3:23'!G12)</f>
        <v>417</v>
      </c>
      <c r="H12" s="95">
        <f t="shared" si="0"/>
        <v>2101.6799999999998</v>
      </c>
      <c r="I12" s="93">
        <f>SUM('3:23'!I12)</f>
        <v>28.5</v>
      </c>
      <c r="J12" s="31">
        <f t="array" ref="J12">IF(ISERROR(G12/I12),"",G12/I12)</f>
        <v>14.631578947368421</v>
      </c>
      <c r="K12" s="35">
        <f t="array" ref="K12">IF(ISERROR(G12/L12),"",G12/L12)</f>
        <v>21.94736842105263</v>
      </c>
      <c r="L12" s="87">
        <v>19</v>
      </c>
      <c r="M12" s="36">
        <f t="shared" si="1"/>
        <v>6.5526315789473699</v>
      </c>
      <c r="N12" s="93">
        <f>SUM('3:23'!N12)</f>
        <v>0</v>
      </c>
      <c r="O12" s="93">
        <f>SUM('3:23'!O12)</f>
        <v>0</v>
      </c>
      <c r="P12" s="93">
        <f>SUM('3:23'!P12)</f>
        <v>0</v>
      </c>
      <c r="Q12" s="93">
        <f>SUM('3:23'!Q12)</f>
        <v>0</v>
      </c>
      <c r="R12" s="93">
        <f>SUM('3:23'!R12)</f>
        <v>0</v>
      </c>
      <c r="S12" s="93">
        <f>SUM('3:23'!S12)</f>
        <v>0</v>
      </c>
      <c r="T12" s="93">
        <f>SUM('3:23'!T12)</f>
        <v>0</v>
      </c>
      <c r="U12" s="93">
        <f>SUM('3:23'!U12)</f>
        <v>0</v>
      </c>
      <c r="V12" s="205">
        <f t="shared" si="2"/>
        <v>0</v>
      </c>
      <c r="W12" s="33">
        <f t="shared" si="3"/>
        <v>0</v>
      </c>
      <c r="X12" s="93">
        <f>SUM('3:23'!X12)</f>
        <v>0</v>
      </c>
      <c r="Y12" s="93">
        <f>SUM('3:23'!Y12)</f>
        <v>0</v>
      </c>
      <c r="Z12" s="93">
        <f>SUM('3:23'!Z12)</f>
        <v>0</v>
      </c>
      <c r="AA12" s="93">
        <f>SUM('3:23'!AA12)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33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SUM('3:23'!G13)</f>
        <v>0</v>
      </c>
      <c r="H13" s="95">
        <f t="shared" si="0"/>
        <v>0</v>
      </c>
      <c r="I13" s="93">
        <f>SUM('3:23'!I13)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SUM('3:23'!N13)</f>
        <v>0</v>
      </c>
      <c r="O13" s="93">
        <f>SUM('3:23'!O13)</f>
        <v>0</v>
      </c>
      <c r="P13" s="93">
        <f>SUM('3:23'!P13)</f>
        <v>0</v>
      </c>
      <c r="Q13" s="93">
        <f>SUM('3:23'!Q13)</f>
        <v>0</v>
      </c>
      <c r="R13" s="93">
        <f>SUM('3:23'!R13)</f>
        <v>0</v>
      </c>
      <c r="S13" s="93">
        <f>SUM('3:23'!S13)</f>
        <v>0</v>
      </c>
      <c r="T13" s="93">
        <f>SUM('3:23'!T13)</f>
        <v>0</v>
      </c>
      <c r="U13" s="93">
        <f>SUM('3:23'!U13)</f>
        <v>0</v>
      </c>
      <c r="V13" s="205">
        <f t="shared" si="2"/>
        <v>0</v>
      </c>
      <c r="W13" s="33" t="str">
        <f t="shared" si="3"/>
        <v/>
      </c>
      <c r="X13" s="93">
        <f>SUM('3:23'!X13)</f>
        <v>0</v>
      </c>
      <c r="Y13" s="93">
        <f>SUM('3:23'!Y13)</f>
        <v>0</v>
      </c>
      <c r="Z13" s="93">
        <f>SUM('3:23'!Z13)</f>
        <v>0</v>
      </c>
      <c r="AA13" s="93">
        <f>SUM('3:23'!AA13)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30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SUM('3:23'!G14)</f>
        <v>0</v>
      </c>
      <c r="H14" s="95">
        <f t="shared" si="0"/>
        <v>0</v>
      </c>
      <c r="I14" s="93">
        <f>SUM('3:23'!I14)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SUM('3:23'!N14)</f>
        <v>0</v>
      </c>
      <c r="O14" s="93">
        <f>SUM('3:23'!O14)</f>
        <v>0</v>
      </c>
      <c r="P14" s="93">
        <f>SUM('3:23'!P14)</f>
        <v>0</v>
      </c>
      <c r="Q14" s="93">
        <f>SUM('3:23'!Q14)</f>
        <v>0</v>
      </c>
      <c r="R14" s="93">
        <f>SUM('3:23'!R14)</f>
        <v>0</v>
      </c>
      <c r="S14" s="93">
        <f>SUM('3:23'!S14)</f>
        <v>0</v>
      </c>
      <c r="T14" s="93">
        <f>SUM('3:23'!T14)</f>
        <v>0</v>
      </c>
      <c r="U14" s="93">
        <f>SUM('3:23'!U14)</f>
        <v>0</v>
      </c>
      <c r="V14" s="205">
        <f t="shared" si="2"/>
        <v>0</v>
      </c>
      <c r="W14" s="33" t="str">
        <f t="shared" si="3"/>
        <v/>
      </c>
      <c r="X14" s="93">
        <f>SUM('3:23'!X14)</f>
        <v>0</v>
      </c>
      <c r="Y14" s="93">
        <f>SUM('3:23'!Y14)</f>
        <v>0</v>
      </c>
      <c r="Z14" s="93">
        <f>SUM('3:23'!Z14)</f>
        <v>0</v>
      </c>
      <c r="AA14" s="93">
        <f>SUM('3:23'!AA14)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300">
        <v>30200006</v>
      </c>
      <c r="B15" s="265" t="s">
        <v>62</v>
      </c>
      <c r="C15" s="16" t="s">
        <v>63</v>
      </c>
      <c r="D15" s="17">
        <v>5.04</v>
      </c>
      <c r="E15" s="17"/>
      <c r="F15" s="79"/>
      <c r="G15" s="93">
        <f>SUM('3:23'!G15)</f>
        <v>2390</v>
      </c>
      <c r="H15" s="95">
        <f t="shared" si="0"/>
        <v>12045.6</v>
      </c>
      <c r="I15" s="93">
        <f>SUM('3:23'!I15)</f>
        <v>158</v>
      </c>
      <c r="J15" s="31">
        <f t="array" ref="J15">IF(ISERROR(G15/I15),"",G15/I15)</f>
        <v>15.126582278481013</v>
      </c>
      <c r="K15" s="35">
        <f t="array" ref="K15">IF(ISERROR(G15/L15),"",G15/L15)</f>
        <v>140.58823529411765</v>
      </c>
      <c r="L15" s="87">
        <v>17</v>
      </c>
      <c r="M15" s="36">
        <f t="shared" si="1"/>
        <v>17.411764705882348</v>
      </c>
      <c r="N15" s="93">
        <f>SUM('3:23'!N15)</f>
        <v>0</v>
      </c>
      <c r="O15" s="93">
        <f>SUM('3:23'!O15)</f>
        <v>0</v>
      </c>
      <c r="P15" s="93">
        <f>SUM('3:23'!P15)</f>
        <v>0</v>
      </c>
      <c r="Q15" s="93">
        <f>SUM('3:23'!Q15)</f>
        <v>0</v>
      </c>
      <c r="R15" s="93">
        <f>SUM('3:23'!R15)</f>
        <v>0</v>
      </c>
      <c r="S15" s="93">
        <f>SUM('3:23'!S15)</f>
        <v>0</v>
      </c>
      <c r="T15" s="93">
        <f>SUM('3:23'!T15)</f>
        <v>0</v>
      </c>
      <c r="U15" s="93">
        <f>SUM('3:23'!U15)</f>
        <v>0</v>
      </c>
      <c r="V15" s="205">
        <f t="shared" si="2"/>
        <v>0</v>
      </c>
      <c r="W15" s="33">
        <f t="shared" si="3"/>
        <v>0</v>
      </c>
      <c r="X15" s="93">
        <f>SUM('3:23'!X15)</f>
        <v>0</v>
      </c>
      <c r="Y15" s="93">
        <f>SUM('3:23'!Y15)</f>
        <v>0</v>
      </c>
      <c r="Z15" s="93">
        <f>SUM('3:23'!Z15)</f>
        <v>0</v>
      </c>
      <c r="AA15" s="93">
        <f>SUM('3:23'!AA15)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300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SUM('3:23'!G16)</f>
        <v>1439</v>
      </c>
      <c r="H16" s="95">
        <f t="shared" si="0"/>
        <v>7252.56</v>
      </c>
      <c r="I16" s="93">
        <f>SUM('3:23'!I16)</f>
        <v>117.5</v>
      </c>
      <c r="J16" s="31">
        <f t="array" ref="J16">IF(ISERROR(G16/I16),"",G16/I16)</f>
        <v>12.246808510638298</v>
      </c>
      <c r="K16" s="35">
        <f t="array" ref="K16">IF(ISERROR(G16/L16),"",G16/L16)</f>
        <v>84.647058823529406</v>
      </c>
      <c r="L16" s="87">
        <v>17</v>
      </c>
      <c r="M16" s="36">
        <f t="shared" si="1"/>
        <v>32.852941176470594</v>
      </c>
      <c r="N16" s="93">
        <f>SUM('3:23'!N16)</f>
        <v>0</v>
      </c>
      <c r="O16" s="93">
        <f>SUM('3:23'!O16)</f>
        <v>0</v>
      </c>
      <c r="P16" s="93">
        <f>SUM('3:23'!P16)</f>
        <v>0</v>
      </c>
      <c r="Q16" s="93">
        <f>SUM('3:23'!Q16)</f>
        <v>0</v>
      </c>
      <c r="R16" s="93">
        <f>SUM('3:23'!R16)</f>
        <v>0</v>
      </c>
      <c r="S16" s="93">
        <f>SUM('3:23'!S16)</f>
        <v>0</v>
      </c>
      <c r="T16" s="93">
        <f>SUM('3:23'!T16)</f>
        <v>0</v>
      </c>
      <c r="U16" s="93">
        <f>SUM('3:23'!U16)</f>
        <v>0</v>
      </c>
      <c r="V16" s="205">
        <f t="shared" si="2"/>
        <v>0</v>
      </c>
      <c r="W16" s="33">
        <f t="shared" si="3"/>
        <v>0</v>
      </c>
      <c r="X16" s="93">
        <f>SUM('3:23'!X16)</f>
        <v>0</v>
      </c>
      <c r="Y16" s="93">
        <f>SUM('3:23'!Y16)</f>
        <v>0</v>
      </c>
      <c r="Z16" s="93">
        <f>SUM('3:23'!Z16)</f>
        <v>0</v>
      </c>
      <c r="AA16" s="93">
        <f>SUM('3:23'!AA16)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302">
        <v>30100063</v>
      </c>
      <c r="B17" s="192" t="s">
        <v>484</v>
      </c>
      <c r="C17" s="16" t="s">
        <v>172</v>
      </c>
      <c r="D17" s="17"/>
      <c r="E17" s="17"/>
      <c r="F17" s="6"/>
      <c r="G17" s="93">
        <f>SUM('3:23'!G17)</f>
        <v>303</v>
      </c>
      <c r="H17" s="95">
        <f t="shared" si="0"/>
        <v>0</v>
      </c>
      <c r="I17" s="93">
        <f>SUM('3:23'!I17)</f>
        <v>42.5</v>
      </c>
      <c r="J17" s="31">
        <f t="array" ref="J17">IF(ISERROR(G17/I17),"",G17/I17)</f>
        <v>7.1294117647058828</v>
      </c>
      <c r="K17" s="35">
        <f t="array" ref="K17">IF(ISERROR(G17/L17),"",G17/L17)</f>
        <v>17.823529411764707</v>
      </c>
      <c r="L17" s="87">
        <v>17</v>
      </c>
      <c r="M17" s="36">
        <f>IF(ISERROR(I17-K17),"",I17-K17)</f>
        <v>24.676470588235293</v>
      </c>
      <c r="N17" s="93">
        <f>SUM('3:23'!N17)</f>
        <v>0</v>
      </c>
      <c r="O17" s="93">
        <f>SUM('3:23'!O17)</f>
        <v>0</v>
      </c>
      <c r="P17" s="93">
        <f>SUM('3:23'!P17)</f>
        <v>0</v>
      </c>
      <c r="Q17" s="93">
        <f>SUM('3:23'!Q17)</f>
        <v>0</v>
      </c>
      <c r="R17" s="93">
        <f>SUM('3:23'!R17)</f>
        <v>0</v>
      </c>
      <c r="S17" s="93">
        <f>SUM('3:23'!S17)</f>
        <v>0</v>
      </c>
      <c r="T17" s="93">
        <f>SUM('3:23'!T17)</f>
        <v>0</v>
      </c>
      <c r="U17" s="93">
        <f>SUM('3:23'!U17)</f>
        <v>0</v>
      </c>
      <c r="V17" s="205">
        <f t="shared" si="2"/>
        <v>0</v>
      </c>
      <c r="W17" s="33">
        <f>IF(ISERROR(V17/G17),"",V17/G17)</f>
        <v>0</v>
      </c>
      <c r="X17" s="93">
        <f>SUM('3:23'!X17)</f>
        <v>0</v>
      </c>
      <c r="Y17" s="93">
        <f>SUM('3:23'!Y17)</f>
        <v>0</v>
      </c>
      <c r="Z17" s="93">
        <f>SUM('3:23'!Z17)</f>
        <v>0</v>
      </c>
      <c r="AA17" s="93">
        <f>SUM('3:23'!AA17)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302">
        <v>30100061</v>
      </c>
      <c r="B18" s="62" t="s">
        <v>171</v>
      </c>
      <c r="C18" s="16" t="s">
        <v>173</v>
      </c>
      <c r="D18" s="17"/>
      <c r="E18" s="17"/>
      <c r="F18" s="6"/>
      <c r="G18" s="93">
        <f>SUM('3:23'!G18)</f>
        <v>197</v>
      </c>
      <c r="H18" s="95">
        <f t="shared" si="0"/>
        <v>0</v>
      </c>
      <c r="I18" s="93">
        <f>SUM('3:23'!I18)</f>
        <v>15</v>
      </c>
      <c r="J18" s="31">
        <f t="array" ref="J18">IF(ISERROR(G18/I18),"",G18/I18)</f>
        <v>13.133333333333333</v>
      </c>
      <c r="K18" s="35">
        <f t="array" ref="K18">IF(ISERROR(G18/L18),"",G18/L18)</f>
        <v>11.588235294117647</v>
      </c>
      <c r="L18" s="87">
        <v>17</v>
      </c>
      <c r="M18" s="36">
        <f>IF(ISERROR(I18-K18),"",I18-K18)</f>
        <v>3.4117647058823533</v>
      </c>
      <c r="N18" s="93">
        <f>SUM('3:23'!N18)</f>
        <v>0</v>
      </c>
      <c r="O18" s="93">
        <f>SUM('3:23'!O18)</f>
        <v>0</v>
      </c>
      <c r="P18" s="93">
        <f>SUM('3:23'!P18)</f>
        <v>0</v>
      </c>
      <c r="Q18" s="93">
        <f>SUM('3:23'!Q18)</f>
        <v>0</v>
      </c>
      <c r="R18" s="93">
        <f>SUM('3:23'!R18)</f>
        <v>0</v>
      </c>
      <c r="S18" s="93">
        <f>SUM('3:23'!S18)</f>
        <v>0</v>
      </c>
      <c r="T18" s="93">
        <f>SUM('3:23'!T18)</f>
        <v>0</v>
      </c>
      <c r="U18" s="93">
        <f>SUM('3:23'!U18)</f>
        <v>0</v>
      </c>
      <c r="V18" s="205">
        <f t="shared" si="2"/>
        <v>0</v>
      </c>
      <c r="W18" s="33">
        <f>IF(ISERROR(V18/G18),"",V18/G18)</f>
        <v>0</v>
      </c>
      <c r="X18" s="93">
        <f>SUM('3:23'!X18)</f>
        <v>0</v>
      </c>
      <c r="Y18" s="93">
        <f>SUM('3:23'!Y18)</f>
        <v>0</v>
      </c>
      <c r="Z18" s="93">
        <f>SUM('3:23'!Z18)</f>
        <v>0</v>
      </c>
      <c r="AA18" s="93">
        <f>SUM('3:23'!AA18)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300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SUM('3:23'!G19)</f>
        <v>1958</v>
      </c>
      <c r="H19" s="95">
        <f t="shared" si="0"/>
        <v>9907.48</v>
      </c>
      <c r="I19" s="93">
        <f>SUM('3:23'!I19)</f>
        <v>157.5</v>
      </c>
      <c r="J19" s="31">
        <f t="array" ref="J19">IF(ISERROR(G19/I19),"",G19/I19)</f>
        <v>12.431746031746032</v>
      </c>
      <c r="K19" s="35">
        <f t="array" ref="K19">IF(ISERROR(G19/L19),"",G19/L19)</f>
        <v>103.05263157894737</v>
      </c>
      <c r="L19" s="87">
        <v>19</v>
      </c>
      <c r="M19" s="36">
        <f t="shared" ref="M19:M21" si="4">IF(ISERROR(I19-K19),"",I19-K19)</f>
        <v>54.44736842105263</v>
      </c>
      <c r="N19" s="93">
        <f>SUM('3:23'!N19)</f>
        <v>0</v>
      </c>
      <c r="O19" s="93">
        <f>SUM('3:23'!O19)</f>
        <v>0</v>
      </c>
      <c r="P19" s="93">
        <f>SUM('3:23'!P19)</f>
        <v>0</v>
      </c>
      <c r="Q19" s="93">
        <f>SUM('3:23'!Q19)</f>
        <v>0</v>
      </c>
      <c r="R19" s="93">
        <f>SUM('3:23'!R19)</f>
        <v>0</v>
      </c>
      <c r="S19" s="93">
        <f>SUM('3:23'!S19)</f>
        <v>0</v>
      </c>
      <c r="T19" s="93">
        <f>SUM('3:23'!T19)</f>
        <v>0</v>
      </c>
      <c r="U19" s="93">
        <f>SUM('3:23'!U19)</f>
        <v>0</v>
      </c>
      <c r="V19" s="205">
        <f t="shared" si="2"/>
        <v>0</v>
      </c>
      <c r="W19" s="33">
        <f t="shared" ref="W19:W21" si="5">IF(ISERROR(V19/G19),"",V19/G19)</f>
        <v>0</v>
      </c>
      <c r="X19" s="93">
        <f>SUM('3:23'!X19)</f>
        <v>0</v>
      </c>
      <c r="Y19" s="93">
        <f>SUM('3:23'!Y19)</f>
        <v>0</v>
      </c>
      <c r="Z19" s="93">
        <f>SUM('3:23'!Z19)</f>
        <v>0</v>
      </c>
      <c r="AA19" s="93">
        <f>SUM('3:23'!AA19)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300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SUM('3:23'!G20)</f>
        <v>1672</v>
      </c>
      <c r="H20" s="95">
        <f t="shared" si="0"/>
        <v>8510.48</v>
      </c>
      <c r="I20" s="93">
        <f>SUM('3:23'!I20)</f>
        <v>87</v>
      </c>
      <c r="J20" s="31">
        <f t="array" ref="J20">IF(ISERROR(G20/I20),"",G20/I20)</f>
        <v>19.2183908045977</v>
      </c>
      <c r="K20" s="35">
        <f t="array" ref="K20">IF(ISERROR(G20/L20),"",G20/L20)</f>
        <v>72.695652173913047</v>
      </c>
      <c r="L20" s="87">
        <v>23</v>
      </c>
      <c r="M20" s="36">
        <f t="shared" si="4"/>
        <v>14.304347826086953</v>
      </c>
      <c r="N20" s="93">
        <f>SUM('3:23'!N20)</f>
        <v>0</v>
      </c>
      <c r="O20" s="93">
        <f>SUM('3:23'!O20)</f>
        <v>0</v>
      </c>
      <c r="P20" s="93">
        <f>SUM('3:23'!P20)</f>
        <v>0</v>
      </c>
      <c r="Q20" s="93">
        <f>SUM('3:23'!Q20)</f>
        <v>0</v>
      </c>
      <c r="R20" s="93">
        <f>SUM('3:23'!R20)</f>
        <v>0</v>
      </c>
      <c r="S20" s="93">
        <f>SUM('3:23'!S20)</f>
        <v>0</v>
      </c>
      <c r="T20" s="93">
        <f>SUM('3:23'!T20)</f>
        <v>0</v>
      </c>
      <c r="U20" s="93">
        <f>SUM('3:23'!U20)</f>
        <v>0</v>
      </c>
      <c r="V20" s="205">
        <f t="shared" si="2"/>
        <v>0</v>
      </c>
      <c r="W20" s="33">
        <f t="shared" si="5"/>
        <v>0</v>
      </c>
      <c r="X20" s="93">
        <f>SUM('3:23'!X20)</f>
        <v>0</v>
      </c>
      <c r="Y20" s="93">
        <f>SUM('3:23'!Y20)</f>
        <v>0</v>
      </c>
      <c r="Z20" s="93">
        <f>SUM('3:23'!Z20)</f>
        <v>0</v>
      </c>
      <c r="AA20" s="93">
        <f>SUM('3:23'!AA20)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300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SUM('3:23'!G21)</f>
        <v>1126</v>
      </c>
      <c r="H21" s="95">
        <f t="shared" si="0"/>
        <v>5731.34</v>
      </c>
      <c r="I21" s="93">
        <f>SUM('3:23'!I21)</f>
        <v>55</v>
      </c>
      <c r="J21" s="31">
        <f t="array" ref="J21">IF(ISERROR(G21/I21),"",G21/I21)</f>
        <v>20.472727272727273</v>
      </c>
      <c r="K21" s="35">
        <f t="array" ref="K21">IF(ISERROR(G21/L21),"",G21/L21)</f>
        <v>48.956521739130437</v>
      </c>
      <c r="L21" s="87">
        <v>23</v>
      </c>
      <c r="M21" s="36">
        <f t="shared" si="4"/>
        <v>6.0434782608695627</v>
      </c>
      <c r="N21" s="93">
        <f>SUM('3:23'!N21)</f>
        <v>0</v>
      </c>
      <c r="O21" s="93">
        <f>SUM('3:23'!O21)</f>
        <v>0</v>
      </c>
      <c r="P21" s="93">
        <f>SUM('3:23'!P21)</f>
        <v>0</v>
      </c>
      <c r="Q21" s="93">
        <f>SUM('3:23'!Q21)</f>
        <v>0</v>
      </c>
      <c r="R21" s="93">
        <f>SUM('3:23'!R21)</f>
        <v>0</v>
      </c>
      <c r="S21" s="93">
        <f>SUM('3:23'!S21)</f>
        <v>0</v>
      </c>
      <c r="T21" s="93">
        <f>SUM('3:23'!T21)</f>
        <v>0</v>
      </c>
      <c r="U21" s="93">
        <f>SUM('3:23'!U21)</f>
        <v>0</v>
      </c>
      <c r="V21" s="205">
        <f t="shared" si="2"/>
        <v>0</v>
      </c>
      <c r="W21" s="33">
        <f t="shared" si="5"/>
        <v>0</v>
      </c>
      <c r="X21" s="93">
        <f>SUM('3:23'!X21)</f>
        <v>0</v>
      </c>
      <c r="Y21" s="93">
        <f>SUM('3:23'!Y21)</f>
        <v>0</v>
      </c>
      <c r="Z21" s="93">
        <f>SUM('3:23'!Z21)</f>
        <v>0</v>
      </c>
      <c r="AA21" s="93">
        <f>SUM('3:23'!AA21)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300">
        <v>30100003</v>
      </c>
      <c r="B22" s="64" t="s">
        <v>161</v>
      </c>
      <c r="C22" s="335" t="s">
        <v>64</v>
      </c>
      <c r="D22" s="17">
        <v>4.8</v>
      </c>
      <c r="E22" s="17"/>
      <c r="F22" s="6"/>
      <c r="G22" s="93">
        <f>SUM('3:23'!G22)</f>
        <v>0</v>
      </c>
      <c r="H22" s="95">
        <f t="shared" si="0"/>
        <v>0</v>
      </c>
      <c r="I22" s="93">
        <f>SUM('3:23'!I22)</f>
        <v>0</v>
      </c>
      <c r="J22" s="31"/>
      <c r="K22" s="35">
        <f t="array" ref="K22">IF(ISERROR(G22/L22),"",G22/L22)</f>
        <v>0</v>
      </c>
      <c r="L22" s="87">
        <v>4</v>
      </c>
      <c r="M22" s="36">
        <f>IF(ISERROR(I22-K22),"",I22-K22)</f>
        <v>0</v>
      </c>
      <c r="N22" s="93">
        <f>SUM('3:23'!N22)</f>
        <v>0</v>
      </c>
      <c r="O22" s="93">
        <f>SUM('3:23'!O22)</f>
        <v>0</v>
      </c>
      <c r="P22" s="93">
        <f>SUM('3:23'!P22)</f>
        <v>0</v>
      </c>
      <c r="Q22" s="93">
        <f>SUM('3:23'!Q22)</f>
        <v>0</v>
      </c>
      <c r="R22" s="93">
        <f>SUM('3:23'!R22)</f>
        <v>0</v>
      </c>
      <c r="S22" s="93">
        <f>SUM('3:23'!S22)</f>
        <v>0</v>
      </c>
      <c r="T22" s="93">
        <f>SUM('3:23'!T22)</f>
        <v>0</v>
      </c>
      <c r="U22" s="93">
        <f>SUM('3:23'!U22)</f>
        <v>0</v>
      </c>
      <c r="V22" s="205">
        <f t="shared" si="2"/>
        <v>0</v>
      </c>
      <c r="W22" s="33"/>
      <c r="X22" s="93">
        <f>SUM('3:23'!X22)</f>
        <v>0</v>
      </c>
      <c r="Y22" s="93">
        <f>SUM('3:23'!Y22)</f>
        <v>0</v>
      </c>
      <c r="Z22" s="93">
        <f>SUM('3:23'!Z22)</f>
        <v>0</v>
      </c>
      <c r="AA22" s="93">
        <f>SUM('3:23'!AA22)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300">
        <v>30100004</v>
      </c>
      <c r="B23" s="64" t="s">
        <v>161</v>
      </c>
      <c r="C23" s="335" t="s">
        <v>61</v>
      </c>
      <c r="D23" s="17">
        <v>4.8</v>
      </c>
      <c r="E23" s="17"/>
      <c r="F23" s="6"/>
      <c r="G23" s="93">
        <f>SUM('3:23'!G23)</f>
        <v>0</v>
      </c>
      <c r="H23" s="95">
        <f t="shared" si="0"/>
        <v>0</v>
      </c>
      <c r="I23" s="93">
        <f>SUM('3:23'!I23)</f>
        <v>0</v>
      </c>
      <c r="J23" s="31"/>
      <c r="K23" s="35">
        <f t="array" ref="K23">IF(ISERROR(G23/L23),"",G23/L23)</f>
        <v>0</v>
      </c>
      <c r="L23" s="87">
        <v>4</v>
      </c>
      <c r="M23" s="36">
        <f>IF(ISERROR(I23-K23),"",I23-K23)</f>
        <v>0</v>
      </c>
      <c r="N23" s="93">
        <f>SUM('3:23'!N23)</f>
        <v>0</v>
      </c>
      <c r="O23" s="93">
        <f>SUM('3:23'!O23)</f>
        <v>0</v>
      </c>
      <c r="P23" s="93">
        <f>SUM('3:23'!P23)</f>
        <v>0</v>
      </c>
      <c r="Q23" s="93">
        <f>SUM('3:23'!Q23)</f>
        <v>0</v>
      </c>
      <c r="R23" s="93">
        <f>SUM('3:23'!R23)</f>
        <v>0</v>
      </c>
      <c r="S23" s="93">
        <f>SUM('3:23'!S23)</f>
        <v>0</v>
      </c>
      <c r="T23" s="93">
        <f>SUM('3:23'!T23)</f>
        <v>0</v>
      </c>
      <c r="U23" s="93">
        <f>SUM('3:23'!U23)</f>
        <v>0</v>
      </c>
      <c r="V23" s="205">
        <f t="shared" si="2"/>
        <v>0</v>
      </c>
      <c r="W23" s="33"/>
      <c r="X23" s="93">
        <f>SUM('3:23'!X23)</f>
        <v>0</v>
      </c>
      <c r="Y23" s="93">
        <f>SUM('3:23'!Y23)</f>
        <v>0</v>
      </c>
      <c r="Z23" s="93">
        <f>SUM('3:23'!Z23)</f>
        <v>0</v>
      </c>
      <c r="AA23" s="93">
        <f>SUM('3:23'!AA23)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300">
        <v>30100006</v>
      </c>
      <c r="B24" s="64" t="s">
        <v>161</v>
      </c>
      <c r="C24" s="335" t="s">
        <v>53</v>
      </c>
      <c r="D24" s="17">
        <v>4.8</v>
      </c>
      <c r="E24" s="17"/>
      <c r="F24" s="6"/>
      <c r="G24" s="93">
        <f>SUM('3:23'!G24)</f>
        <v>0</v>
      </c>
      <c r="H24" s="95">
        <f t="shared" si="0"/>
        <v>0</v>
      </c>
      <c r="I24" s="93">
        <f>SUM('3:23'!I24)</f>
        <v>0</v>
      </c>
      <c r="J24" s="31"/>
      <c r="K24" s="35">
        <f t="array" ref="K24">IF(ISERROR(G24/L24),"",G24/L24)</f>
        <v>0</v>
      </c>
      <c r="L24" s="87">
        <v>4</v>
      </c>
      <c r="M24" s="36">
        <f>IF(ISERROR(I24-K24),"",I24-K24)</f>
        <v>0</v>
      </c>
      <c r="N24" s="93">
        <f>SUM('3:23'!N24)</f>
        <v>0</v>
      </c>
      <c r="O24" s="93">
        <f>SUM('3:23'!O24)</f>
        <v>0</v>
      </c>
      <c r="P24" s="93">
        <f>SUM('3:23'!P24)</f>
        <v>0</v>
      </c>
      <c r="Q24" s="93">
        <f>SUM('3:23'!Q24)</f>
        <v>0</v>
      </c>
      <c r="R24" s="93">
        <f>SUM('3:23'!R24)</f>
        <v>0</v>
      </c>
      <c r="S24" s="93">
        <f>SUM('3:23'!S24)</f>
        <v>0</v>
      </c>
      <c r="T24" s="93">
        <f>SUM('3:23'!T24)</f>
        <v>0</v>
      </c>
      <c r="U24" s="93">
        <f>SUM('3:23'!U24)</f>
        <v>0</v>
      </c>
      <c r="V24" s="205">
        <f t="shared" si="2"/>
        <v>0</v>
      </c>
      <c r="W24" s="33"/>
      <c r="X24" s="93">
        <f>SUM('3:23'!X24)</f>
        <v>0</v>
      </c>
      <c r="Y24" s="93">
        <f>SUM('3:23'!Y24)</f>
        <v>0</v>
      </c>
      <c r="Z24" s="93">
        <f>SUM('3:23'!Z24)</f>
        <v>0</v>
      </c>
      <c r="AA24" s="93">
        <f>SUM('3:23'!AA24)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300">
        <v>30100005</v>
      </c>
      <c r="B25" s="64" t="s">
        <v>161</v>
      </c>
      <c r="C25" s="335" t="s">
        <v>73</v>
      </c>
      <c r="D25" s="17">
        <v>4.8</v>
      </c>
      <c r="E25" s="17"/>
      <c r="F25" s="6"/>
      <c r="G25" s="93">
        <f>SUM('3:23'!G25)</f>
        <v>0</v>
      </c>
      <c r="H25" s="95">
        <f>D25*G25</f>
        <v>0</v>
      </c>
      <c r="I25" s="93">
        <f>SUM('3:23'!I25)</f>
        <v>0</v>
      </c>
      <c r="J25" s="31"/>
      <c r="K25" s="35">
        <f t="array" ref="K25">IF(ISERROR(G25/L25),"",G25/L25)</f>
        <v>0</v>
      </c>
      <c r="L25" s="87">
        <v>4</v>
      </c>
      <c r="M25" s="36">
        <f>IF(ISERROR(I25-K25),"",I25-K25)</f>
        <v>0</v>
      </c>
      <c r="N25" s="93">
        <f>SUM('3:23'!N25)</f>
        <v>0</v>
      </c>
      <c r="O25" s="93">
        <f>SUM('3:23'!O25)</f>
        <v>0</v>
      </c>
      <c r="P25" s="93">
        <f>SUM('3:23'!P25)</f>
        <v>0</v>
      </c>
      <c r="Q25" s="93">
        <f>SUM('3:23'!Q25)</f>
        <v>0</v>
      </c>
      <c r="R25" s="93">
        <f>SUM('3:23'!R25)</f>
        <v>0</v>
      </c>
      <c r="S25" s="93">
        <f>SUM('3:23'!S25)</f>
        <v>0</v>
      </c>
      <c r="T25" s="93">
        <f>SUM('3:23'!T25)</f>
        <v>0</v>
      </c>
      <c r="U25" s="93">
        <f>SUM('3:23'!U25)</f>
        <v>0</v>
      </c>
      <c r="V25" s="205">
        <f t="shared" si="2"/>
        <v>0</v>
      </c>
      <c r="W25" s="33"/>
      <c r="X25" s="93">
        <f>SUM('3:23'!X25)</f>
        <v>0</v>
      </c>
      <c r="Y25" s="93">
        <f>SUM('3:23'!Y25)</f>
        <v>0</v>
      </c>
      <c r="Z25" s="93">
        <f>SUM('3:23'!Z25)</f>
        <v>0</v>
      </c>
      <c r="AA25" s="93">
        <f>SUM('3:23'!AA25)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300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SUM('3:23'!G26)</f>
        <v>728</v>
      </c>
      <c r="H26" s="95">
        <f t="shared" ref="H26:H27" si="6">D26*G26</f>
        <v>3632.7200000000003</v>
      </c>
      <c r="I26" s="93">
        <f>SUM('3:23'!I26)</f>
        <v>44.5</v>
      </c>
      <c r="J26" s="31">
        <f t="array" ref="J26">IF(ISERROR(G26/I26),"",G26/I26)</f>
        <v>16.359550561797754</v>
      </c>
      <c r="K26" s="35">
        <f t="array" ref="K26">IF(ISERROR(G26/L26),"",G26/L26)</f>
        <v>30.978723404255319</v>
      </c>
      <c r="L26" s="87">
        <v>23.5</v>
      </c>
      <c r="M26" s="36">
        <f t="shared" ref="M26:M27" si="7">IF(ISERROR(I26-K26),"",I26-K26)</f>
        <v>13.521276595744681</v>
      </c>
      <c r="N26" s="93">
        <f>SUM('3:23'!N26)</f>
        <v>0</v>
      </c>
      <c r="O26" s="93">
        <f>SUM('3:23'!O26)</f>
        <v>0</v>
      </c>
      <c r="P26" s="93">
        <f>SUM('3:23'!P26)</f>
        <v>0</v>
      </c>
      <c r="Q26" s="93">
        <f>SUM('3:23'!Q26)</f>
        <v>0</v>
      </c>
      <c r="R26" s="93">
        <f>SUM('3:23'!R26)</f>
        <v>0</v>
      </c>
      <c r="S26" s="93">
        <f>SUM('3:23'!S26)</f>
        <v>0</v>
      </c>
      <c r="T26" s="93">
        <f>SUM('3:23'!T26)</f>
        <v>0</v>
      </c>
      <c r="U26" s="93">
        <f>SUM('3:23'!U26)</f>
        <v>0</v>
      </c>
      <c r="V26" s="205">
        <f t="shared" si="2"/>
        <v>0</v>
      </c>
      <c r="W26" s="33">
        <f t="shared" ref="W26:W27" si="8">IF(ISERROR(V26/G26),"",V26/G26)</f>
        <v>0</v>
      </c>
      <c r="X26" s="93">
        <f>SUM('3:23'!X26)</f>
        <v>0</v>
      </c>
      <c r="Y26" s="93">
        <f>SUM('3:23'!Y26)</f>
        <v>0</v>
      </c>
      <c r="Z26" s="93">
        <f>SUM('3:23'!Z26)</f>
        <v>0</v>
      </c>
      <c r="AA26" s="93">
        <f>SUM('3:23'!AA26)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9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SUM('3:23'!G27)</f>
        <v>0</v>
      </c>
      <c r="H27" s="95">
        <f t="shared" si="6"/>
        <v>0</v>
      </c>
      <c r="I27" s="93">
        <f>SUM('3:23'!I27)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7"/>
        <v>0</v>
      </c>
      <c r="N27" s="93">
        <f>SUM('3:23'!N27)</f>
        <v>0</v>
      </c>
      <c r="O27" s="93">
        <f>SUM('3:23'!O27)</f>
        <v>0</v>
      </c>
      <c r="P27" s="93">
        <f>SUM('3:23'!P27)</f>
        <v>0</v>
      </c>
      <c r="Q27" s="93">
        <f>SUM('3:23'!Q27)</f>
        <v>0</v>
      </c>
      <c r="R27" s="93">
        <f>SUM('3:23'!R27)</f>
        <v>0</v>
      </c>
      <c r="S27" s="93">
        <f>SUM('3:23'!S27)</f>
        <v>0</v>
      </c>
      <c r="T27" s="93">
        <f>SUM('3:23'!T27)</f>
        <v>0</v>
      </c>
      <c r="U27" s="93">
        <f>SUM('3:23'!U27)</f>
        <v>0</v>
      </c>
      <c r="V27" s="205">
        <f t="shared" si="2"/>
        <v>0</v>
      </c>
      <c r="W27" s="33" t="str">
        <f t="shared" si="8"/>
        <v/>
      </c>
      <c r="X27" s="93">
        <f>SUM('3:23'!X27)</f>
        <v>0</v>
      </c>
      <c r="Y27" s="93">
        <f>SUM('3:23'!Y27)</f>
        <v>0</v>
      </c>
      <c r="Z27" s="93">
        <f>SUM('3:23'!Z27)</f>
        <v>0</v>
      </c>
      <c r="AA27" s="93">
        <f>SUM('3:23'!AA27)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722" t="s">
        <v>70</v>
      </c>
      <c r="B28" s="723"/>
      <c r="C28" s="31" t="s">
        <v>71</v>
      </c>
      <c r="D28" s="30"/>
      <c r="E28" s="30"/>
      <c r="F28" s="30"/>
      <c r="G28" s="94">
        <f>SUM(G7:G27)</f>
        <v>12290</v>
      </c>
      <c r="H28" s="30">
        <f>SUM(H7:H27)</f>
        <v>59543.66</v>
      </c>
      <c r="I28" s="30">
        <f>SUM(I7:I27)</f>
        <v>837.5</v>
      </c>
      <c r="J28" s="31">
        <f t="array" ref="J28">IF(ISERROR(G28/I28),"",G28/I28)</f>
        <v>14.674626865671641</v>
      </c>
      <c r="K28" s="30">
        <f>SUM(K7:K27)</f>
        <v>644.70821929872295</v>
      </c>
      <c r="L28" s="98"/>
      <c r="M28" s="89">
        <f t="shared" ref="M28:AA28" si="9">SUM(M7:M27)</f>
        <v>192.79178070127699</v>
      </c>
      <c r="N28" s="30">
        <f t="shared" si="9"/>
        <v>0</v>
      </c>
      <c r="O28" s="34">
        <f t="shared" si="9"/>
        <v>0</v>
      </c>
      <c r="P28" s="34">
        <f t="shared" si="9"/>
        <v>0</v>
      </c>
      <c r="Q28" s="34">
        <f t="shared" si="9"/>
        <v>0</v>
      </c>
      <c r="R28" s="34">
        <f t="shared" si="9"/>
        <v>0</v>
      </c>
      <c r="S28" s="34">
        <f t="shared" si="9"/>
        <v>0</v>
      </c>
      <c r="T28" s="34">
        <f t="shared" si="9"/>
        <v>0</v>
      </c>
      <c r="U28" s="34">
        <f t="shared" si="9"/>
        <v>0</v>
      </c>
      <c r="V28" s="206">
        <f t="shared" si="9"/>
        <v>0</v>
      </c>
      <c r="W28" s="33">
        <f t="shared" si="9"/>
        <v>0</v>
      </c>
      <c r="X28" s="92">
        <f t="shared" si="9"/>
        <v>0</v>
      </c>
      <c r="Y28" s="92">
        <f t="shared" si="9"/>
        <v>0</v>
      </c>
      <c r="Z28" s="92">
        <f t="shared" si="9"/>
        <v>0</v>
      </c>
      <c r="AA28" s="92">
        <f t="shared" si="9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300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SUM('3:23'!G29)</f>
        <v>802</v>
      </c>
      <c r="H29" s="339">
        <f t="shared" ref="H29:H85" si="10">D29*G29</f>
        <v>4034.0600000000004</v>
      </c>
      <c r="I29" s="93">
        <f>SUM('3:23'!I29)</f>
        <v>10</v>
      </c>
      <c r="J29" s="31">
        <f t="array" ref="J29">IF(ISERROR(G29/I29),"",G29/I29)</f>
        <v>80.2</v>
      </c>
      <c r="K29" s="35">
        <f t="array" ref="K29">IF(ISERROR(G29/L29),"",G29/L29)</f>
        <v>15.423076923076923</v>
      </c>
      <c r="L29" s="87">
        <v>52</v>
      </c>
      <c r="M29" s="36">
        <f t="shared" ref="M29" si="11">IF(ISERROR(I29-K29),"",I29-K29)</f>
        <v>-5.4230769230769234</v>
      </c>
      <c r="N29" s="93">
        <f>SUM('3:23'!N29)</f>
        <v>0</v>
      </c>
      <c r="O29" s="93">
        <f>SUM('3:23'!O29)</f>
        <v>0</v>
      </c>
      <c r="P29" s="93">
        <f>SUM('3:23'!P29)</f>
        <v>0</v>
      </c>
      <c r="Q29" s="93">
        <f>SUM('3:23'!Q29)</f>
        <v>0</v>
      </c>
      <c r="R29" s="93">
        <f>SUM('3:23'!R29)</f>
        <v>0</v>
      </c>
      <c r="S29" s="93">
        <f>SUM('3:23'!S29)</f>
        <v>0</v>
      </c>
      <c r="T29" s="93">
        <f>SUM('3:23'!T29)</f>
        <v>0</v>
      </c>
      <c r="U29" s="93">
        <f>SUM('3:23'!U29)</f>
        <v>0</v>
      </c>
      <c r="V29" s="206">
        <f t="shared" ref="V29" si="12">SUM(X29:AA29)</f>
        <v>0</v>
      </c>
      <c r="W29" s="33">
        <f t="shared" ref="W29" si="13">IF(ISERROR(V29/G29),"",V29/G29)</f>
        <v>0</v>
      </c>
      <c r="X29" s="93">
        <f>SUM('3:23'!X29)</f>
        <v>0</v>
      </c>
      <c r="Y29" s="93">
        <f>SUM('3:23'!Y29)</f>
        <v>0</v>
      </c>
      <c r="Z29" s="93">
        <f>SUM('3:23'!Z29)</f>
        <v>0</v>
      </c>
      <c r="AA29" s="93">
        <f>SUM('3:23'!AA29)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00">
        <v>30100011</v>
      </c>
      <c r="B30" s="190" t="s">
        <v>470</v>
      </c>
      <c r="C30" s="187" t="s">
        <v>427</v>
      </c>
      <c r="D30" s="17">
        <v>5.03</v>
      </c>
      <c r="E30" s="17"/>
      <c r="F30" s="6"/>
      <c r="G30" s="93">
        <f>SUM('3:23'!G30)</f>
        <v>922</v>
      </c>
      <c r="H30" s="339">
        <f t="shared" si="10"/>
        <v>4637.66</v>
      </c>
      <c r="I30" s="93">
        <f>SUM('3:23'!I30)</f>
        <v>11</v>
      </c>
      <c r="J30" s="31"/>
      <c r="K30" s="35">
        <f t="array" ref="K30">IF(ISERROR(G30/L30),"",G30/L30)</f>
        <v>17.73076923076923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300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SUM('3:23'!G31)</f>
        <v>1622</v>
      </c>
      <c r="H31" s="339">
        <f t="shared" si="10"/>
        <v>8158.6600000000008</v>
      </c>
      <c r="I31" s="93">
        <f>SUM('3:23'!I31)</f>
        <v>27.5</v>
      </c>
      <c r="J31" s="31">
        <f t="array" ref="J31">IF(ISERROR(G31/I31),"",G31/I31)</f>
        <v>58.981818181818184</v>
      </c>
      <c r="K31" s="35">
        <f t="array" ref="K31">IF(ISERROR(G31/L31),"",G31/L31)</f>
        <v>31.192307692307693</v>
      </c>
      <c r="L31" s="87">
        <v>52</v>
      </c>
      <c r="M31" s="36">
        <f t="shared" ref="M31:M33" si="14">IF(ISERROR(I31-K31),"",I31-K31)</f>
        <v>-3.6923076923076934</v>
      </c>
      <c r="N31" s="93">
        <f>SUM('3:23'!N31)</f>
        <v>0</v>
      </c>
      <c r="O31" s="93">
        <f>SUM('3:23'!O31)</f>
        <v>0</v>
      </c>
      <c r="P31" s="93">
        <f>SUM('3:23'!P31)</f>
        <v>0</v>
      </c>
      <c r="Q31" s="93">
        <f>SUM('3:23'!Q31)</f>
        <v>0</v>
      </c>
      <c r="R31" s="93">
        <f>SUM('3:23'!R31)</f>
        <v>0</v>
      </c>
      <c r="S31" s="93">
        <f>SUM('3:23'!S31)</f>
        <v>0</v>
      </c>
      <c r="T31" s="93">
        <f>SUM('3:23'!T31)</f>
        <v>0</v>
      </c>
      <c r="U31" s="93">
        <f>SUM('3:23'!U31)</f>
        <v>0</v>
      </c>
      <c r="V31" s="206">
        <f t="shared" ref="V31:V33" si="15">SUM(X31:AA31)</f>
        <v>0</v>
      </c>
      <c r="W31" s="33">
        <f t="shared" ref="W31:W33" si="16">IF(ISERROR(V31/G31),"",V31/G31)</f>
        <v>0</v>
      </c>
      <c r="X31" s="93">
        <f>SUM('3:23'!X31)</f>
        <v>0</v>
      </c>
      <c r="Y31" s="93">
        <f>SUM('3:23'!Y31)</f>
        <v>0</v>
      </c>
      <c r="Z31" s="93">
        <f>SUM('3:23'!Z31)</f>
        <v>0</v>
      </c>
      <c r="AA31" s="93">
        <f>SUM('3:23'!AA31)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300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SUM('3:23'!G32)</f>
        <v>1609</v>
      </c>
      <c r="H32" s="339">
        <f t="shared" si="10"/>
        <v>8093.27</v>
      </c>
      <c r="I32" s="93">
        <f>SUM('3:23'!I32)</f>
        <v>20</v>
      </c>
      <c r="J32" s="31">
        <f t="array" ref="J32">IF(ISERROR(G32/I32),"",G32/I32)</f>
        <v>80.45</v>
      </c>
      <c r="K32" s="35">
        <f t="array" ref="K32">IF(ISERROR(G32/L32),"",G32/L32)</f>
        <v>30.942307692307693</v>
      </c>
      <c r="L32" s="87">
        <v>52</v>
      </c>
      <c r="M32" s="36">
        <f t="shared" si="14"/>
        <v>-10.942307692307693</v>
      </c>
      <c r="N32" s="93">
        <f>SUM('3:23'!N32)</f>
        <v>0</v>
      </c>
      <c r="O32" s="93">
        <f>SUM('3:23'!O32)</f>
        <v>0</v>
      </c>
      <c r="P32" s="93">
        <f>SUM('3:23'!P32)</f>
        <v>0</v>
      </c>
      <c r="Q32" s="93">
        <f>SUM('3:23'!Q32)</f>
        <v>0</v>
      </c>
      <c r="R32" s="93">
        <f>SUM('3:23'!R32)</f>
        <v>0</v>
      </c>
      <c r="S32" s="93">
        <f>SUM('3:23'!S32)</f>
        <v>0</v>
      </c>
      <c r="T32" s="93">
        <f>SUM('3:23'!T32)</f>
        <v>0</v>
      </c>
      <c r="U32" s="93">
        <f>SUM('3:23'!U32)</f>
        <v>0</v>
      </c>
      <c r="V32" s="206">
        <f t="shared" si="15"/>
        <v>0</v>
      </c>
      <c r="W32" s="33">
        <f t="shared" si="16"/>
        <v>0</v>
      </c>
      <c r="X32" s="93">
        <f>SUM('3:23'!X32)</f>
        <v>0</v>
      </c>
      <c r="Y32" s="93">
        <f>SUM('3:23'!Y32)</f>
        <v>0</v>
      </c>
      <c r="Z32" s="93">
        <f>SUM('3:23'!Z32)</f>
        <v>0</v>
      </c>
      <c r="AA32" s="93">
        <f>SUM('3:23'!AA32)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300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SUM('3:23'!G33)</f>
        <v>1718</v>
      </c>
      <c r="H33" s="339">
        <f t="shared" si="10"/>
        <v>8641.5400000000009</v>
      </c>
      <c r="I33" s="93">
        <f>SUM('3:23'!I33)</f>
        <v>19</v>
      </c>
      <c r="J33" s="31">
        <f t="array" ref="J33">IF(ISERROR(G33/I33),"",G33/I33)</f>
        <v>90.421052631578945</v>
      </c>
      <c r="K33" s="35">
        <f t="array" ref="K33">IF(ISERROR(G33/L33),"",G33/L33)</f>
        <v>33.03846153846154</v>
      </c>
      <c r="L33" s="87">
        <v>52</v>
      </c>
      <c r="M33" s="36">
        <f t="shared" si="14"/>
        <v>-14.03846153846154</v>
      </c>
      <c r="N33" s="93">
        <f>SUM('3:23'!N33)</f>
        <v>0</v>
      </c>
      <c r="O33" s="93">
        <f>SUM('3:23'!O33)</f>
        <v>0</v>
      </c>
      <c r="P33" s="93">
        <f>SUM('3:23'!P33)</f>
        <v>0</v>
      </c>
      <c r="Q33" s="93">
        <f>SUM('3:23'!Q33)</f>
        <v>0</v>
      </c>
      <c r="R33" s="93">
        <f>SUM('3:23'!R33)</f>
        <v>0</v>
      </c>
      <c r="S33" s="93">
        <f>SUM('3:23'!S33)</f>
        <v>0</v>
      </c>
      <c r="T33" s="93">
        <f>SUM('3:23'!T33)</f>
        <v>0</v>
      </c>
      <c r="U33" s="93">
        <f>SUM('3:23'!U33)</f>
        <v>0</v>
      </c>
      <c r="V33" s="206">
        <f t="shared" si="15"/>
        <v>0</v>
      </c>
      <c r="W33" s="33">
        <f t="shared" si="16"/>
        <v>0</v>
      </c>
      <c r="X33" s="93">
        <f>SUM('3:23'!X33)</f>
        <v>0</v>
      </c>
      <c r="Y33" s="93">
        <f>SUM('3:23'!Y33)</f>
        <v>0</v>
      </c>
      <c r="Z33" s="93">
        <f>SUM('3:23'!Z33)</f>
        <v>0</v>
      </c>
      <c r="AA33" s="93">
        <f>SUM('3:23'!AA33)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300">
        <v>30100016</v>
      </c>
      <c r="B34" s="334" t="s">
        <v>414</v>
      </c>
      <c r="C34" s="187" t="s">
        <v>415</v>
      </c>
      <c r="D34" s="17"/>
      <c r="E34" s="17"/>
      <c r="F34" s="6"/>
      <c r="G34" s="93">
        <f>SUM('3:23'!G34)</f>
        <v>196</v>
      </c>
      <c r="H34" s="339">
        <f t="shared" si="10"/>
        <v>0</v>
      </c>
      <c r="I34" s="93">
        <f>SUM('3:23'!I34)</f>
        <v>2.5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300">
        <v>30100017</v>
      </c>
      <c r="B35" s="334" t="s">
        <v>414</v>
      </c>
      <c r="C35" s="187" t="s">
        <v>416</v>
      </c>
      <c r="D35" s="17"/>
      <c r="E35" s="17"/>
      <c r="F35" s="6"/>
      <c r="G35" s="93">
        <f>SUM('3:23'!G35)</f>
        <v>485</v>
      </c>
      <c r="H35" s="339">
        <f t="shared" si="10"/>
        <v>0</v>
      </c>
      <c r="I35" s="93">
        <f>SUM('3:23'!I35)</f>
        <v>4.5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300">
        <v>30100015</v>
      </c>
      <c r="B36" s="334" t="s">
        <v>414</v>
      </c>
      <c r="C36" s="187" t="s">
        <v>417</v>
      </c>
      <c r="D36" s="17"/>
      <c r="E36" s="17"/>
      <c r="F36" s="6"/>
      <c r="G36" s="93">
        <f>SUM('3:23'!G36)</f>
        <v>0</v>
      </c>
      <c r="H36" s="339">
        <f t="shared" si="10"/>
        <v>0</v>
      </c>
      <c r="I36" s="93">
        <f>SUM('3:23'!I36)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300">
        <v>30100027</v>
      </c>
      <c r="B37" s="263" t="s">
        <v>78</v>
      </c>
      <c r="C37" s="16" t="s">
        <v>53</v>
      </c>
      <c r="D37" s="17">
        <v>5.08</v>
      </c>
      <c r="E37" s="17"/>
      <c r="F37" s="6"/>
      <c r="G37" s="93">
        <f>SUM('3:23'!G37)</f>
        <v>859</v>
      </c>
      <c r="H37" s="339">
        <f t="shared" si="10"/>
        <v>4363.72</v>
      </c>
      <c r="I37" s="93">
        <f>SUM('3:23'!I37)</f>
        <v>44</v>
      </c>
      <c r="J37" s="31">
        <f t="array" ref="J37">IF(ISERROR(G37/I37),"",G37/I37)</f>
        <v>19.522727272727273</v>
      </c>
      <c r="K37" s="35">
        <f t="array" ref="K37">IF(ISERROR(G37/L37),"",G37/L37)</f>
        <v>40.904761904761905</v>
      </c>
      <c r="L37" s="87">
        <v>21</v>
      </c>
      <c r="M37" s="36">
        <f t="shared" ref="M37:M66" si="17">IF(ISERROR(I37-K37),"",I37-K37)</f>
        <v>3.0952380952380949</v>
      </c>
      <c r="N37" s="93">
        <f>SUM('3:23'!N37)</f>
        <v>0</v>
      </c>
      <c r="O37" s="93">
        <f>SUM('3:23'!O37)</f>
        <v>0</v>
      </c>
      <c r="P37" s="93">
        <f>SUM('3:23'!P37)</f>
        <v>0</v>
      </c>
      <c r="Q37" s="93">
        <f>SUM('3:23'!Q37)</f>
        <v>0</v>
      </c>
      <c r="R37" s="93">
        <f>SUM('3:23'!R37)</f>
        <v>0</v>
      </c>
      <c r="S37" s="93">
        <f>SUM('3:23'!S37)</f>
        <v>0</v>
      </c>
      <c r="T37" s="93">
        <f>SUM('3:23'!T37)</f>
        <v>0</v>
      </c>
      <c r="U37" s="93">
        <f>SUM('3:23'!U37)</f>
        <v>0</v>
      </c>
      <c r="V37" s="206">
        <f t="shared" ref="V37:V48" si="18">SUM(X37:AA37)</f>
        <v>0</v>
      </c>
      <c r="W37" s="33">
        <f t="shared" ref="W37:W48" si="19">IF(ISERROR(V37/G37),"",V37/G37)</f>
        <v>0</v>
      </c>
      <c r="X37" s="93">
        <f>SUM('3:23'!X37)</f>
        <v>0</v>
      </c>
      <c r="Y37" s="93">
        <f>SUM('3:23'!Y37)</f>
        <v>0</v>
      </c>
      <c r="Z37" s="93">
        <f>SUM('3:23'!Z37)</f>
        <v>0</v>
      </c>
      <c r="AA37" s="93">
        <f>SUM('3:23'!AA37)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300">
        <v>30100023</v>
      </c>
      <c r="B38" s="263" t="s">
        <v>78</v>
      </c>
      <c r="C38" s="16" t="s">
        <v>74</v>
      </c>
      <c r="D38" s="17">
        <v>5.08</v>
      </c>
      <c r="E38" s="17"/>
      <c r="F38" s="6"/>
      <c r="G38" s="93">
        <f>SUM('3:23'!G38)</f>
        <v>481</v>
      </c>
      <c r="H38" s="339">
        <f t="shared" si="10"/>
        <v>2443.48</v>
      </c>
      <c r="I38" s="93">
        <f>SUM('3:23'!I38)</f>
        <v>18</v>
      </c>
      <c r="J38" s="31">
        <f t="array" ref="J38">IF(ISERROR(G38/I38),"",G38/I38)</f>
        <v>26.722222222222221</v>
      </c>
      <c r="K38" s="35">
        <f t="array" ref="K38">IF(ISERROR(G38/L38),"",G38/L38)</f>
        <v>22.904761904761905</v>
      </c>
      <c r="L38" s="87">
        <v>21</v>
      </c>
      <c r="M38" s="36">
        <f t="shared" si="17"/>
        <v>-4.9047619047619051</v>
      </c>
      <c r="N38" s="93">
        <f>SUM('3:23'!N38)</f>
        <v>0</v>
      </c>
      <c r="O38" s="93">
        <f>SUM('3:23'!O38)</f>
        <v>0</v>
      </c>
      <c r="P38" s="93">
        <f>SUM('3:23'!P38)</f>
        <v>0</v>
      </c>
      <c r="Q38" s="93">
        <f>SUM('3:23'!Q38)</f>
        <v>0</v>
      </c>
      <c r="R38" s="93">
        <f>SUM('3:23'!R38)</f>
        <v>0</v>
      </c>
      <c r="S38" s="93">
        <f>SUM('3:23'!S38)</f>
        <v>0</v>
      </c>
      <c r="T38" s="93">
        <f>SUM('3:23'!T38)</f>
        <v>0</v>
      </c>
      <c r="U38" s="93">
        <f>SUM('3:23'!U38)</f>
        <v>0</v>
      </c>
      <c r="V38" s="206">
        <f t="shared" si="18"/>
        <v>0</v>
      </c>
      <c r="W38" s="33">
        <f t="shared" si="19"/>
        <v>0</v>
      </c>
      <c r="X38" s="93">
        <f>SUM('3:23'!X38)</f>
        <v>0</v>
      </c>
      <c r="Y38" s="93">
        <f>SUM('3:23'!Y38)</f>
        <v>0</v>
      </c>
      <c r="Z38" s="93">
        <f>SUM('3:23'!Z38)</f>
        <v>0</v>
      </c>
      <c r="AA38" s="93">
        <f>SUM('3:23'!AA38)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300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SUM('3:23'!G39)</f>
        <v>0</v>
      </c>
      <c r="H39" s="339">
        <f t="shared" si="10"/>
        <v>0</v>
      </c>
      <c r="I39" s="93">
        <f>SUM('3:23'!I39)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17"/>
        <v>0</v>
      </c>
      <c r="N39" s="93">
        <f>SUM('3:23'!N39)</f>
        <v>0</v>
      </c>
      <c r="O39" s="93">
        <f>SUM('3:23'!O39)</f>
        <v>0</v>
      </c>
      <c r="P39" s="93">
        <f>SUM('3:23'!P39)</f>
        <v>0</v>
      </c>
      <c r="Q39" s="93">
        <f>SUM('3:23'!Q39)</f>
        <v>0</v>
      </c>
      <c r="R39" s="93">
        <f>SUM('3:23'!R39)</f>
        <v>0</v>
      </c>
      <c r="S39" s="93">
        <f>SUM('3:23'!S39)</f>
        <v>0</v>
      </c>
      <c r="T39" s="93">
        <f>SUM('3:23'!T39)</f>
        <v>0</v>
      </c>
      <c r="U39" s="93">
        <f>SUM('3:23'!U39)</f>
        <v>0</v>
      </c>
      <c r="V39" s="206">
        <f t="shared" si="18"/>
        <v>0</v>
      </c>
      <c r="W39" s="33" t="str">
        <f t="shared" si="19"/>
        <v/>
      </c>
      <c r="X39" s="93">
        <f>SUM('3:23'!X39)</f>
        <v>0</v>
      </c>
      <c r="Y39" s="93">
        <f>SUM('3:23'!Y39)</f>
        <v>0</v>
      </c>
      <c r="Z39" s="93">
        <f>SUM('3:23'!Z39)</f>
        <v>0</v>
      </c>
      <c r="AA39" s="93">
        <f>SUM('3:23'!AA39)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300">
        <v>30100022</v>
      </c>
      <c r="B40" s="263" t="s">
        <v>78</v>
      </c>
      <c r="C40" s="16" t="s">
        <v>60</v>
      </c>
      <c r="D40" s="17">
        <v>5.08</v>
      </c>
      <c r="E40" s="17"/>
      <c r="F40" s="6"/>
      <c r="G40" s="93">
        <f>SUM('3:23'!G40)</f>
        <v>754</v>
      </c>
      <c r="H40" s="339">
        <f t="shared" si="10"/>
        <v>3830.32</v>
      </c>
      <c r="I40" s="93">
        <f>SUM('3:23'!I40)</f>
        <v>24</v>
      </c>
      <c r="J40" s="31">
        <f t="array" ref="J40">IF(ISERROR(G40/I40),"",G40/I40)</f>
        <v>31.416666666666668</v>
      </c>
      <c r="K40" s="35">
        <f t="array" ref="K40">IF(ISERROR(G40/L40),"",G40/L40)</f>
        <v>35.904761904761905</v>
      </c>
      <c r="L40" s="87">
        <v>21</v>
      </c>
      <c r="M40" s="36">
        <f t="shared" si="17"/>
        <v>-11.904761904761905</v>
      </c>
      <c r="N40" s="93">
        <f>SUM('3:23'!N40)</f>
        <v>0</v>
      </c>
      <c r="O40" s="93">
        <f>SUM('3:23'!O40)</f>
        <v>0</v>
      </c>
      <c r="P40" s="93">
        <f>SUM('3:23'!P40)</f>
        <v>0</v>
      </c>
      <c r="Q40" s="93">
        <f>SUM('3:23'!Q40)</f>
        <v>0</v>
      </c>
      <c r="R40" s="93">
        <f>SUM('3:23'!R40)</f>
        <v>0</v>
      </c>
      <c r="S40" s="93">
        <f>SUM('3:23'!S40)</f>
        <v>0</v>
      </c>
      <c r="T40" s="93">
        <f>SUM('3:23'!T40)</f>
        <v>0</v>
      </c>
      <c r="U40" s="93">
        <f>SUM('3:23'!U40)</f>
        <v>0</v>
      </c>
      <c r="V40" s="206">
        <f t="shared" si="18"/>
        <v>0</v>
      </c>
      <c r="W40" s="33">
        <f t="shared" si="19"/>
        <v>0</v>
      </c>
      <c r="X40" s="93">
        <f>SUM('3:23'!X40)</f>
        <v>0</v>
      </c>
      <c r="Y40" s="93">
        <f>SUM('3:23'!Y40)</f>
        <v>0</v>
      </c>
      <c r="Z40" s="93">
        <f>SUM('3:23'!Z40)</f>
        <v>0</v>
      </c>
      <c r="AA40" s="93">
        <f>SUM('3:23'!AA40)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300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SUM('3:23'!G41)</f>
        <v>510</v>
      </c>
      <c r="H41" s="339">
        <f t="shared" si="10"/>
        <v>2590.8000000000002</v>
      </c>
      <c r="I41" s="93">
        <f>SUM('3:23'!I41)</f>
        <v>23</v>
      </c>
      <c r="J41" s="31">
        <f t="array" ref="J41">IF(ISERROR(G41/I41),"",G41/I41)</f>
        <v>22.173913043478262</v>
      </c>
      <c r="K41" s="35">
        <f t="array" ref="K41">IF(ISERROR(G41/L41),"",G41/L41)</f>
        <v>24.285714285714285</v>
      </c>
      <c r="L41" s="87">
        <v>21</v>
      </c>
      <c r="M41" s="36">
        <f t="shared" si="17"/>
        <v>-1.2857142857142847</v>
      </c>
      <c r="N41" s="93">
        <f>SUM('3:23'!N41)</f>
        <v>0</v>
      </c>
      <c r="O41" s="93">
        <f>SUM('3:23'!O41)</f>
        <v>0</v>
      </c>
      <c r="P41" s="93">
        <f>SUM('3:23'!P41)</f>
        <v>0</v>
      </c>
      <c r="Q41" s="93">
        <f>SUM('3:23'!Q41)</f>
        <v>0</v>
      </c>
      <c r="R41" s="93">
        <f>SUM('3:23'!R41)</f>
        <v>0</v>
      </c>
      <c r="S41" s="93">
        <f>SUM('3:23'!S41)</f>
        <v>0</v>
      </c>
      <c r="T41" s="93">
        <f>SUM('3:23'!T41)</f>
        <v>0</v>
      </c>
      <c r="U41" s="93">
        <f>SUM('3:23'!U41)</f>
        <v>0</v>
      </c>
      <c r="V41" s="206">
        <f t="shared" si="18"/>
        <v>0</v>
      </c>
      <c r="W41" s="33">
        <f t="shared" si="19"/>
        <v>0</v>
      </c>
      <c r="X41" s="93">
        <f>SUM('3:23'!X41)</f>
        <v>0</v>
      </c>
      <c r="Y41" s="93">
        <f>SUM('3:23'!Y41)</f>
        <v>0</v>
      </c>
      <c r="Z41" s="93">
        <f>SUM('3:23'!Z41)</f>
        <v>0</v>
      </c>
      <c r="AA41" s="93">
        <f>SUM('3:23'!AA41)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300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SUM('3:23'!G42)</f>
        <v>0</v>
      </c>
      <c r="H42" s="339">
        <f t="shared" si="10"/>
        <v>0</v>
      </c>
      <c r="I42" s="93">
        <f>SUM('3:23'!I42)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17"/>
        <v>0</v>
      </c>
      <c r="N42" s="93">
        <f>SUM('3:23'!N42)</f>
        <v>0</v>
      </c>
      <c r="O42" s="93">
        <f>SUM('3:23'!O42)</f>
        <v>0</v>
      </c>
      <c r="P42" s="93">
        <f>SUM('3:23'!P42)</f>
        <v>0</v>
      </c>
      <c r="Q42" s="93">
        <f>SUM('3:23'!Q42)</f>
        <v>0</v>
      </c>
      <c r="R42" s="93">
        <f>SUM('3:23'!R42)</f>
        <v>0</v>
      </c>
      <c r="S42" s="93">
        <f>SUM('3:23'!S42)</f>
        <v>0</v>
      </c>
      <c r="T42" s="93">
        <f>SUM('3:23'!T42)</f>
        <v>0</v>
      </c>
      <c r="U42" s="93">
        <f>SUM('3:23'!U42)</f>
        <v>0</v>
      </c>
      <c r="V42" s="206">
        <f t="shared" si="18"/>
        <v>0</v>
      </c>
      <c r="W42" s="33" t="str">
        <f t="shared" si="19"/>
        <v/>
      </c>
      <c r="X42" s="93">
        <f>SUM('3:23'!X42)</f>
        <v>0</v>
      </c>
      <c r="Y42" s="93">
        <f>SUM('3:23'!Y42)</f>
        <v>0</v>
      </c>
      <c r="Z42" s="93">
        <f>SUM('3:23'!Z42)</f>
        <v>0</v>
      </c>
      <c r="AA42" s="93">
        <f>SUM('3:23'!AA42)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300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SUM('3:23'!G43)</f>
        <v>0</v>
      </c>
      <c r="H43" s="339">
        <f t="shared" si="10"/>
        <v>0</v>
      </c>
      <c r="I43" s="93">
        <f>SUM('3:23'!I43)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17"/>
        <v>0</v>
      </c>
      <c r="N43" s="93">
        <f>SUM('3:23'!N43)</f>
        <v>0</v>
      </c>
      <c r="O43" s="93">
        <f>SUM('3:23'!O43)</f>
        <v>0</v>
      </c>
      <c r="P43" s="93">
        <f>SUM('3:23'!P43)</f>
        <v>0</v>
      </c>
      <c r="Q43" s="93">
        <f>SUM('3:23'!Q43)</f>
        <v>0</v>
      </c>
      <c r="R43" s="93">
        <f>SUM('3:23'!R43)</f>
        <v>0</v>
      </c>
      <c r="S43" s="93">
        <f>SUM('3:23'!S43)</f>
        <v>0</v>
      </c>
      <c r="T43" s="93">
        <f>SUM('3:23'!T43)</f>
        <v>0</v>
      </c>
      <c r="U43" s="93">
        <f>SUM('3:23'!U43)</f>
        <v>0</v>
      </c>
      <c r="V43" s="206">
        <f t="shared" si="18"/>
        <v>0</v>
      </c>
      <c r="W43" s="33" t="str">
        <f t="shared" si="19"/>
        <v/>
      </c>
      <c r="X43" s="93">
        <f>SUM('3:23'!X43)</f>
        <v>0</v>
      </c>
      <c r="Y43" s="93">
        <f>SUM('3:23'!Y43)</f>
        <v>0</v>
      </c>
      <c r="Z43" s="93">
        <f>SUM('3:23'!Z43)</f>
        <v>0</v>
      </c>
      <c r="AA43" s="93">
        <f>SUM('3:23'!AA43)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300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SUM('3:23'!G44)</f>
        <v>731</v>
      </c>
      <c r="H44" s="339">
        <f t="shared" si="10"/>
        <v>3713.48</v>
      </c>
      <c r="I44" s="93">
        <f>SUM('3:23'!I44)</f>
        <v>17</v>
      </c>
      <c r="J44" s="31">
        <f t="array" ref="J44">IF(ISERROR(G44/I44),"",G44/I44)</f>
        <v>43</v>
      </c>
      <c r="K44" s="35">
        <f t="array" ref="K44">IF(ISERROR(G44/L44),"",G44/L44)</f>
        <v>34.80952380952381</v>
      </c>
      <c r="L44" s="87">
        <v>21</v>
      </c>
      <c r="M44" s="36">
        <f t="shared" si="17"/>
        <v>-17.80952380952381</v>
      </c>
      <c r="N44" s="93">
        <f>SUM('3:23'!N44)</f>
        <v>0</v>
      </c>
      <c r="O44" s="93">
        <f>SUM('3:23'!O44)</f>
        <v>0</v>
      </c>
      <c r="P44" s="93">
        <f>SUM('3:23'!P44)</f>
        <v>0</v>
      </c>
      <c r="Q44" s="93">
        <f>SUM('3:23'!Q44)</f>
        <v>0</v>
      </c>
      <c r="R44" s="93">
        <f>SUM('3:23'!R44)</f>
        <v>0</v>
      </c>
      <c r="S44" s="93">
        <f>SUM('3:23'!S44)</f>
        <v>0</v>
      </c>
      <c r="T44" s="93">
        <f>SUM('3:23'!T44)</f>
        <v>0</v>
      </c>
      <c r="U44" s="93">
        <f>SUM('3:23'!U44)</f>
        <v>0</v>
      </c>
      <c r="V44" s="206">
        <f t="shared" si="18"/>
        <v>0</v>
      </c>
      <c r="W44" s="33">
        <f t="shared" si="19"/>
        <v>0</v>
      </c>
      <c r="X44" s="93">
        <f>SUM('3:23'!X44)</f>
        <v>0</v>
      </c>
      <c r="Y44" s="93">
        <f>SUM('3:23'!Y44)</f>
        <v>0</v>
      </c>
      <c r="Z44" s="93">
        <f>SUM('3:23'!Z44)</f>
        <v>0</v>
      </c>
      <c r="AA44" s="93">
        <f>SUM('3:23'!AA44)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300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SUM('3:23'!G45)</f>
        <v>648</v>
      </c>
      <c r="H45" s="339">
        <f t="shared" si="10"/>
        <v>3259.44</v>
      </c>
      <c r="I45" s="93">
        <f>SUM('3:23'!I45)</f>
        <v>5.5</v>
      </c>
      <c r="J45" s="31">
        <f t="array" ref="J45">IF(ISERROR(G45/I45),"",G45/I45)</f>
        <v>117.81818181818181</v>
      </c>
      <c r="K45" s="35">
        <f t="array" ref="K45">IF(ISERROR(G45/L45),"",G45/L45)</f>
        <v>11.571428571428571</v>
      </c>
      <c r="L45" s="87">
        <v>56</v>
      </c>
      <c r="M45" s="36">
        <f t="shared" si="17"/>
        <v>-6.0714285714285712</v>
      </c>
      <c r="N45" s="93">
        <f>SUM('3:23'!N45)</f>
        <v>0</v>
      </c>
      <c r="O45" s="93">
        <f>SUM('3:23'!O45)</f>
        <v>0</v>
      </c>
      <c r="P45" s="93">
        <f>SUM('3:23'!P45)</f>
        <v>0</v>
      </c>
      <c r="Q45" s="93">
        <f>SUM('3:23'!Q45)</f>
        <v>0</v>
      </c>
      <c r="R45" s="93">
        <f>SUM('3:23'!R45)</f>
        <v>0</v>
      </c>
      <c r="S45" s="93">
        <f>SUM('3:23'!S45)</f>
        <v>0</v>
      </c>
      <c r="T45" s="93">
        <f>SUM('3:23'!T45)</f>
        <v>0</v>
      </c>
      <c r="U45" s="93">
        <f>SUM('3:23'!U45)</f>
        <v>0</v>
      </c>
      <c r="V45" s="206">
        <f t="shared" si="18"/>
        <v>0</v>
      </c>
      <c r="W45" s="33">
        <f t="shared" si="19"/>
        <v>0</v>
      </c>
      <c r="X45" s="93">
        <f>SUM('3:23'!X45)</f>
        <v>0</v>
      </c>
      <c r="Y45" s="93">
        <f>SUM('3:23'!Y45)</f>
        <v>0</v>
      </c>
      <c r="Z45" s="93">
        <f>SUM('3:23'!Z45)</f>
        <v>0</v>
      </c>
      <c r="AA45" s="93">
        <f>SUM('3:23'!AA45)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300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SUM('3:23'!G46)</f>
        <v>1459</v>
      </c>
      <c r="H46" s="339">
        <f t="shared" si="10"/>
        <v>7338.77</v>
      </c>
      <c r="I46" s="93">
        <f>SUM('3:23'!I46)</f>
        <v>15</v>
      </c>
      <c r="J46" s="31">
        <f t="array" ref="J46">IF(ISERROR(G46/I46),"",G46/I46)</f>
        <v>97.266666666666666</v>
      </c>
      <c r="K46" s="35">
        <f t="array" ref="K46">IF(ISERROR(G46/L46),"",G46/L46)</f>
        <v>26.053571428571427</v>
      </c>
      <c r="L46" s="87">
        <v>56</v>
      </c>
      <c r="M46" s="36">
        <f t="shared" si="17"/>
        <v>-11.053571428571427</v>
      </c>
      <c r="N46" s="93">
        <f>SUM('3:23'!N46)</f>
        <v>0</v>
      </c>
      <c r="O46" s="93">
        <f>SUM('3:23'!O46)</f>
        <v>0</v>
      </c>
      <c r="P46" s="93">
        <f>SUM('3:23'!P46)</f>
        <v>0</v>
      </c>
      <c r="Q46" s="93">
        <f>SUM('3:23'!Q46)</f>
        <v>0</v>
      </c>
      <c r="R46" s="93">
        <f>SUM('3:23'!R46)</f>
        <v>0</v>
      </c>
      <c r="S46" s="93">
        <f>SUM('3:23'!S46)</f>
        <v>0</v>
      </c>
      <c r="T46" s="93">
        <f>SUM('3:23'!T46)</f>
        <v>0</v>
      </c>
      <c r="U46" s="93">
        <f>SUM('3:23'!U46)</f>
        <v>0</v>
      </c>
      <c r="V46" s="206">
        <f t="shared" si="18"/>
        <v>0</v>
      </c>
      <c r="W46" s="33">
        <f t="shared" si="19"/>
        <v>0</v>
      </c>
      <c r="X46" s="93">
        <f>SUM('3:23'!X46)</f>
        <v>0</v>
      </c>
      <c r="Y46" s="93">
        <f>SUM('3:23'!Y46)</f>
        <v>0</v>
      </c>
      <c r="Z46" s="93">
        <f>SUM('3:23'!Z46)</f>
        <v>0</v>
      </c>
      <c r="AA46" s="93">
        <f>SUM('3:23'!AA46)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300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SUM('3:23'!G47)</f>
        <v>605</v>
      </c>
      <c r="H47" s="339">
        <f t="shared" si="10"/>
        <v>3043.15</v>
      </c>
      <c r="I47" s="93">
        <f>SUM('3:23'!I47)</f>
        <v>3.5</v>
      </c>
      <c r="J47" s="31">
        <f t="array" ref="J47">IF(ISERROR(G47/I47),"",G47/I47)</f>
        <v>172.85714285714286</v>
      </c>
      <c r="K47" s="35">
        <f t="array" ref="K47">IF(ISERROR(G47/L47),"",G47/L47)</f>
        <v>10.803571428571429</v>
      </c>
      <c r="L47" s="87">
        <v>56</v>
      </c>
      <c r="M47" s="36">
        <f t="shared" si="17"/>
        <v>-7.3035714285714288</v>
      </c>
      <c r="N47" s="93">
        <f>SUM('3:23'!N47)</f>
        <v>0</v>
      </c>
      <c r="O47" s="93">
        <f>SUM('3:23'!O47)</f>
        <v>0</v>
      </c>
      <c r="P47" s="93">
        <f>SUM('3:23'!P47)</f>
        <v>0</v>
      </c>
      <c r="Q47" s="93">
        <f>SUM('3:23'!Q47)</f>
        <v>0</v>
      </c>
      <c r="R47" s="93">
        <f>SUM('3:23'!R47)</f>
        <v>0</v>
      </c>
      <c r="S47" s="93">
        <f>SUM('3:23'!S47)</f>
        <v>0</v>
      </c>
      <c r="T47" s="93">
        <f>SUM('3:23'!T47)</f>
        <v>0</v>
      </c>
      <c r="U47" s="93">
        <f>SUM('3:23'!U47)</f>
        <v>0</v>
      </c>
      <c r="V47" s="206">
        <f t="shared" si="18"/>
        <v>0</v>
      </c>
      <c r="W47" s="33">
        <f t="shared" si="19"/>
        <v>0</v>
      </c>
      <c r="X47" s="93">
        <f>SUM('3:23'!X47)</f>
        <v>0</v>
      </c>
      <c r="Y47" s="93">
        <f>SUM('3:23'!Y47)</f>
        <v>0</v>
      </c>
      <c r="Z47" s="93">
        <f>SUM('3:23'!Z47)</f>
        <v>0</v>
      </c>
      <c r="AA47" s="93">
        <f>SUM('3:23'!AA47)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300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SUM('3:23'!G48)</f>
        <v>695</v>
      </c>
      <c r="H48" s="339">
        <f t="shared" si="10"/>
        <v>3495.8500000000004</v>
      </c>
      <c r="I48" s="93">
        <f>SUM('3:23'!I48)</f>
        <v>7</v>
      </c>
      <c r="J48" s="31">
        <f t="array" ref="J48">IF(ISERROR(G48/I48),"",G48/I48)</f>
        <v>99.285714285714292</v>
      </c>
      <c r="K48" s="35">
        <f t="array" ref="K48">IF(ISERROR(G48/L48),"",G48/L48)</f>
        <v>12.410714285714286</v>
      </c>
      <c r="L48" s="87">
        <v>56</v>
      </c>
      <c r="M48" s="36">
        <f t="shared" si="17"/>
        <v>-5.4107142857142865</v>
      </c>
      <c r="N48" s="93">
        <f>SUM('3:23'!N48)</f>
        <v>0</v>
      </c>
      <c r="O48" s="93">
        <f>SUM('3:23'!O48)</f>
        <v>0</v>
      </c>
      <c r="P48" s="93">
        <f>SUM('3:23'!P48)</f>
        <v>0</v>
      </c>
      <c r="Q48" s="93">
        <f>SUM('3:23'!Q48)</f>
        <v>0</v>
      </c>
      <c r="R48" s="93">
        <f>SUM('3:23'!R48)</f>
        <v>0</v>
      </c>
      <c r="S48" s="93">
        <f>SUM('3:23'!S48)</f>
        <v>0</v>
      </c>
      <c r="T48" s="93">
        <f>SUM('3:23'!T48)</f>
        <v>0</v>
      </c>
      <c r="U48" s="93">
        <f>SUM('3:23'!U48)</f>
        <v>0</v>
      </c>
      <c r="V48" s="206">
        <f t="shared" si="18"/>
        <v>0</v>
      </c>
      <c r="W48" s="33">
        <f t="shared" si="19"/>
        <v>0</v>
      </c>
      <c r="X48" s="93">
        <f>SUM('3:23'!X48)</f>
        <v>0</v>
      </c>
      <c r="Y48" s="93">
        <f>SUM('3:23'!Y48)</f>
        <v>0</v>
      </c>
      <c r="Z48" s="93">
        <f>SUM('3:23'!Z48)</f>
        <v>0</v>
      </c>
      <c r="AA48" s="93">
        <f>SUM('3:23'!AA48)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300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SUM('3:23'!G49)</f>
        <v>889</v>
      </c>
      <c r="H49" s="339">
        <f t="shared" si="10"/>
        <v>4471.67</v>
      </c>
      <c r="I49" s="93">
        <f>SUM('3:23'!I49)</f>
        <v>15</v>
      </c>
      <c r="J49" s="31"/>
      <c r="K49" s="35">
        <f t="array" ref="K49">IF(ISERROR(G49/L49),"",G49/L49)</f>
        <v>16.462962962962962</v>
      </c>
      <c r="L49" s="87">
        <v>54</v>
      </c>
      <c r="M49" s="36">
        <f t="shared" si="17"/>
        <v>-1.4629629629629619</v>
      </c>
      <c r="N49" s="93">
        <f>SUM('3:23'!N49)</f>
        <v>0</v>
      </c>
      <c r="O49" s="93">
        <f>SUM('3:23'!O49)</f>
        <v>0</v>
      </c>
      <c r="P49" s="93">
        <f>SUM('3:23'!P49)</f>
        <v>0</v>
      </c>
      <c r="Q49" s="93">
        <f>SUM('3:23'!Q49)</f>
        <v>0</v>
      </c>
      <c r="R49" s="93">
        <f>SUM('3:23'!R49)</f>
        <v>0</v>
      </c>
      <c r="S49" s="93">
        <f>SUM('3:23'!S49)</f>
        <v>0</v>
      </c>
      <c r="T49" s="93">
        <f>SUM('3:23'!T49)</f>
        <v>0</v>
      </c>
      <c r="U49" s="93">
        <f>SUM('3:23'!U49)</f>
        <v>0</v>
      </c>
      <c r="V49" s="206"/>
      <c r="W49" s="33"/>
      <c r="X49" s="93">
        <f>SUM('3:23'!X49)</f>
        <v>0</v>
      </c>
      <c r="Y49" s="93">
        <f>SUM('3:23'!Y49)</f>
        <v>0</v>
      </c>
      <c r="Z49" s="93">
        <f>SUM('3:23'!Z49)</f>
        <v>0</v>
      </c>
      <c r="AA49" s="93">
        <f>SUM('3:23'!AA49)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300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SUM('3:23'!G50)</f>
        <v>1050</v>
      </c>
      <c r="H50" s="339">
        <f t="shared" si="10"/>
        <v>5281.5</v>
      </c>
      <c r="I50" s="93">
        <f>SUM('3:23'!I50)</f>
        <v>19</v>
      </c>
      <c r="J50" s="31"/>
      <c r="K50" s="35">
        <f t="array" ref="K50">IF(ISERROR(G50/L50),"",G50/L50)</f>
        <v>19.444444444444443</v>
      </c>
      <c r="L50" s="87">
        <v>54</v>
      </c>
      <c r="M50" s="36">
        <f t="shared" si="17"/>
        <v>-0.44444444444444287</v>
      </c>
      <c r="N50" s="93">
        <f>SUM('3:23'!N50)</f>
        <v>0</v>
      </c>
      <c r="O50" s="93">
        <f>SUM('3:23'!O50)</f>
        <v>0</v>
      </c>
      <c r="P50" s="93">
        <f>SUM('3:23'!P50)</f>
        <v>0</v>
      </c>
      <c r="Q50" s="93">
        <f>SUM('3:23'!Q50)</f>
        <v>0</v>
      </c>
      <c r="R50" s="93">
        <f>SUM('3:23'!R50)</f>
        <v>0</v>
      </c>
      <c r="S50" s="93">
        <f>SUM('3:23'!S50)</f>
        <v>0</v>
      </c>
      <c r="T50" s="93">
        <f>SUM('3:23'!T50)</f>
        <v>0</v>
      </c>
      <c r="U50" s="93">
        <f>SUM('3:23'!U50)</f>
        <v>0</v>
      </c>
      <c r="V50" s="206"/>
      <c r="W50" s="33"/>
      <c r="X50" s="93">
        <f>SUM('3:23'!X50)</f>
        <v>0</v>
      </c>
      <c r="Y50" s="93">
        <f>SUM('3:23'!Y50)</f>
        <v>0</v>
      </c>
      <c r="Z50" s="93">
        <f>SUM('3:23'!Z50)</f>
        <v>0</v>
      </c>
      <c r="AA50" s="93">
        <f>SUM('3:23'!AA50)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300">
        <v>30100021</v>
      </c>
      <c r="B51" s="190" t="s">
        <v>471</v>
      </c>
      <c r="C51" s="16" t="s">
        <v>390</v>
      </c>
      <c r="D51" s="17">
        <v>5.03</v>
      </c>
      <c r="E51" s="17"/>
      <c r="F51" s="6"/>
      <c r="G51" s="93">
        <f>SUM('3:23'!G51)</f>
        <v>314</v>
      </c>
      <c r="H51" s="339">
        <f t="shared" si="10"/>
        <v>1579.42</v>
      </c>
      <c r="I51" s="93">
        <f>SUM('3:23'!I51)</f>
        <v>5.5</v>
      </c>
      <c r="J51" s="31"/>
      <c r="K51" s="35">
        <f t="array" ref="K51">IF(ISERROR(G51/L51),"",G51/L51)</f>
        <v>5.8148148148148149</v>
      </c>
      <c r="L51" s="87">
        <v>54</v>
      </c>
      <c r="M51" s="36">
        <f t="shared" si="17"/>
        <v>-0.31481481481481488</v>
      </c>
      <c r="N51" s="93">
        <f>SUM('3:23'!N51)</f>
        <v>0</v>
      </c>
      <c r="O51" s="93">
        <f>SUM('3:23'!O51)</f>
        <v>0</v>
      </c>
      <c r="P51" s="93">
        <f>SUM('3:23'!P51)</f>
        <v>0</v>
      </c>
      <c r="Q51" s="93">
        <f>SUM('3:23'!Q51)</f>
        <v>0</v>
      </c>
      <c r="R51" s="93">
        <f>SUM('3:23'!R51)</f>
        <v>0</v>
      </c>
      <c r="S51" s="93">
        <f>SUM('3:23'!S51)</f>
        <v>0</v>
      </c>
      <c r="T51" s="93">
        <f>SUM('3:23'!T51)</f>
        <v>0</v>
      </c>
      <c r="U51" s="93">
        <f>SUM('3:23'!U51)</f>
        <v>0</v>
      </c>
      <c r="V51" s="206"/>
      <c r="W51" s="33"/>
      <c r="X51" s="93">
        <f>SUM('3:23'!X51)</f>
        <v>0</v>
      </c>
      <c r="Y51" s="93">
        <f>SUM('3:23'!Y51)</f>
        <v>0</v>
      </c>
      <c r="Z51" s="93">
        <f>SUM('3:23'!Z51)</f>
        <v>0</v>
      </c>
      <c r="AA51" s="93">
        <f>SUM('3:23'!AA51)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300">
        <v>30100018</v>
      </c>
      <c r="B52" s="190" t="s">
        <v>471</v>
      </c>
      <c r="C52" s="16" t="s">
        <v>392</v>
      </c>
      <c r="D52" s="17">
        <v>5.03</v>
      </c>
      <c r="E52" s="17"/>
      <c r="F52" s="6"/>
      <c r="G52" s="93">
        <f>SUM('3:23'!G52)</f>
        <v>1346</v>
      </c>
      <c r="H52" s="339">
        <f t="shared" si="10"/>
        <v>6770.38</v>
      </c>
      <c r="I52" s="93">
        <f>SUM('3:23'!I52)</f>
        <v>15</v>
      </c>
      <c r="J52" s="31"/>
      <c r="K52" s="35">
        <f t="array" ref="K52">IF(ISERROR(G52/L52),"",G52/L52)</f>
        <v>24.925925925925927</v>
      </c>
      <c r="L52" s="87">
        <v>54</v>
      </c>
      <c r="M52" s="36">
        <f t="shared" si="17"/>
        <v>-9.9259259259259274</v>
      </c>
      <c r="N52" s="93">
        <f>SUM('3:23'!N52)</f>
        <v>0</v>
      </c>
      <c r="O52" s="93">
        <f>SUM('3:23'!O52)</f>
        <v>0</v>
      </c>
      <c r="P52" s="93">
        <f>SUM('3:23'!P52)</f>
        <v>0</v>
      </c>
      <c r="Q52" s="93">
        <f>SUM('3:23'!Q52)</f>
        <v>0</v>
      </c>
      <c r="R52" s="93">
        <f>SUM('3:23'!R52)</f>
        <v>0</v>
      </c>
      <c r="S52" s="93">
        <f>SUM('3:23'!S52)</f>
        <v>0</v>
      </c>
      <c r="T52" s="93">
        <f>SUM('3:23'!T52)</f>
        <v>0</v>
      </c>
      <c r="U52" s="93">
        <f>SUM('3:23'!U52)</f>
        <v>0</v>
      </c>
      <c r="V52" s="206"/>
      <c r="W52" s="33"/>
      <c r="X52" s="93">
        <f>SUM('3:23'!X52)</f>
        <v>0</v>
      </c>
      <c r="Y52" s="93">
        <f>SUM('3:23'!Y52)</f>
        <v>0</v>
      </c>
      <c r="Z52" s="93">
        <f>SUM('3:23'!Z52)</f>
        <v>0</v>
      </c>
      <c r="AA52" s="93">
        <f>SUM('3:23'!AA52)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303">
        <v>30700007</v>
      </c>
      <c r="B53" s="190" t="s">
        <v>418</v>
      </c>
      <c r="C53" s="187" t="s">
        <v>364</v>
      </c>
      <c r="D53" s="17"/>
      <c r="E53" s="17"/>
      <c r="F53" s="6"/>
      <c r="G53" s="93">
        <f>SUM('3:23'!G53)</f>
        <v>0</v>
      </c>
      <c r="H53" s="339">
        <f t="shared" si="10"/>
        <v>0</v>
      </c>
      <c r="I53" s="93">
        <f>SUM('3:23'!I53)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17"/>
        <v>0</v>
      </c>
      <c r="N53" s="93">
        <f>SUM('3:23'!N53)</f>
        <v>0</v>
      </c>
      <c r="O53" s="93">
        <f>SUM('3:23'!O53)</f>
        <v>0</v>
      </c>
      <c r="P53" s="93">
        <f>SUM('3:23'!P53)</f>
        <v>0</v>
      </c>
      <c r="Q53" s="93">
        <f>SUM('3:23'!Q53)</f>
        <v>0</v>
      </c>
      <c r="R53" s="93">
        <f>SUM('3:23'!R53)</f>
        <v>0</v>
      </c>
      <c r="S53" s="93">
        <f>SUM('3:23'!S53)</f>
        <v>0</v>
      </c>
      <c r="T53" s="93">
        <f>SUM('3:23'!T53)</f>
        <v>0</v>
      </c>
      <c r="U53" s="93">
        <f>SUM('3:23'!U53)</f>
        <v>0</v>
      </c>
      <c r="V53" s="206"/>
      <c r="W53" s="33"/>
      <c r="X53" s="93">
        <f>SUM('3:23'!X53)</f>
        <v>0</v>
      </c>
      <c r="Y53" s="93">
        <f>SUM('3:23'!Y53)</f>
        <v>0</v>
      </c>
      <c r="Z53" s="93">
        <f>SUM('3:23'!Z53)</f>
        <v>0</v>
      </c>
      <c r="AA53" s="93">
        <f>SUM('3:23'!AA53)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303">
        <v>30700006</v>
      </c>
      <c r="B54" s="190" t="s">
        <v>418</v>
      </c>
      <c r="C54" s="187" t="s">
        <v>365</v>
      </c>
      <c r="D54" s="17"/>
      <c r="E54" s="17"/>
      <c r="F54" s="6"/>
      <c r="G54" s="93">
        <f>SUM('3:23'!G54)</f>
        <v>0</v>
      </c>
      <c r="H54" s="339">
        <f t="shared" si="10"/>
        <v>0</v>
      </c>
      <c r="I54" s="93">
        <f>SUM('3:23'!I54)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17"/>
        <v>0</v>
      </c>
      <c r="N54" s="93">
        <f>SUM('3:23'!N54)</f>
        <v>0</v>
      </c>
      <c r="O54" s="93">
        <f>SUM('3:23'!O54)</f>
        <v>0</v>
      </c>
      <c r="P54" s="93">
        <f>SUM('3:23'!P54)</f>
        <v>0</v>
      </c>
      <c r="Q54" s="93">
        <f>SUM('3:23'!Q54)</f>
        <v>0</v>
      </c>
      <c r="R54" s="93">
        <f>SUM('3:23'!R54)</f>
        <v>0</v>
      </c>
      <c r="S54" s="93">
        <f>SUM('3:23'!S54)</f>
        <v>0</v>
      </c>
      <c r="T54" s="93">
        <f>SUM('3:23'!T54)</f>
        <v>0</v>
      </c>
      <c r="U54" s="93">
        <f>SUM('3:23'!U54)</f>
        <v>0</v>
      </c>
      <c r="V54" s="206"/>
      <c r="W54" s="33"/>
      <c r="X54" s="93">
        <f>SUM('3:23'!X54)</f>
        <v>0</v>
      </c>
      <c r="Y54" s="93">
        <f>SUM('3:23'!Y54)</f>
        <v>0</v>
      </c>
      <c r="Z54" s="93">
        <f>SUM('3:23'!Z54)</f>
        <v>0</v>
      </c>
      <c r="AA54" s="93">
        <f>SUM('3:23'!AA54)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303">
        <v>30700008</v>
      </c>
      <c r="B55" s="190" t="s">
        <v>418</v>
      </c>
      <c r="C55" s="187" t="s">
        <v>366</v>
      </c>
      <c r="D55" s="17"/>
      <c r="E55" s="17"/>
      <c r="F55" s="6"/>
      <c r="G55" s="93">
        <f>SUM('3:23'!G55)</f>
        <v>0</v>
      </c>
      <c r="H55" s="339">
        <f t="shared" si="10"/>
        <v>0</v>
      </c>
      <c r="I55" s="93">
        <f>SUM('3:23'!I55)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17"/>
        <v>0</v>
      </c>
      <c r="N55" s="93">
        <f>SUM('3:23'!N55)</f>
        <v>0</v>
      </c>
      <c r="O55" s="93">
        <f>SUM('3:23'!O55)</f>
        <v>0</v>
      </c>
      <c r="P55" s="93">
        <f>SUM('3:23'!P55)</f>
        <v>0</v>
      </c>
      <c r="Q55" s="93">
        <f>SUM('3:23'!Q55)</f>
        <v>0</v>
      </c>
      <c r="R55" s="93">
        <f>SUM('3:23'!R55)</f>
        <v>0</v>
      </c>
      <c r="S55" s="93">
        <f>SUM('3:23'!S55)</f>
        <v>0</v>
      </c>
      <c r="T55" s="93">
        <f>SUM('3:23'!T55)</f>
        <v>0</v>
      </c>
      <c r="U55" s="93">
        <f>SUM('3:23'!U55)</f>
        <v>0</v>
      </c>
      <c r="V55" s="206"/>
      <c r="W55" s="33"/>
      <c r="X55" s="93">
        <f>SUM('3:23'!X55)</f>
        <v>0</v>
      </c>
      <c r="Y55" s="93">
        <f>SUM('3:23'!Y55)</f>
        <v>0</v>
      </c>
      <c r="Z55" s="93">
        <f>SUM('3:23'!Z55)</f>
        <v>0</v>
      </c>
      <c r="AA55" s="93">
        <f>SUM('3:23'!AA55)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303">
        <v>30700009</v>
      </c>
      <c r="B56" s="190" t="s">
        <v>418</v>
      </c>
      <c r="C56" s="187" t="s">
        <v>367</v>
      </c>
      <c r="D56" s="17"/>
      <c r="E56" s="17"/>
      <c r="F56" s="6"/>
      <c r="G56" s="93">
        <f>SUM('3:23'!G56)</f>
        <v>0</v>
      </c>
      <c r="H56" s="339">
        <f t="shared" si="10"/>
        <v>0</v>
      </c>
      <c r="I56" s="93">
        <f>SUM('3:23'!I56)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17"/>
        <v>0</v>
      </c>
      <c r="N56" s="93">
        <f>SUM('3:23'!N56)</f>
        <v>0</v>
      </c>
      <c r="O56" s="93">
        <f>SUM('3:23'!O56)</f>
        <v>0</v>
      </c>
      <c r="P56" s="93">
        <f>SUM('3:23'!P56)</f>
        <v>0</v>
      </c>
      <c r="Q56" s="93">
        <f>SUM('3:23'!Q56)</f>
        <v>0</v>
      </c>
      <c r="R56" s="93">
        <f>SUM('3:23'!R56)</f>
        <v>0</v>
      </c>
      <c r="S56" s="93">
        <f>SUM('3:23'!S56)</f>
        <v>0</v>
      </c>
      <c r="T56" s="93">
        <f>SUM('3:23'!T56)</f>
        <v>0</v>
      </c>
      <c r="U56" s="93">
        <f>SUM('3:23'!U56)</f>
        <v>0</v>
      </c>
      <c r="V56" s="206"/>
      <c r="W56" s="33"/>
      <c r="X56" s="93">
        <f>SUM('3:23'!X56)</f>
        <v>0</v>
      </c>
      <c r="Y56" s="93">
        <f>SUM('3:23'!Y56)</f>
        <v>0</v>
      </c>
      <c r="Z56" s="93">
        <f>SUM('3:23'!Z56)</f>
        <v>0</v>
      </c>
      <c r="AA56" s="93">
        <f>SUM('3:23'!AA56)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300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SUM('3:23'!G57)</f>
        <v>161</v>
      </c>
      <c r="H57" s="339">
        <f t="shared" si="10"/>
        <v>809.83</v>
      </c>
      <c r="I57" s="93">
        <f>SUM('3:23'!I57)</f>
        <v>5</v>
      </c>
      <c r="J57" s="31">
        <f t="array" ref="J57">IF(ISERROR(G57/I57),"",G57/I57)</f>
        <v>32.200000000000003</v>
      </c>
      <c r="K57" s="35">
        <f t="array" ref="K57">IF(ISERROR(G57/L57),"",G57/L57)</f>
        <v>4.0250000000000004</v>
      </c>
      <c r="L57" s="87">
        <v>40</v>
      </c>
      <c r="M57" s="36">
        <f t="shared" si="17"/>
        <v>0.97499999999999964</v>
      </c>
      <c r="N57" s="93">
        <f>SUM('3:23'!N57)</f>
        <v>0</v>
      </c>
      <c r="O57" s="93">
        <f>SUM('3:23'!O57)</f>
        <v>0</v>
      </c>
      <c r="P57" s="93">
        <f>SUM('3:23'!P57)</f>
        <v>0</v>
      </c>
      <c r="Q57" s="93">
        <f>SUM('3:23'!Q57)</f>
        <v>0</v>
      </c>
      <c r="R57" s="93">
        <f>SUM('3:23'!R57)</f>
        <v>0</v>
      </c>
      <c r="S57" s="93">
        <f>SUM('3:23'!S57)</f>
        <v>0</v>
      </c>
      <c r="T57" s="93">
        <f>SUM('3:23'!T57)</f>
        <v>0</v>
      </c>
      <c r="U57" s="93">
        <f>SUM('3:23'!U57)</f>
        <v>0</v>
      </c>
      <c r="V57" s="206">
        <f t="shared" ref="V57:V66" si="20">SUM(X57:AA57)</f>
        <v>0</v>
      </c>
      <c r="W57" s="33">
        <f t="shared" ref="W57:W66" si="21">IF(ISERROR(V57/G57),"",V57/G57)</f>
        <v>0</v>
      </c>
      <c r="X57" s="93">
        <f>SUM('3:23'!X57)</f>
        <v>0</v>
      </c>
      <c r="Y57" s="93">
        <f>SUM('3:23'!Y57)</f>
        <v>0</v>
      </c>
      <c r="Z57" s="93">
        <f>SUM('3:23'!Z57)</f>
        <v>0</v>
      </c>
      <c r="AA57" s="93">
        <f>SUM('3:23'!AA57)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300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SUM('3:23'!G58)</f>
        <v>198</v>
      </c>
      <c r="H58" s="339">
        <f t="shared" si="10"/>
        <v>995.94</v>
      </c>
      <c r="I58" s="93">
        <f>SUM('3:23'!I58)</f>
        <v>3</v>
      </c>
      <c r="J58" s="31">
        <f t="array" ref="J58">IF(ISERROR(G58/I58),"",G58/I58)</f>
        <v>66</v>
      </c>
      <c r="K58" s="35">
        <f t="array" ref="K58">IF(ISERROR(G58/L58),"",G58/L58)</f>
        <v>4.95</v>
      </c>
      <c r="L58" s="87">
        <v>40</v>
      </c>
      <c r="M58" s="36">
        <f t="shared" si="17"/>
        <v>-1.9500000000000002</v>
      </c>
      <c r="N58" s="93">
        <f>SUM('3:23'!N58)</f>
        <v>0</v>
      </c>
      <c r="O58" s="93">
        <f>SUM('3:23'!O58)</f>
        <v>0</v>
      </c>
      <c r="P58" s="93">
        <f>SUM('3:23'!P58)</f>
        <v>0</v>
      </c>
      <c r="Q58" s="93">
        <f>SUM('3:23'!Q58)</f>
        <v>0</v>
      </c>
      <c r="R58" s="93">
        <f>SUM('3:23'!R58)</f>
        <v>0</v>
      </c>
      <c r="S58" s="93">
        <f>SUM('3:23'!S58)</f>
        <v>0</v>
      </c>
      <c r="T58" s="93">
        <f>SUM('3:23'!T58)</f>
        <v>0</v>
      </c>
      <c r="U58" s="93">
        <f>SUM('3:23'!U58)</f>
        <v>0</v>
      </c>
      <c r="V58" s="206">
        <f t="shared" si="20"/>
        <v>0</v>
      </c>
      <c r="W58" s="33">
        <f t="shared" si="21"/>
        <v>0</v>
      </c>
      <c r="X58" s="93">
        <f>SUM('3:23'!X58)</f>
        <v>0</v>
      </c>
      <c r="Y58" s="93">
        <f>SUM('3:23'!Y58)</f>
        <v>0</v>
      </c>
      <c r="Z58" s="93">
        <f>SUM('3:23'!Z58)</f>
        <v>0</v>
      </c>
      <c r="AA58" s="93">
        <f>SUM('3:23'!AA58)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300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SUM('3:23'!G59)</f>
        <v>279</v>
      </c>
      <c r="H59" s="339">
        <f t="shared" si="10"/>
        <v>1403.3700000000001</v>
      </c>
      <c r="I59" s="93">
        <f>SUM('3:23'!I59)</f>
        <v>6.5</v>
      </c>
      <c r="J59" s="31">
        <f t="array" ref="J59">IF(ISERROR(G59/I59),"",G59/I59)</f>
        <v>42.92307692307692</v>
      </c>
      <c r="K59" s="35">
        <f t="array" ref="K59">IF(ISERROR(G59/L59),"",G59/L59)</f>
        <v>6.9749999999999996</v>
      </c>
      <c r="L59" s="87">
        <v>40</v>
      </c>
      <c r="M59" s="36">
        <f t="shared" si="17"/>
        <v>-0.47499999999999964</v>
      </c>
      <c r="N59" s="93">
        <f>SUM('3:23'!N59)</f>
        <v>0</v>
      </c>
      <c r="O59" s="93">
        <f>SUM('3:23'!O59)</f>
        <v>0</v>
      </c>
      <c r="P59" s="93">
        <f>SUM('3:23'!P59)</f>
        <v>0</v>
      </c>
      <c r="Q59" s="93">
        <f>SUM('3:23'!Q59)</f>
        <v>0</v>
      </c>
      <c r="R59" s="93">
        <f>SUM('3:23'!R59)</f>
        <v>0</v>
      </c>
      <c r="S59" s="93">
        <f>SUM('3:23'!S59)</f>
        <v>0</v>
      </c>
      <c r="T59" s="93">
        <f>SUM('3:23'!T59)</f>
        <v>0</v>
      </c>
      <c r="U59" s="93">
        <f>SUM('3:23'!U59)</f>
        <v>0</v>
      </c>
      <c r="V59" s="206">
        <f t="shared" si="20"/>
        <v>0</v>
      </c>
      <c r="W59" s="33">
        <f t="shared" si="21"/>
        <v>0</v>
      </c>
      <c r="X59" s="93">
        <f>SUM('3:23'!X59)</f>
        <v>0</v>
      </c>
      <c r="Y59" s="93">
        <f>SUM('3:23'!Y59)</f>
        <v>0</v>
      </c>
      <c r="Z59" s="93">
        <f>SUM('3:23'!Z59)</f>
        <v>0</v>
      </c>
      <c r="AA59" s="93">
        <f>SUM('3:23'!AA59)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300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SUM('3:23'!G60)</f>
        <v>0</v>
      </c>
      <c r="H60" s="339">
        <f t="shared" si="10"/>
        <v>0</v>
      </c>
      <c r="I60" s="93">
        <f>SUM('3:23'!I60)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17"/>
        <v>0</v>
      </c>
      <c r="N60" s="93">
        <f>SUM('3:23'!N60)</f>
        <v>0</v>
      </c>
      <c r="O60" s="93">
        <f>SUM('3:23'!O60)</f>
        <v>0</v>
      </c>
      <c r="P60" s="93">
        <f>SUM('3:23'!P60)</f>
        <v>0</v>
      </c>
      <c r="Q60" s="93">
        <f>SUM('3:23'!Q60)</f>
        <v>0</v>
      </c>
      <c r="R60" s="93">
        <f>SUM('3:23'!R60)</f>
        <v>0</v>
      </c>
      <c r="S60" s="93">
        <f>SUM('3:23'!S60)</f>
        <v>0</v>
      </c>
      <c r="T60" s="93">
        <f>SUM('3:23'!T60)</f>
        <v>0</v>
      </c>
      <c r="U60" s="93">
        <f>SUM('3:23'!U60)</f>
        <v>0</v>
      </c>
      <c r="V60" s="206">
        <f t="shared" si="20"/>
        <v>0</v>
      </c>
      <c r="W60" s="33" t="str">
        <f t="shared" si="21"/>
        <v/>
      </c>
      <c r="X60" s="93">
        <f>SUM('3:23'!X60)</f>
        <v>0</v>
      </c>
      <c r="Y60" s="93">
        <f>SUM('3:23'!Y60)</f>
        <v>0</v>
      </c>
      <c r="Z60" s="93">
        <f>SUM('3:23'!Z60)</f>
        <v>0</v>
      </c>
      <c r="AA60" s="93">
        <f>SUM('3:23'!AA60)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300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SUM('3:23'!G61)</f>
        <v>0</v>
      </c>
      <c r="H61" s="339">
        <f t="shared" si="10"/>
        <v>0</v>
      </c>
      <c r="I61" s="93">
        <f>SUM('3:23'!I61)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17"/>
        <v>0</v>
      </c>
      <c r="N61" s="93">
        <f>SUM('3:23'!N61)</f>
        <v>0</v>
      </c>
      <c r="O61" s="93">
        <f>SUM('3:23'!O61)</f>
        <v>0</v>
      </c>
      <c r="P61" s="93">
        <f>SUM('3:23'!P61)</f>
        <v>0</v>
      </c>
      <c r="Q61" s="93">
        <f>SUM('3:23'!Q61)</f>
        <v>0</v>
      </c>
      <c r="R61" s="93">
        <f>SUM('3:23'!R61)</f>
        <v>0</v>
      </c>
      <c r="S61" s="93">
        <f>SUM('3:23'!S61)</f>
        <v>0</v>
      </c>
      <c r="T61" s="93">
        <f>SUM('3:23'!T61)</f>
        <v>0</v>
      </c>
      <c r="U61" s="93">
        <f>SUM('3:23'!U61)</f>
        <v>0</v>
      </c>
      <c r="V61" s="206">
        <f t="shared" si="20"/>
        <v>0</v>
      </c>
      <c r="W61" s="33" t="str">
        <f t="shared" si="21"/>
        <v/>
      </c>
      <c r="X61" s="93">
        <f>SUM('3:23'!X61)</f>
        <v>0</v>
      </c>
      <c r="Y61" s="93">
        <f>SUM('3:23'!Y61)</f>
        <v>0</v>
      </c>
      <c r="Z61" s="93">
        <f>SUM('3:23'!Z61)</f>
        <v>0</v>
      </c>
      <c r="AA61" s="93">
        <f>SUM('3:23'!AA61)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300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SUM('3:23'!G62)</f>
        <v>0</v>
      </c>
      <c r="H62" s="339">
        <f t="shared" si="10"/>
        <v>0</v>
      </c>
      <c r="I62" s="93">
        <f>SUM('3:23'!I62)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17"/>
        <v>0</v>
      </c>
      <c r="N62" s="93">
        <f>SUM('3:23'!N62)</f>
        <v>0</v>
      </c>
      <c r="O62" s="93">
        <f>SUM('3:23'!O62)</f>
        <v>0</v>
      </c>
      <c r="P62" s="93">
        <f>SUM('3:23'!P62)</f>
        <v>0</v>
      </c>
      <c r="Q62" s="93">
        <f>SUM('3:23'!Q62)</f>
        <v>0</v>
      </c>
      <c r="R62" s="93">
        <f>SUM('3:23'!R62)</f>
        <v>0</v>
      </c>
      <c r="S62" s="93">
        <f>SUM('3:23'!S62)</f>
        <v>0</v>
      </c>
      <c r="T62" s="93">
        <f>SUM('3:23'!T62)</f>
        <v>0</v>
      </c>
      <c r="U62" s="93">
        <f>SUM('3:23'!U62)</f>
        <v>0</v>
      </c>
      <c r="V62" s="206">
        <f t="shared" si="20"/>
        <v>0</v>
      </c>
      <c r="W62" s="33" t="str">
        <f t="shared" si="21"/>
        <v/>
      </c>
      <c r="X62" s="93">
        <f>SUM('3:23'!X62)</f>
        <v>0</v>
      </c>
      <c r="Y62" s="93">
        <f>SUM('3:23'!Y62)</f>
        <v>0</v>
      </c>
      <c r="Z62" s="93">
        <f>SUM('3:23'!Z62)</f>
        <v>0</v>
      </c>
      <c r="AA62" s="93">
        <f>SUM('3:23'!AA62)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300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SUM('3:23'!G63)</f>
        <v>0</v>
      </c>
      <c r="H63" s="339">
        <f t="shared" si="10"/>
        <v>0</v>
      </c>
      <c r="I63" s="93">
        <f>SUM('3:23'!I63)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17"/>
        <v>0</v>
      </c>
      <c r="N63" s="93">
        <f>SUM('3:23'!N63)</f>
        <v>0</v>
      </c>
      <c r="O63" s="93">
        <f>SUM('3:23'!O63)</f>
        <v>0</v>
      </c>
      <c r="P63" s="93">
        <f>SUM('3:23'!P63)</f>
        <v>0</v>
      </c>
      <c r="Q63" s="93">
        <f>SUM('3:23'!Q63)</f>
        <v>0</v>
      </c>
      <c r="R63" s="93">
        <f>SUM('3:23'!R63)</f>
        <v>0</v>
      </c>
      <c r="S63" s="93">
        <f>SUM('3:23'!S63)</f>
        <v>0</v>
      </c>
      <c r="T63" s="93">
        <f>SUM('3:23'!T63)</f>
        <v>0</v>
      </c>
      <c r="U63" s="93">
        <f>SUM('3:23'!U63)</f>
        <v>0</v>
      </c>
      <c r="V63" s="206">
        <f t="shared" si="20"/>
        <v>0</v>
      </c>
      <c r="W63" s="33" t="str">
        <f t="shared" si="21"/>
        <v/>
      </c>
      <c r="X63" s="93">
        <f>SUM('3:23'!X63)</f>
        <v>0</v>
      </c>
      <c r="Y63" s="93">
        <f>SUM('3:23'!Y63)</f>
        <v>0</v>
      </c>
      <c r="Z63" s="93">
        <f>SUM('3:23'!Z63)</f>
        <v>0</v>
      </c>
      <c r="AA63" s="93">
        <f>SUM('3:23'!AA63)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300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SUM('3:23'!G64)</f>
        <v>1321</v>
      </c>
      <c r="H64" s="339">
        <f t="shared" si="10"/>
        <v>6644.63</v>
      </c>
      <c r="I64" s="93">
        <f>SUM('3:23'!I64)</f>
        <v>14</v>
      </c>
      <c r="J64" s="31">
        <f t="array" ref="J64">IF(ISERROR(G64/I64),"",G64/I64)</f>
        <v>94.357142857142861</v>
      </c>
      <c r="K64" s="35">
        <f t="array" ref="K64">IF(ISERROR(G64/L64),"",G64/L64)</f>
        <v>26.42</v>
      </c>
      <c r="L64" s="87">
        <v>50</v>
      </c>
      <c r="M64" s="36">
        <f t="shared" si="17"/>
        <v>-12.420000000000002</v>
      </c>
      <c r="N64" s="93">
        <f>SUM('3:23'!N64)</f>
        <v>0</v>
      </c>
      <c r="O64" s="93">
        <f>SUM('3:23'!O64)</f>
        <v>0</v>
      </c>
      <c r="P64" s="93">
        <f>SUM('3:23'!P64)</f>
        <v>0</v>
      </c>
      <c r="Q64" s="93">
        <f>SUM('3:23'!Q64)</f>
        <v>0</v>
      </c>
      <c r="R64" s="93">
        <f>SUM('3:23'!R64)</f>
        <v>0</v>
      </c>
      <c r="S64" s="93">
        <f>SUM('3:23'!S64)</f>
        <v>0</v>
      </c>
      <c r="T64" s="93">
        <f>SUM('3:23'!T64)</f>
        <v>0</v>
      </c>
      <c r="U64" s="93">
        <f>SUM('3:23'!U64)</f>
        <v>0</v>
      </c>
      <c r="V64" s="206">
        <f t="shared" si="20"/>
        <v>0</v>
      </c>
      <c r="W64" s="33">
        <f t="shared" si="21"/>
        <v>0</v>
      </c>
      <c r="X64" s="93">
        <f>SUM('3:23'!X64)</f>
        <v>0</v>
      </c>
      <c r="Y64" s="93">
        <f>SUM('3:23'!Y64)</f>
        <v>0</v>
      </c>
      <c r="Z64" s="93">
        <f>SUM('3:23'!Z64)</f>
        <v>0</v>
      </c>
      <c r="AA64" s="93">
        <f>SUM('3:23'!AA64)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300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SUM('3:23'!G65)</f>
        <v>594</v>
      </c>
      <c r="H65" s="339">
        <f t="shared" si="10"/>
        <v>2987.82</v>
      </c>
      <c r="I65" s="93">
        <f>SUM('3:23'!I65)</f>
        <v>7.5</v>
      </c>
      <c r="J65" s="31">
        <f t="array" ref="J65">IF(ISERROR(G65/I65),"",G65/I65)</f>
        <v>79.2</v>
      </c>
      <c r="K65" s="35">
        <f t="array" ref="K65">IF(ISERROR(G65/L65),"",G65/L65)</f>
        <v>11.88</v>
      </c>
      <c r="L65" s="87">
        <v>50</v>
      </c>
      <c r="M65" s="36">
        <f t="shared" si="17"/>
        <v>-4.3800000000000008</v>
      </c>
      <c r="N65" s="93">
        <f>SUM('3:23'!N65)</f>
        <v>0</v>
      </c>
      <c r="O65" s="93">
        <f>SUM('3:23'!O65)</f>
        <v>0</v>
      </c>
      <c r="P65" s="93">
        <f>SUM('3:23'!P65)</f>
        <v>0</v>
      </c>
      <c r="Q65" s="93">
        <f>SUM('3:23'!Q65)</f>
        <v>0</v>
      </c>
      <c r="R65" s="93">
        <f>SUM('3:23'!R65)</f>
        <v>0</v>
      </c>
      <c r="S65" s="93">
        <f>SUM('3:23'!S65)</f>
        <v>0</v>
      </c>
      <c r="T65" s="93">
        <f>SUM('3:23'!T65)</f>
        <v>0</v>
      </c>
      <c r="U65" s="93">
        <f>SUM('3:23'!U65)</f>
        <v>0</v>
      </c>
      <c r="V65" s="206">
        <f t="shared" si="20"/>
        <v>0</v>
      </c>
      <c r="W65" s="33">
        <f t="shared" si="21"/>
        <v>0</v>
      </c>
      <c r="X65" s="93">
        <f>SUM('3:23'!X65)</f>
        <v>0</v>
      </c>
      <c r="Y65" s="93">
        <f>SUM('3:23'!Y65)</f>
        <v>0</v>
      </c>
      <c r="Z65" s="93">
        <f>SUM('3:23'!Z65)</f>
        <v>0</v>
      </c>
      <c r="AA65" s="93">
        <f>SUM('3:23'!AA65)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300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SUM('3:23'!G66)</f>
        <v>1028</v>
      </c>
      <c r="H66" s="339">
        <f t="shared" si="10"/>
        <v>5170.84</v>
      </c>
      <c r="I66" s="93">
        <f>SUM('3:23'!I66)</f>
        <v>13</v>
      </c>
      <c r="J66" s="31">
        <f t="array" ref="J66">IF(ISERROR(G66/I66),"",G66/I66)</f>
        <v>79.07692307692308</v>
      </c>
      <c r="K66" s="35">
        <f t="array" ref="K66">IF(ISERROR(G66/L66),"",G66/L66)</f>
        <v>20.56</v>
      </c>
      <c r="L66" s="87">
        <v>50</v>
      </c>
      <c r="M66" s="36">
        <f t="shared" si="17"/>
        <v>-7.5599999999999987</v>
      </c>
      <c r="N66" s="93">
        <f>SUM('3:23'!N66)</f>
        <v>0</v>
      </c>
      <c r="O66" s="93">
        <f>SUM('3:23'!O66)</f>
        <v>0</v>
      </c>
      <c r="P66" s="93">
        <f>SUM('3:23'!P66)</f>
        <v>0</v>
      </c>
      <c r="Q66" s="93">
        <f>SUM('3:23'!Q66)</f>
        <v>0</v>
      </c>
      <c r="R66" s="93">
        <f>SUM('3:23'!R66)</f>
        <v>0</v>
      </c>
      <c r="S66" s="93">
        <f>SUM('3:23'!S66)</f>
        <v>0</v>
      </c>
      <c r="T66" s="93">
        <f>SUM('3:23'!T66)</f>
        <v>0</v>
      </c>
      <c r="U66" s="93">
        <f>SUM('3:23'!U66)</f>
        <v>0</v>
      </c>
      <c r="V66" s="206">
        <f t="shared" si="20"/>
        <v>0</v>
      </c>
      <c r="W66" s="33">
        <f t="shared" si="21"/>
        <v>0</v>
      </c>
      <c r="X66" s="93">
        <f>SUM('3:23'!X66)</f>
        <v>0</v>
      </c>
      <c r="Y66" s="93">
        <f>SUM('3:23'!Y66)</f>
        <v>0</v>
      </c>
      <c r="Z66" s="93">
        <f>SUM('3:23'!Z66)</f>
        <v>0</v>
      </c>
      <c r="AA66" s="93">
        <f>SUM('3:23'!AA66)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300">
        <v>30100043</v>
      </c>
      <c r="B67" s="62" t="s">
        <v>429</v>
      </c>
      <c r="C67" s="297" t="s">
        <v>451</v>
      </c>
      <c r="D67" s="17">
        <v>5.03</v>
      </c>
      <c r="E67" s="17"/>
      <c r="F67" s="6"/>
      <c r="G67" s="93">
        <f>SUM('3:23'!G67)</f>
        <v>1084</v>
      </c>
      <c r="H67" s="339">
        <f t="shared" si="10"/>
        <v>5452.52</v>
      </c>
      <c r="I67" s="93">
        <f>SUM('3:23'!I67)</f>
        <v>14</v>
      </c>
      <c r="J67" s="31"/>
      <c r="K67" s="35">
        <f t="array" ref="K67">IF(ISERROR(G67/L67),"",G67/L67)</f>
        <v>21.68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300">
        <v>30100064</v>
      </c>
      <c r="B68" s="192" t="s">
        <v>486</v>
      </c>
      <c r="C68" s="187" t="s">
        <v>399</v>
      </c>
      <c r="D68" s="17">
        <v>5</v>
      </c>
      <c r="E68" s="17"/>
      <c r="F68" s="6"/>
      <c r="G68" s="93">
        <f>SUM('3:23'!G68)</f>
        <v>344</v>
      </c>
      <c r="H68" s="339">
        <f t="shared" si="10"/>
        <v>1720</v>
      </c>
      <c r="I68" s="93">
        <f>SUM('3:23'!I68)</f>
        <v>6.5</v>
      </c>
      <c r="J68" s="31"/>
      <c r="K68" s="35">
        <f t="array" ref="K68">IF(ISERROR(G68/L68),"",G68/L68)</f>
        <v>6.88</v>
      </c>
      <c r="L68" s="87">
        <v>50</v>
      </c>
      <c r="M68" s="36"/>
      <c r="N68" s="93">
        <f>SUM('3:23'!N68)</f>
        <v>0</v>
      </c>
      <c r="O68" s="93">
        <f>SUM('3:23'!O68)</f>
        <v>0</v>
      </c>
      <c r="P68" s="93">
        <f>SUM('3:23'!P68)</f>
        <v>0</v>
      </c>
      <c r="Q68" s="93">
        <f>SUM('3:23'!Q68)</f>
        <v>0</v>
      </c>
      <c r="R68" s="93">
        <f>SUM('3:23'!R68)</f>
        <v>0</v>
      </c>
      <c r="S68" s="93">
        <f>SUM('3:23'!S68)</f>
        <v>0</v>
      </c>
      <c r="T68" s="93">
        <f>SUM('3:23'!T68)</f>
        <v>0</v>
      </c>
      <c r="U68" s="93">
        <f>SUM('3:23'!U68)</f>
        <v>0</v>
      </c>
      <c r="V68" s="206"/>
      <c r="W68" s="33"/>
      <c r="X68" s="93">
        <f>SUM('3:23'!X68)</f>
        <v>0</v>
      </c>
      <c r="Y68" s="93">
        <f>SUM('3:23'!Y68)</f>
        <v>0</v>
      </c>
      <c r="Z68" s="93">
        <f>SUM('3:23'!Z68)</f>
        <v>0</v>
      </c>
      <c r="AA68" s="93">
        <f>SUM('3:23'!AA68)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300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SUM('3:23'!G69)</f>
        <v>1107</v>
      </c>
      <c r="H69" s="339">
        <f t="shared" si="10"/>
        <v>5568.21</v>
      </c>
      <c r="I69" s="93">
        <f>SUM('3:23'!I69)</f>
        <v>54</v>
      </c>
      <c r="J69" s="31">
        <f t="array" ref="J69">IF(ISERROR(G69/I69),"",G69/I69)</f>
        <v>20.5</v>
      </c>
      <c r="K69" s="35">
        <f t="array" ref="K69">IF(ISERROR(G69/L69),"",G69/L69)</f>
        <v>51.488372093023258</v>
      </c>
      <c r="L69" s="87">
        <v>21.5</v>
      </c>
      <c r="M69" s="36">
        <f t="shared" ref="M69:M70" si="22">IF(ISERROR(I69-K69),"",I69-K69)</f>
        <v>2.5116279069767415</v>
      </c>
      <c r="N69" s="93">
        <f>SUM('3:23'!N69)</f>
        <v>0</v>
      </c>
      <c r="O69" s="93">
        <f>SUM('3:23'!O69)</f>
        <v>0</v>
      </c>
      <c r="P69" s="93">
        <f>SUM('3:23'!P69)</f>
        <v>0</v>
      </c>
      <c r="Q69" s="93">
        <f>SUM('3:23'!Q69)</f>
        <v>0</v>
      </c>
      <c r="R69" s="93">
        <f>SUM('3:23'!R69)</f>
        <v>0</v>
      </c>
      <c r="S69" s="93">
        <f>SUM('3:23'!S69)</f>
        <v>0</v>
      </c>
      <c r="T69" s="93">
        <f>SUM('3:23'!T69)</f>
        <v>0</v>
      </c>
      <c r="U69" s="93">
        <f>SUM('3:23'!U69)</f>
        <v>0</v>
      </c>
      <c r="V69" s="206">
        <f t="shared" ref="V69:V70" si="23">SUM(X69:AA69)</f>
        <v>0</v>
      </c>
      <c r="W69" s="33">
        <f t="shared" ref="W69:W70" si="24">IF(ISERROR(V69/G69),"",V69/G69)</f>
        <v>0</v>
      </c>
      <c r="X69" s="93">
        <f>SUM('3:23'!X69)</f>
        <v>0</v>
      </c>
      <c r="Y69" s="93">
        <f>SUM('3:23'!Y69)</f>
        <v>0</v>
      </c>
      <c r="Z69" s="93">
        <f>SUM('3:23'!Z69)</f>
        <v>0</v>
      </c>
      <c r="AA69" s="93">
        <f>SUM('3:23'!AA69)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300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SUM('3:23'!G70)</f>
        <v>1199</v>
      </c>
      <c r="H70" s="339">
        <f t="shared" si="10"/>
        <v>6030.97</v>
      </c>
      <c r="I70" s="93">
        <f>SUM('3:23'!I70)</f>
        <v>58</v>
      </c>
      <c r="J70" s="31">
        <f t="array" ref="J70">IF(ISERROR(G70/I70),"",G70/I70)</f>
        <v>20.672413793103448</v>
      </c>
      <c r="K70" s="35">
        <f t="array" ref="K70">IF(ISERROR(G70/L70),"",G70/L70)</f>
        <v>55.767441860465119</v>
      </c>
      <c r="L70" s="87">
        <v>21.5</v>
      </c>
      <c r="M70" s="36">
        <f t="shared" si="22"/>
        <v>2.2325581395348806</v>
      </c>
      <c r="N70" s="93">
        <f>SUM('3:23'!N70)</f>
        <v>0</v>
      </c>
      <c r="O70" s="93">
        <f>SUM('3:23'!O70)</f>
        <v>0</v>
      </c>
      <c r="P70" s="93">
        <f>SUM('3:23'!P70)</f>
        <v>0</v>
      </c>
      <c r="Q70" s="93">
        <f>SUM('3:23'!Q70)</f>
        <v>0</v>
      </c>
      <c r="R70" s="93">
        <f>SUM('3:23'!R70)</f>
        <v>0</v>
      </c>
      <c r="S70" s="93">
        <f>SUM('3:23'!S70)</f>
        <v>0</v>
      </c>
      <c r="T70" s="93">
        <f>SUM('3:23'!T70)</f>
        <v>0</v>
      </c>
      <c r="U70" s="93">
        <f>SUM('3:23'!U70)</f>
        <v>0</v>
      </c>
      <c r="V70" s="206">
        <f t="shared" si="23"/>
        <v>0</v>
      </c>
      <c r="W70" s="33">
        <f t="shared" si="24"/>
        <v>0</v>
      </c>
      <c r="X70" s="93">
        <f>SUM('3:23'!X70)</f>
        <v>0</v>
      </c>
      <c r="Y70" s="93">
        <f>SUM('3:23'!Y70)</f>
        <v>0</v>
      </c>
      <c r="Z70" s="93">
        <f>SUM('3:23'!Z70)</f>
        <v>0</v>
      </c>
      <c r="AA70" s="93">
        <f>SUM('3:23'!AA70)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300"/>
      <c r="B71" s="192" t="s">
        <v>487</v>
      </c>
      <c r="C71" s="187" t="s">
        <v>361</v>
      </c>
      <c r="D71" s="17"/>
      <c r="E71" s="17"/>
      <c r="F71" s="6"/>
      <c r="G71" s="93">
        <f>SUM('3:23'!G71)</f>
        <v>0</v>
      </c>
      <c r="H71" s="339">
        <f t="shared" si="10"/>
        <v>0</v>
      </c>
      <c r="I71" s="93">
        <f>SUM('3:23'!I71)</f>
        <v>0</v>
      </c>
      <c r="J71" s="31"/>
      <c r="K71" s="35"/>
      <c r="L71" s="87"/>
      <c r="M71" s="36"/>
      <c r="N71" s="93">
        <f>SUM('3:23'!N71)</f>
        <v>0</v>
      </c>
      <c r="O71" s="93">
        <f>SUM('3:23'!O71)</f>
        <v>0</v>
      </c>
      <c r="P71" s="93">
        <f>SUM('3:23'!P71)</f>
        <v>0</v>
      </c>
      <c r="Q71" s="93">
        <f>SUM('3:23'!Q71)</f>
        <v>0</v>
      </c>
      <c r="R71" s="93">
        <f>SUM('3:23'!R71)</f>
        <v>0</v>
      </c>
      <c r="S71" s="93">
        <f>SUM('3:23'!S71)</f>
        <v>0</v>
      </c>
      <c r="T71" s="93">
        <f>SUM('3:23'!T71)</f>
        <v>0</v>
      </c>
      <c r="U71" s="93">
        <f>SUM('3:23'!U71)</f>
        <v>0</v>
      </c>
      <c r="V71" s="206"/>
      <c r="W71" s="33"/>
      <c r="X71" s="93">
        <f>SUM('3:23'!X71)</f>
        <v>0</v>
      </c>
      <c r="Y71" s="93">
        <f>SUM('3:23'!Y71)</f>
        <v>0</v>
      </c>
      <c r="Z71" s="93">
        <f>SUM('3:23'!Z71)</f>
        <v>0</v>
      </c>
      <c r="AA71" s="93">
        <f>SUM('3:23'!AA71)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300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SUM('3:23'!G72)</f>
        <v>0</v>
      </c>
      <c r="H72" s="339">
        <f t="shared" si="10"/>
        <v>0</v>
      </c>
      <c r="I72" s="93">
        <f>SUM('3:23'!I72)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25">IF(ISERROR(I72-K72),"",I72-K72)</f>
        <v/>
      </c>
      <c r="N72" s="93">
        <f>SUM('3:23'!N72)</f>
        <v>0</v>
      </c>
      <c r="O72" s="93">
        <f>SUM('3:23'!O72)</f>
        <v>0</v>
      </c>
      <c r="P72" s="93">
        <f>SUM('3:23'!P72)</f>
        <v>0</v>
      </c>
      <c r="Q72" s="93">
        <f>SUM('3:23'!Q72)</f>
        <v>0</v>
      </c>
      <c r="R72" s="93">
        <f>SUM('3:23'!R72)</f>
        <v>0</v>
      </c>
      <c r="S72" s="93">
        <f>SUM('3:23'!S72)</f>
        <v>0</v>
      </c>
      <c r="T72" s="93">
        <f>SUM('3:23'!T72)</f>
        <v>0</v>
      </c>
      <c r="U72" s="93">
        <f>SUM('3:23'!U72)</f>
        <v>0</v>
      </c>
      <c r="V72" s="206">
        <f t="shared" ref="V72:V75" si="26">SUM(X72:AA72)</f>
        <v>0</v>
      </c>
      <c r="W72" s="33" t="str">
        <f t="shared" ref="W72:W75" si="27">IF(ISERROR(V72/G72),"",V72/G72)</f>
        <v/>
      </c>
      <c r="X72" s="93">
        <f>SUM('3:23'!X72)</f>
        <v>0</v>
      </c>
      <c r="Y72" s="93">
        <f>SUM('3:23'!Y72)</f>
        <v>0</v>
      </c>
      <c r="Z72" s="93">
        <f>SUM('3:23'!Z72)</f>
        <v>0</v>
      </c>
      <c r="AA72" s="93">
        <f>SUM('3:23'!AA72)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300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SUM('3:23'!G73)</f>
        <v>0</v>
      </c>
      <c r="H73" s="339">
        <f t="shared" si="10"/>
        <v>0</v>
      </c>
      <c r="I73" s="93">
        <f>SUM('3:23'!I73)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25"/>
        <v/>
      </c>
      <c r="N73" s="93">
        <f>SUM('3:23'!N73)</f>
        <v>0</v>
      </c>
      <c r="O73" s="93">
        <f>SUM('3:23'!O73)</f>
        <v>0</v>
      </c>
      <c r="P73" s="93">
        <f>SUM('3:23'!P73)</f>
        <v>0</v>
      </c>
      <c r="Q73" s="93">
        <f>SUM('3:23'!Q73)</f>
        <v>0</v>
      </c>
      <c r="R73" s="93">
        <f>SUM('3:23'!R73)</f>
        <v>0</v>
      </c>
      <c r="S73" s="93">
        <f>SUM('3:23'!S73)</f>
        <v>0</v>
      </c>
      <c r="T73" s="93">
        <f>SUM('3:23'!T73)</f>
        <v>0</v>
      </c>
      <c r="U73" s="93">
        <f>SUM('3:23'!U73)</f>
        <v>0</v>
      </c>
      <c r="V73" s="206">
        <f t="shared" si="26"/>
        <v>0</v>
      </c>
      <c r="W73" s="33" t="str">
        <f t="shared" si="27"/>
        <v/>
      </c>
      <c r="X73" s="93">
        <f>SUM('3:23'!X73)</f>
        <v>0</v>
      </c>
      <c r="Y73" s="93">
        <f>SUM('3:23'!Y73)</f>
        <v>0</v>
      </c>
      <c r="Z73" s="93">
        <f>SUM('3:23'!Z73)</f>
        <v>0</v>
      </c>
      <c r="AA73" s="93">
        <f>SUM('3:23'!AA73)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00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SUM('3:23'!G74)</f>
        <v>0</v>
      </c>
      <c r="H74" s="339">
        <f t="shared" si="10"/>
        <v>0</v>
      </c>
      <c r="I74" s="93">
        <f>SUM('3:23'!I74)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25"/>
        <v/>
      </c>
      <c r="N74" s="93">
        <f>SUM('3:23'!N74)</f>
        <v>0</v>
      </c>
      <c r="O74" s="93">
        <f>SUM('3:23'!O74)</f>
        <v>0</v>
      </c>
      <c r="P74" s="93">
        <f>SUM('3:23'!P74)</f>
        <v>0</v>
      </c>
      <c r="Q74" s="93">
        <f>SUM('3:23'!Q74)</f>
        <v>0</v>
      </c>
      <c r="R74" s="93">
        <f>SUM('3:23'!R74)</f>
        <v>0</v>
      </c>
      <c r="S74" s="93">
        <f>SUM('3:23'!S74)</f>
        <v>0</v>
      </c>
      <c r="T74" s="93">
        <f>SUM('3:23'!T74)</f>
        <v>0</v>
      </c>
      <c r="U74" s="93">
        <f>SUM('3:23'!U74)</f>
        <v>0</v>
      </c>
      <c r="V74" s="206">
        <f t="shared" si="26"/>
        <v>0</v>
      </c>
      <c r="W74" s="33" t="str">
        <f t="shared" si="27"/>
        <v/>
      </c>
      <c r="X74" s="93">
        <f>SUM('3:23'!X74)</f>
        <v>0</v>
      </c>
      <c r="Y74" s="93">
        <f>SUM('3:23'!Y74)</f>
        <v>0</v>
      </c>
      <c r="Z74" s="93">
        <f>SUM('3:23'!Z74)</f>
        <v>0</v>
      </c>
      <c r="AA74" s="93">
        <f>SUM('3:23'!AA74)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300">
        <v>30100058</v>
      </c>
      <c r="B75" s="189" t="s">
        <v>489</v>
      </c>
      <c r="C75" s="16" t="s">
        <v>61</v>
      </c>
      <c r="D75" s="17">
        <v>5.0599999999999996</v>
      </c>
      <c r="E75" s="17"/>
      <c r="F75" s="6"/>
      <c r="G75" s="93">
        <f>SUM('3:23'!G75)</f>
        <v>0</v>
      </c>
      <c r="H75" s="339">
        <f t="shared" si="10"/>
        <v>0</v>
      </c>
      <c r="I75" s="93">
        <f>SUM('3:23'!I75)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25"/>
        <v/>
      </c>
      <c r="N75" s="93">
        <f>SUM('3:23'!N75)</f>
        <v>0</v>
      </c>
      <c r="O75" s="93">
        <f>SUM('3:23'!O75)</f>
        <v>0</v>
      </c>
      <c r="P75" s="93">
        <f>SUM('3:23'!P75)</f>
        <v>0</v>
      </c>
      <c r="Q75" s="93">
        <f>SUM('3:23'!Q75)</f>
        <v>0</v>
      </c>
      <c r="R75" s="93">
        <f>SUM('3:23'!R75)</f>
        <v>0</v>
      </c>
      <c r="S75" s="93">
        <f>SUM('3:23'!S75)</f>
        <v>0</v>
      </c>
      <c r="T75" s="93">
        <f>SUM('3:23'!T75)</f>
        <v>0</v>
      </c>
      <c r="U75" s="93">
        <f>SUM('3:23'!U75)</f>
        <v>0</v>
      </c>
      <c r="V75" s="206">
        <f t="shared" si="26"/>
        <v>0</v>
      </c>
      <c r="W75" s="33" t="str">
        <f t="shared" si="27"/>
        <v/>
      </c>
      <c r="X75" s="93">
        <f>SUM('3:23'!X75)</f>
        <v>0</v>
      </c>
      <c r="Y75" s="93">
        <f>SUM('3:23'!Y75)</f>
        <v>0</v>
      </c>
      <c r="Z75" s="93">
        <f>SUM('3:23'!Z75)</f>
        <v>0</v>
      </c>
      <c r="AA75" s="93">
        <f>SUM('3:23'!AA75)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302">
        <v>30600013</v>
      </c>
      <c r="B76" s="264" t="s">
        <v>377</v>
      </c>
      <c r="C76" s="187" t="s">
        <v>375</v>
      </c>
      <c r="D76" s="17"/>
      <c r="E76" s="17"/>
      <c r="F76" s="6"/>
      <c r="G76" s="93">
        <f>SUM('3:23'!G76)</f>
        <v>0</v>
      </c>
      <c r="H76" s="339">
        <f t="shared" si="10"/>
        <v>0</v>
      </c>
      <c r="I76" s="93">
        <f>SUM('3:23'!I76)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25"/>
        <v>0</v>
      </c>
      <c r="N76" s="93">
        <f>SUM('3:23'!N76)</f>
        <v>0</v>
      </c>
      <c r="O76" s="93">
        <f>SUM('3:23'!O76)</f>
        <v>0</v>
      </c>
      <c r="P76" s="93">
        <f>SUM('3:23'!P76)</f>
        <v>0</v>
      </c>
      <c r="Q76" s="93">
        <f>SUM('3:23'!Q76)</f>
        <v>0</v>
      </c>
      <c r="R76" s="93">
        <f>SUM('3:23'!R76)</f>
        <v>0</v>
      </c>
      <c r="S76" s="93">
        <f>SUM('3:23'!S76)</f>
        <v>0</v>
      </c>
      <c r="T76" s="93">
        <f>SUM('3:23'!T76)</f>
        <v>0</v>
      </c>
      <c r="U76" s="93">
        <f>SUM('3:23'!U76)</f>
        <v>0</v>
      </c>
      <c r="V76" s="206"/>
      <c r="W76" s="33"/>
      <c r="X76" s="93">
        <f>SUM('3:23'!X76)</f>
        <v>0</v>
      </c>
      <c r="Y76" s="93">
        <f>SUM('3:23'!Y76)</f>
        <v>0</v>
      </c>
      <c r="Z76" s="93">
        <f>SUM('3:23'!Z76)</f>
        <v>0</v>
      </c>
      <c r="AA76" s="93">
        <f>SUM('3:23'!AA76)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302">
        <v>30600014</v>
      </c>
      <c r="B77" s="264" t="s">
        <v>377</v>
      </c>
      <c r="C77" s="187" t="s">
        <v>369</v>
      </c>
      <c r="D77" s="17"/>
      <c r="E77" s="17"/>
      <c r="F77" s="6"/>
      <c r="G77" s="93">
        <f>SUM('3:23'!G77)</f>
        <v>0</v>
      </c>
      <c r="H77" s="339">
        <f t="shared" si="10"/>
        <v>0</v>
      </c>
      <c r="I77" s="93">
        <f>SUM('3:23'!I77)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25"/>
        <v>0</v>
      </c>
      <c r="N77" s="93">
        <f>SUM('3:23'!N77)</f>
        <v>0</v>
      </c>
      <c r="O77" s="93">
        <f>SUM('3:23'!O77)</f>
        <v>0</v>
      </c>
      <c r="P77" s="93">
        <f>SUM('3:23'!P77)</f>
        <v>0</v>
      </c>
      <c r="Q77" s="93">
        <f>SUM('3:23'!Q77)</f>
        <v>0</v>
      </c>
      <c r="R77" s="93">
        <f>SUM('3:23'!R77)</f>
        <v>0</v>
      </c>
      <c r="S77" s="93">
        <f>SUM('3:23'!S77)</f>
        <v>0</v>
      </c>
      <c r="T77" s="93">
        <f>SUM('3:23'!T77)</f>
        <v>0</v>
      </c>
      <c r="U77" s="93">
        <f>SUM('3:23'!U77)</f>
        <v>0</v>
      </c>
      <c r="V77" s="206"/>
      <c r="W77" s="33"/>
      <c r="X77" s="93">
        <f>SUM('3:23'!X77)</f>
        <v>0</v>
      </c>
      <c r="Y77" s="93">
        <f>SUM('3:23'!Y77)</f>
        <v>0</v>
      </c>
      <c r="Z77" s="93">
        <f>SUM('3:23'!Z77)</f>
        <v>0</v>
      </c>
      <c r="AA77" s="93">
        <f>SUM('3:23'!AA77)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302">
        <v>30600012</v>
      </c>
      <c r="B78" s="197" t="s">
        <v>377</v>
      </c>
      <c r="C78" s="187" t="s">
        <v>370</v>
      </c>
      <c r="D78" s="17"/>
      <c r="E78" s="17"/>
      <c r="F78" s="6"/>
      <c r="G78" s="93">
        <f>SUM('3:23'!G78)</f>
        <v>0</v>
      </c>
      <c r="H78" s="339">
        <f t="shared" si="10"/>
        <v>0</v>
      </c>
      <c r="I78" s="93">
        <f>SUM('3:23'!I78)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25"/>
        <v>0</v>
      </c>
      <c r="N78" s="93">
        <f>SUM('3:23'!N78)</f>
        <v>0</v>
      </c>
      <c r="O78" s="93">
        <f>SUM('3:23'!O78)</f>
        <v>0</v>
      </c>
      <c r="P78" s="93">
        <f>SUM('3:23'!P78)</f>
        <v>0</v>
      </c>
      <c r="Q78" s="93">
        <f>SUM('3:23'!Q78)</f>
        <v>0</v>
      </c>
      <c r="R78" s="93">
        <f>SUM('3:23'!R78)</f>
        <v>0</v>
      </c>
      <c r="S78" s="93">
        <f>SUM('3:23'!S78)</f>
        <v>0</v>
      </c>
      <c r="T78" s="93">
        <f>SUM('3:23'!T78)</f>
        <v>0</v>
      </c>
      <c r="U78" s="93">
        <f>SUM('3:23'!U78)</f>
        <v>0</v>
      </c>
      <c r="V78" s="206"/>
      <c r="W78" s="33"/>
      <c r="X78" s="93">
        <f>SUM('3:23'!X78)</f>
        <v>0</v>
      </c>
      <c r="Y78" s="93">
        <f>SUM('3:23'!Y78)</f>
        <v>0</v>
      </c>
      <c r="Z78" s="93">
        <f>SUM('3:23'!Z78)</f>
        <v>0</v>
      </c>
      <c r="AA78" s="93">
        <f>SUM('3:23'!AA78)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302">
        <v>30600011</v>
      </c>
      <c r="B79" s="197" t="s">
        <v>378</v>
      </c>
      <c r="C79" s="187" t="s">
        <v>371</v>
      </c>
      <c r="D79" s="17"/>
      <c r="E79" s="17"/>
      <c r="F79" s="6"/>
      <c r="G79" s="93">
        <f>SUM('3:23'!G79)</f>
        <v>0</v>
      </c>
      <c r="H79" s="339">
        <f t="shared" si="10"/>
        <v>0</v>
      </c>
      <c r="I79" s="93">
        <f>SUM('3:23'!I79)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25"/>
        <v>0</v>
      </c>
      <c r="N79" s="93">
        <f>SUM('3:23'!N79)</f>
        <v>0</v>
      </c>
      <c r="O79" s="93">
        <f>SUM('3:23'!O79)</f>
        <v>0</v>
      </c>
      <c r="P79" s="93">
        <f>SUM('3:23'!P79)</f>
        <v>0</v>
      </c>
      <c r="Q79" s="93">
        <f>SUM('3:23'!Q79)</f>
        <v>0</v>
      </c>
      <c r="R79" s="93">
        <f>SUM('3:23'!R79)</f>
        <v>0</v>
      </c>
      <c r="S79" s="93">
        <f>SUM('3:23'!S79)</f>
        <v>0</v>
      </c>
      <c r="T79" s="93">
        <f>SUM('3:23'!T79)</f>
        <v>0</v>
      </c>
      <c r="U79" s="93">
        <f>SUM('3:23'!U79)</f>
        <v>0</v>
      </c>
      <c r="V79" s="206"/>
      <c r="W79" s="33"/>
      <c r="X79" s="93">
        <f>SUM('3:23'!X79)</f>
        <v>0</v>
      </c>
      <c r="Y79" s="93">
        <f>SUM('3:23'!Y79)</f>
        <v>0</v>
      </c>
      <c r="Z79" s="93">
        <f>SUM('3:23'!Z79)</f>
        <v>0</v>
      </c>
      <c r="AA79" s="93">
        <f>SUM('3:23'!AA79)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302">
        <v>30300002</v>
      </c>
      <c r="B80" s="197" t="s">
        <v>407</v>
      </c>
      <c r="C80" s="187" t="s">
        <v>408</v>
      </c>
      <c r="D80" s="17"/>
      <c r="E80" s="17"/>
      <c r="F80" s="6"/>
      <c r="G80" s="93">
        <f>SUM('3:23'!G80)</f>
        <v>0</v>
      </c>
      <c r="H80" s="339">
        <f t="shared" si="10"/>
        <v>0</v>
      </c>
      <c r="I80" s="93">
        <f>SUM('3:23'!I80)</f>
        <v>0</v>
      </c>
      <c r="J80" s="31"/>
      <c r="K80" s="35"/>
      <c r="L80" s="87">
        <v>4</v>
      </c>
      <c r="M80" s="36"/>
      <c r="N80" s="93">
        <f>SUM('3:23'!N80)</f>
        <v>0</v>
      </c>
      <c r="O80" s="93"/>
      <c r="P80" s="93"/>
      <c r="Q80" s="93"/>
      <c r="R80" s="93"/>
      <c r="S80" s="93"/>
      <c r="T80" s="93"/>
      <c r="U80" s="93"/>
      <c r="V80" s="20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302">
        <v>30300001</v>
      </c>
      <c r="B81" s="197" t="s">
        <v>407</v>
      </c>
      <c r="C81" s="187" t="s">
        <v>409</v>
      </c>
      <c r="D81" s="17"/>
      <c r="E81" s="17"/>
      <c r="F81" s="6"/>
      <c r="G81" s="93">
        <f>SUM('3:23'!G81)</f>
        <v>0</v>
      </c>
      <c r="H81" s="339">
        <f t="shared" si="10"/>
        <v>0</v>
      </c>
      <c r="I81" s="93">
        <f>SUM('3:23'!I81)</f>
        <v>0</v>
      </c>
      <c r="J81" s="31"/>
      <c r="K81" s="35"/>
      <c r="L81" s="87">
        <v>4</v>
      </c>
      <c r="M81" s="36"/>
      <c r="N81" s="93">
        <f>SUM('3:23'!N81)</f>
        <v>0</v>
      </c>
      <c r="O81" s="93"/>
      <c r="P81" s="93"/>
      <c r="Q81" s="93"/>
      <c r="R81" s="93"/>
      <c r="S81" s="93"/>
      <c r="T81" s="93"/>
      <c r="U81" s="93"/>
      <c r="V81" s="20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302">
        <v>30300003</v>
      </c>
      <c r="B82" s="197" t="s">
        <v>407</v>
      </c>
      <c r="C82" s="187" t="s">
        <v>411</v>
      </c>
      <c r="D82" s="17"/>
      <c r="E82" s="17"/>
      <c r="F82" s="6"/>
      <c r="G82" s="93">
        <f>SUM('3:23'!G82)</f>
        <v>0</v>
      </c>
      <c r="H82" s="339">
        <f t="shared" si="10"/>
        <v>0</v>
      </c>
      <c r="I82" s="93">
        <f>SUM('3:23'!I82)</f>
        <v>0</v>
      </c>
      <c r="J82" s="31"/>
      <c r="K82" s="35"/>
      <c r="L82" s="87">
        <v>4</v>
      </c>
      <c r="M82" s="36"/>
      <c r="N82" s="93">
        <f>SUM('3:23'!N82)</f>
        <v>0</v>
      </c>
      <c r="O82" s="93"/>
      <c r="P82" s="93"/>
      <c r="Q82" s="93"/>
      <c r="R82" s="93"/>
      <c r="S82" s="93"/>
      <c r="T82" s="93"/>
      <c r="U82" s="93"/>
      <c r="V82" s="20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302">
        <v>30300005</v>
      </c>
      <c r="B83" s="63" t="s">
        <v>362</v>
      </c>
      <c r="C83" s="16" t="s">
        <v>338</v>
      </c>
      <c r="D83" s="17"/>
      <c r="E83" s="17"/>
      <c r="F83" s="6"/>
      <c r="G83" s="93">
        <f>SUM('3:23'!G83)</f>
        <v>0</v>
      </c>
      <c r="H83" s="339">
        <f t="shared" si="10"/>
        <v>0</v>
      </c>
      <c r="I83" s="93">
        <f>SUM('3:23'!I83)</f>
        <v>0</v>
      </c>
      <c r="J83" s="31"/>
      <c r="K83" s="35"/>
      <c r="L83" s="87">
        <v>4</v>
      </c>
      <c r="M83" s="36"/>
      <c r="N83" s="93">
        <f>SUM('3:23'!N83)</f>
        <v>0</v>
      </c>
      <c r="O83" s="93">
        <f>SUM('3:23'!O83)</f>
        <v>0</v>
      </c>
      <c r="P83" s="93">
        <f>SUM('3:23'!P83)</f>
        <v>0</v>
      </c>
      <c r="Q83" s="93">
        <f>SUM('3:23'!Q83)</f>
        <v>0</v>
      </c>
      <c r="R83" s="93">
        <f>SUM('3:23'!R83)</f>
        <v>0</v>
      </c>
      <c r="S83" s="93">
        <f>SUM('3:23'!S83)</f>
        <v>0</v>
      </c>
      <c r="T83" s="93">
        <f>SUM('3:23'!T83)</f>
        <v>0</v>
      </c>
      <c r="U83" s="93">
        <f>SUM('3:23'!U83)</f>
        <v>0</v>
      </c>
      <c r="V83" s="206"/>
      <c r="W83" s="33"/>
      <c r="X83" s="93">
        <f>SUM('3:23'!X83)</f>
        <v>0</v>
      </c>
      <c r="Y83" s="93">
        <f>SUM('3:23'!Y83)</f>
        <v>0</v>
      </c>
      <c r="Z83" s="93">
        <f>SUM('3:23'!Z83)</f>
        <v>0</v>
      </c>
      <c r="AA83" s="93">
        <f>SUM('3:23'!AA83)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302">
        <v>30300004</v>
      </c>
      <c r="B84" s="63" t="s">
        <v>362</v>
      </c>
      <c r="C84" s="16" t="s">
        <v>340</v>
      </c>
      <c r="D84" s="17"/>
      <c r="E84" s="17"/>
      <c r="F84" s="6"/>
      <c r="G84" s="93">
        <f>SUM('3:23'!G84)</f>
        <v>0</v>
      </c>
      <c r="H84" s="339">
        <f t="shared" si="10"/>
        <v>0</v>
      </c>
      <c r="I84" s="93">
        <f>SUM('3:23'!I84)</f>
        <v>0</v>
      </c>
      <c r="J84" s="31"/>
      <c r="K84" s="35"/>
      <c r="L84" s="87">
        <v>4</v>
      </c>
      <c r="M84" s="36"/>
      <c r="N84" s="93">
        <f>SUM('3:23'!N84)</f>
        <v>0</v>
      </c>
      <c r="O84" s="93">
        <f>SUM('3:23'!O84)</f>
        <v>0</v>
      </c>
      <c r="P84" s="93">
        <f>SUM('3:23'!P84)</f>
        <v>0</v>
      </c>
      <c r="Q84" s="93">
        <f>SUM('3:23'!Q84)</f>
        <v>0</v>
      </c>
      <c r="R84" s="93">
        <f>SUM('3:23'!R84)</f>
        <v>0</v>
      </c>
      <c r="S84" s="93">
        <f>SUM('3:23'!S84)</f>
        <v>0</v>
      </c>
      <c r="T84" s="93">
        <f>SUM('3:23'!T84)</f>
        <v>0</v>
      </c>
      <c r="U84" s="93">
        <f>SUM('3:23'!U84)</f>
        <v>0</v>
      </c>
      <c r="V84" s="206"/>
      <c r="W84" s="33"/>
      <c r="X84" s="93">
        <f>SUM('3:23'!X84)</f>
        <v>0</v>
      </c>
      <c r="Y84" s="93">
        <f>SUM('3:23'!Y84)</f>
        <v>0</v>
      </c>
      <c r="Z84" s="93">
        <f>SUM('3:23'!Z84)</f>
        <v>0</v>
      </c>
      <c r="AA84" s="93">
        <f>SUM('3:23'!AA84)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302">
        <v>30300006</v>
      </c>
      <c r="B85" s="63" t="s">
        <v>362</v>
      </c>
      <c r="C85" s="16" t="s">
        <v>341</v>
      </c>
      <c r="D85" s="17"/>
      <c r="E85" s="17"/>
      <c r="F85" s="6"/>
      <c r="G85" s="93">
        <f>SUM('3:23'!G85)</f>
        <v>0</v>
      </c>
      <c r="H85" s="339">
        <f t="shared" si="10"/>
        <v>0</v>
      </c>
      <c r="I85" s="93">
        <f>SUM('3:23'!I85)</f>
        <v>0</v>
      </c>
      <c r="J85" s="31"/>
      <c r="K85" s="35"/>
      <c r="L85" s="87">
        <v>4</v>
      </c>
      <c r="M85" s="36"/>
      <c r="N85" s="93">
        <f>SUM('3:23'!N85)</f>
        <v>0</v>
      </c>
      <c r="O85" s="93">
        <f>SUM('3:23'!O85)</f>
        <v>0</v>
      </c>
      <c r="P85" s="93">
        <f>SUM('3:23'!P85)</f>
        <v>0</v>
      </c>
      <c r="Q85" s="93">
        <f>SUM('3:23'!Q85)</f>
        <v>0</v>
      </c>
      <c r="R85" s="93">
        <f>SUM('3:23'!R85)</f>
        <v>0</v>
      </c>
      <c r="S85" s="93">
        <f>SUM('3:23'!S85)</f>
        <v>0</v>
      </c>
      <c r="T85" s="93">
        <f>SUM('3:23'!T85)</f>
        <v>0</v>
      </c>
      <c r="U85" s="93">
        <f>SUM('3:23'!U85)</f>
        <v>0</v>
      </c>
      <c r="V85" s="206"/>
      <c r="W85" s="33"/>
      <c r="X85" s="93">
        <f>SUM('3:23'!X85)</f>
        <v>0</v>
      </c>
      <c r="Y85" s="93">
        <f>SUM('3:23'!Y85)</f>
        <v>0</v>
      </c>
      <c r="Z85" s="93">
        <f>SUM('3:23'!Z85)</f>
        <v>0</v>
      </c>
      <c r="AA85" s="93">
        <f>SUM('3:23'!AA85)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724" t="s">
        <v>86</v>
      </c>
      <c r="B86" s="724"/>
      <c r="C86" s="342" t="s">
        <v>71</v>
      </c>
      <c r="D86" s="20"/>
      <c r="E86" s="20"/>
      <c r="F86" s="32"/>
      <c r="G86" s="94">
        <f>SUM(G29:G85)</f>
        <v>25010</v>
      </c>
      <c r="H86" s="30">
        <f>SUM(H29:H85)</f>
        <v>122531.30000000003</v>
      </c>
      <c r="I86" s="30">
        <f>SUM(I29:I85)</f>
        <v>487.5</v>
      </c>
      <c r="J86" s="31">
        <f t="array" ref="J86">IF(ISERROR(G86/I86),"",G86/I86)</f>
        <v>51.302564102564105</v>
      </c>
      <c r="K86" s="30">
        <f>SUM(K29:K85)</f>
        <v>625.2496947023692</v>
      </c>
      <c r="L86" s="98"/>
      <c r="M86" s="89">
        <f t="shared" ref="M86:V86" si="28">SUM(M29:M85)</f>
        <v>-129.95892547159988</v>
      </c>
      <c r="N86" s="30">
        <f t="shared" si="28"/>
        <v>0</v>
      </c>
      <c r="O86" s="91">
        <f t="shared" si="28"/>
        <v>0</v>
      </c>
      <c r="P86" s="91">
        <f t="shared" si="28"/>
        <v>0</v>
      </c>
      <c r="Q86" s="91">
        <f t="shared" si="28"/>
        <v>0</v>
      </c>
      <c r="R86" s="91">
        <f t="shared" si="28"/>
        <v>0</v>
      </c>
      <c r="S86" s="92">
        <f t="shared" si="28"/>
        <v>0</v>
      </c>
      <c r="T86" s="91">
        <f t="shared" si="28"/>
        <v>0</v>
      </c>
      <c r="U86" s="91">
        <f t="shared" si="28"/>
        <v>0</v>
      </c>
      <c r="V86" s="206">
        <f t="shared" si="28"/>
        <v>0</v>
      </c>
      <c r="W86" s="33">
        <f t="shared" ref="W86:W93" si="29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99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SUM('3:23'!G87)</f>
        <v>0</v>
      </c>
      <c r="H87" s="93">
        <f>SUM('3:23'!H87)</f>
        <v>0</v>
      </c>
      <c r="I87" s="93">
        <f>SUM('3:23'!I87)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30">IF(ISERROR(I87-K87),"",I87-K87)</f>
        <v>0</v>
      </c>
      <c r="N87" s="93">
        <f>SUM('3:23'!N87)</f>
        <v>0</v>
      </c>
      <c r="O87" s="93">
        <f>SUM('3:23'!O87)</f>
        <v>0</v>
      </c>
      <c r="P87" s="93">
        <f>SUM('3:23'!P87)</f>
        <v>0</v>
      </c>
      <c r="Q87" s="93">
        <f>SUM('3:23'!Q87)</f>
        <v>0</v>
      </c>
      <c r="R87" s="93">
        <f>SUM('3:23'!R87)</f>
        <v>0</v>
      </c>
      <c r="S87" s="93">
        <f>SUM('3:23'!S87)</f>
        <v>0</v>
      </c>
      <c r="T87" s="93">
        <f>SUM('3:23'!T87)</f>
        <v>0</v>
      </c>
      <c r="U87" s="93">
        <f>SUM('3:23'!U87)</f>
        <v>0</v>
      </c>
      <c r="V87" s="206">
        <f t="shared" ref="V87:V93" si="31">SUM(X87:AA87)</f>
        <v>0</v>
      </c>
      <c r="W87" s="33" t="str">
        <f t="shared" si="29"/>
        <v/>
      </c>
      <c r="X87" s="93">
        <f>SUM('3:23'!X87)</f>
        <v>0</v>
      </c>
      <c r="Y87" s="93">
        <f>SUM('3:23'!Y87)</f>
        <v>0</v>
      </c>
      <c r="Z87" s="93">
        <f>SUM('3:23'!Z87)</f>
        <v>0</v>
      </c>
      <c r="AA87" s="93">
        <f>SUM('3:23'!AA87)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99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SUM('3:23'!G88)</f>
        <v>0</v>
      </c>
      <c r="H88" s="93">
        <f>SUM('3:23'!H88)</f>
        <v>0</v>
      </c>
      <c r="I88" s="93">
        <f>SUM('3:23'!I88)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30"/>
        <v>0</v>
      </c>
      <c r="N88" s="93">
        <f>SUM('3:23'!N88)</f>
        <v>0</v>
      </c>
      <c r="O88" s="93">
        <f>SUM('3:23'!O88)</f>
        <v>0</v>
      </c>
      <c r="P88" s="93">
        <f>SUM('3:23'!P88)</f>
        <v>0</v>
      </c>
      <c r="Q88" s="93">
        <f>SUM('3:23'!Q88)</f>
        <v>0</v>
      </c>
      <c r="R88" s="93">
        <f>SUM('3:23'!R88)</f>
        <v>0</v>
      </c>
      <c r="S88" s="93">
        <f>SUM('3:23'!S88)</f>
        <v>0</v>
      </c>
      <c r="T88" s="93">
        <f>SUM('3:23'!T88)</f>
        <v>0</v>
      </c>
      <c r="U88" s="93">
        <f>SUM('3:23'!U88)</f>
        <v>0</v>
      </c>
      <c r="V88" s="206">
        <f t="shared" si="31"/>
        <v>0</v>
      </c>
      <c r="W88" s="33" t="str">
        <f t="shared" si="29"/>
        <v/>
      </c>
      <c r="X88" s="93">
        <f>SUM('3:23'!X88)</f>
        <v>0</v>
      </c>
      <c r="Y88" s="93">
        <f>SUM('3:23'!Y88)</f>
        <v>0</v>
      </c>
      <c r="Z88" s="93">
        <f>SUM('3:23'!Z88)</f>
        <v>0</v>
      </c>
      <c r="AA88" s="93">
        <f>SUM('3:23'!AA88)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99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SUM('3:23'!G89)</f>
        <v>0</v>
      </c>
      <c r="H89" s="93">
        <f>SUM('3:23'!H89)</f>
        <v>0</v>
      </c>
      <c r="I89" s="93">
        <f>SUM('3:23'!I89)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30"/>
        <v>0</v>
      </c>
      <c r="N89" s="93">
        <f>SUM('3:23'!N89)</f>
        <v>0</v>
      </c>
      <c r="O89" s="93">
        <f>SUM('3:23'!O89)</f>
        <v>0</v>
      </c>
      <c r="P89" s="93">
        <f>SUM('3:23'!P89)</f>
        <v>0</v>
      </c>
      <c r="Q89" s="93">
        <f>SUM('3:23'!Q89)</f>
        <v>0</v>
      </c>
      <c r="R89" s="93">
        <f>SUM('3:23'!R89)</f>
        <v>0</v>
      </c>
      <c r="S89" s="93">
        <f>SUM('3:23'!S89)</f>
        <v>0</v>
      </c>
      <c r="T89" s="93">
        <f>SUM('3:23'!T89)</f>
        <v>0</v>
      </c>
      <c r="U89" s="93">
        <f>SUM('3:23'!U89)</f>
        <v>0</v>
      </c>
      <c r="V89" s="206">
        <f t="shared" si="31"/>
        <v>0</v>
      </c>
      <c r="W89" s="33" t="str">
        <f t="shared" si="29"/>
        <v/>
      </c>
      <c r="X89" s="93">
        <f>SUM('3:23'!X89)</f>
        <v>0</v>
      </c>
      <c r="Y89" s="93">
        <f>SUM('3:23'!Y89)</f>
        <v>0</v>
      </c>
      <c r="Z89" s="93">
        <f>SUM('3:23'!Z89)</f>
        <v>0</v>
      </c>
      <c r="AA89" s="93">
        <f>SUM('3:23'!AA89)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99">
        <v>30400014</v>
      </c>
      <c r="B90" s="215" t="s">
        <v>513</v>
      </c>
      <c r="C90" s="16" t="s">
        <v>53</v>
      </c>
      <c r="D90" s="17">
        <v>5.03</v>
      </c>
      <c r="E90" s="17"/>
      <c r="F90" s="6"/>
      <c r="G90" s="93">
        <f>SUM('3:23'!G90)</f>
        <v>213</v>
      </c>
      <c r="H90" s="93">
        <f>SUM('3:23'!H90)</f>
        <v>1071.3900000000001</v>
      </c>
      <c r="I90" s="93">
        <f>SUM('3:23'!I90)</f>
        <v>15.5</v>
      </c>
      <c r="J90" s="31">
        <f t="array" ref="J90">IF(ISERROR(G90/I90),"",G90/I90)</f>
        <v>13.741935483870968</v>
      </c>
      <c r="K90" s="35">
        <f t="array" ref="K90">IF(ISERROR(G90/L90),"",G90/L90)</f>
        <v>22.903225806451612</v>
      </c>
      <c r="L90" s="87">
        <v>9.3000000000000007</v>
      </c>
      <c r="M90" s="36">
        <f t="shared" si="30"/>
        <v>-7.4032258064516121</v>
      </c>
      <c r="N90" s="93">
        <f>SUM('3:23'!N90)</f>
        <v>0</v>
      </c>
      <c r="O90" s="93">
        <f>SUM('3:23'!O90)</f>
        <v>0</v>
      </c>
      <c r="P90" s="93">
        <f>SUM('3:23'!P90)</f>
        <v>0</v>
      </c>
      <c r="Q90" s="93">
        <f>SUM('3:23'!Q90)</f>
        <v>0</v>
      </c>
      <c r="R90" s="93">
        <f>SUM('3:23'!R90)</f>
        <v>0</v>
      </c>
      <c r="S90" s="93">
        <f>SUM('3:23'!S90)</f>
        <v>0</v>
      </c>
      <c r="T90" s="93">
        <f>SUM('3:23'!T90)</f>
        <v>0</v>
      </c>
      <c r="U90" s="93">
        <f>SUM('3:23'!U90)</f>
        <v>0</v>
      </c>
      <c r="V90" s="206">
        <f t="shared" si="31"/>
        <v>0</v>
      </c>
      <c r="W90" s="33">
        <f t="shared" si="29"/>
        <v>0</v>
      </c>
      <c r="X90" s="93">
        <f>SUM('3:23'!X90)</f>
        <v>0</v>
      </c>
      <c r="Y90" s="93">
        <f>SUM('3:23'!Y90)</f>
        <v>0</v>
      </c>
      <c r="Z90" s="93">
        <f>SUM('3:23'!Z90)</f>
        <v>0</v>
      </c>
      <c r="AA90" s="93">
        <f>SUM('3:23'!AA90)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99">
        <v>30400013</v>
      </c>
      <c r="B91" s="215" t="s">
        <v>473</v>
      </c>
      <c r="C91" s="16" t="s">
        <v>72</v>
      </c>
      <c r="D91" s="17">
        <v>5.03</v>
      </c>
      <c r="E91" s="17"/>
      <c r="F91" s="6"/>
      <c r="G91" s="93">
        <f>SUM('3:23'!G91)</f>
        <v>468</v>
      </c>
      <c r="H91" s="93">
        <f>SUM('3:23'!H91)</f>
        <v>2354.0400000000004</v>
      </c>
      <c r="I91" s="93">
        <f>SUM('3:23'!I91)</f>
        <v>79.8</v>
      </c>
      <c r="J91" s="31">
        <f t="array" ref="J91">IF(ISERROR(G91/I91),"",G91/I91)</f>
        <v>5.8646616541353387</v>
      </c>
      <c r="K91" s="35">
        <f t="array" ref="K91">IF(ISERROR(G91/L91),"",G91/L91)</f>
        <v>50.322580645161288</v>
      </c>
      <c r="L91" s="87">
        <v>9.3000000000000007</v>
      </c>
      <c r="M91" s="36">
        <f t="shared" si="30"/>
        <v>29.477419354838709</v>
      </c>
      <c r="N91" s="93">
        <f>SUM('3:23'!N91)</f>
        <v>0</v>
      </c>
      <c r="O91" s="93">
        <f>SUM('3:23'!O91)</f>
        <v>0</v>
      </c>
      <c r="P91" s="93">
        <f>SUM('3:23'!P91)</f>
        <v>0</v>
      </c>
      <c r="Q91" s="93">
        <f>SUM('3:23'!Q91)</f>
        <v>0</v>
      </c>
      <c r="R91" s="93">
        <f>SUM('3:23'!R91)</f>
        <v>0</v>
      </c>
      <c r="S91" s="93">
        <f>SUM('3:23'!S91)</f>
        <v>0</v>
      </c>
      <c r="T91" s="93">
        <f>SUM('3:23'!T91)</f>
        <v>0</v>
      </c>
      <c r="U91" s="93">
        <f>SUM('3:23'!U91)</f>
        <v>0</v>
      </c>
      <c r="V91" s="206">
        <f t="shared" si="31"/>
        <v>0</v>
      </c>
      <c r="W91" s="33">
        <f t="shared" si="29"/>
        <v>0</v>
      </c>
      <c r="X91" s="93">
        <f>SUM('3:23'!X91)</f>
        <v>0</v>
      </c>
      <c r="Y91" s="93">
        <f>SUM('3:23'!Y91)</f>
        <v>0</v>
      </c>
      <c r="Z91" s="93">
        <f>SUM('3:23'!Z91)</f>
        <v>0</v>
      </c>
      <c r="AA91" s="93">
        <f>SUM('3:23'!AA91)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99">
        <v>30400016</v>
      </c>
      <c r="B92" s="215" t="s">
        <v>513</v>
      </c>
      <c r="C92" s="16" t="s">
        <v>60</v>
      </c>
      <c r="D92" s="17">
        <v>5.03</v>
      </c>
      <c r="E92" s="17"/>
      <c r="F92" s="6"/>
      <c r="G92" s="93">
        <f>SUM('3:23'!G92)</f>
        <v>420</v>
      </c>
      <c r="H92" s="93">
        <f>SUM('3:23'!H92)</f>
        <v>2112.6</v>
      </c>
      <c r="I92" s="93">
        <f>SUM('3:23'!I92)</f>
        <v>53.3</v>
      </c>
      <c r="J92" s="31">
        <f t="array" ref="J92">IF(ISERROR(G92/I92),"",G92/I92)</f>
        <v>7.879924953095685</v>
      </c>
      <c r="K92" s="35">
        <f t="array" ref="K92">IF(ISERROR(G92/L92),"",G92/L92)</f>
        <v>45.161290322580641</v>
      </c>
      <c r="L92" s="87">
        <v>9.3000000000000007</v>
      </c>
      <c r="M92" s="36">
        <f t="shared" si="30"/>
        <v>8.1387096774193566</v>
      </c>
      <c r="N92" s="93">
        <f>SUM('3:23'!N92)</f>
        <v>0</v>
      </c>
      <c r="O92" s="93">
        <f>SUM('3:23'!O92)</f>
        <v>0</v>
      </c>
      <c r="P92" s="93">
        <f>SUM('3:23'!P92)</f>
        <v>0</v>
      </c>
      <c r="Q92" s="93">
        <f>SUM('3:23'!Q92)</f>
        <v>0</v>
      </c>
      <c r="R92" s="93">
        <f>SUM('3:23'!R92)</f>
        <v>0</v>
      </c>
      <c r="S92" s="93">
        <f>SUM('3:23'!S92)</f>
        <v>0</v>
      </c>
      <c r="T92" s="93">
        <f>SUM('3:23'!T92)</f>
        <v>0</v>
      </c>
      <c r="U92" s="93">
        <f>SUM('3:23'!U92)</f>
        <v>0</v>
      </c>
      <c r="V92" s="206">
        <f t="shared" si="31"/>
        <v>0</v>
      </c>
      <c r="W92" s="33">
        <f t="shared" si="29"/>
        <v>0</v>
      </c>
      <c r="X92" s="93">
        <f>SUM('3:23'!X92)</f>
        <v>0</v>
      </c>
      <c r="Y92" s="93">
        <f>SUM('3:23'!Y92)</f>
        <v>0</v>
      </c>
      <c r="Z92" s="93">
        <f>SUM('3:23'!Z92)</f>
        <v>0</v>
      </c>
      <c r="AA92" s="93">
        <f>SUM('3:23'!AA92)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99">
        <v>30400017</v>
      </c>
      <c r="B93" s="215" t="s">
        <v>513</v>
      </c>
      <c r="C93" s="16" t="s">
        <v>66</v>
      </c>
      <c r="D93" s="17">
        <v>5.03</v>
      </c>
      <c r="E93" s="17"/>
      <c r="F93" s="6"/>
      <c r="G93" s="93">
        <f>SUM('3:23'!G93)</f>
        <v>1047</v>
      </c>
      <c r="H93" s="93">
        <f>SUM('3:23'!H93)</f>
        <v>5266.41</v>
      </c>
      <c r="I93" s="93">
        <f>SUM('3:23'!I93)</f>
        <v>100.3</v>
      </c>
      <c r="J93" s="31">
        <f t="array" ref="J93">IF(ISERROR(G93/I93),"",G93/I93)</f>
        <v>10.438683948155534</v>
      </c>
      <c r="K93" s="35">
        <f t="array" ref="K93">IF(ISERROR(G93/L93),"",G93/L93)</f>
        <v>112.58064516129032</v>
      </c>
      <c r="L93" s="87">
        <v>9.3000000000000007</v>
      </c>
      <c r="M93" s="36">
        <f t="shared" si="30"/>
        <v>-12.280645161290323</v>
      </c>
      <c r="N93" s="93">
        <f>SUM('3:23'!N93)</f>
        <v>0</v>
      </c>
      <c r="O93" s="93">
        <f>SUM('3:23'!O93)</f>
        <v>0</v>
      </c>
      <c r="P93" s="93">
        <f>SUM('3:23'!P93)</f>
        <v>0</v>
      </c>
      <c r="Q93" s="93">
        <f>SUM('3:23'!Q93)</f>
        <v>0</v>
      </c>
      <c r="R93" s="93">
        <f>SUM('3:23'!R93)</f>
        <v>0</v>
      </c>
      <c r="S93" s="93">
        <f>SUM('3:23'!S93)</f>
        <v>0</v>
      </c>
      <c r="T93" s="93">
        <f>SUM('3:23'!T93)</f>
        <v>0</v>
      </c>
      <c r="U93" s="93">
        <f>SUM('3:23'!U93)</f>
        <v>0</v>
      </c>
      <c r="V93" s="206">
        <f t="shared" si="31"/>
        <v>0</v>
      </c>
      <c r="W93" s="33">
        <f t="shared" si="29"/>
        <v>0</v>
      </c>
      <c r="X93" s="93">
        <f>SUM('3:23'!X93)</f>
        <v>0</v>
      </c>
      <c r="Y93" s="93">
        <f>SUM('3:23'!Y93)</f>
        <v>0</v>
      </c>
      <c r="Z93" s="93">
        <f>SUM('3:23'!Z93)</f>
        <v>0</v>
      </c>
      <c r="AA93" s="93">
        <f>SUM('3:23'!AA93)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99">
        <v>30400015</v>
      </c>
      <c r="B94" s="65" t="s">
        <v>512</v>
      </c>
      <c r="C94" s="16" t="s">
        <v>177</v>
      </c>
      <c r="D94" s="17">
        <v>5.03</v>
      </c>
      <c r="E94" s="17"/>
      <c r="F94" s="6"/>
      <c r="G94" s="93">
        <f>SUM('3:23'!G94)</f>
        <v>929</v>
      </c>
      <c r="H94" s="93">
        <f>SUM('3:23'!H94)</f>
        <v>4672.8700000000008</v>
      </c>
      <c r="I94" s="93">
        <f>SUM('3:23'!I94)</f>
        <v>120</v>
      </c>
      <c r="J94" s="31"/>
      <c r="K94" s="35">
        <f t="array" ref="K94">IF(ISERROR(G94/L94),"",G94/L94)</f>
        <v>99.892473118279568</v>
      </c>
      <c r="L94" s="87">
        <v>9.3000000000000007</v>
      </c>
      <c r="M94" s="36">
        <f t="shared" si="30"/>
        <v>20.107526881720432</v>
      </c>
      <c r="N94" s="93">
        <f>SUM('3:23'!N94)</f>
        <v>0</v>
      </c>
      <c r="O94" s="93">
        <f>SUM('3:23'!O94)</f>
        <v>0</v>
      </c>
      <c r="P94" s="93">
        <f>SUM('3:23'!P94)</f>
        <v>0</v>
      </c>
      <c r="Q94" s="93">
        <f>SUM('3:23'!Q94)</f>
        <v>0</v>
      </c>
      <c r="R94" s="93">
        <f>SUM('3:23'!R94)</f>
        <v>0</v>
      </c>
      <c r="S94" s="93">
        <f>SUM('3:23'!S94)</f>
        <v>0</v>
      </c>
      <c r="T94" s="93">
        <f>SUM('3:23'!T94)</f>
        <v>0</v>
      </c>
      <c r="U94" s="93">
        <f>SUM('3:23'!U94)</f>
        <v>0</v>
      </c>
      <c r="V94" s="207"/>
      <c r="W94" s="33"/>
      <c r="X94" s="93">
        <f>SUM('3:23'!X94)</f>
        <v>0</v>
      </c>
      <c r="Y94" s="93">
        <f>SUM('3:23'!Y94)</f>
        <v>0</v>
      </c>
      <c r="Z94" s="93">
        <f>SUM('3:23'!Z94)</f>
        <v>0</v>
      </c>
      <c r="AA94" s="93">
        <f>SUM('3:23'!AA94)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304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SUM('3:23'!G95)</f>
        <v>0</v>
      </c>
      <c r="H95" s="93">
        <f>SUM('3:23'!H95)</f>
        <v>0</v>
      </c>
      <c r="I95" s="93">
        <f>SUM('3:23'!I95)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SUM('3:23'!N95)</f>
        <v>0</v>
      </c>
      <c r="O95" s="93">
        <f>SUM('3:23'!O95)</f>
        <v>0</v>
      </c>
      <c r="P95" s="93">
        <f>SUM('3:23'!P95)</f>
        <v>0</v>
      </c>
      <c r="Q95" s="93">
        <f>SUM('3:23'!Q95)</f>
        <v>0</v>
      </c>
      <c r="R95" s="93">
        <f>SUM('3:23'!R95)</f>
        <v>0</v>
      </c>
      <c r="S95" s="93">
        <f>SUM('3:23'!S95)</f>
        <v>0</v>
      </c>
      <c r="T95" s="93">
        <f>SUM('3:23'!T95)</f>
        <v>0</v>
      </c>
      <c r="U95" s="93">
        <f>SUM('3:23'!U95)</f>
        <v>0</v>
      </c>
      <c r="V95" s="207">
        <f>SUM(X95:AA95)</f>
        <v>0</v>
      </c>
      <c r="W95" s="33" t="str">
        <f>IF(ISERROR(V95/G95),"",V95/G95)</f>
        <v/>
      </c>
      <c r="X95" s="93">
        <f>SUM('3:23'!X95)</f>
        <v>0</v>
      </c>
      <c r="Y95" s="93">
        <f>SUM('3:23'!Y95)</f>
        <v>0</v>
      </c>
      <c r="Z95" s="93">
        <f>SUM('3:23'!Z95)</f>
        <v>0</v>
      </c>
      <c r="AA95" s="93">
        <f>SUM('3:23'!AA95)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304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SUM('3:23'!G96)</f>
        <v>0</v>
      </c>
      <c r="H96" s="93">
        <f>SUM('3:23'!H96)</f>
        <v>0</v>
      </c>
      <c r="I96" s="93">
        <f>SUM('3:23'!I96)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SUM('3:23'!N96)</f>
        <v>0</v>
      </c>
      <c r="O96" s="93">
        <f>SUM('3:23'!O96)</f>
        <v>0</v>
      </c>
      <c r="P96" s="93">
        <f>SUM('3:23'!P96)</f>
        <v>0</v>
      </c>
      <c r="Q96" s="93">
        <f>SUM('3:23'!Q96)</f>
        <v>0</v>
      </c>
      <c r="R96" s="93">
        <f>SUM('3:23'!R96)</f>
        <v>0</v>
      </c>
      <c r="S96" s="93">
        <f>SUM('3:23'!S96)</f>
        <v>0</v>
      </c>
      <c r="T96" s="93">
        <f>SUM('3:23'!T96)</f>
        <v>0</v>
      </c>
      <c r="U96" s="93">
        <f>SUM('3:23'!U96)</f>
        <v>0</v>
      </c>
      <c r="V96" s="207">
        <f>SUM(X96:AA96)</f>
        <v>0</v>
      </c>
      <c r="W96" s="33" t="str">
        <f>IF(ISERROR(V96/G96),"",V96/G96)</f>
        <v/>
      </c>
      <c r="X96" s="93">
        <f>SUM('3:23'!X96)</f>
        <v>0</v>
      </c>
      <c r="Y96" s="93">
        <f>SUM('3:23'!Y96)</f>
        <v>0</v>
      </c>
      <c r="Z96" s="93">
        <f>SUM('3:23'!Z96)</f>
        <v>0</v>
      </c>
      <c r="AA96" s="93">
        <f>SUM('3:23'!AA96)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304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SUM('3:23'!G97)</f>
        <v>0</v>
      </c>
      <c r="H97" s="93">
        <f>SUM('3:23'!H97)</f>
        <v>0</v>
      </c>
      <c r="I97" s="93">
        <f>SUM('3:23'!I97)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SUM('3:23'!N97)</f>
        <v>0</v>
      </c>
      <c r="O97" s="93">
        <f>SUM('3:23'!O97)</f>
        <v>0</v>
      </c>
      <c r="P97" s="93">
        <f>SUM('3:23'!P97)</f>
        <v>0</v>
      </c>
      <c r="Q97" s="93">
        <f>SUM('3:23'!Q97)</f>
        <v>0</v>
      </c>
      <c r="R97" s="93">
        <f>SUM('3:23'!R97)</f>
        <v>0</v>
      </c>
      <c r="S97" s="93">
        <f>SUM('3:23'!S97)</f>
        <v>0</v>
      </c>
      <c r="T97" s="93">
        <f>SUM('3:23'!T97)</f>
        <v>0</v>
      </c>
      <c r="U97" s="93">
        <f>SUM('3:23'!U97)</f>
        <v>0</v>
      </c>
      <c r="V97" s="207">
        <f>SUM(X97:AA97)</f>
        <v>0</v>
      </c>
      <c r="W97" s="33" t="str">
        <f>IF(ISERROR(V97/G97),"",V97/G97)</f>
        <v/>
      </c>
      <c r="X97" s="93">
        <f>SUM('3:23'!X97)</f>
        <v>0</v>
      </c>
      <c r="Y97" s="93">
        <f>SUM('3:23'!Y97)</f>
        <v>0</v>
      </c>
      <c r="Z97" s="93">
        <f>SUM('3:23'!Z97)</f>
        <v>0</v>
      </c>
      <c r="AA97" s="93">
        <f>SUM('3:23'!AA97)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304">
        <v>30600003</v>
      </c>
      <c r="B98" s="65" t="s">
        <v>162</v>
      </c>
      <c r="C98" s="195" t="s">
        <v>89</v>
      </c>
      <c r="D98" s="17">
        <v>5.03</v>
      </c>
      <c r="E98" s="17"/>
      <c r="F98" s="6"/>
      <c r="G98" s="93">
        <f>SUM('3:23'!G98)</f>
        <v>0</v>
      </c>
      <c r="H98" s="93">
        <f>SUM('3:23'!H98)</f>
        <v>0</v>
      </c>
      <c r="I98" s="93">
        <f>SUM('3:23'!I98)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SUM('3:23'!N98)</f>
        <v>0</v>
      </c>
      <c r="O98" s="93">
        <f>SUM('3:23'!O98)</f>
        <v>0</v>
      </c>
      <c r="P98" s="93">
        <f>SUM('3:23'!P98)</f>
        <v>0</v>
      </c>
      <c r="Q98" s="93">
        <f>SUM('3:23'!Q98)</f>
        <v>0</v>
      </c>
      <c r="R98" s="93">
        <f>SUM('3:23'!R98)</f>
        <v>0</v>
      </c>
      <c r="S98" s="93">
        <f>SUM('3:23'!S98)</f>
        <v>0</v>
      </c>
      <c r="T98" s="93">
        <f>SUM('3:23'!T98)</f>
        <v>0</v>
      </c>
      <c r="U98" s="93">
        <f>SUM('3:23'!U98)</f>
        <v>0</v>
      </c>
      <c r="V98" s="207">
        <f>SUM(X98:AA98)</f>
        <v>0</v>
      </c>
      <c r="W98" s="33" t="str">
        <f>IF(ISERROR(V98/G98),"",V98/G98)</f>
        <v/>
      </c>
      <c r="X98" s="93">
        <f>SUM('3:23'!X98)</f>
        <v>0</v>
      </c>
      <c r="Y98" s="93">
        <f>SUM('3:23'!Y98)</f>
        <v>0</v>
      </c>
      <c r="Z98" s="93">
        <f>SUM('3:23'!Z98)</f>
        <v>0</v>
      </c>
      <c r="AA98" s="93">
        <f>SUM('3:23'!AA98)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304">
        <v>30400030</v>
      </c>
      <c r="B99" s="215" t="s">
        <v>491</v>
      </c>
      <c r="C99" s="16" t="s">
        <v>53</v>
      </c>
      <c r="D99" s="17">
        <v>5.03</v>
      </c>
      <c r="E99" s="17"/>
      <c r="F99" s="6"/>
      <c r="G99" s="93">
        <f>SUM('3:23'!G99)</f>
        <v>0</v>
      </c>
      <c r="H99" s="93">
        <f>SUM('3:23'!H99)</f>
        <v>0</v>
      </c>
      <c r="I99" s="93">
        <f>SUM('3:23'!I99)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32">IF(ISERROR(I99-K99),"",I99-K99)</f>
        <v>0</v>
      </c>
      <c r="N99" s="93">
        <f>SUM('3:23'!N99)</f>
        <v>0</v>
      </c>
      <c r="O99" s="93">
        <f>SUM('3:23'!O99)</f>
        <v>0</v>
      </c>
      <c r="P99" s="93">
        <f>SUM('3:23'!P99)</f>
        <v>0</v>
      </c>
      <c r="Q99" s="93">
        <f>SUM('3:23'!Q99)</f>
        <v>0</v>
      </c>
      <c r="R99" s="93">
        <f>SUM('3:23'!R99)</f>
        <v>0</v>
      </c>
      <c r="S99" s="93">
        <f>SUM('3:23'!S99)</f>
        <v>0</v>
      </c>
      <c r="T99" s="93">
        <f>SUM('3:23'!T99)</f>
        <v>0</v>
      </c>
      <c r="U99" s="93">
        <f>SUM('3:23'!U99)</f>
        <v>0</v>
      </c>
      <c r="V99" s="206">
        <f t="shared" ref="V99:V106" si="33">SUM(X99:AA99)</f>
        <v>0</v>
      </c>
      <c r="W99" s="33" t="str">
        <f t="shared" ref="W99:W106" si="34">IF(ISERROR(V99/G99),"",V99/G99)</f>
        <v/>
      </c>
      <c r="X99" s="93">
        <f>SUM('3:23'!X99)</f>
        <v>0</v>
      </c>
      <c r="Y99" s="93">
        <f>SUM('3:23'!Y99)</f>
        <v>0</v>
      </c>
      <c r="Z99" s="93">
        <f>SUM('3:23'!Z99)</f>
        <v>0</v>
      </c>
      <c r="AA99" s="93">
        <f>SUM('3:23'!AA99)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304"/>
      <c r="B100" s="65" t="s">
        <v>88</v>
      </c>
      <c r="C100" s="16" t="s">
        <v>72</v>
      </c>
      <c r="D100" s="17">
        <v>5.03</v>
      </c>
      <c r="E100" s="17"/>
      <c r="F100" s="6"/>
      <c r="G100" s="93">
        <f>SUM('3:23'!G100)</f>
        <v>0</v>
      </c>
      <c r="H100" s="93">
        <f>SUM('3:23'!H100)</f>
        <v>0</v>
      </c>
      <c r="I100" s="93">
        <f>SUM('3:23'!I100)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32"/>
        <v/>
      </c>
      <c r="N100" s="93">
        <f>SUM('3:23'!N100)</f>
        <v>0</v>
      </c>
      <c r="O100" s="93">
        <f>SUM('3:23'!O100)</f>
        <v>0</v>
      </c>
      <c r="P100" s="93">
        <f>SUM('3:23'!P100)</f>
        <v>0</v>
      </c>
      <c r="Q100" s="93">
        <f>SUM('3:23'!Q100)</f>
        <v>0</v>
      </c>
      <c r="R100" s="93">
        <f>SUM('3:23'!R100)</f>
        <v>0</v>
      </c>
      <c r="S100" s="93">
        <f>SUM('3:23'!S100)</f>
        <v>0</v>
      </c>
      <c r="T100" s="93">
        <f>SUM('3:23'!T100)</f>
        <v>0</v>
      </c>
      <c r="U100" s="93">
        <f>SUM('3:23'!U100)</f>
        <v>0</v>
      </c>
      <c r="V100" s="206">
        <f t="shared" si="33"/>
        <v>0</v>
      </c>
      <c r="W100" s="33" t="str">
        <f t="shared" si="34"/>
        <v/>
      </c>
      <c r="X100" s="93">
        <f>SUM('3:23'!X100)</f>
        <v>0</v>
      </c>
      <c r="Y100" s="93">
        <f>SUM('3:23'!Y100)</f>
        <v>0</v>
      </c>
      <c r="Z100" s="93">
        <f>SUM('3:23'!Z100)</f>
        <v>0</v>
      </c>
      <c r="AA100" s="93">
        <f>SUM('3:23'!AA100)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304"/>
      <c r="B101" s="65" t="s">
        <v>88</v>
      </c>
      <c r="C101" s="16" t="s">
        <v>60</v>
      </c>
      <c r="D101" s="17">
        <v>5.03</v>
      </c>
      <c r="E101" s="17"/>
      <c r="F101" s="6"/>
      <c r="G101" s="93">
        <f>SUM('3:23'!G101)</f>
        <v>0</v>
      </c>
      <c r="H101" s="93">
        <f>SUM('3:23'!H101)</f>
        <v>0</v>
      </c>
      <c r="I101" s="93">
        <f>SUM('3:23'!I101)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32"/>
        <v/>
      </c>
      <c r="N101" s="93">
        <f>SUM('3:23'!N101)</f>
        <v>0</v>
      </c>
      <c r="O101" s="93">
        <f>SUM('3:23'!O101)</f>
        <v>0</v>
      </c>
      <c r="P101" s="93">
        <f>SUM('3:23'!P101)</f>
        <v>0</v>
      </c>
      <c r="Q101" s="93">
        <f>SUM('3:23'!Q101)</f>
        <v>0</v>
      </c>
      <c r="R101" s="93">
        <f>SUM('3:23'!R101)</f>
        <v>0</v>
      </c>
      <c r="S101" s="93">
        <f>SUM('3:23'!S101)</f>
        <v>0</v>
      </c>
      <c r="T101" s="93">
        <f>SUM('3:23'!T101)</f>
        <v>0</v>
      </c>
      <c r="U101" s="93">
        <f>SUM('3:23'!U101)</f>
        <v>0</v>
      </c>
      <c r="V101" s="206">
        <f t="shared" si="33"/>
        <v>0</v>
      </c>
      <c r="W101" s="33" t="str">
        <f t="shared" si="34"/>
        <v/>
      </c>
      <c r="X101" s="93">
        <f>SUM('3:23'!X101)</f>
        <v>0</v>
      </c>
      <c r="Y101" s="93">
        <f>SUM('3:23'!Y101)</f>
        <v>0</v>
      </c>
      <c r="Z101" s="93">
        <f>SUM('3:23'!Z101)</f>
        <v>0</v>
      </c>
      <c r="AA101" s="93">
        <f>SUM('3:23'!AA101)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304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SUM('3:23'!G102)</f>
        <v>0</v>
      </c>
      <c r="H102" s="93">
        <f>SUM('3:23'!H102)</f>
        <v>0</v>
      </c>
      <c r="I102" s="93">
        <f>SUM('3:23'!I102)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32"/>
        <v/>
      </c>
      <c r="N102" s="93">
        <f>SUM('3:23'!N102)</f>
        <v>0</v>
      </c>
      <c r="O102" s="93">
        <f>SUM('3:23'!O102)</f>
        <v>0</v>
      </c>
      <c r="P102" s="93">
        <f>SUM('3:23'!P102)</f>
        <v>0</v>
      </c>
      <c r="Q102" s="93">
        <f>SUM('3:23'!Q102)</f>
        <v>0</v>
      </c>
      <c r="R102" s="93">
        <f>SUM('3:23'!R102)</f>
        <v>0</v>
      </c>
      <c r="S102" s="93">
        <f>SUM('3:23'!S102)</f>
        <v>0</v>
      </c>
      <c r="T102" s="93">
        <f>SUM('3:23'!T102)</f>
        <v>0</v>
      </c>
      <c r="U102" s="93">
        <f>SUM('3:23'!U102)</f>
        <v>0</v>
      </c>
      <c r="V102" s="206">
        <f t="shared" si="33"/>
        <v>0</v>
      </c>
      <c r="W102" s="33" t="str">
        <f t="shared" si="34"/>
        <v/>
      </c>
      <c r="X102" s="93">
        <f>SUM('3:23'!X102)</f>
        <v>0</v>
      </c>
      <c r="Y102" s="93">
        <f>SUM('3:23'!Y102)</f>
        <v>0</v>
      </c>
      <c r="Z102" s="93">
        <f>SUM('3:23'!Z102)</f>
        <v>0</v>
      </c>
      <c r="AA102" s="93">
        <f>SUM('3:23'!AA102)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304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SUM('3:23'!G103)</f>
        <v>0</v>
      </c>
      <c r="H103" s="93">
        <f>SUM('3:23'!H103)</f>
        <v>0</v>
      </c>
      <c r="I103" s="93">
        <f>SUM('3:23'!I103)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32"/>
        <v>0</v>
      </c>
      <c r="N103" s="93">
        <f>SUM('3:23'!N103)</f>
        <v>0</v>
      </c>
      <c r="O103" s="93">
        <f>SUM('3:23'!O103)</f>
        <v>0</v>
      </c>
      <c r="P103" s="93">
        <f>SUM('3:23'!P103)</f>
        <v>0</v>
      </c>
      <c r="Q103" s="93">
        <f>SUM('3:23'!Q103)</f>
        <v>0</v>
      </c>
      <c r="R103" s="93">
        <f>SUM('3:23'!R103)</f>
        <v>0</v>
      </c>
      <c r="S103" s="93">
        <f>SUM('3:23'!S103)</f>
        <v>0</v>
      </c>
      <c r="T103" s="93">
        <f>SUM('3:23'!T103)</f>
        <v>0</v>
      </c>
      <c r="U103" s="93">
        <f>SUM('3:23'!U103)</f>
        <v>0</v>
      </c>
      <c r="V103" s="206">
        <f t="shared" si="33"/>
        <v>0</v>
      </c>
      <c r="W103" s="33" t="str">
        <f t="shared" si="34"/>
        <v/>
      </c>
      <c r="X103" s="93">
        <f>SUM('3:23'!X103)</f>
        <v>0</v>
      </c>
      <c r="Y103" s="93">
        <f>SUM('3:23'!Y103)</f>
        <v>0</v>
      </c>
      <c r="Z103" s="93">
        <f>SUM('3:23'!Z103)</f>
        <v>0</v>
      </c>
      <c r="AA103" s="93">
        <f>SUM('3:23'!AA103)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304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SUM('3:23'!G104)</f>
        <v>0</v>
      </c>
      <c r="H104" s="93">
        <f>SUM('3:23'!H104)</f>
        <v>0</v>
      </c>
      <c r="I104" s="93">
        <f>SUM('3:23'!I104)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32"/>
        <v>0</v>
      </c>
      <c r="N104" s="93">
        <f>SUM('3:23'!N104)</f>
        <v>0</v>
      </c>
      <c r="O104" s="93">
        <f>SUM('3:23'!O104)</f>
        <v>0</v>
      </c>
      <c r="P104" s="93">
        <f>SUM('3:23'!P104)</f>
        <v>0</v>
      </c>
      <c r="Q104" s="93">
        <f>SUM('3:23'!Q104)</f>
        <v>0</v>
      </c>
      <c r="R104" s="93">
        <f>SUM('3:23'!R104)</f>
        <v>0</v>
      </c>
      <c r="S104" s="93">
        <f>SUM('3:23'!S104)</f>
        <v>0</v>
      </c>
      <c r="T104" s="93">
        <f>SUM('3:23'!T104)</f>
        <v>0</v>
      </c>
      <c r="U104" s="93">
        <f>SUM('3:23'!U104)</f>
        <v>0</v>
      </c>
      <c r="V104" s="206">
        <f t="shared" si="33"/>
        <v>0</v>
      </c>
      <c r="W104" s="33" t="str">
        <f t="shared" si="34"/>
        <v/>
      </c>
      <c r="X104" s="93">
        <f>SUM('3:23'!X104)</f>
        <v>0</v>
      </c>
      <c r="Y104" s="93">
        <f>SUM('3:23'!Y104)</f>
        <v>0</v>
      </c>
      <c r="Z104" s="93">
        <f>SUM('3:23'!Z104)</f>
        <v>0</v>
      </c>
      <c r="AA104" s="93">
        <f>SUM('3:23'!AA104)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304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SUM('3:23'!G105)</f>
        <v>0</v>
      </c>
      <c r="H105" s="93">
        <f>SUM('3:23'!H105)</f>
        <v>0</v>
      </c>
      <c r="I105" s="93">
        <f>SUM('3:23'!I105)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32"/>
        <v>0</v>
      </c>
      <c r="N105" s="93">
        <f>SUM('3:23'!N105)</f>
        <v>0</v>
      </c>
      <c r="O105" s="93">
        <f>SUM('3:23'!O105)</f>
        <v>0</v>
      </c>
      <c r="P105" s="93">
        <f>SUM('3:23'!P105)</f>
        <v>0</v>
      </c>
      <c r="Q105" s="93">
        <f>SUM('3:23'!Q105)</f>
        <v>0</v>
      </c>
      <c r="R105" s="93">
        <f>SUM('3:23'!R105)</f>
        <v>0</v>
      </c>
      <c r="S105" s="93">
        <f>SUM('3:23'!S105)</f>
        <v>0</v>
      </c>
      <c r="T105" s="93">
        <f>SUM('3:23'!T105)</f>
        <v>0</v>
      </c>
      <c r="U105" s="93">
        <f>SUM('3:23'!U105)</f>
        <v>0</v>
      </c>
      <c r="V105" s="206">
        <f t="shared" si="33"/>
        <v>0</v>
      </c>
      <c r="W105" s="33" t="str">
        <f t="shared" si="34"/>
        <v/>
      </c>
      <c r="X105" s="93">
        <f>SUM('3:23'!X105)</f>
        <v>0</v>
      </c>
      <c r="Y105" s="93">
        <f>SUM('3:23'!Y105)</f>
        <v>0</v>
      </c>
      <c r="Z105" s="93">
        <f>SUM('3:23'!Z105)</f>
        <v>0</v>
      </c>
      <c r="AA105" s="93">
        <f>SUM('3:23'!AA105)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304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SUM('3:23'!G106)</f>
        <v>0</v>
      </c>
      <c r="H106" s="93">
        <f>SUM('3:23'!H106)</f>
        <v>0</v>
      </c>
      <c r="I106" s="93">
        <f>SUM('3:23'!I106)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32"/>
        <v>0</v>
      </c>
      <c r="N106" s="93">
        <f>SUM('3:23'!N106)</f>
        <v>0</v>
      </c>
      <c r="O106" s="93">
        <f>SUM('3:23'!O106)</f>
        <v>0</v>
      </c>
      <c r="P106" s="93">
        <f>SUM('3:23'!P106)</f>
        <v>0</v>
      </c>
      <c r="Q106" s="93">
        <f>SUM('3:23'!Q106)</f>
        <v>0</v>
      </c>
      <c r="R106" s="93">
        <f>SUM('3:23'!R106)</f>
        <v>0</v>
      </c>
      <c r="S106" s="93">
        <f>SUM('3:23'!S106)</f>
        <v>0</v>
      </c>
      <c r="T106" s="93">
        <f>SUM('3:23'!T106)</f>
        <v>0</v>
      </c>
      <c r="U106" s="93">
        <f>SUM('3:23'!U106)</f>
        <v>0</v>
      </c>
      <c r="V106" s="206">
        <f t="shared" si="33"/>
        <v>0</v>
      </c>
      <c r="W106" s="33" t="str">
        <f t="shared" si="34"/>
        <v/>
      </c>
      <c r="X106" s="93">
        <f>SUM('3:23'!X106)</f>
        <v>0</v>
      </c>
      <c r="Y106" s="93">
        <f>SUM('3:23'!Y106)</f>
        <v>0</v>
      </c>
      <c r="Z106" s="93">
        <f>SUM('3:23'!Z106)</f>
        <v>0</v>
      </c>
      <c r="AA106" s="93">
        <f>SUM('3:23'!AA106)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99">
        <v>30400026</v>
      </c>
      <c r="B107" s="190" t="s">
        <v>457</v>
      </c>
      <c r="C107" s="187" t="s">
        <v>395</v>
      </c>
      <c r="D107" s="17">
        <v>5</v>
      </c>
      <c r="E107" s="17"/>
      <c r="F107" s="6"/>
      <c r="G107" s="93">
        <f>SUM('3:23'!G107)</f>
        <v>1042</v>
      </c>
      <c r="H107" s="93">
        <f>SUM('3:23'!H107)</f>
        <v>5210</v>
      </c>
      <c r="I107" s="93">
        <f>SUM('3:23'!I107)</f>
        <v>130</v>
      </c>
      <c r="J107" s="31"/>
      <c r="K107" s="35">
        <f t="array" ref="K107">IF(ISERROR(G107/L107),"",G107/L107)</f>
        <v>208.4</v>
      </c>
      <c r="L107" s="87">
        <v>5</v>
      </c>
      <c r="M107" s="36">
        <f t="shared" si="32"/>
        <v>-78.400000000000006</v>
      </c>
      <c r="N107" s="93">
        <f>SUM('3:23'!N107)</f>
        <v>0</v>
      </c>
      <c r="O107" s="93">
        <f>SUM('3:23'!O107)</f>
        <v>0</v>
      </c>
      <c r="P107" s="93">
        <f>SUM('3:23'!P107)</f>
        <v>0</v>
      </c>
      <c r="Q107" s="93">
        <f>SUM('3:23'!Q107)</f>
        <v>0</v>
      </c>
      <c r="R107" s="93">
        <f>SUM('3:23'!R107)</f>
        <v>0</v>
      </c>
      <c r="S107" s="93">
        <f>SUM('3:23'!S107)</f>
        <v>0</v>
      </c>
      <c r="T107" s="93">
        <f>SUM('3:23'!T107)</f>
        <v>0</v>
      </c>
      <c r="U107" s="93">
        <f>SUM('3:23'!U107)</f>
        <v>0</v>
      </c>
      <c r="V107" s="206"/>
      <c r="W107" s="33"/>
      <c r="X107" s="93">
        <f>SUM('3:23'!X107)</f>
        <v>0</v>
      </c>
      <c r="Y107" s="93">
        <f>SUM('3:23'!Y107)</f>
        <v>0</v>
      </c>
      <c r="Z107" s="93">
        <f>SUM('3:23'!Z107)</f>
        <v>0</v>
      </c>
      <c r="AA107" s="93">
        <f>SUM('3:23'!AA107)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99">
        <v>30400028</v>
      </c>
      <c r="B108" s="190" t="s">
        <v>457</v>
      </c>
      <c r="C108" s="187" t="s">
        <v>403</v>
      </c>
      <c r="D108" s="17">
        <v>5</v>
      </c>
      <c r="E108" s="17"/>
      <c r="F108" s="6"/>
      <c r="G108" s="93">
        <f>SUM('3:23'!G108)</f>
        <v>550</v>
      </c>
      <c r="H108" s="93">
        <f>SUM('3:23'!H108)</f>
        <v>2750</v>
      </c>
      <c r="I108" s="93">
        <f>SUM('3:23'!I108)</f>
        <v>27.5</v>
      </c>
      <c r="J108" s="31"/>
      <c r="K108" s="35">
        <f t="array" ref="K108">IF(ISERROR(G108/L108),"",G108/L108)</f>
        <v>110</v>
      </c>
      <c r="L108" s="87">
        <v>5</v>
      </c>
      <c r="M108" s="36">
        <f t="shared" si="32"/>
        <v>-82.5</v>
      </c>
      <c r="N108" s="93">
        <f>SUM('3:23'!N108)</f>
        <v>0</v>
      </c>
      <c r="O108" s="93">
        <f>SUM('3:23'!O108)</f>
        <v>0</v>
      </c>
      <c r="P108" s="93">
        <f>SUM('3:23'!P108)</f>
        <v>0</v>
      </c>
      <c r="Q108" s="93">
        <f>SUM('3:23'!Q108)</f>
        <v>0</v>
      </c>
      <c r="R108" s="93">
        <f>SUM('3:23'!R108)</f>
        <v>0</v>
      </c>
      <c r="S108" s="93">
        <f>SUM('3:23'!S108)</f>
        <v>0</v>
      </c>
      <c r="T108" s="93">
        <f>SUM('3:23'!T108)</f>
        <v>0</v>
      </c>
      <c r="U108" s="93">
        <f>SUM('3:23'!U108)</f>
        <v>0</v>
      </c>
      <c r="V108" s="206"/>
      <c r="W108" s="33"/>
      <c r="X108" s="93">
        <f>SUM('3:23'!X108)</f>
        <v>0</v>
      </c>
      <c r="Y108" s="93">
        <f>SUM('3:23'!Y108)</f>
        <v>0</v>
      </c>
      <c r="Z108" s="93">
        <f>SUM('3:23'!Z108)</f>
        <v>0</v>
      </c>
      <c r="AA108" s="93">
        <f>SUM('3:23'!AA108)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99">
        <v>30400027</v>
      </c>
      <c r="B109" s="190" t="s">
        <v>472</v>
      </c>
      <c r="C109" s="187" t="s">
        <v>406</v>
      </c>
      <c r="D109" s="17">
        <v>5</v>
      </c>
      <c r="E109" s="17"/>
      <c r="F109" s="6"/>
      <c r="G109" s="93">
        <f>SUM('3:23'!G109)</f>
        <v>574</v>
      </c>
      <c r="H109" s="93">
        <f>SUM('3:23'!H109)</f>
        <v>2870</v>
      </c>
      <c r="I109" s="93">
        <f>SUM('3:23'!I109)</f>
        <v>50.5</v>
      </c>
      <c r="J109" s="31"/>
      <c r="K109" s="35">
        <f t="array" ref="K109">IF(ISERROR(G109/L109),"",G109/L109)</f>
        <v>114.8</v>
      </c>
      <c r="L109" s="87">
        <v>5</v>
      </c>
      <c r="M109" s="36">
        <f t="shared" si="32"/>
        <v>-64.3</v>
      </c>
      <c r="N109" s="93">
        <f>SUM('3:23'!N109)</f>
        <v>0</v>
      </c>
      <c r="O109" s="93">
        <f>SUM('3:23'!O109)</f>
        <v>0</v>
      </c>
      <c r="P109" s="93">
        <f>SUM('3:23'!P109)</f>
        <v>0</v>
      </c>
      <c r="Q109" s="93">
        <f>SUM('3:23'!Q109)</f>
        <v>0</v>
      </c>
      <c r="R109" s="93">
        <f>SUM('3:23'!R109)</f>
        <v>0</v>
      </c>
      <c r="S109" s="93">
        <f>SUM('3:23'!S109)</f>
        <v>0</v>
      </c>
      <c r="T109" s="93">
        <f>SUM('3:23'!T109)</f>
        <v>0</v>
      </c>
      <c r="U109" s="93">
        <f>SUM('3:23'!U109)</f>
        <v>0</v>
      </c>
      <c r="V109" s="206"/>
      <c r="W109" s="33"/>
      <c r="X109" s="93">
        <f>SUM('3:23'!X109)</f>
        <v>0</v>
      </c>
      <c r="Y109" s="93">
        <f>SUM('3:23'!Y109)</f>
        <v>0</v>
      </c>
      <c r="Z109" s="93">
        <f>SUM('3:23'!Z109)</f>
        <v>0</v>
      </c>
      <c r="AA109" s="93">
        <f>SUM('3:23'!AA109)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99"/>
      <c r="B110" s="190" t="s">
        <v>492</v>
      </c>
      <c r="C110" s="187" t="s">
        <v>372</v>
      </c>
      <c r="D110" s="17">
        <v>5</v>
      </c>
      <c r="E110" s="17"/>
      <c r="F110" s="6"/>
      <c r="G110" s="93">
        <f>SUM('3:23'!G110)</f>
        <v>0</v>
      </c>
      <c r="H110" s="93">
        <f>SUM('3:23'!H110)</f>
        <v>0</v>
      </c>
      <c r="I110" s="93">
        <f>SUM('3:23'!I110)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32"/>
        <v>0</v>
      </c>
      <c r="N110" s="93">
        <f>SUM('3:23'!N110)</f>
        <v>0</v>
      </c>
      <c r="O110" s="93">
        <f>SUM('3:23'!O110)</f>
        <v>0</v>
      </c>
      <c r="P110" s="93">
        <f>SUM('3:23'!P110)</f>
        <v>0</v>
      </c>
      <c r="Q110" s="93">
        <f>SUM('3:23'!Q110)</f>
        <v>0</v>
      </c>
      <c r="R110" s="93">
        <f>SUM('3:23'!R110)</f>
        <v>0</v>
      </c>
      <c r="S110" s="93">
        <f>SUM('3:23'!S110)</f>
        <v>0</v>
      </c>
      <c r="T110" s="93">
        <f>SUM('3:23'!T110)</f>
        <v>0</v>
      </c>
      <c r="U110" s="93">
        <f>SUM('3:23'!U110)</f>
        <v>0</v>
      </c>
      <c r="V110" s="206"/>
      <c r="W110" s="33"/>
      <c r="X110" s="93">
        <f>SUM('3:23'!X110)</f>
        <v>0</v>
      </c>
      <c r="Y110" s="93">
        <f>SUM('3:23'!Y110)</f>
        <v>0</v>
      </c>
      <c r="Z110" s="93">
        <f>SUM('3:23'!Z110)</f>
        <v>0</v>
      </c>
      <c r="AA110" s="93">
        <f>SUM('3:23'!AA110)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99">
        <v>30600009</v>
      </c>
      <c r="B111" s="61" t="s">
        <v>344</v>
      </c>
      <c r="C111" s="16" t="s">
        <v>346</v>
      </c>
      <c r="D111" s="17">
        <v>5</v>
      </c>
      <c r="E111" s="17"/>
      <c r="F111" s="6"/>
      <c r="G111" s="93">
        <f>SUM('3:23'!G111)</f>
        <v>330</v>
      </c>
      <c r="H111" s="93">
        <f>SUM('3:23'!H111)</f>
        <v>1650</v>
      </c>
      <c r="I111" s="93">
        <f>SUM('3:23'!I111)</f>
        <v>27</v>
      </c>
      <c r="J111" s="31"/>
      <c r="K111" s="35">
        <f t="array" ref="K111">IF(ISERROR(G111/L111),"",G111/L111)</f>
        <v>66</v>
      </c>
      <c r="L111" s="87">
        <v>5</v>
      </c>
      <c r="M111" s="36">
        <f t="shared" si="32"/>
        <v>-39</v>
      </c>
      <c r="N111" s="93">
        <f>SUM('3:23'!N111)</f>
        <v>0</v>
      </c>
      <c r="O111" s="93">
        <f>SUM('3:23'!O111)</f>
        <v>0</v>
      </c>
      <c r="P111" s="93">
        <f>SUM('3:23'!P111)</f>
        <v>0</v>
      </c>
      <c r="Q111" s="93">
        <f>SUM('3:23'!Q111)</f>
        <v>0</v>
      </c>
      <c r="R111" s="93">
        <f>SUM('3:23'!R111)</f>
        <v>0</v>
      </c>
      <c r="S111" s="93">
        <f>SUM('3:23'!S111)</f>
        <v>0</v>
      </c>
      <c r="T111" s="93">
        <f>SUM('3:23'!T111)</f>
        <v>0</v>
      </c>
      <c r="U111" s="93">
        <f>SUM('3:23'!U111)</f>
        <v>0</v>
      </c>
      <c r="V111" s="206"/>
      <c r="W111" s="33"/>
      <c r="X111" s="93">
        <f>SUM('3:23'!X111)</f>
        <v>0</v>
      </c>
      <c r="Y111" s="93">
        <f>SUM('3:23'!Y111)</f>
        <v>0</v>
      </c>
      <c r="Z111" s="93">
        <f>SUM('3:23'!Z111)</f>
        <v>0</v>
      </c>
      <c r="AA111" s="93">
        <f>SUM('3:23'!AA111)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99">
        <v>30600010</v>
      </c>
      <c r="B112" s="61" t="s">
        <v>344</v>
      </c>
      <c r="C112" s="16" t="s">
        <v>347</v>
      </c>
      <c r="D112" s="17">
        <v>5</v>
      </c>
      <c r="E112" s="17"/>
      <c r="F112" s="6"/>
      <c r="G112" s="93">
        <f>SUM('3:23'!G112)</f>
        <v>499</v>
      </c>
      <c r="H112" s="93">
        <f>SUM('3:23'!H112)</f>
        <v>2495</v>
      </c>
      <c r="I112" s="93">
        <f>SUM('3:23'!I112)</f>
        <v>43.5</v>
      </c>
      <c r="J112" s="31"/>
      <c r="K112" s="35">
        <f t="array" ref="K112">IF(ISERROR(G112/L112),"",G112/L112)</f>
        <v>99.8</v>
      </c>
      <c r="L112" s="87">
        <v>5</v>
      </c>
      <c r="M112" s="36">
        <f t="shared" si="32"/>
        <v>-56.3</v>
      </c>
      <c r="N112" s="93">
        <f>SUM('3:23'!N112)</f>
        <v>0</v>
      </c>
      <c r="O112" s="93">
        <f>SUM('3:23'!O112)</f>
        <v>0</v>
      </c>
      <c r="P112" s="93">
        <f>SUM('3:23'!P112)</f>
        <v>0</v>
      </c>
      <c r="Q112" s="93">
        <f>SUM('3:23'!Q112)</f>
        <v>0</v>
      </c>
      <c r="R112" s="93">
        <f>SUM('3:23'!R112)</f>
        <v>0</v>
      </c>
      <c r="S112" s="93">
        <f>SUM('3:23'!S112)</f>
        <v>0</v>
      </c>
      <c r="T112" s="93">
        <f>SUM('3:23'!T112)</f>
        <v>0</v>
      </c>
      <c r="U112" s="93">
        <f>SUM('3:23'!U112)</f>
        <v>0</v>
      </c>
      <c r="V112" s="206"/>
      <c r="W112" s="33"/>
      <c r="X112" s="93">
        <f>SUM('3:23'!X112)</f>
        <v>0</v>
      </c>
      <c r="Y112" s="93">
        <f>SUM('3:23'!Y112)</f>
        <v>0</v>
      </c>
      <c r="Z112" s="93">
        <f>SUM('3:23'!Z112)</f>
        <v>0</v>
      </c>
      <c r="AA112" s="93">
        <f>SUM('3:23'!AA112)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99">
        <v>30400001</v>
      </c>
      <c r="B113" s="65" t="s">
        <v>514</v>
      </c>
      <c r="C113" s="16" t="s">
        <v>61</v>
      </c>
      <c r="D113" s="17">
        <v>5.0599999999999996</v>
      </c>
      <c r="E113" s="17"/>
      <c r="F113" s="6"/>
      <c r="G113" s="93">
        <f>SUM('3:23'!G113)</f>
        <v>743</v>
      </c>
      <c r="H113" s="93">
        <f>SUM('3:23'!H113)</f>
        <v>3759.5799999999995</v>
      </c>
      <c r="I113" s="93">
        <f>SUM('3:23'!I113)</f>
        <v>43</v>
      </c>
      <c r="J113" s="31">
        <f t="array" ref="J113">IF(ISERROR(G113/I113),"",G113/I113)</f>
        <v>17.279069767441861</v>
      </c>
      <c r="K113" s="35">
        <f t="array" ref="K113">IF(ISERROR(G113/L113),"",G113/L113)</f>
        <v>47.935483870967744</v>
      </c>
      <c r="L113" s="87">
        <v>15.5</v>
      </c>
      <c r="M113" s="36">
        <f t="shared" si="32"/>
        <v>-4.9354838709677438</v>
      </c>
      <c r="N113" s="93">
        <f>SUM('3:23'!N113)</f>
        <v>0</v>
      </c>
      <c r="O113" s="93">
        <f>SUM('3:23'!O113)</f>
        <v>0</v>
      </c>
      <c r="P113" s="93">
        <f>SUM('3:23'!P113)</f>
        <v>0</v>
      </c>
      <c r="Q113" s="93">
        <f>SUM('3:23'!Q113)</f>
        <v>0</v>
      </c>
      <c r="R113" s="93">
        <f>SUM('3:23'!R113)</f>
        <v>0</v>
      </c>
      <c r="S113" s="93">
        <f>SUM('3:23'!S113)</f>
        <v>0</v>
      </c>
      <c r="T113" s="93">
        <f>SUM('3:23'!T113)</f>
        <v>0</v>
      </c>
      <c r="U113" s="93">
        <f>SUM('3:23'!U113)</f>
        <v>0</v>
      </c>
      <c r="V113" s="206">
        <f t="shared" ref="V113:V114" si="35">SUM(X113:AA113)</f>
        <v>0</v>
      </c>
      <c r="W113" s="33">
        <f t="shared" ref="W113:W114" si="36">IF(ISERROR(V113/G113),"",V113/G113)</f>
        <v>0</v>
      </c>
      <c r="X113" s="93">
        <f>SUM('3:23'!X113)</f>
        <v>0</v>
      </c>
      <c r="Y113" s="93">
        <f>SUM('3:23'!Y113)</f>
        <v>0</v>
      </c>
      <c r="Z113" s="93">
        <f>SUM('3:23'!Z113)</f>
        <v>0</v>
      </c>
      <c r="AA113" s="93">
        <f>SUM('3:23'!AA113)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99">
        <v>30400002</v>
      </c>
      <c r="B114" s="65" t="s">
        <v>514</v>
      </c>
      <c r="C114" s="16" t="s">
        <v>72</v>
      </c>
      <c r="D114" s="17">
        <v>5.0599999999999996</v>
      </c>
      <c r="E114" s="17"/>
      <c r="F114" s="6"/>
      <c r="G114" s="93">
        <f>SUM('3:23'!G114)</f>
        <v>1121</v>
      </c>
      <c r="H114" s="93">
        <f>SUM('3:23'!H114)</f>
        <v>5672.2599999999993</v>
      </c>
      <c r="I114" s="93">
        <f>SUM('3:23'!I114)</f>
        <v>88.5</v>
      </c>
      <c r="J114" s="31">
        <f t="array" ref="J114">IF(ISERROR(G114/I114),"",G114/I114)</f>
        <v>12.666666666666666</v>
      </c>
      <c r="K114" s="35">
        <f t="array" ref="K114">IF(ISERROR(G114/L114),"",G114/L114)</f>
        <v>72.322580645161295</v>
      </c>
      <c r="L114" s="87">
        <v>15.5</v>
      </c>
      <c r="M114" s="36">
        <f t="shared" si="32"/>
        <v>16.177419354838705</v>
      </c>
      <c r="N114" s="93">
        <f>SUM('3:23'!N114)</f>
        <v>0</v>
      </c>
      <c r="O114" s="93">
        <f>SUM('3:23'!O114)</f>
        <v>0</v>
      </c>
      <c r="P114" s="93">
        <f>SUM('3:23'!P114)</f>
        <v>0</v>
      </c>
      <c r="Q114" s="93">
        <f>SUM('3:23'!Q114)</f>
        <v>0</v>
      </c>
      <c r="R114" s="93">
        <f>SUM('3:23'!R114)</f>
        <v>0</v>
      </c>
      <c r="S114" s="93">
        <f>SUM('3:23'!S114)</f>
        <v>0</v>
      </c>
      <c r="T114" s="93">
        <f>SUM('3:23'!T114)</f>
        <v>0</v>
      </c>
      <c r="U114" s="93">
        <f>SUM('3:23'!U114)</f>
        <v>0</v>
      </c>
      <c r="V114" s="206">
        <f t="shared" si="35"/>
        <v>0</v>
      </c>
      <c r="W114" s="33">
        <f t="shared" si="36"/>
        <v>0</v>
      </c>
      <c r="X114" s="93">
        <f>SUM('3:23'!X114)</f>
        <v>0</v>
      </c>
      <c r="Y114" s="93">
        <f>SUM('3:23'!Y114)</f>
        <v>0</v>
      </c>
      <c r="Z114" s="93">
        <f>SUM('3:23'!Z114)</f>
        <v>0</v>
      </c>
      <c r="AA114" s="93">
        <f>SUM('3:23'!AA114)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99">
        <v>30400004</v>
      </c>
      <c r="B115" s="215" t="s">
        <v>419</v>
      </c>
      <c r="C115" s="187" t="s">
        <v>420</v>
      </c>
      <c r="D115" s="17"/>
      <c r="E115" s="17"/>
      <c r="F115" s="6"/>
      <c r="G115" s="93">
        <f>SUM('3:23'!G115)</f>
        <v>276</v>
      </c>
      <c r="H115" s="93">
        <f>SUM('3:23'!H115)</f>
        <v>1380</v>
      </c>
      <c r="I115" s="93">
        <f>SUM('3:23'!I115)</f>
        <v>27.5</v>
      </c>
      <c r="J115" s="31"/>
      <c r="K115" s="35">
        <f t="array" ref="K115">IF(ISERROR(G115/L115),"",G115/L115)</f>
        <v>11.5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99">
        <v>30400003</v>
      </c>
      <c r="B116" s="215" t="s">
        <v>419</v>
      </c>
      <c r="C116" s="187" t="s">
        <v>421</v>
      </c>
      <c r="D116" s="17"/>
      <c r="E116" s="17"/>
      <c r="F116" s="6"/>
      <c r="G116" s="93">
        <f>SUM('3:23'!G116)</f>
        <v>1136</v>
      </c>
      <c r="H116" s="93">
        <f>SUM('3:23'!H116)</f>
        <v>5680</v>
      </c>
      <c r="I116" s="93">
        <f>SUM('3:23'!I116)</f>
        <v>105</v>
      </c>
      <c r="J116" s="31"/>
      <c r="K116" s="35">
        <f t="array" ref="K116">IF(ISERROR(G116/L116),"",G116/L116)</f>
        <v>47.333333333333336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99">
        <v>30400005</v>
      </c>
      <c r="B117" s="215" t="s">
        <v>419</v>
      </c>
      <c r="C117" s="187" t="s">
        <v>422</v>
      </c>
      <c r="D117" s="17"/>
      <c r="E117" s="17"/>
      <c r="F117" s="6"/>
      <c r="G117" s="93">
        <f>SUM('3:23'!G117)</f>
        <v>343</v>
      </c>
      <c r="H117" s="93">
        <f>SUM('3:23'!H117)</f>
        <v>1715</v>
      </c>
      <c r="I117" s="93">
        <f>SUM('3:23'!I117)</f>
        <v>16</v>
      </c>
      <c r="J117" s="31"/>
      <c r="K117" s="35">
        <f t="array" ref="K117">IF(ISERROR(G117/L117),"",G117/L117)</f>
        <v>14.291666666666666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99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SUM('3:23'!G118)</f>
        <v>1689</v>
      </c>
      <c r="H118" s="93">
        <f>SUM('3:23'!H118)</f>
        <v>8563.2300000000014</v>
      </c>
      <c r="I118" s="93">
        <f>SUM('3:23'!I118)</f>
        <v>174</v>
      </c>
      <c r="J118" s="31">
        <f t="array" ref="J118">IF(ISERROR(G118/I118),"",G118/I118)</f>
        <v>9.7068965517241388</v>
      </c>
      <c r="K118" s="35">
        <f t="array" ref="K118">IF(ISERROR(G118/L118),"",G118/L118)</f>
        <v>187.66666666666666</v>
      </c>
      <c r="L118" s="87">
        <v>9</v>
      </c>
      <c r="M118" s="36">
        <f t="shared" ref="M118:M120" si="37">IF(ISERROR(I118-K118),"",I118-K118)</f>
        <v>-13.666666666666657</v>
      </c>
      <c r="N118" s="93">
        <f>SUM('3:23'!N118)</f>
        <v>0</v>
      </c>
      <c r="O118" s="93">
        <f>SUM('3:23'!O118)</f>
        <v>0</v>
      </c>
      <c r="P118" s="93">
        <f>SUM('3:23'!P118)</f>
        <v>0</v>
      </c>
      <c r="Q118" s="93">
        <f>SUM('3:23'!Q118)</f>
        <v>0</v>
      </c>
      <c r="R118" s="93">
        <f>SUM('3:23'!R118)</f>
        <v>0</v>
      </c>
      <c r="S118" s="93">
        <f>SUM('3:23'!S118)</f>
        <v>0</v>
      </c>
      <c r="T118" s="93">
        <f>SUM('3:23'!T118)</f>
        <v>0</v>
      </c>
      <c r="U118" s="93">
        <f>SUM('3:23'!U118)</f>
        <v>0</v>
      </c>
      <c r="V118" s="206">
        <f t="shared" ref="V118:V120" si="38">SUM(X118:AA118)</f>
        <v>0</v>
      </c>
      <c r="W118" s="33">
        <f t="shared" ref="W118" si="39">IF(ISERROR(V118/G118),"",V118/G118)</f>
        <v>0</v>
      </c>
      <c r="X118" s="93">
        <f>SUM('3:23'!X118)</f>
        <v>0</v>
      </c>
      <c r="Y118" s="93">
        <f>SUM('3:23'!Y118)</f>
        <v>0</v>
      </c>
      <c r="Z118" s="93">
        <f>SUM('3:23'!Z118)</f>
        <v>0</v>
      </c>
      <c r="AA118" s="93">
        <f>SUM('3:23'!AA118)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99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SUM('3:23'!G119)</f>
        <v>1062</v>
      </c>
      <c r="H119" s="93">
        <f>SUM('3:23'!H119)</f>
        <v>5384.34</v>
      </c>
      <c r="I119" s="93">
        <f>SUM('3:23'!I119)</f>
        <v>28.5</v>
      </c>
      <c r="J119" s="31">
        <f t="array" ref="J119">IF(ISERROR(G119/I119),"",G119/I119)</f>
        <v>37.263157894736842</v>
      </c>
      <c r="K119" s="35">
        <f t="array" ref="K119">IF(ISERROR(G119/L119),"",G119/L119)</f>
        <v>118</v>
      </c>
      <c r="L119" s="87">
        <v>9</v>
      </c>
      <c r="M119" s="36">
        <f t="shared" si="37"/>
        <v>-89.5</v>
      </c>
      <c r="N119" s="93">
        <f>SUM('3:23'!N119)</f>
        <v>0</v>
      </c>
      <c r="O119" s="93">
        <f>SUM('3:23'!O119)</f>
        <v>0</v>
      </c>
      <c r="P119" s="93">
        <f>SUM('3:23'!P119)</f>
        <v>0</v>
      </c>
      <c r="Q119" s="93">
        <f>SUM('3:23'!Q119)</f>
        <v>0</v>
      </c>
      <c r="R119" s="93">
        <f>SUM('3:23'!R119)</f>
        <v>0</v>
      </c>
      <c r="S119" s="93">
        <f>SUM('3:23'!S119)</f>
        <v>0</v>
      </c>
      <c r="T119" s="93">
        <f>SUM('3:23'!T119)</f>
        <v>0</v>
      </c>
      <c r="U119" s="93">
        <f>SUM('3:23'!U119)</f>
        <v>0</v>
      </c>
      <c r="V119" s="206">
        <f t="shared" si="38"/>
        <v>0</v>
      </c>
      <c r="W119" s="33">
        <f>IF(ISERROR(V119/G119),"",V119/G119)</f>
        <v>0</v>
      </c>
      <c r="X119" s="93">
        <f>SUM('3:23'!X119)</f>
        <v>0</v>
      </c>
      <c r="Y119" s="93">
        <f>SUM('3:23'!Y119)</f>
        <v>0</v>
      </c>
      <c r="Z119" s="93">
        <f>SUM('3:23'!Z119)</f>
        <v>0</v>
      </c>
      <c r="AA119" s="93">
        <f>SUM('3:23'!AA119)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99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SUM('3:23'!G120)</f>
        <v>1584</v>
      </c>
      <c r="H120" s="93">
        <f>SUM('3:23'!H120)</f>
        <v>8015.0400000000009</v>
      </c>
      <c r="I120" s="93">
        <f>SUM('3:23'!I120)</f>
        <v>105.5</v>
      </c>
      <c r="J120" s="31">
        <f t="array" ref="J120">IF(ISERROR(G120/I120),"",G120/I120)</f>
        <v>15.014218009478673</v>
      </c>
      <c r="K120" s="339">
        <f t="array" ref="K120">IF(ISERROR(G120/L120),"",G120/L120)</f>
        <v>176</v>
      </c>
      <c r="L120" s="87">
        <v>9</v>
      </c>
      <c r="M120" s="36">
        <f t="shared" si="37"/>
        <v>-70.5</v>
      </c>
      <c r="N120" s="93">
        <f>SUM('3:23'!N120)</f>
        <v>0</v>
      </c>
      <c r="O120" s="93">
        <f>SUM('3:23'!O120)</f>
        <v>0</v>
      </c>
      <c r="P120" s="93">
        <f>SUM('3:23'!P120)</f>
        <v>0</v>
      </c>
      <c r="Q120" s="93">
        <f>SUM('3:23'!Q120)</f>
        <v>0</v>
      </c>
      <c r="R120" s="93">
        <f>SUM('3:23'!R120)</f>
        <v>0</v>
      </c>
      <c r="S120" s="93">
        <f>SUM('3:23'!S120)</f>
        <v>0</v>
      </c>
      <c r="T120" s="93">
        <f>SUM('3:23'!T120)</f>
        <v>0</v>
      </c>
      <c r="U120" s="93">
        <f>SUM('3:23'!U120)</f>
        <v>0</v>
      </c>
      <c r="V120" s="206">
        <f t="shared" si="38"/>
        <v>0</v>
      </c>
      <c r="W120" s="33">
        <f>IF(ISERROR(V120/G120),"",V120/G120)</f>
        <v>0</v>
      </c>
      <c r="X120" s="93">
        <f>SUM('3:23'!X120)</f>
        <v>0</v>
      </c>
      <c r="Y120" s="93">
        <f>SUM('3:23'!Y120)</f>
        <v>0</v>
      </c>
      <c r="Z120" s="93">
        <f>SUM('3:23'!Z120)</f>
        <v>0</v>
      </c>
      <c r="AA120" s="93">
        <f>SUM('3:23'!AA120)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725" t="s">
        <v>92</v>
      </c>
      <c r="B121" s="726"/>
      <c r="C121" s="342" t="s">
        <v>71</v>
      </c>
      <c r="D121" s="20"/>
      <c r="E121" s="20"/>
      <c r="F121" s="32"/>
      <c r="G121" s="99">
        <f>SUM(G87:G120)</f>
        <v>14026</v>
      </c>
      <c r="H121" s="30">
        <f>SUM(H87:H120)</f>
        <v>70621.760000000009</v>
      </c>
      <c r="I121" s="30">
        <f>SUM(I87:I120)</f>
        <v>1235.4000000000001</v>
      </c>
      <c r="J121" s="31">
        <f t="array" ref="J121">IF(ISERROR(G121/I121),"",G121/I121)</f>
        <v>11.353407803140682</v>
      </c>
      <c r="K121" s="30">
        <f>SUM(K87:K120)</f>
        <v>1604.9099462365591</v>
      </c>
      <c r="L121" s="98"/>
      <c r="M121" s="89">
        <f t="shared" ref="M121:V121" si="40">SUM(M87:M120)</f>
        <v>-444.88494623655913</v>
      </c>
      <c r="N121" s="30">
        <f t="shared" si="40"/>
        <v>0</v>
      </c>
      <c r="O121" s="91">
        <f t="shared" si="40"/>
        <v>0</v>
      </c>
      <c r="P121" s="91">
        <f t="shared" si="40"/>
        <v>0</v>
      </c>
      <c r="Q121" s="91">
        <f t="shared" si="40"/>
        <v>0</v>
      </c>
      <c r="R121" s="91">
        <f t="shared" si="40"/>
        <v>0</v>
      </c>
      <c r="S121" s="92">
        <f t="shared" si="40"/>
        <v>0</v>
      </c>
      <c r="T121" s="91">
        <f t="shared" si="40"/>
        <v>0</v>
      </c>
      <c r="U121" s="91">
        <f t="shared" si="40"/>
        <v>0</v>
      </c>
      <c r="V121" s="206">
        <f t="shared" si="40"/>
        <v>0</v>
      </c>
      <c r="W121" s="33">
        <f t="shared" ref="W121:W142" si="4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99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SUM('3:23'!G122)</f>
        <v>518</v>
      </c>
      <c r="H122" s="93">
        <f>SUM('3:23'!H122)</f>
        <v>2605.54</v>
      </c>
      <c r="I122" s="93">
        <f>SUM('3:23'!I122)</f>
        <v>20</v>
      </c>
      <c r="J122" s="31">
        <f t="array" ref="J122">IF(ISERROR(G122/I122),"",G122/I122)</f>
        <v>25.9</v>
      </c>
      <c r="K122" s="35">
        <f t="array" ref="K122">IF(ISERROR(G122/L122),"",G122/L122)</f>
        <v>20.72</v>
      </c>
      <c r="L122" s="87">
        <v>25</v>
      </c>
      <c r="M122" s="36">
        <f t="shared" ref="M122:M136" si="42">IF(ISERROR(I122-K122),"",I122-K122)</f>
        <v>-0.71999999999999886</v>
      </c>
      <c r="N122" s="93">
        <f>SUM('3:23'!N122)</f>
        <v>0</v>
      </c>
      <c r="O122" s="93">
        <f>SUM('3:23'!O122)</f>
        <v>0</v>
      </c>
      <c r="P122" s="93">
        <f>SUM('3:23'!P122)</f>
        <v>0</v>
      </c>
      <c r="Q122" s="93">
        <f>SUM('3:23'!Q122)</f>
        <v>0</v>
      </c>
      <c r="R122" s="93">
        <f>SUM('3:23'!R122)</f>
        <v>0</v>
      </c>
      <c r="S122" s="93">
        <f>SUM('3:23'!S122)</f>
        <v>0</v>
      </c>
      <c r="T122" s="93">
        <f>SUM('3:23'!T122)</f>
        <v>0</v>
      </c>
      <c r="U122" s="93">
        <f>SUM('3:23'!U122)</f>
        <v>0</v>
      </c>
      <c r="V122" s="206">
        <f t="shared" ref="V122:V136" si="43">SUM(X122:AA122)</f>
        <v>0</v>
      </c>
      <c r="W122" s="33">
        <f t="shared" si="41"/>
        <v>0</v>
      </c>
      <c r="X122" s="93">
        <f>SUM('3:23'!X122)</f>
        <v>0</v>
      </c>
      <c r="Y122" s="93">
        <f>SUM('3:23'!Y122)</f>
        <v>0</v>
      </c>
      <c r="Z122" s="93">
        <f>SUM('3:23'!Z122)</f>
        <v>0</v>
      </c>
      <c r="AA122" s="93">
        <f>SUM('3:23'!AA122)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99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SUM('3:23'!G123)</f>
        <v>657</v>
      </c>
      <c r="H123" s="93">
        <f>SUM('3:23'!H123)</f>
        <v>3304.71</v>
      </c>
      <c r="I123" s="93">
        <f>SUM('3:23'!I123)</f>
        <v>25</v>
      </c>
      <c r="J123" s="31">
        <f t="array" ref="J123">IF(ISERROR(G123/I123),"",G123/I123)</f>
        <v>26.28</v>
      </c>
      <c r="K123" s="35">
        <f t="array" ref="K123">IF(ISERROR(G123/L123),"",G123/L123)</f>
        <v>26.28</v>
      </c>
      <c r="L123" s="87">
        <v>25</v>
      </c>
      <c r="M123" s="36">
        <f t="shared" si="42"/>
        <v>-1.2800000000000011</v>
      </c>
      <c r="N123" s="93">
        <f>SUM('3:23'!N123)</f>
        <v>0</v>
      </c>
      <c r="O123" s="93">
        <f>SUM('3:23'!O123)</f>
        <v>0</v>
      </c>
      <c r="P123" s="93">
        <f>SUM('3:23'!P123)</f>
        <v>0</v>
      </c>
      <c r="Q123" s="93">
        <f>SUM('3:23'!Q123)</f>
        <v>0</v>
      </c>
      <c r="R123" s="93">
        <f>SUM('3:23'!R123)</f>
        <v>0</v>
      </c>
      <c r="S123" s="93">
        <f>SUM('3:23'!S123)</f>
        <v>0</v>
      </c>
      <c r="T123" s="93">
        <f>SUM('3:23'!T123)</f>
        <v>0</v>
      </c>
      <c r="U123" s="93">
        <f>SUM('3:23'!U123)</f>
        <v>0</v>
      </c>
      <c r="V123" s="206">
        <f t="shared" si="43"/>
        <v>0</v>
      </c>
      <c r="W123" s="33">
        <f t="shared" si="41"/>
        <v>0</v>
      </c>
      <c r="X123" s="93">
        <f>SUM('3:23'!X123)</f>
        <v>0</v>
      </c>
      <c r="Y123" s="93">
        <f>SUM('3:23'!Y123)</f>
        <v>0</v>
      </c>
      <c r="Z123" s="93">
        <f>SUM('3:23'!Z123)</f>
        <v>0</v>
      </c>
      <c r="AA123" s="93">
        <f>SUM('3:23'!AA123)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99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SUM('3:23'!G124)</f>
        <v>1112</v>
      </c>
      <c r="H124" s="93">
        <f>SUM('3:23'!H124)</f>
        <v>5604.48</v>
      </c>
      <c r="I124" s="93">
        <f>SUM('3:23'!I124)</f>
        <v>73.5</v>
      </c>
      <c r="J124" s="31">
        <f t="array" ref="J124">IF(ISERROR(G124/I124),"",G124/I124)</f>
        <v>15.129251700680273</v>
      </c>
      <c r="K124" s="35">
        <f t="array" ref="K124">IF(ISERROR(G124/L124),"",G124/L124)</f>
        <v>55.6</v>
      </c>
      <c r="L124" s="87">
        <v>20</v>
      </c>
      <c r="M124" s="36">
        <f t="shared" si="42"/>
        <v>17.899999999999999</v>
      </c>
      <c r="N124" s="93">
        <f>SUM('3:23'!N124)</f>
        <v>0</v>
      </c>
      <c r="O124" s="93">
        <f>SUM('3:23'!O124)</f>
        <v>0</v>
      </c>
      <c r="P124" s="93">
        <f>SUM('3:23'!P124)</f>
        <v>0</v>
      </c>
      <c r="Q124" s="93">
        <f>SUM('3:23'!Q124)</f>
        <v>0</v>
      </c>
      <c r="R124" s="93">
        <f>SUM('3:23'!R124)</f>
        <v>0</v>
      </c>
      <c r="S124" s="93">
        <f>SUM('3:23'!S124)</f>
        <v>0</v>
      </c>
      <c r="T124" s="93">
        <f>SUM('3:23'!T124)</f>
        <v>0</v>
      </c>
      <c r="U124" s="93">
        <f>SUM('3:23'!U124)</f>
        <v>0</v>
      </c>
      <c r="V124" s="206">
        <f t="shared" si="43"/>
        <v>0</v>
      </c>
      <c r="W124" s="33">
        <f t="shared" si="41"/>
        <v>0</v>
      </c>
      <c r="X124" s="93">
        <f>SUM('3:23'!X124)</f>
        <v>0</v>
      </c>
      <c r="Y124" s="93">
        <f>SUM('3:23'!Y124)</f>
        <v>0</v>
      </c>
      <c r="Z124" s="93">
        <f>SUM('3:23'!Z124)</f>
        <v>0</v>
      </c>
      <c r="AA124" s="93">
        <f>SUM('3:23'!AA124)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99"/>
      <c r="B125" s="189" t="s">
        <v>495</v>
      </c>
      <c r="C125" s="16" t="s">
        <v>82</v>
      </c>
      <c r="D125" s="17">
        <v>5.03</v>
      </c>
      <c r="E125" s="17"/>
      <c r="F125" s="6"/>
      <c r="G125" s="93">
        <f>SUM('3:23'!G125)</f>
        <v>0</v>
      </c>
      <c r="H125" s="93">
        <f>SUM('3:23'!H125)</f>
        <v>0</v>
      </c>
      <c r="I125" s="93">
        <f>SUM('3:23'!I125)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42"/>
        <v>0</v>
      </c>
      <c r="N125" s="93">
        <f>SUM('3:23'!N125)</f>
        <v>0</v>
      </c>
      <c r="O125" s="93">
        <f>SUM('3:23'!O125)</f>
        <v>0</v>
      </c>
      <c r="P125" s="93">
        <f>SUM('3:23'!P125)</f>
        <v>0</v>
      </c>
      <c r="Q125" s="93">
        <f>SUM('3:23'!Q125)</f>
        <v>0</v>
      </c>
      <c r="R125" s="93">
        <f>SUM('3:23'!R125)</f>
        <v>0</v>
      </c>
      <c r="S125" s="93">
        <f>SUM('3:23'!S125)</f>
        <v>0</v>
      </c>
      <c r="T125" s="93">
        <f>SUM('3:23'!T125)</f>
        <v>0</v>
      </c>
      <c r="U125" s="93">
        <f>SUM('3:23'!U125)</f>
        <v>0</v>
      </c>
      <c r="V125" s="206">
        <f t="shared" si="43"/>
        <v>0</v>
      </c>
      <c r="W125" s="33" t="str">
        <f t="shared" si="41"/>
        <v/>
      </c>
      <c r="X125" s="93">
        <f>SUM('3:23'!X125)</f>
        <v>0</v>
      </c>
      <c r="Y125" s="93">
        <f>SUM('3:23'!Y125)</f>
        <v>0</v>
      </c>
      <c r="Z125" s="93">
        <f>SUM('3:23'!Z125)</f>
        <v>0</v>
      </c>
      <c r="AA125" s="93">
        <f>SUM('3:23'!AA125)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99">
        <v>30100054</v>
      </c>
      <c r="B126" s="63" t="s">
        <v>95</v>
      </c>
      <c r="C126" s="340" t="s">
        <v>72</v>
      </c>
      <c r="D126" s="17">
        <v>5.03</v>
      </c>
      <c r="E126" s="17"/>
      <c r="F126" s="6"/>
      <c r="G126" s="93">
        <f>SUM('3:23'!G126)</f>
        <v>0</v>
      </c>
      <c r="H126" s="93">
        <f>SUM('3:23'!H126)</f>
        <v>0</v>
      </c>
      <c r="I126" s="93">
        <f>SUM('3:23'!I126)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42"/>
        <v>0</v>
      </c>
      <c r="N126" s="93">
        <f>SUM('3:23'!N126)</f>
        <v>0</v>
      </c>
      <c r="O126" s="93">
        <f>SUM('3:23'!O126)</f>
        <v>0</v>
      </c>
      <c r="P126" s="93">
        <f>SUM('3:23'!P126)</f>
        <v>0</v>
      </c>
      <c r="Q126" s="93">
        <f>SUM('3:23'!Q126)</f>
        <v>0</v>
      </c>
      <c r="R126" s="93">
        <f>SUM('3:23'!R126)</f>
        <v>0</v>
      </c>
      <c r="S126" s="93">
        <f>SUM('3:23'!S126)</f>
        <v>0</v>
      </c>
      <c r="T126" s="93">
        <f>SUM('3:23'!T126)</f>
        <v>0</v>
      </c>
      <c r="U126" s="93">
        <f>SUM('3:23'!U126)</f>
        <v>0</v>
      </c>
      <c r="V126" s="206">
        <f t="shared" si="43"/>
        <v>0</v>
      </c>
      <c r="W126" s="33" t="str">
        <f t="shared" si="41"/>
        <v/>
      </c>
      <c r="X126" s="93">
        <f>SUM('3:23'!X126)</f>
        <v>0</v>
      </c>
      <c r="Y126" s="93">
        <f>SUM('3:23'!Y126)</f>
        <v>0</v>
      </c>
      <c r="Z126" s="93">
        <f>SUM('3:23'!Z126)</f>
        <v>0</v>
      </c>
      <c r="AA126" s="93">
        <f>SUM('3:23'!AA126)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9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SUM('3:23'!G127)</f>
        <v>0</v>
      </c>
      <c r="H127" s="93">
        <f>SUM('3:23'!H127)</f>
        <v>0</v>
      </c>
      <c r="I127" s="93">
        <f>SUM('3:23'!I127)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42"/>
        <v>0</v>
      </c>
      <c r="N127" s="93">
        <f>SUM('3:23'!N127)</f>
        <v>0</v>
      </c>
      <c r="O127" s="93">
        <f>SUM('3:23'!O127)</f>
        <v>0</v>
      </c>
      <c r="P127" s="93">
        <f>SUM('3:23'!P127)</f>
        <v>0</v>
      </c>
      <c r="Q127" s="93">
        <f>SUM('3:23'!Q127)</f>
        <v>0</v>
      </c>
      <c r="R127" s="93">
        <f>SUM('3:23'!R127)</f>
        <v>0</v>
      </c>
      <c r="S127" s="93">
        <f>SUM('3:23'!S127)</f>
        <v>0</v>
      </c>
      <c r="T127" s="93">
        <f>SUM('3:23'!T127)</f>
        <v>0</v>
      </c>
      <c r="U127" s="93">
        <f>SUM('3:23'!U127)</f>
        <v>0</v>
      </c>
      <c r="V127" s="206">
        <f t="shared" si="43"/>
        <v>0</v>
      </c>
      <c r="W127" s="33" t="str">
        <f t="shared" si="41"/>
        <v/>
      </c>
      <c r="X127" s="93">
        <f>SUM('3:23'!X127)</f>
        <v>0</v>
      </c>
      <c r="Y127" s="93">
        <f>SUM('3:23'!Y127)</f>
        <v>0</v>
      </c>
      <c r="Z127" s="93">
        <f>SUM('3:23'!Z127)</f>
        <v>0</v>
      </c>
      <c r="AA127" s="93">
        <f>SUM('3:23'!AA127)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99"/>
      <c r="B128" s="63" t="s">
        <v>95</v>
      </c>
      <c r="C128" s="16" t="s">
        <v>60</v>
      </c>
      <c r="D128" s="17">
        <v>5.03</v>
      </c>
      <c r="E128" s="17"/>
      <c r="F128" s="6"/>
      <c r="G128" s="93">
        <f>SUM('3:23'!G128)</f>
        <v>0</v>
      </c>
      <c r="H128" s="93">
        <f>SUM('3:23'!H128)</f>
        <v>0</v>
      </c>
      <c r="I128" s="93">
        <f>SUM('3:23'!I128)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42"/>
        <v>0</v>
      </c>
      <c r="N128" s="93">
        <f>SUM('3:23'!N128)</f>
        <v>0</v>
      </c>
      <c r="O128" s="93">
        <f>SUM('3:23'!O128)</f>
        <v>0</v>
      </c>
      <c r="P128" s="93">
        <f>SUM('3:23'!P128)</f>
        <v>0</v>
      </c>
      <c r="Q128" s="93">
        <f>SUM('3:23'!Q128)</f>
        <v>0</v>
      </c>
      <c r="R128" s="93">
        <f>SUM('3:23'!R128)</f>
        <v>0</v>
      </c>
      <c r="S128" s="93">
        <f>SUM('3:23'!S128)</f>
        <v>0</v>
      </c>
      <c r="T128" s="93">
        <f>SUM('3:23'!T128)</f>
        <v>0</v>
      </c>
      <c r="U128" s="93">
        <f>SUM('3:23'!U128)</f>
        <v>0</v>
      </c>
      <c r="V128" s="206">
        <f t="shared" si="43"/>
        <v>0</v>
      </c>
      <c r="W128" s="33" t="str">
        <f t="shared" si="41"/>
        <v/>
      </c>
      <c r="X128" s="93">
        <f>SUM('3:23'!X128)</f>
        <v>0</v>
      </c>
      <c r="Y128" s="93">
        <f>SUM('3:23'!Y128)</f>
        <v>0</v>
      </c>
      <c r="Z128" s="93">
        <f>SUM('3:23'!Z128)</f>
        <v>0</v>
      </c>
      <c r="AA128" s="93">
        <f>SUM('3:23'!AA128)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99"/>
      <c r="B129" s="63" t="s">
        <v>95</v>
      </c>
      <c r="C129" s="340" t="s">
        <v>96</v>
      </c>
      <c r="D129" s="17">
        <v>5.03</v>
      </c>
      <c r="E129" s="17"/>
      <c r="F129" s="6"/>
      <c r="G129" s="93">
        <f>SUM('3:23'!G129)</f>
        <v>0</v>
      </c>
      <c r="H129" s="93">
        <f>SUM('3:23'!H129)</f>
        <v>0</v>
      </c>
      <c r="I129" s="93">
        <f>SUM('3:23'!I129)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42"/>
        <v>0</v>
      </c>
      <c r="N129" s="93">
        <f>SUM('3:23'!N129)</f>
        <v>0</v>
      </c>
      <c r="O129" s="93">
        <f>SUM('3:23'!O129)</f>
        <v>0</v>
      </c>
      <c r="P129" s="93">
        <f>SUM('3:23'!P129)</f>
        <v>0</v>
      </c>
      <c r="Q129" s="93">
        <f>SUM('3:23'!Q129)</f>
        <v>0</v>
      </c>
      <c r="R129" s="93">
        <f>SUM('3:23'!R129)</f>
        <v>0</v>
      </c>
      <c r="S129" s="93">
        <f>SUM('3:23'!S129)</f>
        <v>0</v>
      </c>
      <c r="T129" s="93">
        <f>SUM('3:23'!T129)</f>
        <v>0</v>
      </c>
      <c r="U129" s="93">
        <f>SUM('3:23'!U129)</f>
        <v>0</v>
      </c>
      <c r="V129" s="206">
        <f t="shared" si="43"/>
        <v>0</v>
      </c>
      <c r="W129" s="33" t="str">
        <f t="shared" si="41"/>
        <v/>
      </c>
      <c r="X129" s="93">
        <f>SUM('3:23'!X129)</f>
        <v>0</v>
      </c>
      <c r="Y129" s="93">
        <f>SUM('3:23'!Y129)</f>
        <v>0</v>
      </c>
      <c r="Z129" s="93">
        <f>SUM('3:23'!Z129)</f>
        <v>0</v>
      </c>
      <c r="AA129" s="93">
        <f>SUM('3:23'!AA129)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99">
        <v>30101067</v>
      </c>
      <c r="B130" s="189" t="s">
        <v>229</v>
      </c>
      <c r="C130" s="340" t="s">
        <v>82</v>
      </c>
      <c r="D130" s="17">
        <v>5.03</v>
      </c>
      <c r="E130" s="17"/>
      <c r="F130" s="6"/>
      <c r="G130" s="93">
        <f>SUM('3:23'!G130)</f>
        <v>0</v>
      </c>
      <c r="H130" s="93">
        <f>SUM('3:23'!H130)</f>
        <v>0</v>
      </c>
      <c r="I130" s="93">
        <f>SUM('3:23'!I130)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42"/>
        <v/>
      </c>
      <c r="N130" s="93">
        <f>SUM('3:23'!N130)</f>
        <v>0</v>
      </c>
      <c r="O130" s="93">
        <f>SUM('3:23'!O130)</f>
        <v>0</v>
      </c>
      <c r="P130" s="93">
        <f>SUM('3:23'!P130)</f>
        <v>0</v>
      </c>
      <c r="Q130" s="93">
        <f>SUM('3:23'!Q130)</f>
        <v>0</v>
      </c>
      <c r="R130" s="93">
        <f>SUM('3:23'!R130)</f>
        <v>0</v>
      </c>
      <c r="S130" s="93">
        <f>SUM('3:23'!S130)</f>
        <v>0</v>
      </c>
      <c r="T130" s="93">
        <f>SUM('3:23'!T130)</f>
        <v>0</v>
      </c>
      <c r="U130" s="93">
        <f>SUM('3:23'!U130)</f>
        <v>0</v>
      </c>
      <c r="V130" s="206">
        <f t="shared" si="43"/>
        <v>0</v>
      </c>
      <c r="W130" s="33" t="str">
        <f t="shared" si="41"/>
        <v/>
      </c>
      <c r="X130" s="93">
        <f>SUM('3:23'!X130)</f>
        <v>0</v>
      </c>
      <c r="Y130" s="93">
        <f>SUM('3:23'!Y130)</f>
        <v>0</v>
      </c>
      <c r="Z130" s="93">
        <f>SUM('3:23'!Z130)</f>
        <v>0</v>
      </c>
      <c r="AA130" s="93">
        <f>SUM('3:23'!AA130)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99">
        <v>30101068</v>
      </c>
      <c r="B131" s="63" t="s">
        <v>97</v>
      </c>
      <c r="C131" s="340" t="s">
        <v>72</v>
      </c>
      <c r="D131" s="17">
        <v>5.03</v>
      </c>
      <c r="E131" s="17"/>
      <c r="F131" s="6"/>
      <c r="G131" s="93">
        <f>SUM('3:23'!G131)</f>
        <v>0</v>
      </c>
      <c r="H131" s="93">
        <f>SUM('3:23'!H131)</f>
        <v>0</v>
      </c>
      <c r="I131" s="93">
        <f>SUM('3:23'!I131)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42"/>
        <v/>
      </c>
      <c r="N131" s="93">
        <f>SUM('3:23'!N131)</f>
        <v>0</v>
      </c>
      <c r="O131" s="93">
        <f>SUM('3:23'!O131)</f>
        <v>0</v>
      </c>
      <c r="P131" s="93">
        <f>SUM('3:23'!P131)</f>
        <v>0</v>
      </c>
      <c r="Q131" s="93">
        <f>SUM('3:23'!Q131)</f>
        <v>0</v>
      </c>
      <c r="R131" s="93">
        <f>SUM('3:23'!R131)</f>
        <v>0</v>
      </c>
      <c r="S131" s="93">
        <f>SUM('3:23'!S131)</f>
        <v>0</v>
      </c>
      <c r="T131" s="93">
        <f>SUM('3:23'!T131)</f>
        <v>0</v>
      </c>
      <c r="U131" s="93">
        <f>SUM('3:23'!U131)</f>
        <v>0</v>
      </c>
      <c r="V131" s="206">
        <f t="shared" si="43"/>
        <v>0</v>
      </c>
      <c r="W131" s="33" t="str">
        <f t="shared" si="41"/>
        <v/>
      </c>
      <c r="X131" s="93">
        <f>SUM('3:23'!X131)</f>
        <v>0</v>
      </c>
      <c r="Y131" s="93">
        <f>SUM('3:23'!Y131)</f>
        <v>0</v>
      </c>
      <c r="Z131" s="93">
        <f>SUM('3:23'!Z131)</f>
        <v>0</v>
      </c>
      <c r="AA131" s="93">
        <f>SUM('3:23'!AA131)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99">
        <v>30101069</v>
      </c>
      <c r="B132" s="63" t="s">
        <v>97</v>
      </c>
      <c r="C132" s="340" t="s">
        <v>60</v>
      </c>
      <c r="D132" s="17">
        <v>5.03</v>
      </c>
      <c r="E132" s="17"/>
      <c r="F132" s="6"/>
      <c r="G132" s="93">
        <f>SUM('3:23'!G132)</f>
        <v>0</v>
      </c>
      <c r="H132" s="93">
        <f>SUM('3:23'!H132)</f>
        <v>0</v>
      </c>
      <c r="I132" s="93">
        <f>SUM('3:23'!I132)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42"/>
        <v/>
      </c>
      <c r="N132" s="93">
        <f>SUM('3:23'!N132)</f>
        <v>0</v>
      </c>
      <c r="O132" s="93">
        <f>SUM('3:23'!O132)</f>
        <v>0</v>
      </c>
      <c r="P132" s="93">
        <f>SUM('3:23'!P132)</f>
        <v>0</v>
      </c>
      <c r="Q132" s="93">
        <f>SUM('3:23'!Q132)</f>
        <v>0</v>
      </c>
      <c r="R132" s="93">
        <f>SUM('3:23'!R132)</f>
        <v>0</v>
      </c>
      <c r="S132" s="93">
        <f>SUM('3:23'!S132)</f>
        <v>0</v>
      </c>
      <c r="T132" s="93">
        <f>SUM('3:23'!T132)</f>
        <v>0</v>
      </c>
      <c r="U132" s="93">
        <f>SUM('3:23'!U132)</f>
        <v>0</v>
      </c>
      <c r="V132" s="206">
        <f t="shared" si="43"/>
        <v>0</v>
      </c>
      <c r="W132" s="33" t="str">
        <f t="shared" si="41"/>
        <v/>
      </c>
      <c r="X132" s="93">
        <f>SUM('3:23'!X132)</f>
        <v>0</v>
      </c>
      <c r="Y132" s="93">
        <f>SUM('3:23'!Y132)</f>
        <v>0</v>
      </c>
      <c r="Z132" s="93">
        <f>SUM('3:23'!Z132)</f>
        <v>0</v>
      </c>
      <c r="AA132" s="93">
        <f>SUM('3:23'!AA132)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99">
        <v>30101070</v>
      </c>
      <c r="B133" s="63" t="s">
        <v>97</v>
      </c>
      <c r="C133" s="340" t="s">
        <v>96</v>
      </c>
      <c r="D133" s="17">
        <v>5.03</v>
      </c>
      <c r="E133" s="17"/>
      <c r="F133" s="6"/>
      <c r="G133" s="93">
        <f>SUM('3:23'!G133)</f>
        <v>0</v>
      </c>
      <c r="H133" s="93">
        <f>SUM('3:23'!H133)</f>
        <v>0</v>
      </c>
      <c r="I133" s="93">
        <f>SUM('3:23'!I133)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42"/>
        <v/>
      </c>
      <c r="N133" s="93">
        <f>SUM('3:23'!N133)</f>
        <v>0</v>
      </c>
      <c r="O133" s="93">
        <f>SUM('3:23'!O133)</f>
        <v>0</v>
      </c>
      <c r="P133" s="93">
        <f>SUM('3:23'!P133)</f>
        <v>0</v>
      </c>
      <c r="Q133" s="93">
        <f>SUM('3:23'!Q133)</f>
        <v>0</v>
      </c>
      <c r="R133" s="93">
        <f>SUM('3:23'!R133)</f>
        <v>0</v>
      </c>
      <c r="S133" s="93">
        <f>SUM('3:23'!S133)</f>
        <v>0</v>
      </c>
      <c r="T133" s="93">
        <f>SUM('3:23'!T133)</f>
        <v>0</v>
      </c>
      <c r="U133" s="93">
        <f>SUM('3:23'!U133)</f>
        <v>0</v>
      </c>
      <c r="V133" s="206">
        <f t="shared" si="43"/>
        <v>0</v>
      </c>
      <c r="W133" s="33" t="str">
        <f t="shared" si="41"/>
        <v/>
      </c>
      <c r="X133" s="93">
        <f>SUM('3:23'!X133)</f>
        <v>0</v>
      </c>
      <c r="Y133" s="93">
        <f>SUM('3:23'!Y133)</f>
        <v>0</v>
      </c>
      <c r="Z133" s="93">
        <f>SUM('3:23'!Z133)</f>
        <v>0</v>
      </c>
      <c r="AA133" s="93">
        <f>SUM('3:23'!AA133)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99">
        <v>30101071</v>
      </c>
      <c r="B134" s="63" t="s">
        <v>97</v>
      </c>
      <c r="C134" s="340" t="s">
        <v>73</v>
      </c>
      <c r="D134" s="17">
        <v>5.03</v>
      </c>
      <c r="E134" s="17"/>
      <c r="F134" s="6"/>
      <c r="G134" s="93">
        <f>SUM('3:23'!G134)</f>
        <v>0</v>
      </c>
      <c r="H134" s="93">
        <f>SUM('3:23'!H134)</f>
        <v>0</v>
      </c>
      <c r="I134" s="93">
        <f>SUM('3:23'!I134)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42"/>
        <v/>
      </c>
      <c r="N134" s="93">
        <f>SUM('3:23'!N134)</f>
        <v>0</v>
      </c>
      <c r="O134" s="93">
        <f>SUM('3:23'!O134)</f>
        <v>0</v>
      </c>
      <c r="P134" s="93">
        <f>SUM('3:23'!P134)</f>
        <v>0</v>
      </c>
      <c r="Q134" s="93">
        <f>SUM('3:23'!Q134)</f>
        <v>0</v>
      </c>
      <c r="R134" s="93">
        <f>SUM('3:23'!R134)</f>
        <v>0</v>
      </c>
      <c r="S134" s="93">
        <f>SUM('3:23'!S134)</f>
        <v>0</v>
      </c>
      <c r="T134" s="93">
        <f>SUM('3:23'!T134)</f>
        <v>0</v>
      </c>
      <c r="U134" s="93">
        <f>SUM('3:23'!U134)</f>
        <v>0</v>
      </c>
      <c r="V134" s="206">
        <f t="shared" si="43"/>
        <v>0</v>
      </c>
      <c r="W134" s="33" t="str">
        <f t="shared" si="41"/>
        <v/>
      </c>
      <c r="X134" s="93">
        <f>SUM('3:23'!X134)</f>
        <v>0</v>
      </c>
      <c r="Y134" s="93">
        <f>SUM('3:23'!Y134)</f>
        <v>0</v>
      </c>
      <c r="Z134" s="93">
        <f>SUM('3:23'!Z134)</f>
        <v>0</v>
      </c>
      <c r="AA134" s="93">
        <f>SUM('3:23'!AA134)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300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SUM('3:23'!G135)</f>
        <v>1175</v>
      </c>
      <c r="H135" s="93">
        <f>SUM('3:23'!H135)</f>
        <v>5945.5</v>
      </c>
      <c r="I135" s="93">
        <f>SUM('3:23'!I135)</f>
        <v>40.5</v>
      </c>
      <c r="J135" s="31">
        <f t="array" ref="J135">IF(ISERROR(G135/I135),"",G135/I135)</f>
        <v>29.012345679012345</v>
      </c>
      <c r="K135" s="35">
        <f t="array" ref="K135">IF(ISERROR(G135/L135),"",G135/L135)</f>
        <v>47</v>
      </c>
      <c r="L135" s="87">
        <v>25</v>
      </c>
      <c r="M135" s="36">
        <f t="shared" si="42"/>
        <v>-6.5</v>
      </c>
      <c r="N135" s="93">
        <f>SUM('3:23'!N135)</f>
        <v>0</v>
      </c>
      <c r="O135" s="93">
        <f>SUM('3:23'!O135)</f>
        <v>0</v>
      </c>
      <c r="P135" s="93">
        <f>SUM('3:23'!P135)</f>
        <v>0</v>
      </c>
      <c r="Q135" s="93">
        <f>SUM('3:23'!Q135)</f>
        <v>0</v>
      </c>
      <c r="R135" s="93">
        <f>SUM('3:23'!R135)</f>
        <v>0</v>
      </c>
      <c r="S135" s="93">
        <f>SUM('3:23'!S135)</f>
        <v>0</v>
      </c>
      <c r="T135" s="93">
        <f>SUM('3:23'!T135)</f>
        <v>0</v>
      </c>
      <c r="U135" s="93">
        <f>SUM('3:23'!U135)</f>
        <v>0</v>
      </c>
      <c r="V135" s="206">
        <f t="shared" si="43"/>
        <v>0</v>
      </c>
      <c r="W135" s="33">
        <f t="shared" si="41"/>
        <v>0</v>
      </c>
      <c r="X135" s="93">
        <f>SUM('3:23'!X135)</f>
        <v>0</v>
      </c>
      <c r="Y135" s="93">
        <f>SUM('3:23'!Y135)</f>
        <v>0</v>
      </c>
      <c r="Z135" s="93">
        <f>SUM('3:23'!Z135)</f>
        <v>0</v>
      </c>
      <c r="AA135" s="93">
        <f>SUM('3:23'!AA135)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300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SUM('3:23'!G136)</f>
        <v>1218</v>
      </c>
      <c r="H136" s="93">
        <f>SUM('3:23'!H136)</f>
        <v>6163.08</v>
      </c>
      <c r="I136" s="93">
        <f>SUM('3:23'!I136)</f>
        <v>43.5</v>
      </c>
      <c r="J136" s="31">
        <f t="array" ref="J136">IF(ISERROR(G136/I136),"",G136/I136)</f>
        <v>28</v>
      </c>
      <c r="K136" s="35">
        <f t="array" ref="K136">IF(ISERROR(G136/L136),"",G136/L136)</f>
        <v>52.956521739130437</v>
      </c>
      <c r="L136" s="87">
        <v>23</v>
      </c>
      <c r="M136" s="36">
        <f t="shared" si="42"/>
        <v>-9.4565217391304373</v>
      </c>
      <c r="N136" s="93">
        <f>SUM('3:23'!N136)</f>
        <v>0</v>
      </c>
      <c r="O136" s="93">
        <f>SUM('3:23'!O136)</f>
        <v>0</v>
      </c>
      <c r="P136" s="93">
        <f>SUM('3:23'!P136)</f>
        <v>0</v>
      </c>
      <c r="Q136" s="93">
        <f>SUM('3:23'!Q136)</f>
        <v>0</v>
      </c>
      <c r="R136" s="93">
        <f>SUM('3:23'!R136)</f>
        <v>0</v>
      </c>
      <c r="S136" s="93">
        <f>SUM('3:23'!S136)</f>
        <v>0</v>
      </c>
      <c r="T136" s="93">
        <f>SUM('3:23'!T136)</f>
        <v>0</v>
      </c>
      <c r="U136" s="93">
        <f>SUM('3:23'!U136)</f>
        <v>0</v>
      </c>
      <c r="V136" s="206">
        <f t="shared" si="43"/>
        <v>0</v>
      </c>
      <c r="W136" s="33">
        <f t="shared" si="41"/>
        <v>0</v>
      </c>
      <c r="X136" s="93">
        <f>SUM('3:23'!X136)</f>
        <v>0</v>
      </c>
      <c r="Y136" s="93">
        <f>SUM('3:23'!Y136)</f>
        <v>0</v>
      </c>
      <c r="Z136" s="93">
        <f>SUM('3:23'!Z136)</f>
        <v>0</v>
      </c>
      <c r="AA136" s="93">
        <f>SUM('3:23'!AA136)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725" t="s">
        <v>99</v>
      </c>
      <c r="B137" s="726"/>
      <c r="C137" s="342" t="s">
        <v>71</v>
      </c>
      <c r="D137" s="20"/>
      <c r="E137" s="20"/>
      <c r="F137" s="32"/>
      <c r="G137" s="99">
        <f>SUM(G122:G136)</f>
        <v>4680</v>
      </c>
      <c r="H137" s="30">
        <f>SUM(H122:H136)</f>
        <v>23623.309999999998</v>
      </c>
      <c r="I137" s="30">
        <f>SUM(I122:I136)</f>
        <v>202.5</v>
      </c>
      <c r="J137" s="31">
        <f t="array" ref="J137">IF(ISERROR(G137/I137),"",G137/I137)</f>
        <v>23.111111111111111</v>
      </c>
      <c r="K137" s="30">
        <f>SUM(K122:K136)</f>
        <v>202.55652173913043</v>
      </c>
      <c r="L137" s="98"/>
      <c r="M137" s="89">
        <f>SUM(M122:M136)</f>
        <v>-5.6521739130438675E-2</v>
      </c>
      <c r="N137" s="30">
        <f>SUM(N122:N136)</f>
        <v>0</v>
      </c>
      <c r="O137" s="93">
        <f>SUM('3:23'!O137)</f>
        <v>0</v>
      </c>
      <c r="P137" s="93">
        <f>SUM('3:23'!P137)</f>
        <v>0</v>
      </c>
      <c r="Q137" s="93">
        <f>SUM('3:23'!Q137)</f>
        <v>0</v>
      </c>
      <c r="R137" s="93">
        <f>SUM('3:23'!R137)</f>
        <v>0</v>
      </c>
      <c r="S137" s="93">
        <f>SUM('3:23'!S137)</f>
        <v>0</v>
      </c>
      <c r="T137" s="93">
        <f>SUM('3:23'!T137)</f>
        <v>0</v>
      </c>
      <c r="U137" s="93">
        <f>SUM('3:23'!U137)</f>
        <v>0</v>
      </c>
      <c r="V137" s="208">
        <f t="shared" ref="V137" si="44">SUM(V122:V136)</f>
        <v>0</v>
      </c>
      <c r="W137" s="33">
        <f t="shared" si="41"/>
        <v>0</v>
      </c>
      <c r="X137" s="93">
        <f>SUM('3:23'!X137)</f>
        <v>0</v>
      </c>
      <c r="Y137" s="93">
        <f>SUM('3:23'!Y137)</f>
        <v>0</v>
      </c>
      <c r="Z137" s="93">
        <f>SUM('3:23'!Z137)</f>
        <v>0</v>
      </c>
      <c r="AA137" s="93">
        <f>SUM('3:23'!AA137)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30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SUM('3:23'!G138)</f>
        <v>394</v>
      </c>
      <c r="H138" s="93">
        <f>SUM('3:23'!H138)</f>
        <v>1985.7600000000002</v>
      </c>
      <c r="I138" s="93">
        <f>SUM('3:23'!I138)</f>
        <v>38</v>
      </c>
      <c r="J138" s="31">
        <f t="array" ref="J138">IF(ISERROR(G138/I138),"",G138/I138)</f>
        <v>10.368421052631579</v>
      </c>
      <c r="K138" s="35">
        <f t="array" ref="K138">IF(ISERROR(G138/L138),"",G138/L138)</f>
        <v>17.90909090909091</v>
      </c>
      <c r="L138" s="87">
        <v>22</v>
      </c>
      <c r="M138" s="36">
        <f t="shared" ref="M138:M142" si="45">IF(ISERROR(I138-K138),"",I138-K138)</f>
        <v>20.09090909090909</v>
      </c>
      <c r="N138" s="93">
        <f>SUM('3:23'!N138)</f>
        <v>0</v>
      </c>
      <c r="O138" s="93">
        <f>SUM('3:23'!O138)</f>
        <v>0</v>
      </c>
      <c r="P138" s="93">
        <f>SUM('3:23'!P138)</f>
        <v>0</v>
      </c>
      <c r="Q138" s="93">
        <f>SUM('3:23'!Q138)</f>
        <v>0</v>
      </c>
      <c r="R138" s="93">
        <f>SUM('3:23'!R138)</f>
        <v>0</v>
      </c>
      <c r="S138" s="93">
        <f>SUM('3:23'!S138)</f>
        <v>0</v>
      </c>
      <c r="T138" s="93">
        <f>SUM('3:23'!T138)</f>
        <v>0</v>
      </c>
      <c r="U138" s="93">
        <f>SUM('3:23'!U138)</f>
        <v>0</v>
      </c>
      <c r="V138" s="206">
        <f t="shared" ref="V138:V142" si="46">SUM(X138:AA138)</f>
        <v>0</v>
      </c>
      <c r="W138" s="33">
        <f t="shared" si="41"/>
        <v>0</v>
      </c>
      <c r="X138" s="93">
        <f>SUM('3:23'!X138)</f>
        <v>0</v>
      </c>
      <c r="Y138" s="93">
        <f>SUM('3:23'!Y138)</f>
        <v>0</v>
      </c>
      <c r="Z138" s="93">
        <f>SUM('3:23'!Z138)</f>
        <v>0</v>
      </c>
      <c r="AA138" s="93">
        <f>SUM('3:23'!AA138)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300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SUM('3:23'!G139)</f>
        <v>0</v>
      </c>
      <c r="H139" s="93">
        <f>SUM('3:23'!H139)</f>
        <v>0</v>
      </c>
      <c r="I139" s="93">
        <f>SUM('3:23'!I139)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45"/>
        <v>0</v>
      </c>
      <c r="N139" s="93">
        <f>SUM('3:23'!N139)</f>
        <v>0</v>
      </c>
      <c r="O139" s="93">
        <f>SUM('3:23'!O139)</f>
        <v>0</v>
      </c>
      <c r="P139" s="93">
        <f>SUM('3:23'!P139)</f>
        <v>0</v>
      </c>
      <c r="Q139" s="93">
        <f>SUM('3:23'!Q139)</f>
        <v>0</v>
      </c>
      <c r="R139" s="93">
        <f>SUM('3:23'!R139)</f>
        <v>0</v>
      </c>
      <c r="S139" s="93">
        <f>SUM('3:23'!S139)</f>
        <v>0</v>
      </c>
      <c r="T139" s="93">
        <f>SUM('3:23'!T139)</f>
        <v>0</v>
      </c>
      <c r="U139" s="93">
        <f>SUM('3:23'!U139)</f>
        <v>0</v>
      </c>
      <c r="V139" s="206">
        <f t="shared" si="46"/>
        <v>0</v>
      </c>
      <c r="W139" s="33" t="str">
        <f t="shared" si="41"/>
        <v/>
      </c>
      <c r="X139" s="93">
        <f>SUM('3:23'!X139)</f>
        <v>0</v>
      </c>
      <c r="Y139" s="93">
        <f>SUM('3:23'!Y139)</f>
        <v>0</v>
      </c>
      <c r="Z139" s="93">
        <f>SUM('3:23'!Z139)</f>
        <v>0</v>
      </c>
      <c r="AA139" s="93">
        <f>SUM('3:23'!AA139)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300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SUM('3:23'!G140)</f>
        <v>28</v>
      </c>
      <c r="H140" s="93">
        <f>SUM('3:23'!H140)</f>
        <v>141.12</v>
      </c>
      <c r="I140" s="93">
        <f>SUM('3:23'!I140)</f>
        <v>1.5</v>
      </c>
      <c r="J140" s="31">
        <f t="array" ref="J140">IF(ISERROR(G140/I140),"",G140/I140)</f>
        <v>18.666666666666668</v>
      </c>
      <c r="K140" s="35">
        <f t="array" ref="K140">IF(ISERROR(G140/L140),"",G140/L140)</f>
        <v>1.2727272727272727</v>
      </c>
      <c r="L140" s="87">
        <v>22</v>
      </c>
      <c r="M140" s="36">
        <f t="shared" si="45"/>
        <v>0.22727272727272729</v>
      </c>
      <c r="N140" s="93">
        <f>SUM('3:23'!N140)</f>
        <v>0</v>
      </c>
      <c r="O140" s="93">
        <f>SUM('3:23'!O140)</f>
        <v>0</v>
      </c>
      <c r="P140" s="93">
        <f>SUM('3:23'!P140)</f>
        <v>0</v>
      </c>
      <c r="Q140" s="93">
        <f>SUM('3:23'!Q140)</f>
        <v>0</v>
      </c>
      <c r="R140" s="93">
        <f>SUM('3:23'!R140)</f>
        <v>0</v>
      </c>
      <c r="S140" s="93">
        <f>SUM('3:23'!S140)</f>
        <v>0</v>
      </c>
      <c r="T140" s="93">
        <f>SUM('3:23'!T140)</f>
        <v>0</v>
      </c>
      <c r="U140" s="93">
        <f>SUM('3:23'!U140)</f>
        <v>0</v>
      </c>
      <c r="V140" s="206">
        <f t="shared" si="46"/>
        <v>0</v>
      </c>
      <c r="W140" s="33">
        <f t="shared" si="41"/>
        <v>0</v>
      </c>
      <c r="X140" s="93">
        <f>SUM('3:23'!X140)</f>
        <v>0</v>
      </c>
      <c r="Y140" s="93">
        <f>SUM('3:23'!Y140)</f>
        <v>0</v>
      </c>
      <c r="Z140" s="93">
        <f>SUM('3:23'!Z140)</f>
        <v>0</v>
      </c>
      <c r="AA140" s="93">
        <f>SUM('3:23'!AA140)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300"/>
      <c r="B141" s="192" t="s">
        <v>232</v>
      </c>
      <c r="C141" s="16" t="s">
        <v>66</v>
      </c>
      <c r="D141" s="17">
        <v>5.04</v>
      </c>
      <c r="E141" s="17"/>
      <c r="F141" s="6"/>
      <c r="G141" s="93">
        <f>SUM('3:23'!G141)</f>
        <v>0</v>
      </c>
      <c r="H141" s="93">
        <f>SUM('3:23'!H141)</f>
        <v>0</v>
      </c>
      <c r="I141" s="93">
        <f>SUM('3:23'!I141)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45"/>
        <v>0</v>
      </c>
      <c r="N141" s="93">
        <f>SUM('3:23'!N141)</f>
        <v>0</v>
      </c>
      <c r="O141" s="93">
        <f>SUM('3:23'!O141)</f>
        <v>0</v>
      </c>
      <c r="P141" s="93">
        <f>SUM('3:23'!P141)</f>
        <v>0</v>
      </c>
      <c r="Q141" s="93">
        <f>SUM('3:23'!Q141)</f>
        <v>0</v>
      </c>
      <c r="R141" s="93">
        <f>SUM('3:23'!R141)</f>
        <v>0</v>
      </c>
      <c r="S141" s="93">
        <f>SUM('3:23'!S141)</f>
        <v>0</v>
      </c>
      <c r="T141" s="93">
        <f>SUM('3:23'!T141)</f>
        <v>0</v>
      </c>
      <c r="U141" s="93">
        <f>SUM('3:23'!U141)</f>
        <v>0</v>
      </c>
      <c r="V141" s="206">
        <f t="shared" si="46"/>
        <v>0</v>
      </c>
      <c r="W141" s="33" t="str">
        <f t="shared" si="41"/>
        <v/>
      </c>
      <c r="X141" s="93">
        <f>SUM('3:23'!X141)</f>
        <v>0</v>
      </c>
      <c r="Y141" s="93">
        <f>SUM('3:23'!Y141)</f>
        <v>0</v>
      </c>
      <c r="Z141" s="93">
        <f>SUM('3:23'!Z141)</f>
        <v>0</v>
      </c>
      <c r="AA141" s="93">
        <f>SUM('3:23'!AA141)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300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SUM('3:23'!G142)</f>
        <v>0</v>
      </c>
      <c r="H142" s="93">
        <f>SUM('3:23'!H142)</f>
        <v>0</v>
      </c>
      <c r="I142" s="93">
        <f>SUM('3:23'!I142)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45"/>
        <v>0</v>
      </c>
      <c r="N142" s="93">
        <f>SUM('3:23'!N142)</f>
        <v>0</v>
      </c>
      <c r="O142" s="93">
        <f>SUM('3:23'!O142)</f>
        <v>0</v>
      </c>
      <c r="P142" s="93">
        <f>SUM('3:23'!P142)</f>
        <v>0</v>
      </c>
      <c r="Q142" s="93">
        <f>SUM('3:23'!Q142)</f>
        <v>0</v>
      </c>
      <c r="R142" s="93">
        <f>SUM('3:23'!R142)</f>
        <v>0</v>
      </c>
      <c r="S142" s="93">
        <f>SUM('3:23'!S142)</f>
        <v>0</v>
      </c>
      <c r="T142" s="93">
        <f>SUM('3:23'!T142)</f>
        <v>0</v>
      </c>
      <c r="U142" s="93">
        <f>SUM('3:23'!U142)</f>
        <v>0</v>
      </c>
      <c r="V142" s="206">
        <f t="shared" si="46"/>
        <v>0</v>
      </c>
      <c r="W142" s="33" t="str">
        <f t="shared" si="41"/>
        <v/>
      </c>
      <c r="X142" s="93">
        <f>SUM('3:23'!X142)</f>
        <v>0</v>
      </c>
      <c r="Y142" s="93">
        <f>SUM('3:23'!Y142)</f>
        <v>0</v>
      </c>
      <c r="Z142" s="93">
        <f>SUM('3:23'!Z142)</f>
        <v>0</v>
      </c>
      <c r="AA142" s="93">
        <f>SUM('3:23'!AA142)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300">
        <v>30400019</v>
      </c>
      <c r="B143" s="192" t="s">
        <v>440</v>
      </c>
      <c r="C143" s="187" t="s">
        <v>442</v>
      </c>
      <c r="D143" s="17">
        <v>5.04</v>
      </c>
      <c r="E143" s="17"/>
      <c r="F143" s="6"/>
      <c r="G143" s="93">
        <f>SUM('3:23'!G143)</f>
        <v>245</v>
      </c>
      <c r="H143" s="93">
        <f>SUM('3:23'!H143)</f>
        <v>1234.8</v>
      </c>
      <c r="I143" s="93">
        <f>SUM('3:23'!I143)</f>
        <v>20</v>
      </c>
      <c r="J143" s="31">
        <f t="array" ref="J143">IF(ISERROR(G143/I143),"",G143/I143)</f>
        <v>12.25</v>
      </c>
      <c r="K143" s="35">
        <f t="array" ref="K143">IF(ISERROR(G143/L143),"",G143/L143)</f>
        <v>18.148148148148149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300">
        <v>30400020</v>
      </c>
      <c r="B144" s="192" t="s">
        <v>439</v>
      </c>
      <c r="C144" s="187" t="s">
        <v>523</v>
      </c>
      <c r="D144" s="17">
        <v>5.04</v>
      </c>
      <c r="E144" s="17"/>
      <c r="F144" s="6"/>
      <c r="G144" s="93">
        <f>SUM('3:23'!G144)</f>
        <v>1172</v>
      </c>
      <c r="H144" s="93">
        <f>SUM('3:23'!H144)</f>
        <v>5906.8799999999992</v>
      </c>
      <c r="I144" s="93">
        <f>SUM('3:23'!I144)</f>
        <v>84.07</v>
      </c>
      <c r="J144" s="31">
        <f t="array" ref="J144">IF(ISERROR(G144/I144),"",G144/I144)</f>
        <v>13.940763649339837</v>
      </c>
      <c r="K144" s="35">
        <f t="array" ref="K144">IF(ISERROR(G144/L144),"",G144/L144)</f>
        <v>86.81481481481481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6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300">
        <v>30040021</v>
      </c>
      <c r="B145" s="192" t="s">
        <v>439</v>
      </c>
      <c r="C145" s="187" t="s">
        <v>525</v>
      </c>
      <c r="D145" s="17">
        <v>5.04</v>
      </c>
      <c r="E145" s="17"/>
      <c r="F145" s="6"/>
      <c r="G145" s="93">
        <f>SUM('3:23'!G145)</f>
        <v>498</v>
      </c>
      <c r="H145" s="93">
        <f>SUM('3:23'!H145)</f>
        <v>2509.92</v>
      </c>
      <c r="I145" s="93">
        <f>SUM('3:23'!I145)</f>
        <v>46.5</v>
      </c>
      <c r="J145" s="31"/>
      <c r="K145" s="35">
        <f t="array" ref="K145">IF(ISERROR(G145/L145),"",G145/L145)</f>
        <v>36.888888888888886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6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300">
        <v>30400022</v>
      </c>
      <c r="B146" s="62" t="s">
        <v>100</v>
      </c>
      <c r="C146" s="16" t="s">
        <v>55</v>
      </c>
      <c r="D146" s="17">
        <v>5.04</v>
      </c>
      <c r="E146" s="17"/>
      <c r="F146" s="6"/>
      <c r="G146" s="93">
        <f>SUM('3:23'!G146)</f>
        <v>993</v>
      </c>
      <c r="H146" s="93">
        <f>SUM('3:23'!H146)</f>
        <v>5004.72</v>
      </c>
      <c r="I146" s="93">
        <f>SUM('3:23'!I146)</f>
        <v>54</v>
      </c>
      <c r="J146" s="31">
        <f t="array" ref="J146">IF(ISERROR(G146/I146),"",G146/I146)</f>
        <v>18.388888888888889</v>
      </c>
      <c r="K146" s="35">
        <f t="array" ref="K146">IF(ISERROR(G146/L146),"",G146/L146)</f>
        <v>45.136363636363633</v>
      </c>
      <c r="L146" s="87">
        <v>22</v>
      </c>
      <c r="M146" s="36">
        <f t="shared" ref="M146" si="47">IF(ISERROR(I146-K146),"",I146-K146)</f>
        <v>8.8636363636363669</v>
      </c>
      <c r="N146" s="93">
        <f>SUM('3:23'!N146)</f>
        <v>0</v>
      </c>
      <c r="O146" s="93">
        <f>SUM('3:23'!O146)</f>
        <v>0</v>
      </c>
      <c r="P146" s="93">
        <f>SUM('3:23'!P146)</f>
        <v>0</v>
      </c>
      <c r="Q146" s="93">
        <f>SUM('3:23'!Q146)</f>
        <v>0</v>
      </c>
      <c r="R146" s="93">
        <f>SUM('3:23'!R146)</f>
        <v>0</v>
      </c>
      <c r="S146" s="93">
        <f>SUM('3:23'!S146)</f>
        <v>0</v>
      </c>
      <c r="T146" s="93">
        <f>SUM('3:23'!T146)</f>
        <v>0</v>
      </c>
      <c r="U146" s="93">
        <f>SUM('3:23'!U146)</f>
        <v>0</v>
      </c>
      <c r="V146" s="206">
        <f t="shared" ref="V146" si="48">SUM(X146:AA146)</f>
        <v>0</v>
      </c>
      <c r="W146" s="33">
        <f t="shared" ref="W146:W151" si="49">IF(ISERROR(V146/G146),"",V146/G146)</f>
        <v>0</v>
      </c>
      <c r="X146" s="93">
        <f>SUM('3:23'!X146)</f>
        <v>0</v>
      </c>
      <c r="Y146" s="93">
        <f>SUM('3:23'!Y146)</f>
        <v>0</v>
      </c>
      <c r="Z146" s="93">
        <f>SUM('3:23'!Z146)</f>
        <v>0</v>
      </c>
      <c r="AA146" s="93">
        <f>SUM('3:23'!AA146)</f>
        <v>0</v>
      </c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725" t="s">
        <v>102</v>
      </c>
      <c r="B147" s="726"/>
      <c r="C147" s="342" t="s">
        <v>71</v>
      </c>
      <c r="D147" s="20"/>
      <c r="E147" s="20"/>
      <c r="F147" s="32"/>
      <c r="G147" s="99">
        <f>SUM(G138:G146)</f>
        <v>3330</v>
      </c>
      <c r="H147" s="99">
        <f>SUM(H138:H146)</f>
        <v>16783.2</v>
      </c>
      <c r="I147" s="99">
        <f>SUM(I138:I146)</f>
        <v>244.07</v>
      </c>
      <c r="J147" s="31">
        <f t="array" ref="J147">IF(ISERROR(G147/I147),"",G147/I147)</f>
        <v>13.643626828368911</v>
      </c>
      <c r="K147" s="30">
        <f>SUM(K138:K146)</f>
        <v>206.17003367003366</v>
      </c>
      <c r="L147" s="98"/>
      <c r="M147" s="89">
        <f>SUM(M138:M146)</f>
        <v>29.181818181818183</v>
      </c>
      <c r="N147" s="30">
        <f>SUM(N138:N146)</f>
        <v>0</v>
      </c>
      <c r="O147" s="91">
        <f>SUM(O138:O146)</f>
        <v>0</v>
      </c>
      <c r="P147" s="91">
        <f>SUM(P138:P146)</f>
        <v>0</v>
      </c>
      <c r="Q147" s="91">
        <f>SUM(Q138:Q146)</f>
        <v>0</v>
      </c>
      <c r="R147" s="91"/>
      <c r="S147" s="92">
        <f>SUM(S138:S146)</f>
        <v>0</v>
      </c>
      <c r="T147" s="91">
        <f>SUM(T138:T146)</f>
        <v>0</v>
      </c>
      <c r="U147" s="91">
        <f>SUM(U138:U146)</f>
        <v>0</v>
      </c>
      <c r="V147" s="206">
        <f>SUM(V138:V146)</f>
        <v>0</v>
      </c>
      <c r="W147" s="33">
        <f t="shared" si="49"/>
        <v>0</v>
      </c>
      <c r="X147" s="92">
        <f>SUM(X138:X146)</f>
        <v>0</v>
      </c>
      <c r="Y147" s="92">
        <f>SUM(Y138:Y146)</f>
        <v>0</v>
      </c>
      <c r="Z147" s="92">
        <f>SUM(Z138:Z146)</f>
        <v>0</v>
      </c>
      <c r="AA147" s="92">
        <f>SUM(AA138:AA146)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299">
        <v>30700013</v>
      </c>
      <c r="B148" s="64" t="s">
        <v>475</v>
      </c>
      <c r="C148" s="335"/>
      <c r="D148" s="17">
        <v>3.65</v>
      </c>
      <c r="E148" s="17"/>
      <c r="F148" s="53"/>
      <c r="G148" s="93">
        <f>SUM('3:23'!G148)</f>
        <v>0</v>
      </c>
      <c r="H148" s="93">
        <f>SUM('3:23'!H148)</f>
        <v>0</v>
      </c>
      <c r="I148" s="93">
        <f>SUM('3:23'!I148)</f>
        <v>0</v>
      </c>
      <c r="J148" s="31" t="str">
        <f t="array" ref="J148">IF(ISERROR(G148/I148),"",G148/I148)</f>
        <v/>
      </c>
      <c r="K148" s="339">
        <f t="array" ref="K148">IF(ISERROR(G148/L148),"",G148/L148)</f>
        <v>0</v>
      </c>
      <c r="L148" s="87">
        <v>5</v>
      </c>
      <c r="M148" s="36">
        <f t="shared" ref="M148:M151" si="50">IF(ISERROR(I148-K148),"",I148-K148)</f>
        <v>0</v>
      </c>
      <c r="N148" s="93">
        <f>SUM('3:23'!N148)</f>
        <v>0</v>
      </c>
      <c r="O148" s="93">
        <f>SUM('3:23'!O148)</f>
        <v>0</v>
      </c>
      <c r="P148" s="93">
        <f>SUM('3:23'!P148)</f>
        <v>0</v>
      </c>
      <c r="Q148" s="93">
        <f>SUM('3:23'!Q148)</f>
        <v>0</v>
      </c>
      <c r="R148" s="93">
        <f>SUM('3:23'!R148)</f>
        <v>0</v>
      </c>
      <c r="S148" s="93">
        <f>SUM('3:23'!S148)</f>
        <v>0</v>
      </c>
      <c r="T148" s="93">
        <f>SUM('3:23'!T148)</f>
        <v>0</v>
      </c>
      <c r="U148" s="93">
        <f>SUM('3:23'!U148)</f>
        <v>0</v>
      </c>
      <c r="V148" s="206">
        <f t="shared" ref="V148:V151" si="51">SUM(X148:AA148)</f>
        <v>0</v>
      </c>
      <c r="W148" s="33" t="str">
        <f t="shared" si="49"/>
        <v/>
      </c>
      <c r="X148" s="93">
        <f>SUM('3:23'!X148)</f>
        <v>0</v>
      </c>
      <c r="Y148" s="93">
        <f>SUM('3:23'!Y148)</f>
        <v>0</v>
      </c>
      <c r="Z148" s="93">
        <f>SUM('3:23'!Z148)</f>
        <v>0</v>
      </c>
      <c r="AA148" s="93">
        <f>SUM('3:23'!AA148)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99">
        <v>30700014</v>
      </c>
      <c r="B149" s="64" t="s">
        <v>0</v>
      </c>
      <c r="C149" s="335"/>
      <c r="D149" s="17">
        <v>6.58</v>
      </c>
      <c r="E149" s="17"/>
      <c r="F149" s="6"/>
      <c r="G149" s="93">
        <f>SUM('3:23'!G149)</f>
        <v>0</v>
      </c>
      <c r="H149" s="93">
        <f>SUM('3:23'!H149)</f>
        <v>0</v>
      </c>
      <c r="I149" s="93">
        <f>SUM('3:23'!I149)</f>
        <v>0</v>
      </c>
      <c r="J149" s="31" t="str">
        <f t="array" ref="J149">IF(ISERROR(G149/I149),"",G149/I149)</f>
        <v/>
      </c>
      <c r="K149" s="35">
        <f t="array" ref="K149">IF(ISERROR(G149/L149),"",G149/L149)</f>
        <v>0</v>
      </c>
      <c r="L149" s="87">
        <v>5</v>
      </c>
      <c r="M149" s="36">
        <f t="shared" si="50"/>
        <v>0</v>
      </c>
      <c r="N149" s="93">
        <f>SUM('3:23'!N149)</f>
        <v>0</v>
      </c>
      <c r="O149" s="93">
        <f>SUM('3:23'!O149)</f>
        <v>0</v>
      </c>
      <c r="P149" s="93">
        <f>SUM('3:23'!P149)</f>
        <v>0</v>
      </c>
      <c r="Q149" s="93">
        <f>SUM('3:23'!Q149)</f>
        <v>0</v>
      </c>
      <c r="R149" s="93">
        <f>SUM('3:23'!R149)</f>
        <v>0</v>
      </c>
      <c r="S149" s="93">
        <f>SUM('3:23'!S149)</f>
        <v>0</v>
      </c>
      <c r="T149" s="93">
        <f>SUM('3:23'!T149)</f>
        <v>0</v>
      </c>
      <c r="U149" s="93">
        <f>SUM('3:23'!U149)</f>
        <v>0</v>
      </c>
      <c r="V149" s="206">
        <f t="shared" si="51"/>
        <v>0</v>
      </c>
      <c r="W149" s="33" t="str">
        <f t="shared" si="49"/>
        <v/>
      </c>
      <c r="X149" s="93">
        <f>SUM('3:23'!X149)</f>
        <v>0</v>
      </c>
      <c r="Y149" s="93">
        <f>SUM('3:23'!Y149)</f>
        <v>0</v>
      </c>
      <c r="Z149" s="93">
        <f>SUM('3:23'!Z149)</f>
        <v>0</v>
      </c>
      <c r="AA149" s="93">
        <f>SUM('3:23'!AA149)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 ht="19.5" customHeight="1">
      <c r="A150" s="299">
        <v>30700016</v>
      </c>
      <c r="B150" s="64" t="s">
        <v>1</v>
      </c>
      <c r="C150" s="335"/>
      <c r="D150" s="17">
        <v>7.8</v>
      </c>
      <c r="E150" s="17"/>
      <c r="F150" s="6"/>
      <c r="G150" s="93">
        <f>SUM('3:23'!G150)</f>
        <v>36</v>
      </c>
      <c r="H150" s="93">
        <f>SUM('3:23'!H150)</f>
        <v>280.8</v>
      </c>
      <c r="I150" s="93">
        <f>SUM('3:23'!I150)</f>
        <v>7</v>
      </c>
      <c r="J150" s="31">
        <f t="array" ref="J150">IF(ISERROR(G150/I150),"",G150/I150)</f>
        <v>5.1428571428571432</v>
      </c>
      <c r="K150" s="35">
        <f t="array" ref="K150">IF(ISERROR(G150/L150),"",G150/L150)</f>
        <v>7.8260869565217401</v>
      </c>
      <c r="L150" s="87">
        <v>4.5999999999999996</v>
      </c>
      <c r="M150" s="36">
        <f t="shared" si="50"/>
        <v>-0.82608695652174013</v>
      </c>
      <c r="N150" s="93">
        <f>SUM('3:23'!N150)</f>
        <v>0</v>
      </c>
      <c r="O150" s="93">
        <f>SUM('3:23'!O150)</f>
        <v>0</v>
      </c>
      <c r="P150" s="93">
        <f>SUM('3:23'!P150)</f>
        <v>0</v>
      </c>
      <c r="Q150" s="93">
        <f>SUM('3:23'!Q150)</f>
        <v>0</v>
      </c>
      <c r="R150" s="93">
        <f>SUM('3:23'!R150)</f>
        <v>0</v>
      </c>
      <c r="S150" s="93">
        <f>SUM('3:23'!S150)</f>
        <v>0</v>
      </c>
      <c r="T150" s="93">
        <f>SUM('3:23'!T150)</f>
        <v>0</v>
      </c>
      <c r="U150" s="93">
        <f>SUM('3:23'!U150)</f>
        <v>0</v>
      </c>
      <c r="V150" s="206">
        <f t="shared" si="51"/>
        <v>0</v>
      </c>
      <c r="W150" s="33">
        <f t="shared" si="49"/>
        <v>0</v>
      </c>
      <c r="X150" s="93">
        <f>SUM('3:23'!X150)</f>
        <v>0</v>
      </c>
      <c r="Y150" s="93">
        <f>SUM('3:23'!Y150)</f>
        <v>0</v>
      </c>
      <c r="Z150" s="93">
        <f>SUM('3:23'!Z150)</f>
        <v>0</v>
      </c>
      <c r="AA150" s="93">
        <f>SUM('3:23'!AA150)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>
      <c r="A151" s="299">
        <v>30700017</v>
      </c>
      <c r="B151" s="64" t="s">
        <v>2</v>
      </c>
      <c r="C151" s="335"/>
      <c r="D151" s="17">
        <v>4.4000000000000004</v>
      </c>
      <c r="E151" s="17"/>
      <c r="F151" s="6"/>
      <c r="G151" s="93">
        <f>SUM('3:23'!G151)</f>
        <v>360</v>
      </c>
      <c r="H151" s="93">
        <f>SUM('3:23'!H151)</f>
        <v>1584</v>
      </c>
      <c r="I151" s="93">
        <f>SUM('3:23'!I151)</f>
        <v>66.5</v>
      </c>
      <c r="J151" s="31">
        <f t="array" ref="J151">IF(ISERROR(G151/I151),"",G151/I151)</f>
        <v>5.4135338345864659</v>
      </c>
      <c r="K151" s="35">
        <f t="array" ref="K151">IF(ISERROR(G151/L151),"",G151/L151)</f>
        <v>62.068965517241381</v>
      </c>
      <c r="L151" s="87">
        <v>5.8</v>
      </c>
      <c r="M151" s="36">
        <f t="shared" si="50"/>
        <v>4.4310344827586192</v>
      </c>
      <c r="N151" s="93">
        <f>SUM('3:23'!N151)</f>
        <v>0</v>
      </c>
      <c r="O151" s="93">
        <f>SUM('3:23'!O151)</f>
        <v>0</v>
      </c>
      <c r="P151" s="93">
        <f>SUM('3:23'!P151)</f>
        <v>0</v>
      </c>
      <c r="Q151" s="93">
        <f>SUM('3:23'!Q151)</f>
        <v>0</v>
      </c>
      <c r="R151" s="93">
        <f>SUM('3:23'!R151)</f>
        <v>0</v>
      </c>
      <c r="S151" s="93">
        <f>SUM('3:23'!S151)</f>
        <v>0</v>
      </c>
      <c r="T151" s="93">
        <f>SUM('3:23'!T151)</f>
        <v>0</v>
      </c>
      <c r="U151" s="93">
        <f>SUM('3:23'!U151)</f>
        <v>0</v>
      </c>
      <c r="V151" s="206">
        <f t="shared" si="51"/>
        <v>0</v>
      </c>
      <c r="W151" s="33">
        <f t="shared" si="49"/>
        <v>0</v>
      </c>
      <c r="X151" s="93">
        <f>SUM('3:23'!X151)</f>
        <v>0</v>
      </c>
      <c r="Y151" s="93">
        <f>SUM('3:23'!Y151)</f>
        <v>0</v>
      </c>
      <c r="Z151" s="93">
        <f>SUM('3:23'!Z151)</f>
        <v>0</v>
      </c>
      <c r="AA151" s="93">
        <f>SUM('3:23'!AA151)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99">
        <v>30700001</v>
      </c>
      <c r="B152" s="191" t="s">
        <v>359</v>
      </c>
      <c r="C152" s="188"/>
      <c r="D152" s="17"/>
      <c r="E152" s="17"/>
      <c r="F152" s="6"/>
      <c r="G152" s="93">
        <f>SUM('3:23'!G152)</f>
        <v>0</v>
      </c>
      <c r="H152" s="93">
        <f>SUM('3:23'!H152)</f>
        <v>0</v>
      </c>
      <c r="I152" s="93">
        <f>SUM('3:23'!I152)</f>
        <v>0</v>
      </c>
      <c r="J152" s="31"/>
      <c r="K152" s="35"/>
      <c r="L152" s="87">
        <v>6</v>
      </c>
      <c r="M152" s="36"/>
      <c r="N152" s="93">
        <f>SUM('3:23'!N152)</f>
        <v>0</v>
      </c>
      <c r="O152" s="93">
        <f>SUM('3:23'!O152)</f>
        <v>0</v>
      </c>
      <c r="P152" s="93">
        <f>SUM('3:23'!P152)</f>
        <v>0</v>
      </c>
      <c r="Q152" s="93">
        <f>SUM('3:23'!Q152)</f>
        <v>0</v>
      </c>
      <c r="R152" s="93">
        <f>SUM('3:23'!R152)</f>
        <v>0</v>
      </c>
      <c r="S152" s="93">
        <f>SUM('3:23'!S152)</f>
        <v>0</v>
      </c>
      <c r="T152" s="93">
        <f>SUM('3:23'!T152)</f>
        <v>0</v>
      </c>
      <c r="U152" s="93">
        <f>SUM('3:23'!U152)</f>
        <v>0</v>
      </c>
      <c r="V152" s="206"/>
      <c r="W152" s="33"/>
      <c r="X152" s="93">
        <f>SUM('3:23'!X152)</f>
        <v>0</v>
      </c>
      <c r="Y152" s="93">
        <f>SUM('3:23'!Y152)</f>
        <v>0</v>
      </c>
      <c r="Z152" s="93">
        <f>SUM('3:23'!Z152)</f>
        <v>0</v>
      </c>
      <c r="AA152" s="93">
        <f>SUM('3:23'!AA152)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305"/>
      <c r="B153" s="281" t="s">
        <v>239</v>
      </c>
      <c r="C153" s="335" t="s">
        <v>53</v>
      </c>
      <c r="D153" s="17">
        <v>6.04</v>
      </c>
      <c r="E153" s="17"/>
      <c r="F153" s="6"/>
      <c r="G153" s="93">
        <f>SUM('3:23'!G153)</f>
        <v>0</v>
      </c>
      <c r="H153" s="93">
        <f>SUM('3:23'!H153)</f>
        <v>0</v>
      </c>
      <c r="I153" s="93">
        <f>SUM('3:23'!I153)</f>
        <v>0</v>
      </c>
      <c r="J153" s="31" t="str">
        <f t="array" ref="J153">IF(ISERROR(G153/I153),"",G153/I153)</f>
        <v/>
      </c>
      <c r="K153" s="35">
        <f t="array" ref="K153">IF(ISERROR(G153/L153),"",G153/L153)</f>
        <v>0</v>
      </c>
      <c r="L153" s="87">
        <v>6</v>
      </c>
      <c r="M153" s="36">
        <f t="shared" ref="M153:M154" si="52">IF(ISERROR(I153-K153),"",I153-K153)</f>
        <v>0</v>
      </c>
      <c r="N153" s="93">
        <f>SUM('3:23'!N153)</f>
        <v>0</v>
      </c>
      <c r="O153" s="93">
        <f>SUM('3:23'!O153)</f>
        <v>0</v>
      </c>
      <c r="P153" s="93">
        <f>SUM('3:23'!P153)</f>
        <v>0</v>
      </c>
      <c r="Q153" s="93">
        <f>SUM('3:23'!Q153)</f>
        <v>0</v>
      </c>
      <c r="R153" s="93">
        <f>SUM('3:23'!R153)</f>
        <v>0</v>
      </c>
      <c r="S153" s="93">
        <f>SUM('3:23'!S153)</f>
        <v>0</v>
      </c>
      <c r="T153" s="93">
        <f>SUM('3:23'!T153)</f>
        <v>0</v>
      </c>
      <c r="U153" s="93">
        <f>SUM('3:23'!U153)</f>
        <v>0</v>
      </c>
      <c r="V153" s="206">
        <f t="shared" ref="V153:V154" si="53">SUM(X153:AA153)</f>
        <v>0</v>
      </c>
      <c r="W153" s="33" t="str">
        <f t="shared" ref="W153:W154" si="54">IF(ISERROR(V153/G153),"",V153/G153)</f>
        <v/>
      </c>
      <c r="X153" s="93">
        <f>SUM('3:23'!X153)</f>
        <v>0</v>
      </c>
      <c r="Y153" s="93">
        <f>SUM('3:23'!Y153)</f>
        <v>0</v>
      </c>
      <c r="Z153" s="93">
        <f>SUM('3:23'!Z153)</f>
        <v>0</v>
      </c>
      <c r="AA153" s="93">
        <f>SUM('3:23'!AA153)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305">
        <v>30700019</v>
      </c>
      <c r="B154" s="66" t="s">
        <v>104</v>
      </c>
      <c r="C154" s="335" t="s">
        <v>60</v>
      </c>
      <c r="D154" s="17">
        <v>6.04</v>
      </c>
      <c r="E154" s="17"/>
      <c r="F154" s="6"/>
      <c r="G154" s="93">
        <f>SUM('3:23'!G154)</f>
        <v>0</v>
      </c>
      <c r="H154" s="93">
        <f>SUM('3:23'!H154)</f>
        <v>0</v>
      </c>
      <c r="I154" s="93">
        <f>SUM('3:23'!I154)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 t="shared" si="52"/>
        <v>0</v>
      </c>
      <c r="N154" s="93">
        <f>SUM('3:23'!N154)</f>
        <v>0</v>
      </c>
      <c r="O154" s="93">
        <f>SUM('3:23'!O154)</f>
        <v>0</v>
      </c>
      <c r="P154" s="93">
        <f>SUM('3:23'!P154)</f>
        <v>0</v>
      </c>
      <c r="Q154" s="93">
        <f>SUM('3:23'!Q154)</f>
        <v>0</v>
      </c>
      <c r="R154" s="93">
        <f>SUM('3:23'!R154)</f>
        <v>0</v>
      </c>
      <c r="S154" s="93">
        <f>SUM('3:23'!S154)</f>
        <v>0</v>
      </c>
      <c r="T154" s="93">
        <f>SUM('3:23'!T154)</f>
        <v>0</v>
      </c>
      <c r="U154" s="93">
        <f>SUM('3:23'!U154)</f>
        <v>0</v>
      </c>
      <c r="V154" s="206">
        <f t="shared" si="53"/>
        <v>0</v>
      </c>
      <c r="W154" s="33" t="str">
        <f t="shared" si="54"/>
        <v/>
      </c>
      <c r="X154" s="93">
        <f>SUM('3:23'!X154)</f>
        <v>0</v>
      </c>
      <c r="Y154" s="93">
        <f>SUM('3:23'!Y154)</f>
        <v>0</v>
      </c>
      <c r="Z154" s="93">
        <f>SUM('3:23'!Z154)</f>
        <v>0</v>
      </c>
      <c r="AA154" s="93">
        <f>SUM('3:23'!AA154)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305">
        <v>30601015</v>
      </c>
      <c r="B155" s="281" t="s">
        <v>443</v>
      </c>
      <c r="C155" s="335" t="s">
        <v>53</v>
      </c>
      <c r="D155" s="17">
        <v>6</v>
      </c>
      <c r="E155" s="17"/>
      <c r="F155" s="6"/>
      <c r="G155" s="93">
        <f>SUM('3:23'!G155)</f>
        <v>224</v>
      </c>
      <c r="H155" s="93">
        <f>SUM('3:23'!H155)</f>
        <v>1344</v>
      </c>
      <c r="I155" s="93">
        <f>SUM('3:23'!I155)</f>
        <v>52</v>
      </c>
      <c r="J155" s="31"/>
      <c r="K155" s="35"/>
      <c r="L155" s="87"/>
      <c r="M155" s="36"/>
      <c r="N155" s="93"/>
      <c r="O155" s="93"/>
      <c r="P155" s="93"/>
      <c r="Q155" s="93"/>
      <c r="R155" s="93"/>
      <c r="S155" s="93"/>
      <c r="T155" s="93"/>
      <c r="U155" s="93"/>
      <c r="V155" s="206"/>
      <c r="W155" s="33"/>
      <c r="X155" s="93"/>
      <c r="Y155" s="93"/>
      <c r="Z155" s="93"/>
      <c r="AA155" s="93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305">
        <v>30101016</v>
      </c>
      <c r="B156" s="281" t="s">
        <v>443</v>
      </c>
      <c r="C156" s="335" t="s">
        <v>446</v>
      </c>
      <c r="D156" s="17">
        <v>6</v>
      </c>
      <c r="E156" s="17"/>
      <c r="F156" s="6"/>
      <c r="G156" s="93">
        <f>SUM('3:23'!G156)</f>
        <v>169</v>
      </c>
      <c r="H156" s="93">
        <f>SUM('3:23'!H156)</f>
        <v>1014</v>
      </c>
      <c r="I156" s="93"/>
      <c r="J156" s="31"/>
      <c r="K156" s="35"/>
      <c r="L156" s="87">
        <v>6</v>
      </c>
      <c r="M156" s="36"/>
      <c r="N156" s="93"/>
      <c r="O156" s="93"/>
      <c r="P156" s="93"/>
      <c r="Q156" s="93"/>
      <c r="R156" s="93"/>
      <c r="S156" s="93"/>
      <c r="T156" s="93"/>
      <c r="U156" s="93"/>
      <c r="V156" s="206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299">
        <v>30700018</v>
      </c>
      <c r="B157" s="61" t="s">
        <v>159</v>
      </c>
      <c r="C157" s="16"/>
      <c r="D157" s="17">
        <v>7.3</v>
      </c>
      <c r="E157" s="17"/>
      <c r="F157" s="6"/>
      <c r="G157" s="93">
        <f>SUM('3:23'!G157)</f>
        <v>0</v>
      </c>
      <c r="H157" s="93">
        <f>SUM('3:23'!H157)</f>
        <v>0</v>
      </c>
      <c r="I157" s="93">
        <f>SUM('3:23'!I157)</f>
        <v>0</v>
      </c>
      <c r="J157" s="31" t="str">
        <f t="array" ref="J157">IF(ISERROR(G157/I157),"",G157/I157)</f>
        <v/>
      </c>
      <c r="K157" s="35" t="str">
        <f t="array" ref="K157">IF(ISERROR(G157/L157),"",G157/L157)</f>
        <v/>
      </c>
      <c r="L157" s="87"/>
      <c r="M157" s="36" t="str">
        <f t="shared" ref="M157:M158" si="55">IF(ISERROR(I157-K157),"",I157-K157)</f>
        <v/>
      </c>
      <c r="N157" s="93">
        <f>SUM('3:23'!N157)</f>
        <v>0</v>
      </c>
      <c r="O157" s="93">
        <f>SUM('3:23'!O157)</f>
        <v>0</v>
      </c>
      <c r="P157" s="93">
        <f>SUM('3:23'!P157)</f>
        <v>0</v>
      </c>
      <c r="Q157" s="93">
        <f>SUM('3:23'!Q157)</f>
        <v>0</v>
      </c>
      <c r="R157" s="93">
        <f>SUM('3:23'!R157)</f>
        <v>0</v>
      </c>
      <c r="S157" s="93">
        <f>SUM('3:23'!S157)</f>
        <v>0</v>
      </c>
      <c r="T157" s="93">
        <f>SUM('3:23'!T157)</f>
        <v>0</v>
      </c>
      <c r="U157" s="93">
        <f>SUM('3:23'!U157)</f>
        <v>0</v>
      </c>
      <c r="V157" s="206">
        <f t="shared" ref="V157:V158" si="56">SUM(X157:AA157)</f>
        <v>0</v>
      </c>
      <c r="W157" s="33" t="str">
        <f t="shared" ref="W157:W158" si="57">IF(ISERROR(V157/G157),"",V157/G157)</f>
        <v/>
      </c>
      <c r="X157" s="93">
        <f>SUM('3:23'!X157)</f>
        <v>0</v>
      </c>
      <c r="Y157" s="93">
        <f>SUM('3:23'!Y157)</f>
        <v>0</v>
      </c>
      <c r="Z157" s="93">
        <f>SUM('3:23'!Z157)</f>
        <v>0</v>
      </c>
      <c r="AA157" s="93">
        <f>SUM('3:23'!AA157)</f>
        <v>0</v>
      </c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99">
        <v>30700010</v>
      </c>
      <c r="B158" s="61" t="s">
        <v>105</v>
      </c>
      <c r="C158" s="16"/>
      <c r="D158" s="17">
        <f>78*120/1000</f>
        <v>9.36</v>
      </c>
      <c r="E158" s="17"/>
      <c r="F158" s="6"/>
      <c r="G158" s="93">
        <f>SUM('3:23'!G158)</f>
        <v>0</v>
      </c>
      <c r="H158" s="93">
        <f>SUM('3:23'!H158)</f>
        <v>0</v>
      </c>
      <c r="I158" s="93">
        <f>SUM('3:23'!I158)</f>
        <v>0</v>
      </c>
      <c r="J158" s="31" t="str">
        <f t="array" ref="J158">IF(ISERROR(G158/I158),"",G158/I158)</f>
        <v/>
      </c>
      <c r="K158" s="35">
        <f t="array" ref="K158">IF(ISERROR(G158/L158),"",G158/L158)</f>
        <v>0</v>
      </c>
      <c r="L158" s="87">
        <v>5.5</v>
      </c>
      <c r="M158" s="36">
        <f t="shared" si="55"/>
        <v>0</v>
      </c>
      <c r="N158" s="93">
        <f>SUM('3:23'!N158)</f>
        <v>0</v>
      </c>
      <c r="O158" s="93">
        <f>SUM('3:23'!O158)</f>
        <v>0</v>
      </c>
      <c r="P158" s="93">
        <f>SUM('3:23'!P158)</f>
        <v>0</v>
      </c>
      <c r="Q158" s="93">
        <f>SUM('3:23'!Q158)</f>
        <v>0</v>
      </c>
      <c r="R158" s="93">
        <f>SUM('3:23'!R158)</f>
        <v>0</v>
      </c>
      <c r="S158" s="93">
        <f>SUM('3:23'!S158)</f>
        <v>0</v>
      </c>
      <c r="T158" s="93">
        <f>SUM('3:23'!T158)</f>
        <v>0</v>
      </c>
      <c r="U158" s="93">
        <f>SUM('3:23'!U158)</f>
        <v>0</v>
      </c>
      <c r="V158" s="206">
        <f t="shared" si="56"/>
        <v>0</v>
      </c>
      <c r="W158" s="33" t="str">
        <f t="shared" si="57"/>
        <v/>
      </c>
      <c r="X158" s="93">
        <f>SUM('3:23'!X158)</f>
        <v>0</v>
      </c>
      <c r="Y158" s="93">
        <f>SUM('3:23'!Y158)</f>
        <v>0</v>
      </c>
      <c r="Z158" s="93">
        <f>SUM('3:23'!Z158)</f>
        <v>0</v>
      </c>
      <c r="AA158" s="93">
        <f>SUM('3:23'!AA158)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99">
        <v>30700015</v>
      </c>
      <c r="B159" s="336" t="s">
        <v>159</v>
      </c>
      <c r="C159" s="16"/>
      <c r="D159" s="17">
        <v>4.5</v>
      </c>
      <c r="E159" s="17"/>
      <c r="F159" s="6"/>
      <c r="G159" s="93">
        <f>SUM('3:23'!G159)</f>
        <v>0</v>
      </c>
      <c r="H159" s="93">
        <f>SUM('3:23'!H159)</f>
        <v>0</v>
      </c>
      <c r="I159" s="93">
        <f>SUM('3:23'!I159)</f>
        <v>0</v>
      </c>
      <c r="J159" s="31"/>
      <c r="K159" s="35">
        <f t="array" ref="K159">IF(ISERROR(G159/L159),"",G159/L159)</f>
        <v>0</v>
      </c>
      <c r="L159" s="87">
        <v>6.5</v>
      </c>
      <c r="M159" s="36">
        <f>IF(ISERROR(I159-K159),"",I159-K159)</f>
        <v>0</v>
      </c>
      <c r="N159" s="93">
        <f>SUM('3:23'!N159)</f>
        <v>0</v>
      </c>
      <c r="O159" s="93">
        <f>SUM('3:23'!O159)</f>
        <v>0</v>
      </c>
      <c r="P159" s="93">
        <f>SUM('3:23'!P159)</f>
        <v>0</v>
      </c>
      <c r="Q159" s="93">
        <f>SUM('3:23'!Q159)</f>
        <v>0</v>
      </c>
      <c r="R159" s="93">
        <f>SUM('3:23'!R159)</f>
        <v>0</v>
      </c>
      <c r="S159" s="93">
        <f>SUM('3:23'!S159)</f>
        <v>0</v>
      </c>
      <c r="T159" s="93">
        <f>SUM('3:23'!T159)</f>
        <v>0</v>
      </c>
      <c r="U159" s="93">
        <f>SUM('3:23'!U159)</f>
        <v>0</v>
      </c>
      <c r="V159" s="206"/>
      <c r="W159" s="33"/>
      <c r="X159" s="93">
        <f>SUM('3:23'!X159)</f>
        <v>0</v>
      </c>
      <c r="Y159" s="93">
        <f>SUM('3:23'!Y159)</f>
        <v>0</v>
      </c>
      <c r="Z159" s="93">
        <f>SUM('3:23'!Z159)</f>
        <v>0</v>
      </c>
      <c r="AA159" s="93">
        <f>SUM('3:23'!AA159)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99">
        <v>30700012</v>
      </c>
      <c r="B160" s="336" t="s">
        <v>160</v>
      </c>
      <c r="C160" s="16"/>
      <c r="D160" s="17">
        <v>4.5</v>
      </c>
      <c r="E160" s="17"/>
      <c r="F160" s="6"/>
      <c r="G160" s="93">
        <f>SUM('3:23'!G160)</f>
        <v>0</v>
      </c>
      <c r="H160" s="93">
        <f>SUM('3:23'!H160)</f>
        <v>0</v>
      </c>
      <c r="I160" s="93">
        <f>SUM('3:23'!I160)</f>
        <v>0</v>
      </c>
      <c r="J160" s="31"/>
      <c r="K160" s="35">
        <f t="array" ref="K160">IF(ISERROR(G160/L160),"",G160/L160)</f>
        <v>0</v>
      </c>
      <c r="L160" s="87">
        <v>7.5</v>
      </c>
      <c r="M160" s="36">
        <f>IF(ISERROR(I160-K160),"",I160-K160)</f>
        <v>0</v>
      </c>
      <c r="N160" s="93">
        <f>SUM('3:23'!N160)</f>
        <v>0</v>
      </c>
      <c r="O160" s="93">
        <f>SUM('3:23'!O160)</f>
        <v>0</v>
      </c>
      <c r="P160" s="93">
        <f>SUM('3:23'!P160)</f>
        <v>0</v>
      </c>
      <c r="Q160" s="93">
        <f>SUM('3:23'!Q160)</f>
        <v>0</v>
      </c>
      <c r="R160" s="93">
        <f>SUM('3:23'!R160)</f>
        <v>0</v>
      </c>
      <c r="S160" s="93">
        <f>SUM('3:23'!S160)</f>
        <v>0</v>
      </c>
      <c r="T160" s="93">
        <f>SUM('3:23'!T160)</f>
        <v>0</v>
      </c>
      <c r="U160" s="93">
        <f>SUM('3:23'!U160)</f>
        <v>0</v>
      </c>
      <c r="V160" s="206"/>
      <c r="W160" s="33"/>
      <c r="X160" s="93">
        <f>SUM('3:23'!X160)</f>
        <v>0</v>
      </c>
      <c r="Y160" s="93">
        <f>SUM('3:23'!Y160)</f>
        <v>0</v>
      </c>
      <c r="Z160" s="93">
        <f>SUM('3:23'!Z160)</f>
        <v>0</v>
      </c>
      <c r="AA160" s="93">
        <f>SUM('3:23'!AA160)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306">
        <v>30101063</v>
      </c>
      <c r="B161" s="254" t="s">
        <v>437</v>
      </c>
      <c r="C161" s="16"/>
      <c r="D161" s="17">
        <v>5.03</v>
      </c>
      <c r="E161" s="17"/>
      <c r="F161" s="6"/>
      <c r="G161" s="93">
        <f>SUM('3:23'!G161)</f>
        <v>0</v>
      </c>
      <c r="H161" s="93">
        <f>SUM('3:23'!H161)</f>
        <v>0</v>
      </c>
      <c r="I161" s="93">
        <f>SUM('3:23'!I161)</f>
        <v>0</v>
      </c>
      <c r="J161" s="31"/>
      <c r="K161" s="35"/>
      <c r="L161" s="87"/>
      <c r="M161" s="36"/>
      <c r="N161" s="93"/>
      <c r="O161" s="93"/>
      <c r="P161" s="93"/>
      <c r="Q161" s="93"/>
      <c r="R161" s="93"/>
      <c r="S161" s="93"/>
      <c r="T161" s="93"/>
      <c r="U161" s="93"/>
      <c r="V161" s="206"/>
      <c r="W161" s="33"/>
      <c r="X161" s="93"/>
      <c r="Y161" s="93"/>
      <c r="Z161" s="93"/>
      <c r="AA161" s="93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725" t="s">
        <v>106</v>
      </c>
      <c r="B162" s="726"/>
      <c r="C162" s="342" t="s">
        <v>71</v>
      </c>
      <c r="D162" s="20"/>
      <c r="E162" s="20"/>
      <c r="F162" s="32"/>
      <c r="G162" s="94">
        <f>SUM(G148:G161)</f>
        <v>789</v>
      </c>
      <c r="H162" s="30">
        <f>SUM(H148:H161)</f>
        <v>4222.8</v>
      </c>
      <c r="I162" s="30">
        <f>SUM(I148:I161)</f>
        <v>125.5</v>
      </c>
      <c r="J162" s="31">
        <f t="array" ref="J162">IF(ISERROR(G162/I162),"",G162/I162)</f>
        <v>6.286852589641434</v>
      </c>
      <c r="K162" s="30">
        <f>SUM(K148:K158)</f>
        <v>69.895052473763116</v>
      </c>
      <c r="L162" s="98"/>
      <c r="M162" s="89">
        <f t="shared" ref="M162:V162" si="58">SUM(M148:M158)</f>
        <v>3.6049475262368791</v>
      </c>
      <c r="N162" s="20">
        <f t="shared" si="58"/>
        <v>0</v>
      </c>
      <c r="O162" s="91">
        <f t="shared" si="58"/>
        <v>0</v>
      </c>
      <c r="P162" s="91">
        <f t="shared" si="58"/>
        <v>0</v>
      </c>
      <c r="Q162" s="91">
        <f t="shared" si="58"/>
        <v>0</v>
      </c>
      <c r="R162" s="91">
        <f t="shared" si="58"/>
        <v>0</v>
      </c>
      <c r="S162" s="92">
        <f t="shared" si="58"/>
        <v>0</v>
      </c>
      <c r="T162" s="91">
        <f t="shared" si="58"/>
        <v>0</v>
      </c>
      <c r="U162" s="91">
        <f t="shared" si="58"/>
        <v>0</v>
      </c>
      <c r="V162" s="206">
        <f t="shared" si="58"/>
        <v>0</v>
      </c>
      <c r="W162" s="33">
        <f t="shared" ref="W162" si="59">IF(ISERROR(V162/G162),"",V162/G162)</f>
        <v>0</v>
      </c>
      <c r="X162" s="92">
        <f>SUM(X148:X158)</f>
        <v>0</v>
      </c>
      <c r="Y162" s="92">
        <f>SUM(Y148:Y158)</f>
        <v>0</v>
      </c>
      <c r="Z162" s="92">
        <f>SUM(Z148:Z158)</f>
        <v>0</v>
      </c>
      <c r="AA162" s="92">
        <f>SUM(AA148:AA158)</f>
        <v>0</v>
      </c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736" t="s">
        <v>108</v>
      </c>
      <c r="B163" s="737"/>
      <c r="C163" s="737"/>
      <c r="D163" s="737"/>
      <c r="E163" s="737"/>
      <c r="F163" s="738"/>
      <c r="G163" s="193">
        <f>SUM(G28,G86,G121,G137,G147,G162)</f>
        <v>60125</v>
      </c>
      <c r="H163" s="193">
        <f>SUM(H28,H86,H121,H137,H147,H162)</f>
        <v>297326.03000000003</v>
      </c>
      <c r="I163" s="193">
        <f>SUM(I28,I86,I121,I137,I147,I162)</f>
        <v>3132.4700000000003</v>
      </c>
      <c r="J163" s="52">
        <f t="array" ref="J163">IF(ISERROR(G163/I163),"",G163/I163)</f>
        <v>19.19411837942582</v>
      </c>
      <c r="K163" s="193">
        <f>SUM(K28,K86,K121,K137,K147,K162)</f>
        <v>3353.4894681205783</v>
      </c>
      <c r="L163" s="52">
        <f>IF(ISERROR(G163/K163),"",G163/K163)</f>
        <v>17.9290856797282</v>
      </c>
      <c r="M163" s="193">
        <f t="shared" ref="M163:AA163" si="60">SUM(M28,M86,M121,M137,M147,M162)</f>
        <v>-349.32184703795747</v>
      </c>
      <c r="N163" s="193">
        <f t="shared" si="60"/>
        <v>0</v>
      </c>
      <c r="O163" s="193">
        <f t="shared" si="60"/>
        <v>0</v>
      </c>
      <c r="P163" s="193">
        <f t="shared" si="60"/>
        <v>0</v>
      </c>
      <c r="Q163" s="193">
        <f t="shared" si="60"/>
        <v>0</v>
      </c>
      <c r="R163" s="193">
        <f t="shared" si="60"/>
        <v>0</v>
      </c>
      <c r="S163" s="193">
        <f t="shared" si="60"/>
        <v>0</v>
      </c>
      <c r="T163" s="193">
        <f t="shared" si="60"/>
        <v>0</v>
      </c>
      <c r="U163" s="193">
        <f t="shared" si="60"/>
        <v>0</v>
      </c>
      <c r="V163" s="193">
        <f t="shared" si="60"/>
        <v>0</v>
      </c>
      <c r="W163" s="193">
        <f t="shared" si="60"/>
        <v>0</v>
      </c>
      <c r="X163" s="193">
        <f t="shared" si="60"/>
        <v>0</v>
      </c>
      <c r="Y163" s="193">
        <f t="shared" si="60"/>
        <v>0</v>
      </c>
      <c r="Z163" s="193">
        <f t="shared" si="60"/>
        <v>0</v>
      </c>
      <c r="AA163" s="193">
        <f t="shared" si="60"/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 ht="15.75" customHeight="1">
      <c r="A164" s="635" t="s">
        <v>503</v>
      </c>
      <c r="B164" s="337" t="s">
        <v>110</v>
      </c>
      <c r="C164" s="739" t="s">
        <v>111</v>
      </c>
      <c r="D164" s="739"/>
      <c r="E164" s="718" t="s">
        <v>112</v>
      </c>
      <c r="F164" s="718"/>
      <c r="G164" s="729" t="s">
        <v>113</v>
      </c>
      <c r="H164" s="729"/>
      <c r="I164" s="718" t="s">
        <v>114</v>
      </c>
      <c r="J164" s="718"/>
      <c r="K164" s="718" t="s">
        <v>36</v>
      </c>
      <c r="L164" s="718"/>
      <c r="M164" s="718" t="s">
        <v>115</v>
      </c>
      <c r="N164" s="718"/>
      <c r="O164" s="718" t="s">
        <v>116</v>
      </c>
      <c r="P164" s="729" t="s">
        <v>117</v>
      </c>
      <c r="Q164" s="729"/>
      <c r="R164" s="729" t="s">
        <v>36</v>
      </c>
      <c r="S164" s="729"/>
      <c r="T164" s="729" t="s">
        <v>118</v>
      </c>
      <c r="U164" s="729"/>
      <c r="V164" s="729" t="s">
        <v>119</v>
      </c>
      <c r="W164" s="729"/>
      <c r="X164" s="729" t="s">
        <v>36</v>
      </c>
      <c r="Y164" s="729"/>
      <c r="Z164" s="729" t="s">
        <v>118</v>
      </c>
      <c r="AA164" s="729"/>
      <c r="AE164" s="14"/>
      <c r="AF164" s="14"/>
      <c r="AG164" s="3"/>
      <c r="AH164" s="34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21"/>
      <c r="AV164" s="21"/>
      <c r="AW164" s="21"/>
      <c r="AX164" s="21"/>
      <c r="AY164" s="21"/>
      <c r="AZ164" s="21"/>
      <c r="BA164" s="21"/>
    </row>
    <row r="165" spans="1:106" ht="13.5" customHeight="1">
      <c r="A165" s="636"/>
      <c r="B165" s="337" t="s">
        <v>120</v>
      </c>
      <c r="C165" s="740">
        <f>SUM('3:23'!C165)</f>
        <v>21</v>
      </c>
      <c r="D165" s="741"/>
      <c r="E165" s="742">
        <f>D165*11</f>
        <v>0</v>
      </c>
      <c r="F165" s="742"/>
      <c r="G165" s="740">
        <f>SUM('3:23'!G165)</f>
        <v>21</v>
      </c>
      <c r="H165" s="741"/>
      <c r="I165" s="718">
        <f>G165*11</f>
        <v>231</v>
      </c>
      <c r="J165" s="718"/>
      <c r="K165" s="718">
        <f>E165-I165</f>
        <v>-231</v>
      </c>
      <c r="L165" s="718"/>
      <c r="M165" s="743" t="str">
        <f>IF(ISERROR(K165/E165),"",K165/E165)</f>
        <v/>
      </c>
      <c r="N165" s="743"/>
      <c r="O165" s="718"/>
      <c r="P165" s="729" t="s">
        <v>70</v>
      </c>
      <c r="Q165" s="729"/>
      <c r="R165" s="744">
        <f>SUM(O28:U28)</f>
        <v>0</v>
      </c>
      <c r="S165" s="744"/>
      <c r="T165" s="745" t="str">
        <f t="array" ref="T165">IF(ISERROR(R165/R172),"",R165/R172)</f>
        <v/>
      </c>
      <c r="U165" s="745"/>
      <c r="V165" s="729" t="s">
        <v>41</v>
      </c>
      <c r="W165" s="729"/>
      <c r="X165" s="744">
        <f>SUM(P27,P85,P120,P136,P146,P160)</f>
        <v>0</v>
      </c>
      <c r="Y165" s="744"/>
      <c r="Z165" s="745" t="str">
        <f t="array" ref="Z165">IF(ISERROR(X165/X172),"",X165/X172)</f>
        <v/>
      </c>
      <c r="AA165" s="745"/>
      <c r="AE165" s="14"/>
      <c r="AF165" s="14"/>
      <c r="AG165" s="3"/>
      <c r="AH165" s="346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>
      <c r="A166" s="636"/>
      <c r="B166" s="337" t="s">
        <v>121</v>
      </c>
      <c r="C166" s="740">
        <f>SUM('3:23'!C166)</f>
        <v>21</v>
      </c>
      <c r="D166" s="741"/>
      <c r="E166" s="742">
        <f>D166*11</f>
        <v>0</v>
      </c>
      <c r="F166" s="742"/>
      <c r="G166" s="740">
        <f>SUM('3:23'!G166)</f>
        <v>21</v>
      </c>
      <c r="H166" s="741"/>
      <c r="I166" s="718">
        <f>G166*11</f>
        <v>231</v>
      </c>
      <c r="J166" s="718"/>
      <c r="K166" s="718">
        <f>E166-I166</f>
        <v>-231</v>
      </c>
      <c r="L166" s="718"/>
      <c r="M166" s="743" t="str">
        <f>IF(ISERROR(K166/E166),"",K166/E166)</f>
        <v/>
      </c>
      <c r="N166" s="743"/>
      <c r="O166" s="718"/>
      <c r="P166" s="729" t="s">
        <v>86</v>
      </c>
      <c r="Q166" s="729"/>
      <c r="R166" s="744">
        <f>SUM(O86:U86)</f>
        <v>0</v>
      </c>
      <c r="S166" s="744"/>
      <c r="T166" s="745" t="str">
        <f>IF(ISERROR(R166/R172),"",R166/R172)</f>
        <v/>
      </c>
      <c r="U166" s="745"/>
      <c r="V166" s="729" t="s">
        <v>42</v>
      </c>
      <c r="W166" s="729"/>
      <c r="X166" s="744">
        <f>SUM(P28,P86,P121,P137,P147,P162)</f>
        <v>0</v>
      </c>
      <c r="Y166" s="744"/>
      <c r="Z166" s="745" t="str">
        <f>IF(ISERROR(X166/X172),"",X166/X172)</f>
        <v/>
      </c>
      <c r="AA166" s="745"/>
      <c r="AE166" s="14"/>
      <c r="AF166" s="14"/>
      <c r="AG166" s="3"/>
      <c r="AH166" s="346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636"/>
      <c r="B167" s="337" t="s">
        <v>122</v>
      </c>
      <c r="C167" s="740">
        <f>SUM('3:23'!C167)</f>
        <v>21</v>
      </c>
      <c r="D167" s="741"/>
      <c r="E167" s="742">
        <f>D167*11</f>
        <v>0</v>
      </c>
      <c r="F167" s="742"/>
      <c r="G167" s="740">
        <f>SUM('3:23'!G167)</f>
        <v>21</v>
      </c>
      <c r="H167" s="741"/>
      <c r="I167" s="718">
        <f>G167*8</f>
        <v>168</v>
      </c>
      <c r="J167" s="718"/>
      <c r="K167" s="718">
        <f>E167-I167</f>
        <v>-168</v>
      </c>
      <c r="L167" s="718"/>
      <c r="M167" s="743" t="str">
        <f>IF(ISERROR(K167/E167),"",K167/E167)</f>
        <v/>
      </c>
      <c r="N167" s="743"/>
      <c r="O167" s="718"/>
      <c r="P167" s="729" t="s">
        <v>92</v>
      </c>
      <c r="Q167" s="729"/>
      <c r="R167" s="744">
        <f>SUM(O121:U121)</f>
        <v>0</v>
      </c>
      <c r="S167" s="744"/>
      <c r="T167" s="745" t="str">
        <f>IF(ISERROR(R167/R172),"",R167/R172)</f>
        <v/>
      </c>
      <c r="U167" s="745"/>
      <c r="V167" s="729" t="s">
        <v>43</v>
      </c>
      <c r="W167" s="729"/>
      <c r="X167" s="744">
        <f>SUM(P29,P87,P122,P138,P148,P163)</f>
        <v>0</v>
      </c>
      <c r="Y167" s="744"/>
      <c r="Z167" s="745" t="str">
        <f>IF(ISERROR(X167/X172),"",X167/X172)</f>
        <v/>
      </c>
      <c r="AA167" s="745"/>
      <c r="AE167" s="14"/>
      <c r="AF167" s="14"/>
      <c r="AG167" s="346"/>
      <c r="AH167" s="346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636"/>
      <c r="B168" s="337" t="s">
        <v>47</v>
      </c>
      <c r="C168" s="740">
        <f>SUM('3:23'!C168)</f>
        <v>21</v>
      </c>
      <c r="D168" s="741"/>
      <c r="E168" s="742">
        <f>D168*11</f>
        <v>0</v>
      </c>
      <c r="F168" s="742"/>
      <c r="G168" s="740">
        <f>SUM('3:23'!G168)</f>
        <v>21</v>
      </c>
      <c r="H168" s="741"/>
      <c r="I168" s="718">
        <f>G168*11</f>
        <v>231</v>
      </c>
      <c r="J168" s="718"/>
      <c r="K168" s="718">
        <f>E168-I168</f>
        <v>-231</v>
      </c>
      <c r="L168" s="718"/>
      <c r="M168" s="743" t="str">
        <f>IF(ISERROR(K168/E168),"",K168/E168)</f>
        <v/>
      </c>
      <c r="N168" s="743"/>
      <c r="O168" s="718"/>
      <c r="P168" s="729" t="s">
        <v>99</v>
      </c>
      <c r="Q168" s="729"/>
      <c r="R168" s="744">
        <f>SUM(O137:U137)</f>
        <v>0</v>
      </c>
      <c r="S168" s="744"/>
      <c r="T168" s="745" t="str">
        <f>IF(ISERROR(R168/R172),"",R168/R172)</f>
        <v/>
      </c>
      <c r="U168" s="745"/>
      <c r="V168" s="729" t="s">
        <v>44</v>
      </c>
      <c r="W168" s="729"/>
      <c r="X168" s="744">
        <f>SUM(P31,P88,P123,P139,P149,P164)</f>
        <v>0</v>
      </c>
      <c r="Y168" s="744"/>
      <c r="Z168" s="745" t="str">
        <f>IF(ISERROR(X168/X172),"",X168/X172)</f>
        <v/>
      </c>
      <c r="AA168" s="745"/>
      <c r="AE168" s="14"/>
      <c r="AF168" s="14"/>
      <c r="AG168" s="346"/>
      <c r="AH168" s="346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637"/>
      <c r="B169" s="337" t="s">
        <v>123</v>
      </c>
      <c r="C169" s="747">
        <f>SUM(C165:D168)</f>
        <v>84</v>
      </c>
      <c r="D169" s="718"/>
      <c r="E169" s="718">
        <f>SUM(F165:F168)</f>
        <v>0</v>
      </c>
      <c r="F169" s="718"/>
      <c r="G169" s="747">
        <f>SUM(G165:H168)</f>
        <v>84</v>
      </c>
      <c r="H169" s="718"/>
      <c r="I169" s="718">
        <f>SUM(I165:J168)</f>
        <v>861</v>
      </c>
      <c r="J169" s="718"/>
      <c r="K169" s="718">
        <f>SUM(K165:L168)</f>
        <v>-861</v>
      </c>
      <c r="L169" s="718"/>
      <c r="M169" s="743" t="str">
        <f>IF(ISERROR(K169/E169),"",K169/E169)</f>
        <v/>
      </c>
      <c r="N169" s="743"/>
      <c r="O169" s="718"/>
      <c r="P169" s="729" t="s">
        <v>102</v>
      </c>
      <c r="Q169" s="729"/>
      <c r="R169" s="744">
        <f>SUM(O147:U147)</f>
        <v>0</v>
      </c>
      <c r="S169" s="744"/>
      <c r="T169" s="745" t="str">
        <f>IF(ISERROR(R169/R172),"",R169/R172)</f>
        <v/>
      </c>
      <c r="U169" s="745"/>
      <c r="V169" s="729" t="s">
        <v>45</v>
      </c>
      <c r="W169" s="729"/>
      <c r="X169" s="744">
        <f>SUM(P32,P89,P124,P140,P150,P165)</f>
        <v>0</v>
      </c>
      <c r="Y169" s="744"/>
      <c r="Z169" s="745" t="str">
        <f>IF(ISERROR(X169/X172),"",X169/X172)</f>
        <v/>
      </c>
      <c r="AA169" s="745"/>
      <c r="AE169" s="14"/>
      <c r="AF169" s="14"/>
      <c r="AG169" s="346"/>
      <c r="AH169" s="346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343"/>
      <c r="AV169" s="343"/>
      <c r="AW169" s="343"/>
      <c r="AX169" s="343"/>
      <c r="AY169" s="343"/>
      <c r="AZ169" s="343"/>
      <c r="BA169" s="343"/>
    </row>
    <row r="170" spans="1:106" ht="17.25">
      <c r="A170" s="309" t="s">
        <v>504</v>
      </c>
      <c r="B170" s="337">
        <f>G163</f>
        <v>60125</v>
      </c>
      <c r="C170" s="744" t="s">
        <v>155</v>
      </c>
      <c r="D170" s="744"/>
      <c r="E170" s="729">
        <f>H163</f>
        <v>297326.03000000003</v>
      </c>
      <c r="F170" s="729"/>
      <c r="G170" s="729" t="s">
        <v>34</v>
      </c>
      <c r="H170" s="729"/>
      <c r="I170" s="746">
        <f>L163</f>
        <v>17.9290856797282</v>
      </c>
      <c r="J170" s="746"/>
      <c r="K170" s="718" t="s">
        <v>32</v>
      </c>
      <c r="L170" s="718"/>
      <c r="M170" s="746">
        <f>J163</f>
        <v>19.19411837942582</v>
      </c>
      <c r="N170" s="746"/>
      <c r="O170" s="718"/>
      <c r="P170" s="729" t="s">
        <v>106</v>
      </c>
      <c r="Q170" s="729"/>
      <c r="R170" s="744">
        <f>SUM(O162:U162)</f>
        <v>0</v>
      </c>
      <c r="S170" s="744"/>
      <c r="T170" s="745" t="str">
        <f>IF(ISERROR(R170/R172),"",R170/R172)</f>
        <v/>
      </c>
      <c r="U170" s="745"/>
      <c r="V170" s="729" t="s">
        <v>46</v>
      </c>
      <c r="W170" s="729"/>
      <c r="X170" s="744">
        <f>SUM(P33,P90,P125,P141,P151,P166)</f>
        <v>0</v>
      </c>
      <c r="Y170" s="744"/>
      <c r="Z170" s="745" t="str">
        <f>IF(ISERROR(X170/X172),"",X170/X172)</f>
        <v/>
      </c>
      <c r="AA170" s="745"/>
      <c r="AE170" s="14"/>
      <c r="AF170" s="14"/>
      <c r="AG170" s="346"/>
      <c r="AH170" s="346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43"/>
      <c r="AV170" s="343"/>
      <c r="AW170" s="343"/>
      <c r="AX170" s="343"/>
      <c r="AY170" s="343"/>
      <c r="AZ170" s="343"/>
      <c r="BA170" s="343"/>
    </row>
    <row r="171" spans="1:106" ht="17.25">
      <c r="A171" s="310" t="s">
        <v>505</v>
      </c>
      <c r="B171" s="337">
        <f>I163+C169</f>
        <v>3216.4700000000003</v>
      </c>
      <c r="C171" s="729" t="s">
        <v>114</v>
      </c>
      <c r="D171" s="729"/>
      <c r="E171" s="739">
        <f>K163+I169</f>
        <v>4214.4894681205787</v>
      </c>
      <c r="F171" s="739"/>
      <c r="G171" s="729" t="s">
        <v>150</v>
      </c>
      <c r="H171" s="729"/>
      <c r="I171" s="746">
        <f>B171-E171</f>
        <v>-998.01946812057849</v>
      </c>
      <c r="J171" s="746"/>
      <c r="K171" s="718" t="s">
        <v>151</v>
      </c>
      <c r="L171" s="718"/>
      <c r="M171" s="743">
        <f>IF(ISERROR(I171/B171),"",I171/B171)</f>
        <v>-0.31028409036010857</v>
      </c>
      <c r="N171" s="743"/>
      <c r="O171" s="718"/>
      <c r="P171" s="729" t="s">
        <v>107</v>
      </c>
      <c r="Q171" s="729"/>
      <c r="R171" s="744"/>
      <c r="S171" s="744"/>
      <c r="T171" s="745" t="str">
        <f>IF(ISERROR(R171/R172),"",R171/R172)</f>
        <v/>
      </c>
      <c r="U171" s="745"/>
      <c r="V171" s="729" t="s">
        <v>47</v>
      </c>
      <c r="W171" s="729"/>
      <c r="X171" s="744"/>
      <c r="Y171" s="744"/>
      <c r="Z171" s="745" t="str">
        <f>IF(ISERROR(X171/X172),"",X171/X172)</f>
        <v/>
      </c>
      <c r="AA171" s="745"/>
      <c r="AE171" s="14"/>
      <c r="AF171" s="14"/>
      <c r="AG171" s="346"/>
      <c r="AH171" s="346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343"/>
      <c r="AV171" s="343"/>
      <c r="AW171" s="343"/>
      <c r="AX171" s="343"/>
      <c r="AY171" s="343"/>
      <c r="AZ171" s="343"/>
      <c r="BA171" s="343"/>
    </row>
    <row r="172" spans="1:106" ht="15.75" customHeight="1">
      <c r="A172" s="310" t="s">
        <v>507</v>
      </c>
      <c r="B172" s="337">
        <f>N163</f>
        <v>0</v>
      </c>
      <c r="C172" s="729" t="s">
        <v>149</v>
      </c>
      <c r="D172" s="729"/>
      <c r="E172" s="745">
        <f>IF(ISERROR(B172/B171),"",B172/B171)</f>
        <v>0</v>
      </c>
      <c r="F172" s="745"/>
      <c r="G172" s="729" t="s">
        <v>158</v>
      </c>
      <c r="H172" s="729"/>
      <c r="I172" s="718">
        <f>V163</f>
        <v>0</v>
      </c>
      <c r="J172" s="718"/>
      <c r="K172" s="718" t="s">
        <v>156</v>
      </c>
      <c r="L172" s="718"/>
      <c r="M172" s="743">
        <f t="array" ref="M172">IF(ISERROR(I172/B170),"",I172/B170)</f>
        <v>0</v>
      </c>
      <c r="N172" s="743"/>
      <c r="O172" s="718"/>
      <c r="P172" s="729" t="s">
        <v>123</v>
      </c>
      <c r="Q172" s="729"/>
      <c r="R172" s="744">
        <f>SUM(R165:S171)</f>
        <v>0</v>
      </c>
      <c r="S172" s="744"/>
      <c r="T172" s="745">
        <f>SUM(T165:U171)</f>
        <v>0</v>
      </c>
      <c r="U172" s="745"/>
      <c r="V172" s="729" t="s">
        <v>123</v>
      </c>
      <c r="W172" s="729"/>
      <c r="X172" s="744">
        <f>SUM(X165:Y171)</f>
        <v>0</v>
      </c>
      <c r="Y172" s="744"/>
      <c r="Z172" s="745">
        <f>SUM(Z165:AA171)</f>
        <v>0</v>
      </c>
      <c r="AA172" s="745"/>
      <c r="AE172" s="14"/>
      <c r="AF172" s="14"/>
      <c r="AG172" s="346"/>
      <c r="AH172" s="346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343"/>
      <c r="AV172" s="343"/>
      <c r="AW172" s="343"/>
      <c r="AX172" s="343"/>
      <c r="AY172" s="343"/>
      <c r="AZ172" s="343"/>
      <c r="BA172" s="343"/>
    </row>
    <row r="173" spans="1:106">
      <c r="A173" s="748" t="s">
        <v>128</v>
      </c>
      <c r="B173" s="748"/>
      <c r="C173" s="748"/>
      <c r="D173" s="748"/>
      <c r="E173" s="748"/>
      <c r="F173" s="748"/>
      <c r="G173" s="748"/>
      <c r="H173" s="748"/>
      <c r="I173" s="748"/>
      <c r="J173" s="749"/>
      <c r="K173" s="748"/>
      <c r="L173" s="748"/>
      <c r="M173" s="748"/>
      <c r="N173" s="748"/>
      <c r="O173" s="748"/>
      <c r="P173" s="748"/>
      <c r="Q173" s="748"/>
      <c r="R173" s="748"/>
      <c r="S173" s="748"/>
      <c r="T173" s="748"/>
      <c r="U173" s="748"/>
      <c r="V173" s="748"/>
      <c r="W173" s="748"/>
      <c r="X173" s="748"/>
      <c r="Y173" s="748"/>
      <c r="Z173" s="748"/>
      <c r="AA173" s="748"/>
      <c r="AB173" s="748"/>
      <c r="AC173" s="748"/>
      <c r="AD173" s="748"/>
      <c r="AE173" s="748"/>
      <c r="AF173" s="748"/>
      <c r="AG173" s="748"/>
      <c r="AH173" s="748"/>
      <c r="AI173" s="748"/>
      <c r="AJ173" s="748"/>
      <c r="AK173" s="748"/>
      <c r="AL173" s="748"/>
      <c r="AM173" s="748"/>
      <c r="AN173" s="748"/>
      <c r="AO173" s="748"/>
      <c r="AP173" s="748"/>
      <c r="AQ173" s="748"/>
      <c r="AR173" s="748"/>
      <c r="AS173" s="748"/>
      <c r="AT173" s="748"/>
      <c r="AU173" s="748"/>
      <c r="AV173" s="748"/>
      <c r="AW173" s="748"/>
      <c r="AX173" s="748"/>
      <c r="AY173" s="748"/>
      <c r="AZ173" s="748"/>
      <c r="BA173" s="748"/>
    </row>
    <row r="174" spans="1:106">
      <c r="A174" s="656" t="s">
        <v>502</v>
      </c>
      <c r="B174" s="709" t="s">
        <v>25</v>
      </c>
      <c r="C174" s="709" t="s">
        <v>26</v>
      </c>
      <c r="D174" s="709" t="s">
        <v>27</v>
      </c>
      <c r="E174" s="712" t="s">
        <v>28</v>
      </c>
      <c r="F174" s="715" t="s">
        <v>29</v>
      </c>
      <c r="G174" s="718" t="s">
        <v>30</v>
      </c>
      <c r="H174" s="718"/>
      <c r="I174" s="709" t="s">
        <v>31</v>
      </c>
      <c r="J174" s="719" t="s">
        <v>32</v>
      </c>
      <c r="K174" s="730" t="s">
        <v>33</v>
      </c>
      <c r="L174" s="709" t="s">
        <v>34</v>
      </c>
      <c r="M174" s="733" t="s">
        <v>35</v>
      </c>
      <c r="N174" s="727" t="s">
        <v>36</v>
      </c>
      <c r="O174" s="718" t="s">
        <v>37</v>
      </c>
      <c r="P174" s="718"/>
      <c r="Q174" s="718"/>
      <c r="R174" s="718"/>
      <c r="S174" s="718"/>
      <c r="T174" s="718"/>
      <c r="U174" s="718"/>
      <c r="V174" s="735" t="s">
        <v>38</v>
      </c>
      <c r="W174" s="727" t="s">
        <v>39</v>
      </c>
      <c r="X174" s="718" t="s">
        <v>40</v>
      </c>
      <c r="Y174" s="718"/>
      <c r="Z174" s="718"/>
      <c r="AA174" s="718"/>
      <c r="AB174" s="21"/>
      <c r="AC174" s="21"/>
      <c r="AD174" s="21"/>
      <c r="AE174" s="21"/>
      <c r="AF174" s="21"/>
      <c r="AG174" s="21"/>
      <c r="AH174" s="21"/>
      <c r="AI174" s="752"/>
      <c r="AJ174" s="750"/>
      <c r="AK174" s="750"/>
      <c r="AL174" s="750"/>
      <c r="AM174" s="750"/>
      <c r="AN174" s="750"/>
      <c r="AO174" s="750"/>
      <c r="AP174" s="750"/>
      <c r="AQ174" s="750"/>
      <c r="AR174" s="750"/>
      <c r="AS174" s="750"/>
      <c r="AT174" s="750"/>
      <c r="AU174" s="750"/>
      <c r="AV174" s="750"/>
      <c r="AW174" s="750"/>
      <c r="AX174" s="750"/>
      <c r="AY174" s="750"/>
      <c r="AZ174" s="750"/>
      <c r="BA174" s="750"/>
    </row>
    <row r="175" spans="1:106" ht="15.75" customHeight="1">
      <c r="A175" s="657"/>
      <c r="B175" s="710"/>
      <c r="C175" s="710"/>
      <c r="D175" s="710"/>
      <c r="E175" s="713"/>
      <c r="F175" s="716"/>
      <c r="G175" s="718"/>
      <c r="H175" s="718"/>
      <c r="I175" s="710"/>
      <c r="J175" s="720"/>
      <c r="K175" s="731"/>
      <c r="L175" s="710"/>
      <c r="M175" s="734"/>
      <c r="N175" s="727"/>
      <c r="O175" s="718" t="s">
        <v>41</v>
      </c>
      <c r="P175" s="718" t="s">
        <v>42</v>
      </c>
      <c r="Q175" s="718" t="s">
        <v>43</v>
      </c>
      <c r="R175" s="728" t="s">
        <v>44</v>
      </c>
      <c r="S175" s="729" t="s">
        <v>45</v>
      </c>
      <c r="T175" s="718" t="s">
        <v>46</v>
      </c>
      <c r="U175" s="718" t="s">
        <v>47</v>
      </c>
      <c r="V175" s="735"/>
      <c r="W175" s="727"/>
      <c r="X175" s="718" t="s">
        <v>13</v>
      </c>
      <c r="Y175" s="718" t="s">
        <v>48</v>
      </c>
      <c r="Z175" s="718" t="s">
        <v>49</v>
      </c>
      <c r="AA175" s="718" t="s">
        <v>47</v>
      </c>
      <c r="AB175" s="21"/>
      <c r="AC175" s="21"/>
      <c r="AD175" s="21"/>
      <c r="AE175" s="21"/>
      <c r="AF175" s="21"/>
      <c r="AG175" s="21"/>
      <c r="AH175" s="21"/>
      <c r="AI175" s="752"/>
      <c r="AJ175" s="750"/>
      <c r="AK175" s="750"/>
      <c r="AL175" s="750"/>
      <c r="AM175" s="750"/>
      <c r="AN175" s="750"/>
      <c r="AO175" s="750"/>
      <c r="AP175" s="750"/>
      <c r="AQ175" s="750"/>
      <c r="AR175" s="750"/>
      <c r="AS175" s="751"/>
      <c r="AT175" s="751"/>
      <c r="AU175" s="751"/>
      <c r="AV175" s="751"/>
      <c r="AW175" s="751"/>
      <c r="AX175" s="751"/>
      <c r="AY175" s="751"/>
      <c r="AZ175" s="751"/>
      <c r="BA175" s="751"/>
    </row>
    <row r="176" spans="1:106" ht="15.75" customHeight="1">
      <c r="A176" s="658"/>
      <c r="B176" s="711"/>
      <c r="C176" s="711"/>
      <c r="D176" s="711"/>
      <c r="E176" s="714"/>
      <c r="F176" s="717"/>
      <c r="G176" s="335" t="s">
        <v>50</v>
      </c>
      <c r="H176" s="335" t="s">
        <v>51</v>
      </c>
      <c r="I176" s="711"/>
      <c r="J176" s="721"/>
      <c r="K176" s="732"/>
      <c r="L176" s="711"/>
      <c r="M176" s="734"/>
      <c r="N176" s="727"/>
      <c r="O176" s="718"/>
      <c r="P176" s="718"/>
      <c r="Q176" s="718"/>
      <c r="R176" s="728"/>
      <c r="S176" s="729"/>
      <c r="T176" s="718"/>
      <c r="U176" s="718"/>
      <c r="V176" s="735"/>
      <c r="W176" s="727"/>
      <c r="X176" s="718"/>
      <c r="Y176" s="718"/>
      <c r="Z176" s="718"/>
      <c r="AA176" s="718"/>
      <c r="AB176" s="21"/>
      <c r="AC176" s="21"/>
      <c r="AD176" s="21"/>
      <c r="AE176" s="21"/>
      <c r="AF176" s="21"/>
      <c r="AG176" s="21"/>
      <c r="AH176" s="21"/>
      <c r="AI176" s="752"/>
      <c r="AJ176" s="750"/>
      <c r="AK176" s="750"/>
      <c r="AL176" s="343"/>
      <c r="AM176" s="343"/>
      <c r="AN176" s="343"/>
      <c r="AO176" s="343"/>
      <c r="AP176" s="343"/>
      <c r="AQ176" s="343"/>
      <c r="AR176" s="343"/>
      <c r="AS176" s="21"/>
      <c r="AT176" s="21"/>
      <c r="AU176" s="21"/>
      <c r="AV176" s="344"/>
      <c r="AW176" s="343"/>
      <c r="AX176" s="343"/>
      <c r="AY176" s="343"/>
      <c r="AZ176" s="343"/>
      <c r="BA176" s="343"/>
    </row>
    <row r="177" spans="1:53">
      <c r="A177" s="315">
        <v>30100030</v>
      </c>
      <c r="B177" s="82" t="s">
        <v>52</v>
      </c>
      <c r="C177" s="81" t="s">
        <v>53</v>
      </c>
      <c r="D177" s="80">
        <v>5.03</v>
      </c>
      <c r="E177" s="80"/>
      <c r="F177" s="83"/>
      <c r="G177" s="93">
        <f>SUM('3:23'!G177)</f>
        <v>986</v>
      </c>
      <c r="H177" s="95">
        <f t="shared" ref="H177:H182" si="61">D177*G177</f>
        <v>4959.58</v>
      </c>
      <c r="I177" s="93">
        <f>SUM('3:23'!I177)</f>
        <v>74</v>
      </c>
      <c r="J177" s="31">
        <f t="array" ref="J177">IF(ISERROR(G177/I177),"",G177/I177)</f>
        <v>13.324324324324325</v>
      </c>
      <c r="K177" s="96">
        <f t="array" ref="K177">IF(ISERROR(G177/L177),"",G177/L177)</f>
        <v>61.625</v>
      </c>
      <c r="L177" s="84">
        <v>16</v>
      </c>
      <c r="M177" s="97">
        <f t="shared" ref="M177:M188" si="62">IF(ISERROR(I177-K177),"",I177-K177)</f>
        <v>12.375</v>
      </c>
      <c r="N177" s="93">
        <f>SUM('3:23'!N177)</f>
        <v>0</v>
      </c>
      <c r="O177" s="93">
        <f>SUM('3:23'!O177)</f>
        <v>0</v>
      </c>
      <c r="P177" s="93">
        <f>SUM('3:23'!P177)</f>
        <v>0</v>
      </c>
      <c r="Q177" s="93">
        <f>SUM('3:23'!Q177)</f>
        <v>0</v>
      </c>
      <c r="R177" s="93">
        <f>SUM('3:23'!R177)</f>
        <v>0</v>
      </c>
      <c r="S177" s="93">
        <f>SUM('3:23'!S177)</f>
        <v>0</v>
      </c>
      <c r="T177" s="93">
        <f>SUM('3:23'!T177)</f>
        <v>0</v>
      </c>
      <c r="U177" s="93">
        <f>SUM('3:23'!U177)</f>
        <v>0</v>
      </c>
      <c r="V177" s="206">
        <f t="shared" ref="V177:V188" si="63">SUM(X177:AA177)</f>
        <v>0</v>
      </c>
      <c r="W177" s="33">
        <f t="shared" ref="W177:W188" si="64">IF(ISERROR(V177/G177),"",V177/G177)</f>
        <v>0</v>
      </c>
      <c r="X177" s="93">
        <f>SUM('3:23'!X177)</f>
        <v>0</v>
      </c>
      <c r="Y177" s="93">
        <f>SUM('3:23'!Y177)</f>
        <v>0</v>
      </c>
      <c r="Z177" s="93">
        <f>SUM('3:23'!Z177)</f>
        <v>0</v>
      </c>
      <c r="AA177" s="93">
        <f>SUM('3:23'!AA177)</f>
        <v>0</v>
      </c>
      <c r="AB177" s="73"/>
      <c r="AC177" s="54"/>
      <c r="AD177" s="346"/>
      <c r="AE177" s="54"/>
      <c r="AF177" s="54"/>
      <c r="AG177" s="54"/>
      <c r="AH177" s="54"/>
      <c r="AI177" s="57"/>
      <c r="AJ177" s="57"/>
      <c r="AK177" s="57"/>
      <c r="AL177" s="345"/>
      <c r="AM177" s="54"/>
      <c r="AN177" s="345"/>
      <c r="AO177" s="345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</row>
    <row r="178" spans="1:53">
      <c r="A178" s="300"/>
      <c r="B178" s="62" t="s">
        <v>54</v>
      </c>
      <c r="C178" s="16" t="s">
        <v>53</v>
      </c>
      <c r="D178" s="17">
        <v>5.03</v>
      </c>
      <c r="E178" s="17"/>
      <c r="F178" s="6"/>
      <c r="G178" s="93">
        <f>SUM('3:23'!G178)</f>
        <v>0</v>
      </c>
      <c r="H178" s="95">
        <f t="shared" si="61"/>
        <v>0</v>
      </c>
      <c r="I178" s="93">
        <f>SUM('3:23'!I178)</f>
        <v>0</v>
      </c>
      <c r="J178" s="31" t="str">
        <f t="array" ref="J178">IF(ISERROR(G178/I178),"",G178/I178)</f>
        <v/>
      </c>
      <c r="K178" s="35">
        <f t="array" ref="K178">IF(ISERROR(G178/L178),"",G178/L178)</f>
        <v>0</v>
      </c>
      <c r="L178" s="87">
        <v>19</v>
      </c>
      <c r="M178" s="36">
        <f t="shared" si="62"/>
        <v>0</v>
      </c>
      <c r="N178" s="93">
        <f>SUM('3:23'!N178)</f>
        <v>0</v>
      </c>
      <c r="O178" s="93">
        <f>SUM('3:23'!O178)</f>
        <v>0</v>
      </c>
      <c r="P178" s="93">
        <f>SUM('3:23'!P178)</f>
        <v>0</v>
      </c>
      <c r="Q178" s="93">
        <f>SUM('3:23'!Q178)</f>
        <v>0</v>
      </c>
      <c r="R178" s="93">
        <f>SUM('3:23'!R178)</f>
        <v>0</v>
      </c>
      <c r="S178" s="93">
        <f>SUM('3:23'!S178)</f>
        <v>0</v>
      </c>
      <c r="T178" s="93">
        <f>SUM('3:23'!T178)</f>
        <v>0</v>
      </c>
      <c r="U178" s="93">
        <f>SUM('3:23'!U178)</f>
        <v>0</v>
      </c>
      <c r="V178" s="206">
        <f t="shared" si="63"/>
        <v>0</v>
      </c>
      <c r="W178" s="33" t="str">
        <f t="shared" si="64"/>
        <v/>
      </c>
      <c r="X178" s="93">
        <f>SUM('3:23'!X178)</f>
        <v>0</v>
      </c>
      <c r="Y178" s="93">
        <f>SUM('3:23'!Y178)</f>
        <v>0</v>
      </c>
      <c r="Z178" s="93">
        <f>SUM('3:23'!Z178)</f>
        <v>0</v>
      </c>
      <c r="AA178" s="93">
        <f>SUM('3:23'!AA178)</f>
        <v>0</v>
      </c>
      <c r="AB178" s="73"/>
      <c r="AC178" s="54"/>
      <c r="AD178" s="346"/>
      <c r="AE178" s="54"/>
      <c r="AF178" s="54"/>
      <c r="AG178" s="54"/>
      <c r="AH178" s="54"/>
      <c r="AI178" s="57"/>
      <c r="AJ178" s="57"/>
      <c r="AK178" s="57"/>
      <c r="AL178" s="54"/>
      <c r="AM178" s="54"/>
      <c r="AN178" s="345"/>
      <c r="AO178" s="54"/>
      <c r="AP178" s="345"/>
      <c r="AQ178" s="54"/>
      <c r="AR178" s="54"/>
      <c r="AS178" s="345"/>
      <c r="AT178" s="345"/>
      <c r="AU178" s="345"/>
      <c r="AV178" s="345"/>
      <c r="AW178" s="55"/>
      <c r="AX178" s="54"/>
      <c r="AY178" s="54"/>
      <c r="AZ178" s="54"/>
      <c r="BA178" s="54"/>
    </row>
    <row r="179" spans="1:53">
      <c r="A179" s="301"/>
      <c r="B179" s="62" t="s">
        <v>54</v>
      </c>
      <c r="C179" s="16" t="s">
        <v>55</v>
      </c>
      <c r="D179" s="17">
        <v>5.03</v>
      </c>
      <c r="E179" s="17"/>
      <c r="F179" s="6"/>
      <c r="G179" s="93">
        <f>SUM('3:23'!G179)</f>
        <v>0</v>
      </c>
      <c r="H179" s="95">
        <f t="shared" si="61"/>
        <v>0</v>
      </c>
      <c r="I179" s="93">
        <f>SUM('3:23'!I179)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62"/>
        <v>0</v>
      </c>
      <c r="N179" s="93">
        <f>SUM('3:23'!N179)</f>
        <v>0</v>
      </c>
      <c r="O179" s="93">
        <f>SUM('3:23'!O179)</f>
        <v>0</v>
      </c>
      <c r="P179" s="93">
        <f>SUM('3:23'!P179)</f>
        <v>0</v>
      </c>
      <c r="Q179" s="93">
        <f>SUM('3:23'!Q179)</f>
        <v>0</v>
      </c>
      <c r="R179" s="93">
        <f>SUM('3:23'!R179)</f>
        <v>0</v>
      </c>
      <c r="S179" s="93">
        <f>SUM('3:23'!S179)</f>
        <v>0</v>
      </c>
      <c r="T179" s="93">
        <f>SUM('3:23'!T179)</f>
        <v>0</v>
      </c>
      <c r="U179" s="93">
        <f>SUM('3:23'!U179)</f>
        <v>0</v>
      </c>
      <c r="V179" s="206">
        <f t="shared" si="63"/>
        <v>0</v>
      </c>
      <c r="W179" s="33" t="str">
        <f t="shared" si="64"/>
        <v/>
      </c>
      <c r="X179" s="93">
        <f>SUM('3:23'!X179)</f>
        <v>0</v>
      </c>
      <c r="Y179" s="93">
        <f>SUM('3:23'!Y179)</f>
        <v>0</v>
      </c>
      <c r="Z179" s="93">
        <f>SUM('3:23'!Z179)</f>
        <v>0</v>
      </c>
      <c r="AA179" s="93">
        <f>SUM('3:23'!AA179)</f>
        <v>0</v>
      </c>
      <c r="AB179" s="73"/>
      <c r="AC179" s="54"/>
      <c r="AD179" s="346"/>
      <c r="AE179" s="54"/>
      <c r="AF179" s="54"/>
      <c r="AG179" s="54"/>
      <c r="AH179" s="54"/>
      <c r="AI179" s="57"/>
      <c r="AJ179" s="57"/>
      <c r="AK179" s="57"/>
      <c r="AL179" s="54"/>
      <c r="AM179" s="54"/>
      <c r="AN179" s="54"/>
      <c r="AO179" s="345"/>
      <c r="AP179" s="54"/>
      <c r="AQ179" s="54"/>
      <c r="AR179" s="54"/>
      <c r="AS179" s="56"/>
      <c r="AT179" s="56"/>
      <c r="AU179" s="56"/>
      <c r="AV179" s="54"/>
      <c r="AW179" s="54"/>
      <c r="AX179" s="54"/>
      <c r="AY179" s="54"/>
      <c r="AZ179" s="54"/>
      <c r="BA179" s="54"/>
    </row>
    <row r="180" spans="1:53">
      <c r="A180" s="315">
        <v>30100048</v>
      </c>
      <c r="B180" s="62" t="s">
        <v>56</v>
      </c>
      <c r="C180" s="16" t="s">
        <v>53</v>
      </c>
      <c r="D180" s="17">
        <v>5.03</v>
      </c>
      <c r="E180" s="17"/>
      <c r="F180" s="6"/>
      <c r="G180" s="93">
        <f>SUM('3:23'!G180)</f>
        <v>1404</v>
      </c>
      <c r="H180" s="95">
        <f t="shared" si="61"/>
        <v>7062.1200000000008</v>
      </c>
      <c r="I180" s="93">
        <f>SUM('3:23'!I180)</f>
        <v>88</v>
      </c>
      <c r="J180" s="31">
        <f t="array" ref="J180">IF(ISERROR(G180/I180),"",G180/I180)</f>
        <v>15.954545454545455</v>
      </c>
      <c r="K180" s="35">
        <f t="array" ref="K180">IF(ISERROR(G180/L180),"",G180/L180)</f>
        <v>73.89473684210526</v>
      </c>
      <c r="L180" s="87">
        <v>19</v>
      </c>
      <c r="M180" s="36">
        <f t="shared" si="62"/>
        <v>14.10526315789474</v>
      </c>
      <c r="N180" s="93">
        <f>SUM('3:23'!N180)</f>
        <v>0</v>
      </c>
      <c r="O180" s="93">
        <f>SUM('3:23'!O180)</f>
        <v>0</v>
      </c>
      <c r="P180" s="93">
        <f>SUM('3:23'!P180)</f>
        <v>0</v>
      </c>
      <c r="Q180" s="93">
        <f>SUM('3:23'!Q180)</f>
        <v>0</v>
      </c>
      <c r="R180" s="93">
        <f>SUM('3:23'!R180)</f>
        <v>0</v>
      </c>
      <c r="S180" s="93">
        <f>SUM('3:23'!S180)</f>
        <v>0</v>
      </c>
      <c r="T180" s="93">
        <f>SUM('3:23'!T180)</f>
        <v>0</v>
      </c>
      <c r="U180" s="93">
        <f>SUM('3:23'!U180)</f>
        <v>0</v>
      </c>
      <c r="V180" s="206">
        <f t="shared" si="63"/>
        <v>0</v>
      </c>
      <c r="W180" s="33">
        <f t="shared" si="64"/>
        <v>0</v>
      </c>
      <c r="X180" s="93">
        <f>SUM('3:23'!X180)</f>
        <v>0</v>
      </c>
      <c r="Y180" s="93">
        <f>SUM('3:23'!Y180)</f>
        <v>0</v>
      </c>
      <c r="Z180" s="93">
        <f>SUM('3:23'!Z180)</f>
        <v>0</v>
      </c>
      <c r="AA180" s="93">
        <f>SUM('3:23'!AA180)</f>
        <v>0</v>
      </c>
      <c r="AB180" s="73"/>
      <c r="AC180" s="54"/>
      <c r="AD180" s="346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5"/>
      <c r="AW180" s="55"/>
      <c r="AX180" s="55"/>
      <c r="AY180" s="54"/>
      <c r="AZ180" s="54"/>
      <c r="BA180" s="54"/>
    </row>
    <row r="181" spans="1:53">
      <c r="A181" s="315">
        <v>30100047</v>
      </c>
      <c r="B181" s="62" t="s">
        <v>56</v>
      </c>
      <c r="C181" s="16" t="s">
        <v>57</v>
      </c>
      <c r="D181" s="17">
        <v>5.03</v>
      </c>
      <c r="E181" s="17"/>
      <c r="F181" s="6"/>
      <c r="G181" s="93">
        <f>SUM('3:23'!G181)</f>
        <v>627</v>
      </c>
      <c r="H181" s="95">
        <f t="shared" si="61"/>
        <v>3153.81</v>
      </c>
      <c r="I181" s="93">
        <f>SUM('3:23'!I181)</f>
        <v>40</v>
      </c>
      <c r="J181" s="31">
        <f t="array" ref="J181">IF(ISERROR(G181/I181),"",G181/I181)</f>
        <v>15.675000000000001</v>
      </c>
      <c r="K181" s="35">
        <f t="array" ref="K181">IF(ISERROR(G181/L181),"",G181/L181)</f>
        <v>31.35</v>
      </c>
      <c r="L181" s="87">
        <v>20</v>
      </c>
      <c r="M181" s="36">
        <f t="shared" si="62"/>
        <v>8.6499999999999986</v>
      </c>
      <c r="N181" s="93">
        <f>SUM('3:23'!N181)</f>
        <v>0</v>
      </c>
      <c r="O181" s="93">
        <f>SUM('3:23'!O181)</f>
        <v>0</v>
      </c>
      <c r="P181" s="93">
        <f>SUM('3:23'!P181)</f>
        <v>0</v>
      </c>
      <c r="Q181" s="93">
        <f>SUM('3:23'!Q181)</f>
        <v>0</v>
      </c>
      <c r="R181" s="93">
        <f>SUM('3:23'!R181)</f>
        <v>0</v>
      </c>
      <c r="S181" s="93">
        <f>SUM('3:23'!S181)</f>
        <v>0</v>
      </c>
      <c r="T181" s="93">
        <f>SUM('3:23'!T181)</f>
        <v>0</v>
      </c>
      <c r="U181" s="93">
        <f>SUM('3:23'!U181)</f>
        <v>0</v>
      </c>
      <c r="V181" s="206">
        <f t="shared" si="63"/>
        <v>0</v>
      </c>
      <c r="W181" s="33">
        <f t="shared" si="64"/>
        <v>0</v>
      </c>
      <c r="X181" s="93">
        <f>SUM('3:23'!X181)</f>
        <v>0</v>
      </c>
      <c r="Y181" s="93">
        <f>SUM('3:23'!Y181)</f>
        <v>0</v>
      </c>
      <c r="Z181" s="93">
        <f>SUM('3:23'!Z181)</f>
        <v>0</v>
      </c>
      <c r="AA181" s="93">
        <f>SUM('3:23'!AA181)</f>
        <v>0</v>
      </c>
      <c r="AB181" s="73"/>
      <c r="AC181" s="54"/>
      <c r="AD181" s="346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</row>
    <row r="182" spans="1:53">
      <c r="A182" s="315">
        <v>30100052</v>
      </c>
      <c r="B182" s="62" t="s">
        <v>58</v>
      </c>
      <c r="C182" s="16" t="s">
        <v>53</v>
      </c>
      <c r="D182" s="17">
        <v>5.04</v>
      </c>
      <c r="E182" s="17"/>
      <c r="F182" s="6"/>
      <c r="G182" s="93">
        <f>SUM('3:23'!G182)</f>
        <v>1160</v>
      </c>
      <c r="H182" s="95">
        <f t="shared" si="61"/>
        <v>5846.4</v>
      </c>
      <c r="I182" s="93">
        <f>SUM('3:23'!I182)</f>
        <v>132.5</v>
      </c>
      <c r="J182" s="31">
        <f t="array" ref="J182">IF(ISERROR(G182/I182),"",G182/I182)</f>
        <v>8.7547169811320753</v>
      </c>
      <c r="K182" s="35">
        <f t="array" ref="K182">IF(ISERROR(G182/L182),"",G182/L182)</f>
        <v>61.05263157894737</v>
      </c>
      <c r="L182" s="87">
        <v>19</v>
      </c>
      <c r="M182" s="36">
        <f t="shared" si="62"/>
        <v>71.44736842105263</v>
      </c>
      <c r="N182" s="93">
        <f>SUM('3:23'!N182)</f>
        <v>0</v>
      </c>
      <c r="O182" s="93">
        <f>SUM('3:23'!O182)</f>
        <v>0</v>
      </c>
      <c r="P182" s="93">
        <f>SUM('3:23'!P182)</f>
        <v>0</v>
      </c>
      <c r="Q182" s="93">
        <f>SUM('3:23'!Q182)</f>
        <v>0</v>
      </c>
      <c r="R182" s="93">
        <f>SUM('3:23'!R182)</f>
        <v>0</v>
      </c>
      <c r="S182" s="93">
        <f>SUM('3:23'!S182)</f>
        <v>0</v>
      </c>
      <c r="T182" s="93">
        <f>SUM('3:23'!T182)</f>
        <v>0</v>
      </c>
      <c r="U182" s="93">
        <f>SUM('3:23'!U182)</f>
        <v>0</v>
      </c>
      <c r="V182" s="206">
        <f t="shared" si="63"/>
        <v>0</v>
      </c>
      <c r="W182" s="33">
        <f t="shared" si="64"/>
        <v>0</v>
      </c>
      <c r="X182" s="93">
        <f>SUM('3:23'!X182)</f>
        <v>0</v>
      </c>
      <c r="Y182" s="93">
        <f>SUM('3:23'!Y182)</f>
        <v>0</v>
      </c>
      <c r="Z182" s="93">
        <f>SUM('3:23'!Z182)</f>
        <v>0</v>
      </c>
      <c r="AA182" s="93">
        <f>SUM('3:23'!AA182)</f>
        <v>0</v>
      </c>
      <c r="AB182" s="73"/>
      <c r="AC182" s="54"/>
      <c r="AD182" s="346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332">
        <v>30100059</v>
      </c>
      <c r="B183" s="62" t="s">
        <v>59</v>
      </c>
      <c r="C183" s="16" t="s">
        <v>60</v>
      </c>
      <c r="D183" s="17">
        <v>5.03</v>
      </c>
      <c r="E183" s="17"/>
      <c r="F183" s="6"/>
      <c r="G183" s="93">
        <f>SUM('3:23'!G183)</f>
        <v>0</v>
      </c>
      <c r="H183" s="95">
        <f>D183*G183</f>
        <v>0</v>
      </c>
      <c r="I183" s="93">
        <f>SUM('3:23'!I183)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3</v>
      </c>
      <c r="M183" s="36">
        <f t="shared" si="62"/>
        <v>0</v>
      </c>
      <c r="N183" s="93">
        <f>SUM('3:23'!N183)</f>
        <v>0</v>
      </c>
      <c r="O183" s="93">
        <f>SUM('3:23'!O183)</f>
        <v>0</v>
      </c>
      <c r="P183" s="93">
        <f>SUM('3:23'!P183)</f>
        <v>0</v>
      </c>
      <c r="Q183" s="93">
        <f>SUM('3:23'!Q183)</f>
        <v>0</v>
      </c>
      <c r="R183" s="93">
        <f>SUM('3:23'!R183)</f>
        <v>0</v>
      </c>
      <c r="S183" s="93">
        <f>SUM('3:23'!S183)</f>
        <v>0</v>
      </c>
      <c r="T183" s="93">
        <f>SUM('3:23'!T183)</f>
        <v>0</v>
      </c>
      <c r="U183" s="93">
        <f>SUM('3:23'!U183)</f>
        <v>0</v>
      </c>
      <c r="V183" s="206">
        <f t="shared" si="63"/>
        <v>0</v>
      </c>
      <c r="W183" s="33" t="str">
        <f t="shared" si="64"/>
        <v/>
      </c>
      <c r="X183" s="93">
        <f>SUM('3:23'!X183)</f>
        <v>0</v>
      </c>
      <c r="Y183" s="93">
        <f>SUM('3:23'!Y183)</f>
        <v>0</v>
      </c>
      <c r="Z183" s="93">
        <f>SUM('3:23'!Z183)</f>
        <v>0</v>
      </c>
      <c r="AA183" s="93">
        <f>SUM('3:23'!AA183)</f>
        <v>0</v>
      </c>
      <c r="AB183" s="73"/>
      <c r="AC183" s="54"/>
      <c r="AD183" s="346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302">
        <v>30100060</v>
      </c>
      <c r="B184" s="62" t="s">
        <v>59</v>
      </c>
      <c r="C184" s="16" t="s">
        <v>61</v>
      </c>
      <c r="D184" s="17">
        <v>5.03</v>
      </c>
      <c r="E184" s="17"/>
      <c r="F184" s="6"/>
      <c r="G184" s="93">
        <f>SUM('3:23'!G184)</f>
        <v>0</v>
      </c>
      <c r="H184" s="95">
        <f t="shared" ref="H184:H197" si="65">D184*G184</f>
        <v>0</v>
      </c>
      <c r="I184" s="93">
        <f>SUM('3:23'!I184)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62"/>
        <v>0</v>
      </c>
      <c r="N184" s="93">
        <f>SUM('3:23'!N184)</f>
        <v>0</v>
      </c>
      <c r="O184" s="93">
        <f>SUM('3:23'!O184)</f>
        <v>0</v>
      </c>
      <c r="P184" s="93">
        <f>SUM('3:23'!P184)</f>
        <v>0</v>
      </c>
      <c r="Q184" s="93">
        <f>SUM('3:23'!Q184)</f>
        <v>0</v>
      </c>
      <c r="R184" s="93">
        <f>SUM('3:23'!R184)</f>
        <v>0</v>
      </c>
      <c r="S184" s="93">
        <f>SUM('3:23'!S184)</f>
        <v>0</v>
      </c>
      <c r="T184" s="93">
        <f>SUM('3:23'!T184)</f>
        <v>0</v>
      </c>
      <c r="U184" s="93">
        <f>SUM('3:23'!U184)</f>
        <v>0</v>
      </c>
      <c r="V184" s="206">
        <f t="shared" si="63"/>
        <v>0</v>
      </c>
      <c r="W184" s="33" t="str">
        <f t="shared" si="64"/>
        <v/>
      </c>
      <c r="X184" s="93">
        <f>SUM('3:23'!X184)</f>
        <v>0</v>
      </c>
      <c r="Y184" s="93">
        <f>SUM('3:23'!Y184)</f>
        <v>0</v>
      </c>
      <c r="Z184" s="93">
        <f>SUM('3:23'!Z184)</f>
        <v>0</v>
      </c>
      <c r="AA184" s="93">
        <f>SUM('3:23'!AA184)</f>
        <v>0</v>
      </c>
      <c r="AB184" s="73"/>
      <c r="AC184" s="54"/>
      <c r="AD184" s="346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300">
        <v>30200006</v>
      </c>
      <c r="B185" s="62" t="s">
        <v>62</v>
      </c>
      <c r="C185" s="16" t="s">
        <v>63</v>
      </c>
      <c r="D185" s="17">
        <v>5.04</v>
      </c>
      <c r="E185" s="17"/>
      <c r="F185" s="79"/>
      <c r="G185" s="93">
        <f>SUM('3:23'!G185)</f>
        <v>1982</v>
      </c>
      <c r="H185" s="95">
        <f t="shared" si="65"/>
        <v>9989.2800000000007</v>
      </c>
      <c r="I185" s="93">
        <f>SUM('3:23'!I185)</f>
        <v>140.5</v>
      </c>
      <c r="J185" s="31">
        <f t="array" ref="J185">IF(ISERROR(G185/I185),"",G185/I185)</f>
        <v>14.106761565836299</v>
      </c>
      <c r="K185" s="35">
        <f t="array" ref="K185">IF(ISERROR(G185/L185),"",G185/L185)</f>
        <v>116.58823529411765</v>
      </c>
      <c r="L185" s="87">
        <v>17</v>
      </c>
      <c r="M185" s="36">
        <f t="shared" si="62"/>
        <v>23.911764705882348</v>
      </c>
      <c r="N185" s="93">
        <f>SUM('3:23'!N185)</f>
        <v>0</v>
      </c>
      <c r="O185" s="93">
        <f>SUM('3:23'!O185)</f>
        <v>0</v>
      </c>
      <c r="P185" s="93">
        <f>SUM('3:23'!P185)</f>
        <v>0</v>
      </c>
      <c r="Q185" s="93">
        <f>SUM('3:23'!Q185)</f>
        <v>0</v>
      </c>
      <c r="R185" s="93">
        <f>SUM('3:23'!R185)</f>
        <v>0</v>
      </c>
      <c r="S185" s="93">
        <f>SUM('3:23'!S185)</f>
        <v>0</v>
      </c>
      <c r="T185" s="93">
        <f>SUM('3:23'!T185)</f>
        <v>0</v>
      </c>
      <c r="U185" s="93">
        <f>SUM('3:23'!U185)</f>
        <v>0</v>
      </c>
      <c r="V185" s="206">
        <f t="shared" si="63"/>
        <v>0</v>
      </c>
      <c r="W185" s="33">
        <f t="shared" si="64"/>
        <v>0</v>
      </c>
      <c r="X185" s="93">
        <f>SUM('3:23'!X185)</f>
        <v>0</v>
      </c>
      <c r="Y185" s="93">
        <f>SUM('3:23'!Y185)</f>
        <v>0</v>
      </c>
      <c r="Z185" s="93">
        <f>SUM('3:23'!Z185)</f>
        <v>0</v>
      </c>
      <c r="AA185" s="93">
        <f>SUM('3:23'!AA185)</f>
        <v>0</v>
      </c>
      <c r="AB185" s="73"/>
      <c r="AC185" s="54"/>
      <c r="AD185" s="346"/>
      <c r="AE185" s="54"/>
      <c r="AF185" s="54"/>
      <c r="AG185" s="54"/>
      <c r="AH185" s="54"/>
      <c r="AI185" s="57"/>
      <c r="AJ185" s="57"/>
      <c r="AK185" s="57"/>
      <c r="AL185" s="345"/>
      <c r="AM185" s="54"/>
      <c r="AN185" s="54"/>
      <c r="AO185" s="54"/>
      <c r="AP185" s="345"/>
      <c r="AQ185" s="345"/>
      <c r="AR185" s="345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300">
        <v>30200005</v>
      </c>
      <c r="B186" s="62" t="s">
        <v>62</v>
      </c>
      <c r="C186" s="16" t="s">
        <v>64</v>
      </c>
      <c r="D186" s="17">
        <v>5.04</v>
      </c>
      <c r="E186" s="17"/>
      <c r="F186" s="79"/>
      <c r="G186" s="93">
        <f>SUM('3:23'!G186)</f>
        <v>1285</v>
      </c>
      <c r="H186" s="95">
        <f t="shared" si="65"/>
        <v>6476.4</v>
      </c>
      <c r="I186" s="93">
        <f>SUM('3:23'!I186)</f>
        <v>95</v>
      </c>
      <c r="J186" s="31">
        <f t="array" ref="J186">IF(ISERROR(G186/I186),"",G186/I186)</f>
        <v>13.526315789473685</v>
      </c>
      <c r="K186" s="35">
        <f t="array" ref="K186">IF(ISERROR(G186/L186),"",G186/L186)</f>
        <v>75.588235294117652</v>
      </c>
      <c r="L186" s="87">
        <v>17</v>
      </c>
      <c r="M186" s="36">
        <f t="shared" si="62"/>
        <v>19.411764705882348</v>
      </c>
      <c r="N186" s="93">
        <f>SUM('3:23'!N186)</f>
        <v>0</v>
      </c>
      <c r="O186" s="93">
        <f>SUM('3:23'!O186)</f>
        <v>0</v>
      </c>
      <c r="P186" s="93">
        <f>SUM('3:23'!P186)</f>
        <v>0</v>
      </c>
      <c r="Q186" s="93">
        <f>SUM('3:23'!Q186)</f>
        <v>0</v>
      </c>
      <c r="R186" s="93">
        <f>SUM('3:23'!R186)</f>
        <v>0</v>
      </c>
      <c r="S186" s="93">
        <f>SUM('3:23'!S186)</f>
        <v>0</v>
      </c>
      <c r="T186" s="93">
        <f>SUM('3:23'!T186)</f>
        <v>0</v>
      </c>
      <c r="U186" s="93">
        <f>SUM('3:23'!U186)</f>
        <v>0</v>
      </c>
      <c r="V186" s="206">
        <f t="shared" si="63"/>
        <v>0</v>
      </c>
      <c r="W186" s="33">
        <f t="shared" si="64"/>
        <v>0</v>
      </c>
      <c r="X186" s="93">
        <f>SUM('3:23'!X186)</f>
        <v>0</v>
      </c>
      <c r="Y186" s="93">
        <f>SUM('3:23'!Y186)</f>
        <v>0</v>
      </c>
      <c r="Z186" s="93">
        <f>SUM('3:23'!Z186)</f>
        <v>0</v>
      </c>
      <c r="AA186" s="93">
        <f>SUM('3:23'!AA186)</f>
        <v>0</v>
      </c>
      <c r="AB186" s="73"/>
      <c r="AC186" s="54"/>
      <c r="AD186" s="346"/>
      <c r="AE186" s="54"/>
      <c r="AF186" s="54"/>
      <c r="AG186" s="54"/>
      <c r="AH186" s="54"/>
      <c r="AI186" s="57"/>
      <c r="AJ186" s="57"/>
      <c r="AK186" s="57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302">
        <v>30100063</v>
      </c>
      <c r="B187" s="202" t="s">
        <v>171</v>
      </c>
      <c r="C187" s="16" t="s">
        <v>379</v>
      </c>
      <c r="D187" s="108"/>
      <c r="E187" s="17"/>
      <c r="F187" s="6"/>
      <c r="G187" s="93">
        <f>SUM('3:23'!G187)</f>
        <v>210</v>
      </c>
      <c r="H187" s="95">
        <f t="shared" si="65"/>
        <v>0</v>
      </c>
      <c r="I187" s="93">
        <f>SUM('3:23'!I187)</f>
        <v>32</v>
      </c>
      <c r="J187" s="31">
        <f t="array" ref="J187">IF(ISERROR(G187/I187),"",G187/I187)</f>
        <v>6.5625</v>
      </c>
      <c r="K187" s="35">
        <f t="array" ref="K187">IF(ISERROR(G187/L187),"",G187/L187)</f>
        <v>12.352941176470589</v>
      </c>
      <c r="L187" s="87">
        <v>17</v>
      </c>
      <c r="M187" s="36">
        <f t="shared" si="62"/>
        <v>19.647058823529413</v>
      </c>
      <c r="N187" s="93">
        <f>SUM('3:23'!N187)</f>
        <v>0</v>
      </c>
      <c r="O187" s="93">
        <f>SUM('3:23'!O187)</f>
        <v>0</v>
      </c>
      <c r="P187" s="93">
        <f>SUM('3:23'!P187)</f>
        <v>0</v>
      </c>
      <c r="Q187" s="93">
        <f>SUM('3:23'!Q187)</f>
        <v>0</v>
      </c>
      <c r="R187" s="93">
        <f>SUM('3:23'!R187)</f>
        <v>0</v>
      </c>
      <c r="S187" s="93">
        <f>SUM('3:23'!S187)</f>
        <v>0</v>
      </c>
      <c r="T187" s="93">
        <f>SUM('3:23'!T187)</f>
        <v>0</v>
      </c>
      <c r="U187" s="93">
        <f>SUM('3:23'!U187)</f>
        <v>0</v>
      </c>
      <c r="V187" s="206">
        <f t="shared" si="63"/>
        <v>0</v>
      </c>
      <c r="W187" s="33">
        <f t="shared" si="64"/>
        <v>0</v>
      </c>
      <c r="X187" s="93">
        <f>SUM('3:23'!X187)</f>
        <v>0</v>
      </c>
      <c r="Y187" s="93">
        <f>SUM('3:23'!Y187)</f>
        <v>0</v>
      </c>
      <c r="Z187" s="93">
        <f>SUM('3:23'!Z187)</f>
        <v>0</v>
      </c>
      <c r="AA187" s="93">
        <f>SUM('3:23'!AA187)</f>
        <v>0</v>
      </c>
      <c r="AB187" s="73"/>
      <c r="AC187" s="54"/>
      <c r="AD187" s="346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302">
        <v>30100061</v>
      </c>
      <c r="B188" s="202" t="s">
        <v>171</v>
      </c>
      <c r="C188" s="16" t="s">
        <v>380</v>
      </c>
      <c r="D188" s="108"/>
      <c r="E188" s="17"/>
      <c r="F188" s="6"/>
      <c r="G188" s="93">
        <f>SUM('3:23'!G188)</f>
        <v>0</v>
      </c>
      <c r="H188" s="95">
        <f t="shared" si="65"/>
        <v>0</v>
      </c>
      <c r="I188" s="93">
        <f>SUM('3:23'!I188)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62"/>
        <v>0</v>
      </c>
      <c r="N188" s="93">
        <f>SUM('3:23'!N188)</f>
        <v>0</v>
      </c>
      <c r="O188" s="93">
        <f>SUM('3:23'!O188)</f>
        <v>0</v>
      </c>
      <c r="P188" s="93">
        <f>SUM('3:23'!P188)</f>
        <v>0</v>
      </c>
      <c r="Q188" s="93">
        <f>SUM('3:23'!Q188)</f>
        <v>0</v>
      </c>
      <c r="R188" s="93">
        <f>SUM('3:23'!R188)</f>
        <v>0</v>
      </c>
      <c r="S188" s="93">
        <f>SUM('3:23'!S188)</f>
        <v>0</v>
      </c>
      <c r="T188" s="93">
        <f>SUM('3:23'!T188)</f>
        <v>0</v>
      </c>
      <c r="U188" s="93">
        <f>SUM('3:23'!U188)</f>
        <v>0</v>
      </c>
      <c r="V188" s="206">
        <f t="shared" si="63"/>
        <v>0</v>
      </c>
      <c r="W188" s="33" t="str">
        <f t="shared" si="64"/>
        <v/>
      </c>
      <c r="X188" s="93">
        <f>SUM('3:23'!X188)</f>
        <v>0</v>
      </c>
      <c r="Y188" s="93">
        <f>SUM('3:23'!Y188)</f>
        <v>0</v>
      </c>
      <c r="Z188" s="93">
        <f>SUM('3:23'!Z188)</f>
        <v>0</v>
      </c>
      <c r="AA188" s="93">
        <f>SUM('3:23'!AA188)</f>
        <v>0</v>
      </c>
      <c r="AB188" s="73"/>
      <c r="AC188" s="54"/>
      <c r="AD188" s="346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300">
        <v>30200001</v>
      </c>
      <c r="B189" s="202" t="s">
        <v>67</v>
      </c>
      <c r="C189" s="16" t="s">
        <v>381</v>
      </c>
      <c r="D189" s="108">
        <v>5.0599999999999996</v>
      </c>
      <c r="E189" s="17"/>
      <c r="F189" s="6"/>
      <c r="G189" s="93">
        <f>SUM('3:23'!G189)</f>
        <v>2534</v>
      </c>
      <c r="H189" s="95">
        <f t="shared" si="65"/>
        <v>12822.039999999999</v>
      </c>
      <c r="I189" s="93">
        <f>SUM('3:23'!I189)</f>
        <v>182</v>
      </c>
      <c r="J189" s="31">
        <f t="array" ref="J189">IF(ISERROR(G189/I189),"",G189/I189)</f>
        <v>13.923076923076923</v>
      </c>
      <c r="K189" s="35">
        <f t="array" ref="K189">IF(ISERROR(G189/L189),"",G189/L189)</f>
        <v>133.36842105263159</v>
      </c>
      <c r="L189" s="87">
        <v>19</v>
      </c>
      <c r="M189" s="36">
        <f>IF(ISERROR(I189-K189),"",I189-K189)</f>
        <v>48.631578947368411</v>
      </c>
      <c r="N189" s="93">
        <f>SUM('3:23'!N189)</f>
        <v>0</v>
      </c>
      <c r="O189" s="93">
        <f>SUM('3:23'!O189)</f>
        <v>0</v>
      </c>
      <c r="P189" s="93">
        <f>SUM('3:23'!P189)</f>
        <v>0</v>
      </c>
      <c r="Q189" s="93">
        <f>SUM('3:23'!Q189)</f>
        <v>0</v>
      </c>
      <c r="R189" s="93">
        <f>SUM('3:23'!R189)</f>
        <v>0</v>
      </c>
      <c r="S189" s="93">
        <f>SUM('3:23'!S189)</f>
        <v>0</v>
      </c>
      <c r="T189" s="93">
        <f>SUM('3:23'!T189)</f>
        <v>0</v>
      </c>
      <c r="U189" s="93">
        <f>SUM('3:23'!U189)</f>
        <v>0</v>
      </c>
      <c r="V189" s="206">
        <f>SUM(X189:AA189)</f>
        <v>0</v>
      </c>
      <c r="W189" s="33">
        <f>IF(ISERROR(V189/G189),"",V189/G189)</f>
        <v>0</v>
      </c>
      <c r="X189" s="93">
        <f>SUM('3:23'!X189)</f>
        <v>0</v>
      </c>
      <c r="Y189" s="93">
        <f>SUM('3:23'!Y189)</f>
        <v>0</v>
      </c>
      <c r="Z189" s="93">
        <f>SUM('3:23'!Z189)</f>
        <v>0</v>
      </c>
      <c r="AA189" s="93">
        <f>SUM('3:23'!AA189)</f>
        <v>0</v>
      </c>
      <c r="AB189" s="73"/>
      <c r="AC189" s="54"/>
      <c r="AD189" s="346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300">
        <v>30200002</v>
      </c>
      <c r="B190" s="62" t="s">
        <v>68</v>
      </c>
      <c r="C190" s="16" t="s">
        <v>63</v>
      </c>
      <c r="D190" s="17">
        <v>5.09</v>
      </c>
      <c r="E190" s="17"/>
      <c r="F190" s="6"/>
      <c r="G190" s="93">
        <f>SUM('3:23'!G190)</f>
        <v>2607</v>
      </c>
      <c r="H190" s="95">
        <f t="shared" si="65"/>
        <v>13269.63</v>
      </c>
      <c r="I190" s="93">
        <f>SUM('3:23'!I190)</f>
        <v>133</v>
      </c>
      <c r="J190" s="31">
        <f t="array" ref="J190">IF(ISERROR(G190/I190),"",G190/I190)</f>
        <v>19.601503759398497</v>
      </c>
      <c r="K190" s="35">
        <f t="array" ref="K190">IF(ISERROR(G190/L190),"",G190/L190)</f>
        <v>113.34782608695652</v>
      </c>
      <c r="L190" s="87">
        <v>23</v>
      </c>
      <c r="M190" s="36">
        <f t="shared" ref="M190:M193" si="66">IF(ISERROR(I190-K190),"",I190-K190)</f>
        <v>19.652173913043484</v>
      </c>
      <c r="N190" s="93">
        <f>SUM('3:23'!N190)</f>
        <v>0</v>
      </c>
      <c r="O190" s="93">
        <f>SUM('3:23'!O190)</f>
        <v>0</v>
      </c>
      <c r="P190" s="93">
        <f>SUM('3:23'!P190)</f>
        <v>0</v>
      </c>
      <c r="Q190" s="93">
        <f>SUM('3:23'!Q190)</f>
        <v>0</v>
      </c>
      <c r="R190" s="93">
        <f>SUM('3:23'!R190)</f>
        <v>0</v>
      </c>
      <c r="S190" s="93">
        <f>SUM('3:23'!S190)</f>
        <v>0</v>
      </c>
      <c r="T190" s="93">
        <f>SUM('3:23'!T190)</f>
        <v>0</v>
      </c>
      <c r="U190" s="93">
        <f>SUM('3:23'!U190)</f>
        <v>0</v>
      </c>
      <c r="V190" s="206">
        <f t="shared" ref="V190:V193" si="67">SUM(X190:AA190)</f>
        <v>0</v>
      </c>
      <c r="W190" s="33">
        <f t="shared" ref="W190:W193" si="68">IF(ISERROR(V190/G190),"",V190/G190)</f>
        <v>0</v>
      </c>
      <c r="X190" s="93">
        <f>SUM('3:23'!X190)</f>
        <v>0</v>
      </c>
      <c r="Y190" s="93">
        <f>SUM('3:23'!Y190)</f>
        <v>0</v>
      </c>
      <c r="Z190" s="93">
        <f>SUM('3:23'!Z190)</f>
        <v>0</v>
      </c>
      <c r="AA190" s="93">
        <f>SUM('3:23'!AA190)</f>
        <v>0</v>
      </c>
      <c r="AB190" s="73"/>
      <c r="AC190" s="54"/>
      <c r="AD190" s="346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300">
        <v>30200003</v>
      </c>
      <c r="B191" s="62" t="s">
        <v>68</v>
      </c>
      <c r="C191" s="16" t="s">
        <v>64</v>
      </c>
      <c r="D191" s="17">
        <v>5.09</v>
      </c>
      <c r="E191" s="17"/>
      <c r="F191" s="6"/>
      <c r="G191" s="93">
        <f>SUM('3:23'!G191)</f>
        <v>2131</v>
      </c>
      <c r="H191" s="95">
        <f t="shared" si="65"/>
        <v>10846.789999999999</v>
      </c>
      <c r="I191" s="93">
        <f>SUM('3:23'!I191)</f>
        <v>122</v>
      </c>
      <c r="J191" s="31">
        <f t="array" ref="J191">IF(ISERROR(G191/I191),"",G191/I191)</f>
        <v>17.467213114754099</v>
      </c>
      <c r="K191" s="35">
        <f t="array" ref="K191">IF(ISERROR(G191/L191),"",G191/L191)</f>
        <v>92.652173913043484</v>
      </c>
      <c r="L191" s="87">
        <v>23</v>
      </c>
      <c r="M191" s="36">
        <f t="shared" si="66"/>
        <v>29.347826086956516</v>
      </c>
      <c r="N191" s="93">
        <f>SUM('3:23'!N191)</f>
        <v>0</v>
      </c>
      <c r="O191" s="93">
        <f>SUM('3:23'!O191)</f>
        <v>0</v>
      </c>
      <c r="P191" s="93">
        <f>SUM('3:23'!P191)</f>
        <v>0</v>
      </c>
      <c r="Q191" s="93">
        <f>SUM('3:23'!Q191)</f>
        <v>0</v>
      </c>
      <c r="R191" s="93">
        <f>SUM('3:23'!R191)</f>
        <v>0</v>
      </c>
      <c r="S191" s="93">
        <f>SUM('3:23'!S191)</f>
        <v>0</v>
      </c>
      <c r="T191" s="93">
        <f>SUM('3:23'!T191)</f>
        <v>0</v>
      </c>
      <c r="U191" s="93">
        <f>SUM('3:23'!U191)</f>
        <v>0</v>
      </c>
      <c r="V191" s="206">
        <f t="shared" si="67"/>
        <v>0</v>
      </c>
      <c r="W191" s="33">
        <f t="shared" si="68"/>
        <v>0</v>
      </c>
      <c r="X191" s="93">
        <f>SUM('3:23'!X191)</f>
        <v>0</v>
      </c>
      <c r="Y191" s="93">
        <f>SUM('3:23'!Y191)</f>
        <v>0</v>
      </c>
      <c r="Z191" s="93">
        <f>SUM('3:23'!Z191)</f>
        <v>0</v>
      </c>
      <c r="AA191" s="93">
        <f>SUM('3:23'!AA191)</f>
        <v>0</v>
      </c>
      <c r="AB191" s="73"/>
      <c r="AC191" s="54"/>
      <c r="AD191" s="346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300">
        <v>30100003</v>
      </c>
      <c r="B192" s="141" t="s">
        <v>198</v>
      </c>
      <c r="C192" s="333" t="s">
        <v>190</v>
      </c>
      <c r="D192" s="108">
        <v>4.8</v>
      </c>
      <c r="E192" s="17"/>
      <c r="F192" s="6"/>
      <c r="G192" s="93">
        <f>SUM('3:23'!G192)</f>
        <v>0</v>
      </c>
      <c r="H192" s="95">
        <f t="shared" si="65"/>
        <v>0</v>
      </c>
      <c r="I192" s="93">
        <f>SUM('3:23'!I192)</f>
        <v>0</v>
      </c>
      <c r="J192" s="31" t="str">
        <f t="array" ref="J192">IF(ISERROR(G192/I192),"",G192/I192)</f>
        <v/>
      </c>
      <c r="K192" s="35">
        <f t="array" ref="K192">IF(ISERROR(G192/L192),"",G192/L192)</f>
        <v>0</v>
      </c>
      <c r="L192" s="87">
        <v>4</v>
      </c>
      <c r="M192" s="36">
        <f t="shared" si="66"/>
        <v>0</v>
      </c>
      <c r="N192" s="93">
        <f>SUM('3:23'!N192)</f>
        <v>0</v>
      </c>
      <c r="O192" s="93">
        <f>SUM('3:23'!O192)</f>
        <v>0</v>
      </c>
      <c r="P192" s="93">
        <f>SUM('3:23'!P192)</f>
        <v>0</v>
      </c>
      <c r="Q192" s="93">
        <f>SUM('3:23'!Q192)</f>
        <v>0</v>
      </c>
      <c r="R192" s="93">
        <f>SUM('3:23'!R192)</f>
        <v>0</v>
      </c>
      <c r="S192" s="93">
        <f>SUM('3:23'!S192)</f>
        <v>0</v>
      </c>
      <c r="T192" s="93">
        <f>SUM('3:23'!T192)</f>
        <v>0</v>
      </c>
      <c r="U192" s="93">
        <f>SUM('3:23'!U192)</f>
        <v>0</v>
      </c>
      <c r="V192" s="206">
        <f t="shared" si="67"/>
        <v>0</v>
      </c>
      <c r="W192" s="33" t="str">
        <f t="shared" si="68"/>
        <v/>
      </c>
      <c r="X192" s="93">
        <f>SUM('3:23'!X192)</f>
        <v>0</v>
      </c>
      <c r="Y192" s="93">
        <f>SUM('3:23'!Y192)</f>
        <v>0</v>
      </c>
      <c r="Z192" s="93">
        <f>SUM('3:23'!Z192)</f>
        <v>0</v>
      </c>
      <c r="AA192" s="93">
        <f>SUM('3:23'!AA192)</f>
        <v>0</v>
      </c>
      <c r="AB192" s="73"/>
      <c r="AC192" s="54"/>
      <c r="AD192" s="346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300">
        <v>30100004</v>
      </c>
      <c r="B193" s="141" t="s">
        <v>198</v>
      </c>
      <c r="C193" s="333" t="s">
        <v>187</v>
      </c>
      <c r="D193" s="108">
        <v>4.8</v>
      </c>
      <c r="E193" s="17"/>
      <c r="F193" s="13"/>
      <c r="G193" s="93">
        <f>SUM('3:23'!G193)</f>
        <v>0</v>
      </c>
      <c r="H193" s="95">
        <f t="shared" si="65"/>
        <v>0</v>
      </c>
      <c r="I193" s="93">
        <f>SUM('3:23'!I193)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66"/>
        <v>0</v>
      </c>
      <c r="N193" s="93">
        <f>SUM('3:23'!N193)</f>
        <v>0</v>
      </c>
      <c r="O193" s="93">
        <f>SUM('3:23'!O193)</f>
        <v>0</v>
      </c>
      <c r="P193" s="93">
        <f>SUM('3:23'!P193)</f>
        <v>0</v>
      </c>
      <c r="Q193" s="93">
        <f>SUM('3:23'!Q193)</f>
        <v>0</v>
      </c>
      <c r="R193" s="93">
        <f>SUM('3:23'!R193)</f>
        <v>0</v>
      </c>
      <c r="S193" s="93">
        <f>SUM('3:23'!S193)</f>
        <v>0</v>
      </c>
      <c r="T193" s="93">
        <f>SUM('3:23'!T193)</f>
        <v>0</v>
      </c>
      <c r="U193" s="93">
        <f>SUM('3:23'!U193)</f>
        <v>0</v>
      </c>
      <c r="V193" s="206">
        <f t="shared" si="67"/>
        <v>0</v>
      </c>
      <c r="W193" s="33" t="str">
        <f t="shared" si="68"/>
        <v/>
      </c>
      <c r="X193" s="93">
        <f>SUM('3:23'!X193)</f>
        <v>0</v>
      </c>
      <c r="Y193" s="93">
        <f>SUM('3:23'!Y193)</f>
        <v>0</v>
      </c>
      <c r="Z193" s="93">
        <f>SUM('3:23'!Z193)</f>
        <v>0</v>
      </c>
      <c r="AA193" s="93">
        <f>SUM('3:23'!AA193)</f>
        <v>0</v>
      </c>
      <c r="AB193" s="73"/>
      <c r="AC193" s="54"/>
      <c r="AD193" s="346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300">
        <v>30100006</v>
      </c>
      <c r="B194" s="141" t="s">
        <v>198</v>
      </c>
      <c r="C194" s="333" t="s">
        <v>179</v>
      </c>
      <c r="D194" s="108">
        <v>4.8</v>
      </c>
      <c r="E194" s="17"/>
      <c r="F194" s="13"/>
      <c r="G194" s="93">
        <f>SUM('3:23'!G194)</f>
        <v>0</v>
      </c>
      <c r="H194" s="95">
        <f t="shared" si="65"/>
        <v>0</v>
      </c>
      <c r="I194" s="93">
        <f>SUM('3:23'!I194)</f>
        <v>0</v>
      </c>
      <c r="J194" s="31"/>
      <c r="K194" s="35">
        <f t="array" ref="K194">IF(ISERROR(G194/L194),"",G194/L194)</f>
        <v>0</v>
      </c>
      <c r="L194" s="87">
        <v>4</v>
      </c>
      <c r="M194" s="36">
        <f>IF(ISERROR(I194-K194),"",I194-K194)</f>
        <v>0</v>
      </c>
      <c r="N194" s="93">
        <f>SUM('3:23'!N194)</f>
        <v>0</v>
      </c>
      <c r="O194" s="93">
        <f>SUM('3:23'!O194)</f>
        <v>0</v>
      </c>
      <c r="P194" s="93">
        <f>SUM('3:23'!P194)</f>
        <v>0</v>
      </c>
      <c r="Q194" s="93">
        <f>SUM('3:23'!Q194)</f>
        <v>0</v>
      </c>
      <c r="R194" s="93">
        <f>SUM('3:23'!R194)</f>
        <v>0</v>
      </c>
      <c r="S194" s="93">
        <f>SUM('3:23'!S194)</f>
        <v>0</v>
      </c>
      <c r="T194" s="93">
        <f>SUM('3:23'!T194)</f>
        <v>0</v>
      </c>
      <c r="U194" s="93">
        <f>SUM('3:23'!U194)</f>
        <v>0</v>
      </c>
      <c r="V194" s="206"/>
      <c r="W194" s="33"/>
      <c r="X194" s="93">
        <f>SUM('3:23'!X194)</f>
        <v>0</v>
      </c>
      <c r="Y194" s="93">
        <f>SUM('3:23'!Y194)</f>
        <v>0</v>
      </c>
      <c r="Z194" s="93">
        <f>SUM('3:23'!Z194)</f>
        <v>0</v>
      </c>
      <c r="AA194" s="93">
        <f>SUM('3:23'!AA194)</f>
        <v>0</v>
      </c>
      <c r="AB194" s="73"/>
      <c r="AC194" s="54"/>
      <c r="AD194" s="346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300">
        <v>30100005</v>
      </c>
      <c r="B195" s="141" t="s">
        <v>198</v>
      </c>
      <c r="C195" s="333" t="s">
        <v>199</v>
      </c>
      <c r="D195" s="108">
        <v>4.8</v>
      </c>
      <c r="E195" s="17"/>
      <c r="F195" s="13"/>
      <c r="G195" s="93">
        <f>SUM('3:23'!G195)</f>
        <v>0</v>
      </c>
      <c r="H195" s="95">
        <f t="shared" si="65"/>
        <v>0</v>
      </c>
      <c r="I195" s="93">
        <f>SUM('3:23'!I195)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>IF(ISERROR(I195-K195),"",I195-K195)</f>
        <v>0</v>
      </c>
      <c r="N195" s="93">
        <f>SUM('3:23'!N195)</f>
        <v>0</v>
      </c>
      <c r="O195" s="93">
        <f>SUM('3:23'!O195)</f>
        <v>0</v>
      </c>
      <c r="P195" s="93">
        <f>SUM('3:23'!P195)</f>
        <v>0</v>
      </c>
      <c r="Q195" s="93">
        <f>SUM('3:23'!Q195)</f>
        <v>0</v>
      </c>
      <c r="R195" s="93">
        <f>SUM('3:23'!R195)</f>
        <v>0</v>
      </c>
      <c r="S195" s="93">
        <f>SUM('3:23'!S195)</f>
        <v>0</v>
      </c>
      <c r="T195" s="93">
        <f>SUM('3:23'!T195)</f>
        <v>0</v>
      </c>
      <c r="U195" s="93">
        <f>SUM('3:23'!U195)</f>
        <v>0</v>
      </c>
      <c r="V195" s="206"/>
      <c r="W195" s="33"/>
      <c r="X195" s="93">
        <f>SUM('3:23'!X195)</f>
        <v>0</v>
      </c>
      <c r="Y195" s="93">
        <f>SUM('3:23'!Y195)</f>
        <v>0</v>
      </c>
      <c r="Z195" s="93">
        <f>SUM('3:23'!Z195)</f>
        <v>0</v>
      </c>
      <c r="AA195" s="93">
        <f>SUM('3:23'!AA195)</f>
        <v>0</v>
      </c>
      <c r="AB195" s="73"/>
      <c r="AC195" s="54"/>
      <c r="AD195" s="346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300">
        <v>30100009</v>
      </c>
      <c r="B196" s="141" t="s">
        <v>200</v>
      </c>
      <c r="C196" s="126" t="s">
        <v>190</v>
      </c>
      <c r="D196" s="108">
        <v>4.99</v>
      </c>
      <c r="E196" s="17"/>
      <c r="F196" s="13"/>
      <c r="G196" s="93">
        <f>SUM('3:23'!G196)</f>
        <v>0</v>
      </c>
      <c r="H196" s="95">
        <f t="shared" si="65"/>
        <v>0</v>
      </c>
      <c r="I196" s="93">
        <f>SUM('3:23'!I196)</f>
        <v>0</v>
      </c>
      <c r="J196" s="31"/>
      <c r="K196" s="35">
        <f t="array" ref="K196">IF(ISERROR(G196/L196),"",G196/L196)</f>
        <v>0</v>
      </c>
      <c r="L196" s="87">
        <v>23.5</v>
      </c>
      <c r="M196" s="36">
        <f>IF(ISERROR(I196-K196),"",I196-K196)</f>
        <v>0</v>
      </c>
      <c r="N196" s="93">
        <f>SUM('3:23'!N196)</f>
        <v>0</v>
      </c>
      <c r="O196" s="93">
        <f>SUM('3:23'!O196)</f>
        <v>0</v>
      </c>
      <c r="P196" s="93">
        <f>SUM('3:23'!P196)</f>
        <v>0</v>
      </c>
      <c r="Q196" s="93">
        <f>SUM('3:23'!Q196)</f>
        <v>0</v>
      </c>
      <c r="R196" s="93">
        <f>SUM('3:23'!R196)</f>
        <v>0</v>
      </c>
      <c r="S196" s="93">
        <f>SUM('3:23'!S196)</f>
        <v>0</v>
      </c>
      <c r="T196" s="93">
        <f>SUM('3:23'!T196)</f>
        <v>0</v>
      </c>
      <c r="U196" s="93">
        <f>SUM('3:23'!U196)</f>
        <v>0</v>
      </c>
      <c r="V196" s="206"/>
      <c r="W196" s="33"/>
      <c r="X196" s="93">
        <f>SUM('3:23'!X196)</f>
        <v>0</v>
      </c>
      <c r="Y196" s="93">
        <f>SUM('3:23'!Y196)</f>
        <v>0</v>
      </c>
      <c r="Z196" s="93">
        <f>SUM('3:23'!Z196)</f>
        <v>0</v>
      </c>
      <c r="AA196" s="93">
        <f>SUM('3:23'!AA196)</f>
        <v>0</v>
      </c>
      <c r="AB196" s="73"/>
      <c r="AC196" s="54"/>
      <c r="AD196" s="346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299">
        <v>30200004</v>
      </c>
      <c r="B197" s="141" t="s">
        <v>200</v>
      </c>
      <c r="C197" s="126" t="s">
        <v>189</v>
      </c>
      <c r="D197" s="108">
        <v>4.99</v>
      </c>
      <c r="E197" s="17"/>
      <c r="F197" s="13"/>
      <c r="G197" s="93">
        <f>SUM('3:23'!G197)</f>
        <v>346</v>
      </c>
      <c r="H197" s="95">
        <f t="shared" si="65"/>
        <v>1726.54</v>
      </c>
      <c r="I197" s="93">
        <f>SUM('3:23'!I197)</f>
        <v>22.5</v>
      </c>
      <c r="J197" s="31"/>
      <c r="K197" s="35">
        <f t="array" ref="K197">IF(ISERROR(G197/L197),"",G197/L197)</f>
        <v>14.723404255319149</v>
      </c>
      <c r="L197" s="87">
        <v>23.5</v>
      </c>
      <c r="M197" s="36">
        <f>IF(ISERROR(I197-K197),"",I197-K197)</f>
        <v>7.7765957446808507</v>
      </c>
      <c r="N197" s="93">
        <f>SUM('3:23'!N197)</f>
        <v>0</v>
      </c>
      <c r="O197" s="93">
        <f>SUM('3:23'!O197)</f>
        <v>0</v>
      </c>
      <c r="P197" s="93">
        <f>SUM('3:23'!P197)</f>
        <v>0</v>
      </c>
      <c r="Q197" s="93">
        <f>SUM('3:23'!Q197)</f>
        <v>0</v>
      </c>
      <c r="R197" s="93">
        <f>SUM('3:23'!R197)</f>
        <v>0</v>
      </c>
      <c r="S197" s="93">
        <f>SUM('3:23'!S197)</f>
        <v>0</v>
      </c>
      <c r="T197" s="93">
        <f>SUM('3:23'!T197)</f>
        <v>0</v>
      </c>
      <c r="U197" s="93">
        <f>SUM('3:23'!U197)</f>
        <v>0</v>
      </c>
      <c r="V197" s="206"/>
      <c r="W197" s="33"/>
      <c r="X197" s="93">
        <f>SUM('3:23'!X197)</f>
        <v>0</v>
      </c>
      <c r="Y197" s="93">
        <f>SUM('3:23'!Y197)</f>
        <v>0</v>
      </c>
      <c r="Z197" s="93">
        <f>SUM('3:23'!Z197)</f>
        <v>0</v>
      </c>
      <c r="AA197" s="93">
        <f>SUM('3:23'!AA197)</f>
        <v>0</v>
      </c>
      <c r="AB197" s="73"/>
      <c r="AC197" s="54"/>
      <c r="AD197" s="346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722" t="s">
        <v>70</v>
      </c>
      <c r="B198" s="723"/>
      <c r="C198" s="31" t="s">
        <v>71</v>
      </c>
      <c r="D198" s="30"/>
      <c r="E198" s="30"/>
      <c r="F198" s="30"/>
      <c r="G198" s="94">
        <f>SUM(G177:G197)</f>
        <v>15272</v>
      </c>
      <c r="H198" s="30">
        <f>SUM(H177:H197)</f>
        <v>76152.59</v>
      </c>
      <c r="I198" s="30">
        <f>SUM(I177:I197)</f>
        <v>1061.5</v>
      </c>
      <c r="J198" s="31">
        <f t="array" ref="J198">IF(ISERROR(G198/I198),"",G198/I198)</f>
        <v>14.387187941592087</v>
      </c>
      <c r="K198" s="30">
        <f>SUM(K177:K197)</f>
        <v>786.54360549370926</v>
      </c>
      <c r="L198" s="98"/>
      <c r="M198" s="89">
        <f t="shared" ref="M198:AA198" si="69">SUM(M177:M197)</f>
        <v>274.95639450629074</v>
      </c>
      <c r="N198" s="30">
        <f t="shared" si="69"/>
        <v>0</v>
      </c>
      <c r="O198" s="34">
        <f t="shared" si="69"/>
        <v>0</v>
      </c>
      <c r="P198" s="34">
        <f t="shared" si="69"/>
        <v>0</v>
      </c>
      <c r="Q198" s="34">
        <f t="shared" si="69"/>
        <v>0</v>
      </c>
      <c r="R198" s="34">
        <f t="shared" si="69"/>
        <v>0</v>
      </c>
      <c r="S198" s="34">
        <f t="shared" si="69"/>
        <v>0</v>
      </c>
      <c r="T198" s="34">
        <f t="shared" si="69"/>
        <v>0</v>
      </c>
      <c r="U198" s="34">
        <f t="shared" si="69"/>
        <v>0</v>
      </c>
      <c r="V198" s="206">
        <f t="shared" si="69"/>
        <v>0</v>
      </c>
      <c r="W198" s="33">
        <f t="shared" si="69"/>
        <v>0</v>
      </c>
      <c r="X198" s="92">
        <f t="shared" si="69"/>
        <v>0</v>
      </c>
      <c r="Y198" s="92">
        <f t="shared" si="69"/>
        <v>0</v>
      </c>
      <c r="Z198" s="92">
        <f t="shared" si="69"/>
        <v>0</v>
      </c>
      <c r="AA198" s="92">
        <f t="shared" si="69"/>
        <v>0</v>
      </c>
      <c r="AB198" s="70"/>
      <c r="AC198" s="70"/>
      <c r="AD198" s="58"/>
      <c r="AE198" s="70"/>
      <c r="AF198" s="70"/>
      <c r="AG198" s="70"/>
      <c r="AH198" s="70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</row>
    <row r="199" spans="1:53">
      <c r="A199" s="300">
        <v>30100012</v>
      </c>
      <c r="B199" s="61" t="s">
        <v>76</v>
      </c>
      <c r="C199" s="16" t="s">
        <v>73</v>
      </c>
      <c r="D199" s="17">
        <v>5.03</v>
      </c>
      <c r="E199" s="17"/>
      <c r="F199" s="6"/>
      <c r="G199" s="93">
        <f>SUM('3:23'!G199)</f>
        <v>2126</v>
      </c>
      <c r="H199" s="339">
        <f t="shared" ref="H199:H255" si="70">D199*G199</f>
        <v>10693.78</v>
      </c>
      <c r="I199" s="93">
        <f>SUM('3:23'!I199)</f>
        <v>34</v>
      </c>
      <c r="J199" s="31">
        <f t="array" ref="J199">IF(ISERROR(G199/I199),"",G199/I199)</f>
        <v>62.529411764705884</v>
      </c>
      <c r="K199" s="35">
        <f t="array" ref="K199">IF(ISERROR(G199/L199),"",G199/L199)</f>
        <v>40.884615384615387</v>
      </c>
      <c r="L199" s="87">
        <v>52</v>
      </c>
      <c r="M199" s="36">
        <f t="shared" ref="M199" si="71">IF(ISERROR(I199-K199),"",I199-K199)</f>
        <v>-6.8846153846153868</v>
      </c>
      <c r="N199" s="93">
        <f>SUM('3:23'!N199)</f>
        <v>0</v>
      </c>
      <c r="O199" s="93">
        <f>SUM('3:23'!O199)</f>
        <v>0</v>
      </c>
      <c r="P199" s="93">
        <f>SUM('3:23'!P199)</f>
        <v>0</v>
      </c>
      <c r="Q199" s="93">
        <f>SUM('3:23'!Q199)</f>
        <v>0</v>
      </c>
      <c r="R199" s="93">
        <f>SUM('3:23'!R199)</f>
        <v>0</v>
      </c>
      <c r="S199" s="93">
        <f>SUM('3:23'!S199)</f>
        <v>0</v>
      </c>
      <c r="T199" s="93">
        <f>SUM('3:23'!T199)</f>
        <v>0</v>
      </c>
      <c r="U199" s="93">
        <f>SUM('3:23'!U199)</f>
        <v>0</v>
      </c>
      <c r="V199" s="206">
        <f t="shared" ref="V199" si="72">SUM(X199:AA199)</f>
        <v>0</v>
      </c>
      <c r="W199" s="33">
        <f t="shared" ref="W199" si="73">IF(ISERROR(V199/G199),"",V199/G199)</f>
        <v>0</v>
      </c>
      <c r="X199" s="93">
        <f>SUM('3:23'!X199)</f>
        <v>0</v>
      </c>
      <c r="Y199" s="93">
        <f>SUM('3:23'!Y199)</f>
        <v>0</v>
      </c>
      <c r="Z199" s="93">
        <f>SUM('3:23'!Z199)</f>
        <v>0</v>
      </c>
      <c r="AA199" s="93">
        <f>SUM('3:23'!AA199)</f>
        <v>0</v>
      </c>
      <c r="AB199" s="25"/>
      <c r="AC199" s="54"/>
      <c r="AD199" s="346"/>
      <c r="AE199" s="54"/>
      <c r="AF199" s="54"/>
      <c r="AG199" s="54"/>
      <c r="AH199" s="54"/>
      <c r="AI199" s="57"/>
      <c r="AJ199" s="57"/>
      <c r="AK199" s="57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</row>
    <row r="200" spans="1:53">
      <c r="A200" s="300">
        <v>30100011</v>
      </c>
      <c r="B200" s="190" t="s">
        <v>426</v>
      </c>
      <c r="C200" s="187" t="s">
        <v>428</v>
      </c>
      <c r="D200" s="17">
        <v>5.03</v>
      </c>
      <c r="E200" s="17"/>
      <c r="F200" s="6"/>
      <c r="G200" s="93">
        <f>SUM('3:23'!G200)</f>
        <v>961</v>
      </c>
      <c r="H200" s="339">
        <f t="shared" si="70"/>
        <v>4833.83</v>
      </c>
      <c r="I200" s="93">
        <f>SUM('3:23'!I200)</f>
        <v>11.5</v>
      </c>
      <c r="J200" s="31"/>
      <c r="K200" s="35"/>
      <c r="L200" s="87">
        <v>52</v>
      </c>
      <c r="M200" s="36"/>
      <c r="N200" s="93"/>
      <c r="O200" s="93"/>
      <c r="P200" s="93"/>
      <c r="Q200" s="93"/>
      <c r="R200" s="93"/>
      <c r="S200" s="93"/>
      <c r="T200" s="93"/>
      <c r="U200" s="93"/>
      <c r="V200" s="206"/>
      <c r="W200" s="33"/>
      <c r="X200" s="93"/>
      <c r="Y200" s="93"/>
      <c r="Z200" s="93"/>
      <c r="AA200" s="93"/>
      <c r="AB200" s="25"/>
      <c r="AC200" s="54"/>
      <c r="AD200" s="346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 ht="17.25" customHeight="1">
      <c r="A201" s="300">
        <v>30100010</v>
      </c>
      <c r="B201" s="61" t="s">
        <v>76</v>
      </c>
      <c r="C201" s="16" t="s">
        <v>60</v>
      </c>
      <c r="D201" s="17">
        <v>5.03</v>
      </c>
      <c r="E201" s="17"/>
      <c r="F201" s="6"/>
      <c r="G201" s="93">
        <f>SUM('3:23'!G201)</f>
        <v>1295</v>
      </c>
      <c r="H201" s="339">
        <f t="shared" si="70"/>
        <v>6513.85</v>
      </c>
      <c r="I201" s="93">
        <f>SUM('3:23'!I201)</f>
        <v>15</v>
      </c>
      <c r="J201" s="31">
        <f t="array" ref="J201">IF(ISERROR(G201/I201),"",G201/I201)</f>
        <v>86.333333333333329</v>
      </c>
      <c r="K201" s="35">
        <f t="array" ref="K201">IF(ISERROR(G201/L201),"",G201/L201)</f>
        <v>24.903846153846153</v>
      </c>
      <c r="L201" s="87">
        <v>52</v>
      </c>
      <c r="M201" s="36">
        <f t="shared" ref="M201" si="74">IF(ISERROR(I201-K201),"",I201-K201)</f>
        <v>-9.9038461538461533</v>
      </c>
      <c r="N201" s="93">
        <f>SUM('3:23'!N201)</f>
        <v>0</v>
      </c>
      <c r="O201" s="93">
        <f>SUM('3:23'!O201)</f>
        <v>0</v>
      </c>
      <c r="P201" s="93">
        <f>SUM('3:23'!P201)</f>
        <v>0</v>
      </c>
      <c r="Q201" s="93">
        <f>SUM('3:23'!Q201)</f>
        <v>0</v>
      </c>
      <c r="R201" s="93">
        <f>SUM('3:23'!R201)</f>
        <v>0</v>
      </c>
      <c r="S201" s="93">
        <f>SUM('3:23'!S201)</f>
        <v>0</v>
      </c>
      <c r="T201" s="93">
        <f>SUM('3:23'!T201)</f>
        <v>0</v>
      </c>
      <c r="U201" s="93">
        <f>SUM('3:23'!U201)</f>
        <v>0</v>
      </c>
      <c r="V201" s="206">
        <f t="shared" ref="V201:V203" si="75">SUM(X201:AA201)</f>
        <v>0</v>
      </c>
      <c r="W201" s="33">
        <f t="shared" ref="W201:W203" si="76">IF(ISERROR(V201/G201),"",V201/G201)</f>
        <v>0</v>
      </c>
      <c r="X201" s="93">
        <f>SUM('3:23'!X201)</f>
        <v>0</v>
      </c>
      <c r="Y201" s="93">
        <f>SUM('3:23'!Y201)</f>
        <v>0</v>
      </c>
      <c r="Z201" s="93">
        <f>SUM('3:23'!Z201)</f>
        <v>0</v>
      </c>
      <c r="AA201" s="93">
        <f>SUM('3:23'!AA201)</f>
        <v>0</v>
      </c>
      <c r="AB201" s="25"/>
      <c r="AC201" s="54"/>
      <c r="AD201" s="346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>
      <c r="A202" s="300">
        <v>30100014</v>
      </c>
      <c r="B202" s="61" t="s">
        <v>76</v>
      </c>
      <c r="C202" s="16" t="s">
        <v>72</v>
      </c>
      <c r="D202" s="17">
        <v>5.03</v>
      </c>
      <c r="E202" s="17"/>
      <c r="F202" s="6"/>
      <c r="G202" s="93">
        <f>SUM('3:23'!G202)</f>
        <v>1365</v>
      </c>
      <c r="H202" s="339">
        <f t="shared" si="70"/>
        <v>6865.9500000000007</v>
      </c>
      <c r="I202" s="93">
        <f>SUM('3:23'!I202)</f>
        <v>15.5</v>
      </c>
      <c r="J202" s="31">
        <f t="array" ref="J202">IF(ISERROR(G202/I202),"",G202/I202)</f>
        <v>88.064516129032256</v>
      </c>
      <c r="K202" s="35">
        <f t="array" ref="K202">IF(ISERROR(G202/L202),"",G202/L202)</f>
        <v>26.25</v>
      </c>
      <c r="L202" s="87">
        <v>52</v>
      </c>
      <c r="M202" s="36">
        <f>IF(ISERROR(I202-K202),"",I202-K202)</f>
        <v>-10.75</v>
      </c>
      <c r="N202" s="93">
        <f>SUM('3:23'!N202)</f>
        <v>0</v>
      </c>
      <c r="O202" s="93">
        <f>SUM('3:23'!O202)</f>
        <v>0</v>
      </c>
      <c r="P202" s="93">
        <f>SUM('3:23'!P202)</f>
        <v>0</v>
      </c>
      <c r="Q202" s="93">
        <f>SUM('3:23'!Q202)</f>
        <v>0</v>
      </c>
      <c r="R202" s="93">
        <f>SUM('3:23'!R202)</f>
        <v>0</v>
      </c>
      <c r="S202" s="93">
        <f>SUM('3:23'!S202)</f>
        <v>0</v>
      </c>
      <c r="T202" s="93">
        <f>SUM('3:23'!T202)</f>
        <v>0</v>
      </c>
      <c r="U202" s="93">
        <f>SUM('3:23'!U202)</f>
        <v>0</v>
      </c>
      <c r="V202" s="206">
        <f t="shared" si="75"/>
        <v>0</v>
      </c>
      <c r="W202" s="33">
        <f t="shared" si="76"/>
        <v>0</v>
      </c>
      <c r="X202" s="93">
        <f>SUM('3:23'!X202)</f>
        <v>0</v>
      </c>
      <c r="Y202" s="93">
        <f>SUM('3:23'!Y202)</f>
        <v>0</v>
      </c>
      <c r="Z202" s="93">
        <f>SUM('3:23'!Z202)</f>
        <v>0</v>
      </c>
      <c r="AA202" s="93">
        <f>SUM('3:23'!AA202)</f>
        <v>0</v>
      </c>
      <c r="AB202" s="25"/>
      <c r="AC202" s="54"/>
      <c r="AD202" s="346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300">
        <v>30100013</v>
      </c>
      <c r="B203" s="61" t="s">
        <v>76</v>
      </c>
      <c r="C203" s="16" t="s">
        <v>77</v>
      </c>
      <c r="D203" s="17">
        <v>5.03</v>
      </c>
      <c r="E203" s="17"/>
      <c r="F203" s="6"/>
      <c r="G203" s="93">
        <f>SUM('3:23'!G203)</f>
        <v>1249</v>
      </c>
      <c r="H203" s="339">
        <f t="shared" si="70"/>
        <v>6282.47</v>
      </c>
      <c r="I203" s="93">
        <f>SUM('3:23'!I203)</f>
        <v>14.5</v>
      </c>
      <c r="J203" s="31">
        <f t="array" ref="J203">IF(ISERROR(G203/I203),"",G203/I203)</f>
        <v>86.137931034482762</v>
      </c>
      <c r="K203" s="35">
        <f t="array" ref="K203">IF(ISERROR(G203/L203),"",G203/L203)</f>
        <v>24.01923076923077</v>
      </c>
      <c r="L203" s="87">
        <v>52</v>
      </c>
      <c r="M203" s="36">
        <f t="shared" ref="M203" si="77">IF(ISERROR(I203-K203),"",I203-K203)</f>
        <v>-9.5192307692307701</v>
      </c>
      <c r="N203" s="93">
        <f>SUM('3:23'!N203)</f>
        <v>0</v>
      </c>
      <c r="O203" s="93">
        <f>SUM('3:23'!O203)</f>
        <v>0</v>
      </c>
      <c r="P203" s="93">
        <f>SUM('3:23'!P203)</f>
        <v>0</v>
      </c>
      <c r="Q203" s="93">
        <f>SUM('3:23'!Q203)</f>
        <v>0</v>
      </c>
      <c r="R203" s="93">
        <f>SUM('3:23'!R203)</f>
        <v>0</v>
      </c>
      <c r="S203" s="93">
        <f>SUM('3:23'!S203)</f>
        <v>0</v>
      </c>
      <c r="T203" s="93">
        <f>SUM('3:23'!T203)</f>
        <v>0</v>
      </c>
      <c r="U203" s="93">
        <f>SUM('3:23'!U203)</f>
        <v>0</v>
      </c>
      <c r="V203" s="206">
        <f t="shared" si="75"/>
        <v>0</v>
      </c>
      <c r="W203" s="33">
        <f t="shared" si="76"/>
        <v>0</v>
      </c>
      <c r="X203" s="93">
        <f>SUM('3:23'!X203)</f>
        <v>0</v>
      </c>
      <c r="Y203" s="93">
        <f>SUM('3:23'!Y203)</f>
        <v>0</v>
      </c>
      <c r="Z203" s="93">
        <f>SUM('3:23'!Z203)</f>
        <v>0</v>
      </c>
      <c r="AA203" s="93">
        <f>SUM('3:23'!AA203)</f>
        <v>0</v>
      </c>
      <c r="AB203" s="25"/>
      <c r="AC203" s="54"/>
      <c r="AD203" s="346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300">
        <v>30100016</v>
      </c>
      <c r="B204" s="334" t="s">
        <v>414</v>
      </c>
      <c r="C204" s="187" t="s">
        <v>415</v>
      </c>
      <c r="D204" s="17">
        <v>5.03</v>
      </c>
      <c r="E204" s="17"/>
      <c r="F204" s="6"/>
      <c r="G204" s="93">
        <f>SUM('3:23'!G204)</f>
        <v>303</v>
      </c>
      <c r="H204" s="339">
        <f t="shared" si="70"/>
        <v>1524.0900000000001</v>
      </c>
      <c r="I204" s="93">
        <f>SUM('3:23'!I204)</f>
        <v>15</v>
      </c>
      <c r="J204" s="31"/>
      <c r="K204" s="35"/>
      <c r="L204" s="87">
        <v>52</v>
      </c>
      <c r="M204" s="36"/>
      <c r="N204" s="93"/>
      <c r="O204" s="93"/>
      <c r="P204" s="93"/>
      <c r="Q204" s="93"/>
      <c r="R204" s="93"/>
      <c r="S204" s="93"/>
      <c r="T204" s="93"/>
      <c r="U204" s="93"/>
      <c r="V204" s="206"/>
      <c r="W204" s="33"/>
      <c r="X204" s="93"/>
      <c r="Y204" s="93"/>
      <c r="Z204" s="93"/>
      <c r="AA204" s="93"/>
      <c r="AB204" s="25"/>
      <c r="AC204" s="54"/>
      <c r="AD204" s="346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300">
        <v>30100017</v>
      </c>
      <c r="B205" s="334" t="s">
        <v>414</v>
      </c>
      <c r="C205" s="187" t="s">
        <v>416</v>
      </c>
      <c r="D205" s="17">
        <v>5.03</v>
      </c>
      <c r="E205" s="17"/>
      <c r="F205" s="6"/>
      <c r="G205" s="93">
        <f>SUM('3:23'!G205)</f>
        <v>0</v>
      </c>
      <c r="H205" s="339">
        <f t="shared" si="70"/>
        <v>0</v>
      </c>
      <c r="I205" s="93">
        <f>SUM('3:23'!I205)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6"/>
      <c r="W205" s="33"/>
      <c r="X205" s="93"/>
      <c r="Y205" s="93"/>
      <c r="Z205" s="93"/>
      <c r="AA205" s="93"/>
      <c r="AB205" s="25"/>
      <c r="AC205" s="54"/>
      <c r="AD205" s="346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300">
        <v>30100015</v>
      </c>
      <c r="B206" s="334" t="s">
        <v>414</v>
      </c>
      <c r="C206" s="187" t="s">
        <v>417</v>
      </c>
      <c r="D206" s="17">
        <v>5.03</v>
      </c>
      <c r="E206" s="17"/>
      <c r="F206" s="6"/>
      <c r="G206" s="93">
        <f>SUM('3:23'!G206)</f>
        <v>490</v>
      </c>
      <c r="H206" s="339">
        <f t="shared" si="70"/>
        <v>2464.7000000000003</v>
      </c>
      <c r="I206" s="93">
        <f>SUM('3:23'!I206)</f>
        <v>37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6"/>
      <c r="W206" s="33"/>
      <c r="X206" s="93"/>
      <c r="Y206" s="93"/>
      <c r="Z206" s="93"/>
      <c r="AA206" s="93"/>
      <c r="AB206" s="25"/>
      <c r="AC206" s="54"/>
      <c r="AD206" s="346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300">
        <v>30100027</v>
      </c>
      <c r="B207" s="61" t="s">
        <v>78</v>
      </c>
      <c r="C207" s="16" t="s">
        <v>53</v>
      </c>
      <c r="D207" s="17">
        <v>5.08</v>
      </c>
      <c r="E207" s="17"/>
      <c r="F207" s="6"/>
      <c r="G207" s="93">
        <f>SUM('3:23'!G207)</f>
        <v>247</v>
      </c>
      <c r="H207" s="339">
        <f t="shared" si="70"/>
        <v>1254.76</v>
      </c>
      <c r="I207" s="93">
        <f>SUM('3:23'!I207)</f>
        <v>24</v>
      </c>
      <c r="J207" s="31">
        <f t="array" ref="J207">IF(ISERROR(G207/I207),"",G207/I207)</f>
        <v>10.291666666666666</v>
      </c>
      <c r="K207" s="35">
        <f t="array" ref="K207">IF(ISERROR(G207/L207),"",G207/L207)</f>
        <v>11.761904761904763</v>
      </c>
      <c r="L207" s="87">
        <v>21</v>
      </c>
      <c r="M207" s="36">
        <f t="shared" ref="M207:M236" si="78">IF(ISERROR(I207-K207),"",I207-K207)</f>
        <v>12.238095238095237</v>
      </c>
      <c r="N207" s="93">
        <f>SUM('3:23'!N207)</f>
        <v>0</v>
      </c>
      <c r="O207" s="93">
        <f>SUM('3:23'!O207)</f>
        <v>0</v>
      </c>
      <c r="P207" s="93">
        <f>SUM('3:23'!P207)</f>
        <v>0</v>
      </c>
      <c r="Q207" s="93">
        <f>SUM('3:23'!Q207)</f>
        <v>0</v>
      </c>
      <c r="R207" s="93">
        <f>SUM('3:23'!R207)</f>
        <v>0</v>
      </c>
      <c r="S207" s="93">
        <f>SUM('3:23'!S207)</f>
        <v>0</v>
      </c>
      <c r="T207" s="93">
        <f>SUM('3:23'!T207)</f>
        <v>0</v>
      </c>
      <c r="U207" s="93">
        <f>SUM('3:23'!U207)</f>
        <v>0</v>
      </c>
      <c r="V207" s="206">
        <f t="shared" ref="V207:V218" si="79">SUM(X207:AA207)</f>
        <v>0</v>
      </c>
      <c r="W207" s="33">
        <f t="shared" ref="W207:W218" si="80">IF(ISERROR(V207/G207),"",V207/G207)</f>
        <v>0</v>
      </c>
      <c r="X207" s="93">
        <f>SUM('3:23'!X207)</f>
        <v>0</v>
      </c>
      <c r="Y207" s="93">
        <f>SUM('3:23'!Y207)</f>
        <v>0</v>
      </c>
      <c r="Z207" s="93">
        <f>SUM('3:23'!Z207)</f>
        <v>0</v>
      </c>
      <c r="AA207" s="93">
        <f>SUM('3:23'!AA207)</f>
        <v>0</v>
      </c>
      <c r="AB207" s="25"/>
      <c r="AC207" s="54"/>
      <c r="AD207" s="346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300">
        <v>30100023</v>
      </c>
      <c r="B208" s="61" t="s">
        <v>78</v>
      </c>
      <c r="C208" s="16" t="s">
        <v>74</v>
      </c>
      <c r="D208" s="17">
        <v>5.08</v>
      </c>
      <c r="E208" s="17"/>
      <c r="F208" s="6"/>
      <c r="G208" s="93">
        <f>SUM('3:23'!G208)</f>
        <v>772</v>
      </c>
      <c r="H208" s="339">
        <f t="shared" si="70"/>
        <v>3921.76</v>
      </c>
      <c r="I208" s="93">
        <f>SUM('3:23'!I208)</f>
        <v>10.5</v>
      </c>
      <c r="J208" s="31">
        <f t="array" ref="J208">IF(ISERROR(G208/I208),"",G208/I208)</f>
        <v>73.523809523809518</v>
      </c>
      <c r="K208" s="35">
        <f t="array" ref="K208">IF(ISERROR(G208/L208),"",G208/L208)</f>
        <v>36.761904761904759</v>
      </c>
      <c r="L208" s="87">
        <v>21</v>
      </c>
      <c r="M208" s="36">
        <f t="shared" si="78"/>
        <v>-26.261904761904759</v>
      </c>
      <c r="N208" s="93">
        <f>SUM('3:23'!N208)</f>
        <v>0</v>
      </c>
      <c r="O208" s="93">
        <f>SUM('3:23'!O208)</f>
        <v>0</v>
      </c>
      <c r="P208" s="93">
        <f>SUM('3:23'!P208)</f>
        <v>0</v>
      </c>
      <c r="Q208" s="93">
        <f>SUM('3:23'!Q208)</f>
        <v>0</v>
      </c>
      <c r="R208" s="93">
        <f>SUM('3:23'!R208)</f>
        <v>0</v>
      </c>
      <c r="S208" s="93">
        <f>SUM('3:23'!S208)</f>
        <v>0</v>
      </c>
      <c r="T208" s="93">
        <f>SUM('3:23'!T208)</f>
        <v>0</v>
      </c>
      <c r="U208" s="93">
        <f>SUM('3:23'!U208)</f>
        <v>0</v>
      </c>
      <c r="V208" s="206">
        <f t="shared" si="79"/>
        <v>0</v>
      </c>
      <c r="W208" s="33">
        <f t="shared" si="80"/>
        <v>0</v>
      </c>
      <c r="X208" s="93">
        <f>SUM('3:23'!X208)</f>
        <v>0</v>
      </c>
      <c r="Y208" s="93">
        <f>SUM('3:23'!Y208)</f>
        <v>0</v>
      </c>
      <c r="Z208" s="93">
        <f>SUM('3:23'!Z208)</f>
        <v>0</v>
      </c>
      <c r="AA208" s="93">
        <f>SUM('3:23'!AA208)</f>
        <v>0</v>
      </c>
      <c r="AB208" s="25"/>
      <c r="AC208" s="54"/>
      <c r="AD208" s="346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300">
        <v>30100024</v>
      </c>
      <c r="B209" s="61" t="s">
        <v>78</v>
      </c>
      <c r="C209" s="16" t="s">
        <v>75</v>
      </c>
      <c r="D209" s="17">
        <v>5.08</v>
      </c>
      <c r="E209" s="17"/>
      <c r="F209" s="6"/>
      <c r="G209" s="93">
        <f>SUM('3:23'!G209)</f>
        <v>0</v>
      </c>
      <c r="H209" s="339">
        <f t="shared" si="70"/>
        <v>0</v>
      </c>
      <c r="I209" s="93">
        <f>SUM('3:23'!I209)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78"/>
        <v>0</v>
      </c>
      <c r="N209" s="93">
        <f>SUM('3:23'!N209)</f>
        <v>0</v>
      </c>
      <c r="O209" s="93">
        <f>SUM('3:23'!O209)</f>
        <v>0</v>
      </c>
      <c r="P209" s="93">
        <f>SUM('3:23'!P209)</f>
        <v>0</v>
      </c>
      <c r="Q209" s="93">
        <f>SUM('3:23'!Q209)</f>
        <v>0</v>
      </c>
      <c r="R209" s="93">
        <f>SUM('3:23'!R209)</f>
        <v>0</v>
      </c>
      <c r="S209" s="93">
        <f>SUM('3:23'!S209)</f>
        <v>0</v>
      </c>
      <c r="T209" s="93">
        <f>SUM('3:23'!T209)</f>
        <v>0</v>
      </c>
      <c r="U209" s="93">
        <f>SUM('3:23'!U209)</f>
        <v>0</v>
      </c>
      <c r="V209" s="206">
        <f t="shared" si="79"/>
        <v>0</v>
      </c>
      <c r="W209" s="33" t="str">
        <f t="shared" si="80"/>
        <v/>
      </c>
      <c r="X209" s="93">
        <f>SUM('3:23'!X209)</f>
        <v>0</v>
      </c>
      <c r="Y209" s="93">
        <f>SUM('3:23'!Y209)</f>
        <v>0</v>
      </c>
      <c r="Z209" s="93">
        <f>SUM('3:23'!Z209)</f>
        <v>0</v>
      </c>
      <c r="AA209" s="93">
        <f>SUM('3:23'!AA209)</f>
        <v>0</v>
      </c>
      <c r="AB209" s="25"/>
      <c r="AC209" s="54"/>
      <c r="AD209" s="346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300">
        <v>30100022</v>
      </c>
      <c r="B210" s="61" t="s">
        <v>78</v>
      </c>
      <c r="C210" s="16" t="s">
        <v>60</v>
      </c>
      <c r="D210" s="17">
        <v>5.08</v>
      </c>
      <c r="E210" s="17"/>
      <c r="F210" s="6"/>
      <c r="G210" s="93">
        <f>SUM('3:23'!G210)</f>
        <v>505</v>
      </c>
      <c r="H210" s="339">
        <f t="shared" si="70"/>
        <v>2565.4</v>
      </c>
      <c r="I210" s="93">
        <f>SUM('3:23'!I210)</f>
        <v>24</v>
      </c>
      <c r="J210" s="31">
        <f t="array" ref="J210">IF(ISERROR(G210/I210),"",G210/I210)</f>
        <v>21.041666666666668</v>
      </c>
      <c r="K210" s="35">
        <f t="array" ref="K210">IF(ISERROR(G210/L210),"",G210/L210)</f>
        <v>24.047619047619047</v>
      </c>
      <c r="L210" s="87">
        <v>21</v>
      </c>
      <c r="M210" s="36">
        <f t="shared" si="78"/>
        <v>-4.761904761904745E-2</v>
      </c>
      <c r="N210" s="93">
        <f>SUM('3:23'!N210)</f>
        <v>0</v>
      </c>
      <c r="O210" s="93">
        <f>SUM('3:23'!O210)</f>
        <v>0</v>
      </c>
      <c r="P210" s="93">
        <f>SUM('3:23'!P210)</f>
        <v>0</v>
      </c>
      <c r="Q210" s="93">
        <f>SUM('3:23'!Q210)</f>
        <v>0</v>
      </c>
      <c r="R210" s="93">
        <f>SUM('3:23'!R210)</f>
        <v>0</v>
      </c>
      <c r="S210" s="93">
        <f>SUM('3:23'!S210)</f>
        <v>0</v>
      </c>
      <c r="T210" s="93">
        <f>SUM('3:23'!T210)</f>
        <v>0</v>
      </c>
      <c r="U210" s="93">
        <f>SUM('3:23'!U210)</f>
        <v>0</v>
      </c>
      <c r="V210" s="206">
        <f t="shared" si="79"/>
        <v>0</v>
      </c>
      <c r="W210" s="33">
        <f t="shared" si="80"/>
        <v>0</v>
      </c>
      <c r="X210" s="93">
        <f>SUM('3:23'!X210)</f>
        <v>0</v>
      </c>
      <c r="Y210" s="93">
        <f>SUM('3:23'!Y210)</f>
        <v>0</v>
      </c>
      <c r="Z210" s="93">
        <f>SUM('3:23'!Z210)</f>
        <v>0</v>
      </c>
      <c r="AA210" s="93">
        <f>SUM('3:23'!AA210)</f>
        <v>0</v>
      </c>
      <c r="AB210" s="25"/>
      <c r="AC210" s="54"/>
      <c r="AD210" s="346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300">
        <v>30100029</v>
      </c>
      <c r="B211" s="61" t="s">
        <v>78</v>
      </c>
      <c r="C211" s="16" t="s">
        <v>72</v>
      </c>
      <c r="D211" s="17">
        <v>5.08</v>
      </c>
      <c r="E211" s="17"/>
      <c r="F211" s="6"/>
      <c r="G211" s="93">
        <f>SUM('3:23'!G211)</f>
        <v>864</v>
      </c>
      <c r="H211" s="339">
        <f t="shared" si="70"/>
        <v>4389.12</v>
      </c>
      <c r="I211" s="93">
        <f>SUM('3:23'!I211)</f>
        <v>38</v>
      </c>
      <c r="J211" s="31">
        <f t="array" ref="J211">IF(ISERROR(G211/I211),"",G211/I211)</f>
        <v>22.736842105263158</v>
      </c>
      <c r="K211" s="35">
        <f t="array" ref="K211">IF(ISERROR(G211/L211),"",G211/L211)</f>
        <v>41.142857142857146</v>
      </c>
      <c r="L211" s="87">
        <v>21</v>
      </c>
      <c r="M211" s="36">
        <f t="shared" si="78"/>
        <v>-3.1428571428571459</v>
      </c>
      <c r="N211" s="93">
        <f>SUM('3:23'!N211)</f>
        <v>0</v>
      </c>
      <c r="O211" s="93">
        <f>SUM('3:23'!O211)</f>
        <v>0</v>
      </c>
      <c r="P211" s="93">
        <f>SUM('3:23'!P211)</f>
        <v>0</v>
      </c>
      <c r="Q211" s="93">
        <f>SUM('3:23'!Q211)</f>
        <v>0</v>
      </c>
      <c r="R211" s="93">
        <f>SUM('3:23'!R211)</f>
        <v>0</v>
      </c>
      <c r="S211" s="93">
        <f>SUM('3:23'!S211)</f>
        <v>0</v>
      </c>
      <c r="T211" s="93">
        <f>SUM('3:23'!T211)</f>
        <v>0</v>
      </c>
      <c r="U211" s="93">
        <f>SUM('3:23'!U211)</f>
        <v>0</v>
      </c>
      <c r="V211" s="206">
        <f t="shared" si="79"/>
        <v>0</v>
      </c>
      <c r="W211" s="33">
        <f t="shared" si="80"/>
        <v>0</v>
      </c>
      <c r="X211" s="93">
        <f>SUM('3:23'!X211)</f>
        <v>0</v>
      </c>
      <c r="Y211" s="93">
        <f>SUM('3:23'!Y211)</f>
        <v>0</v>
      </c>
      <c r="Z211" s="93">
        <f>SUM('3:23'!Z211)</f>
        <v>0</v>
      </c>
      <c r="AA211" s="93">
        <f>SUM('3:23'!AA211)</f>
        <v>0</v>
      </c>
      <c r="AB211" s="25"/>
      <c r="AC211" s="54"/>
      <c r="AD211" s="346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300">
        <v>30100026</v>
      </c>
      <c r="B212" s="61" t="s">
        <v>78</v>
      </c>
      <c r="C212" s="16" t="s">
        <v>73</v>
      </c>
      <c r="D212" s="17">
        <v>5.08</v>
      </c>
      <c r="E212" s="17"/>
      <c r="F212" s="6"/>
      <c r="G212" s="93">
        <f>SUM('3:23'!G212)</f>
        <v>1142</v>
      </c>
      <c r="H212" s="339">
        <f t="shared" si="70"/>
        <v>5801.36</v>
      </c>
      <c r="I212" s="93">
        <f>SUM('3:23'!I212)</f>
        <v>48</v>
      </c>
      <c r="J212" s="31">
        <f t="array" ref="J212">IF(ISERROR(G212/I212),"",G212/I212)</f>
        <v>23.791666666666668</v>
      </c>
      <c r="K212" s="35">
        <f t="array" ref="K212">IF(ISERROR(G212/L212),"",G212/L212)</f>
        <v>54.38095238095238</v>
      </c>
      <c r="L212" s="87">
        <v>21</v>
      </c>
      <c r="M212" s="36">
        <f t="shared" si="78"/>
        <v>-6.3809523809523796</v>
      </c>
      <c r="N212" s="93">
        <f>SUM('3:23'!N212)</f>
        <v>0</v>
      </c>
      <c r="O212" s="93">
        <f>SUM('3:23'!O212)</f>
        <v>0</v>
      </c>
      <c r="P212" s="93">
        <f>SUM('3:23'!P212)</f>
        <v>0</v>
      </c>
      <c r="Q212" s="93">
        <f>SUM('3:23'!Q212)</f>
        <v>0</v>
      </c>
      <c r="R212" s="93">
        <f>SUM('3:23'!R212)</f>
        <v>0</v>
      </c>
      <c r="S212" s="93">
        <f>SUM('3:23'!S212)</f>
        <v>0</v>
      </c>
      <c r="T212" s="93">
        <f>SUM('3:23'!T212)</f>
        <v>0</v>
      </c>
      <c r="U212" s="93">
        <f>SUM('3:23'!U212)</f>
        <v>0</v>
      </c>
      <c r="V212" s="206">
        <f t="shared" si="79"/>
        <v>0</v>
      </c>
      <c r="W212" s="33">
        <f t="shared" si="80"/>
        <v>0</v>
      </c>
      <c r="X212" s="93">
        <f>SUM('3:23'!X212)</f>
        <v>0</v>
      </c>
      <c r="Y212" s="93">
        <f>SUM('3:23'!Y212)</f>
        <v>0</v>
      </c>
      <c r="Z212" s="93">
        <f>SUM('3:23'!Z212)</f>
        <v>0</v>
      </c>
      <c r="AA212" s="93">
        <f>SUM('3:23'!AA212)</f>
        <v>0</v>
      </c>
      <c r="AB212" s="73"/>
      <c r="AC212" s="54"/>
      <c r="AD212" s="346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300">
        <v>30100025</v>
      </c>
      <c r="B213" s="61" t="s">
        <v>78</v>
      </c>
      <c r="C213" s="16" t="s">
        <v>61</v>
      </c>
      <c r="D213" s="17">
        <v>5.08</v>
      </c>
      <c r="E213" s="17"/>
      <c r="F213" s="6"/>
      <c r="G213" s="93">
        <f>SUM('3:23'!G213)</f>
        <v>0</v>
      </c>
      <c r="H213" s="339">
        <f t="shared" si="70"/>
        <v>0</v>
      </c>
      <c r="I213" s="93">
        <f>SUM('3:23'!I213)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78"/>
        <v>0</v>
      </c>
      <c r="N213" s="93">
        <f>SUM('3:23'!N213)</f>
        <v>0</v>
      </c>
      <c r="O213" s="93">
        <f>SUM('3:23'!O213)</f>
        <v>0</v>
      </c>
      <c r="P213" s="93">
        <f>SUM('3:23'!P213)</f>
        <v>0</v>
      </c>
      <c r="Q213" s="93">
        <f>SUM('3:23'!Q213)</f>
        <v>0</v>
      </c>
      <c r="R213" s="93">
        <f>SUM('3:23'!R213)</f>
        <v>0</v>
      </c>
      <c r="S213" s="93">
        <f>SUM('3:23'!S213)</f>
        <v>0</v>
      </c>
      <c r="T213" s="93">
        <f>SUM('3:23'!T213)</f>
        <v>0</v>
      </c>
      <c r="U213" s="93">
        <f>SUM('3:23'!U213)</f>
        <v>0</v>
      </c>
      <c r="V213" s="206">
        <f t="shared" si="79"/>
        <v>0</v>
      </c>
      <c r="W213" s="33" t="str">
        <f t="shared" si="80"/>
        <v/>
      </c>
      <c r="X213" s="93">
        <f>SUM('3:23'!X213)</f>
        <v>0</v>
      </c>
      <c r="Y213" s="93">
        <f>SUM('3:23'!Y213)</f>
        <v>0</v>
      </c>
      <c r="Z213" s="93">
        <f>SUM('3:23'!Z213)</f>
        <v>0</v>
      </c>
      <c r="AA213" s="93">
        <f>SUM('3:23'!AA213)</f>
        <v>0</v>
      </c>
      <c r="AB213" s="25"/>
      <c r="AC213" s="54"/>
      <c r="AD213" s="346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300">
        <v>30100028</v>
      </c>
      <c r="B214" s="61" t="s">
        <v>78</v>
      </c>
      <c r="C214" s="16" t="s">
        <v>77</v>
      </c>
      <c r="D214" s="17">
        <v>5.08</v>
      </c>
      <c r="E214" s="17"/>
      <c r="F214" s="6"/>
      <c r="G214" s="93">
        <f>SUM('3:23'!G214)</f>
        <v>547</v>
      </c>
      <c r="H214" s="339">
        <f t="shared" si="70"/>
        <v>2778.76</v>
      </c>
      <c r="I214" s="93">
        <f>SUM('3:23'!I214)</f>
        <v>32</v>
      </c>
      <c r="J214" s="31">
        <f t="array" ref="J214">IF(ISERROR(G214/I214),"",G214/I214)</f>
        <v>17.09375</v>
      </c>
      <c r="K214" s="35">
        <f t="array" ref="K214">IF(ISERROR(G214/L214),"",G214/L214)</f>
        <v>26.047619047619047</v>
      </c>
      <c r="L214" s="87">
        <v>21</v>
      </c>
      <c r="M214" s="36">
        <f t="shared" si="78"/>
        <v>5.9523809523809526</v>
      </c>
      <c r="N214" s="93">
        <f>SUM('3:23'!N214)</f>
        <v>0</v>
      </c>
      <c r="O214" s="93">
        <f>SUM('3:23'!O214)</f>
        <v>0</v>
      </c>
      <c r="P214" s="93">
        <f>SUM('3:23'!P214)</f>
        <v>0</v>
      </c>
      <c r="Q214" s="93">
        <f>SUM('3:23'!Q214)</f>
        <v>0</v>
      </c>
      <c r="R214" s="93">
        <f>SUM('3:23'!R214)</f>
        <v>0</v>
      </c>
      <c r="S214" s="93">
        <f>SUM('3:23'!S214)</f>
        <v>0</v>
      </c>
      <c r="T214" s="93">
        <f>SUM('3:23'!T214)</f>
        <v>0</v>
      </c>
      <c r="U214" s="93">
        <f>SUM('3:23'!U214)</f>
        <v>0</v>
      </c>
      <c r="V214" s="206">
        <f t="shared" si="79"/>
        <v>0</v>
      </c>
      <c r="W214" s="33">
        <f t="shared" si="80"/>
        <v>0</v>
      </c>
      <c r="X214" s="93">
        <f>SUM('3:23'!X214)</f>
        <v>0</v>
      </c>
      <c r="Y214" s="93">
        <f>SUM('3:23'!Y214)</f>
        <v>0</v>
      </c>
      <c r="Z214" s="93">
        <f>SUM('3:23'!Z214)</f>
        <v>0</v>
      </c>
      <c r="AA214" s="93">
        <f>SUM('3:23'!AA214)</f>
        <v>0</v>
      </c>
      <c r="AB214" s="73"/>
      <c r="AC214" s="54"/>
      <c r="AD214" s="346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300">
        <v>30100032</v>
      </c>
      <c r="B215" s="61" t="s">
        <v>79</v>
      </c>
      <c r="C215" s="16" t="s">
        <v>65</v>
      </c>
      <c r="D215" s="17">
        <v>5.03</v>
      </c>
      <c r="E215" s="17"/>
      <c r="F215" s="6"/>
      <c r="G215" s="93">
        <f>SUM('3:23'!G215)</f>
        <v>355</v>
      </c>
      <c r="H215" s="339">
        <f t="shared" si="70"/>
        <v>1785.65</v>
      </c>
      <c r="I215" s="93">
        <f>SUM('3:23'!I215)</f>
        <v>4.5</v>
      </c>
      <c r="J215" s="31">
        <f t="array" ref="J215">IF(ISERROR(G215/I215),"",G215/I215)</f>
        <v>78.888888888888886</v>
      </c>
      <c r="K215" s="35">
        <f t="array" ref="K215">IF(ISERROR(G215/L215),"",G215/L215)</f>
        <v>6.3392857142857144</v>
      </c>
      <c r="L215" s="87">
        <v>56</v>
      </c>
      <c r="M215" s="36">
        <f t="shared" si="78"/>
        <v>-1.8392857142857144</v>
      </c>
      <c r="N215" s="93">
        <f>SUM('3:23'!N215)</f>
        <v>0</v>
      </c>
      <c r="O215" s="93">
        <f>SUM('3:23'!O215)</f>
        <v>0</v>
      </c>
      <c r="P215" s="93">
        <f>SUM('3:23'!P215)</f>
        <v>0</v>
      </c>
      <c r="Q215" s="93">
        <f>SUM('3:23'!Q215)</f>
        <v>0</v>
      </c>
      <c r="R215" s="93">
        <f>SUM('3:23'!R215)</f>
        <v>0</v>
      </c>
      <c r="S215" s="93">
        <f>SUM('3:23'!S215)</f>
        <v>0</v>
      </c>
      <c r="T215" s="93">
        <f>SUM('3:23'!T215)</f>
        <v>0</v>
      </c>
      <c r="U215" s="93">
        <f>SUM('3:23'!U215)</f>
        <v>0</v>
      </c>
      <c r="V215" s="206">
        <f t="shared" si="79"/>
        <v>0</v>
      </c>
      <c r="W215" s="33">
        <f t="shared" si="80"/>
        <v>0</v>
      </c>
      <c r="X215" s="93">
        <f>SUM('3:23'!X215)</f>
        <v>0</v>
      </c>
      <c r="Y215" s="93">
        <f>SUM('3:23'!Y215)</f>
        <v>0</v>
      </c>
      <c r="Z215" s="93">
        <f>SUM('3:23'!Z215)</f>
        <v>0</v>
      </c>
      <c r="AA215" s="93">
        <f>SUM('3:23'!AA215)</f>
        <v>0</v>
      </c>
      <c r="AB215" s="25"/>
      <c r="AC215" s="54"/>
      <c r="AD215" s="346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300">
        <v>30100033</v>
      </c>
      <c r="B216" s="61" t="s">
        <v>79</v>
      </c>
      <c r="C216" s="16" t="s">
        <v>53</v>
      </c>
      <c r="D216" s="17">
        <v>5.03</v>
      </c>
      <c r="E216" s="17"/>
      <c r="F216" s="6"/>
      <c r="G216" s="93">
        <f>SUM('3:23'!G216)</f>
        <v>634</v>
      </c>
      <c r="H216" s="339">
        <f t="shared" si="70"/>
        <v>3189.02</v>
      </c>
      <c r="I216" s="93">
        <f>SUM('3:23'!I216)</f>
        <v>7</v>
      </c>
      <c r="J216" s="31">
        <f t="array" ref="J216">IF(ISERROR(G216/I216),"",G216/I216)</f>
        <v>90.571428571428569</v>
      </c>
      <c r="K216" s="35">
        <f t="array" ref="K216">IF(ISERROR(G216/L216),"",G216/L216)</f>
        <v>11.321428571428571</v>
      </c>
      <c r="L216" s="87">
        <v>56</v>
      </c>
      <c r="M216" s="36">
        <f t="shared" si="78"/>
        <v>-4.3214285714285712</v>
      </c>
      <c r="N216" s="93">
        <f>SUM('3:23'!N216)</f>
        <v>0</v>
      </c>
      <c r="O216" s="93">
        <f>SUM('3:23'!O216)</f>
        <v>0</v>
      </c>
      <c r="P216" s="93">
        <f>SUM('3:23'!P216)</f>
        <v>0</v>
      </c>
      <c r="Q216" s="93">
        <f>SUM('3:23'!Q216)</f>
        <v>0</v>
      </c>
      <c r="R216" s="93">
        <f>SUM('3:23'!R216)</f>
        <v>0</v>
      </c>
      <c r="S216" s="93">
        <f>SUM('3:23'!S216)</f>
        <v>0</v>
      </c>
      <c r="T216" s="93">
        <f>SUM('3:23'!T216)</f>
        <v>0</v>
      </c>
      <c r="U216" s="93">
        <f>SUM('3:23'!U216)</f>
        <v>0</v>
      </c>
      <c r="V216" s="206">
        <f t="shared" si="79"/>
        <v>0</v>
      </c>
      <c r="W216" s="33">
        <f t="shared" si="80"/>
        <v>0</v>
      </c>
      <c r="X216" s="93">
        <f>SUM('3:23'!X216)</f>
        <v>0</v>
      </c>
      <c r="Y216" s="93">
        <f>SUM('3:23'!Y216)</f>
        <v>0</v>
      </c>
      <c r="Z216" s="93">
        <f>SUM('3:23'!Z216)</f>
        <v>0</v>
      </c>
      <c r="AA216" s="93">
        <f>SUM('3:23'!AA216)</f>
        <v>0</v>
      </c>
      <c r="AB216" s="25"/>
      <c r="AC216" s="54"/>
      <c r="AD216" s="346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300">
        <v>30100062</v>
      </c>
      <c r="B217" s="61" t="s">
        <v>79</v>
      </c>
      <c r="C217" s="16" t="s">
        <v>66</v>
      </c>
      <c r="D217" s="17">
        <v>5.03</v>
      </c>
      <c r="E217" s="17"/>
      <c r="F217" s="6"/>
      <c r="G217" s="93">
        <f>SUM('3:23'!G217)</f>
        <v>408</v>
      </c>
      <c r="H217" s="339">
        <f t="shared" si="70"/>
        <v>2052.2400000000002</v>
      </c>
      <c r="I217" s="93">
        <f>SUM('3:23'!I217)</f>
        <v>4.5</v>
      </c>
      <c r="J217" s="31">
        <f t="array" ref="J217">IF(ISERROR(G217/I217),"",G217/I217)</f>
        <v>90.666666666666671</v>
      </c>
      <c r="K217" s="35">
        <f t="array" ref="K217">IF(ISERROR(G217/L217),"",G217/L217)</f>
        <v>7.2857142857142856</v>
      </c>
      <c r="L217" s="87">
        <v>56</v>
      </c>
      <c r="M217" s="36">
        <f t="shared" si="78"/>
        <v>-2.7857142857142856</v>
      </c>
      <c r="N217" s="93">
        <f>SUM('3:23'!N217)</f>
        <v>0</v>
      </c>
      <c r="O217" s="93">
        <f>SUM('3:23'!O217)</f>
        <v>0</v>
      </c>
      <c r="P217" s="93">
        <f>SUM('3:23'!P217)</f>
        <v>0</v>
      </c>
      <c r="Q217" s="93">
        <f>SUM('3:23'!Q217)</f>
        <v>0</v>
      </c>
      <c r="R217" s="93">
        <f>SUM('3:23'!R217)</f>
        <v>0</v>
      </c>
      <c r="S217" s="93">
        <f>SUM('3:23'!S217)</f>
        <v>0</v>
      </c>
      <c r="T217" s="93">
        <f>SUM('3:23'!T217)</f>
        <v>0</v>
      </c>
      <c r="U217" s="93">
        <f>SUM('3:23'!U217)</f>
        <v>0</v>
      </c>
      <c r="V217" s="206">
        <f t="shared" si="79"/>
        <v>0</v>
      </c>
      <c r="W217" s="33">
        <f t="shared" si="80"/>
        <v>0</v>
      </c>
      <c r="X217" s="93">
        <f>SUM('3:23'!X217)</f>
        <v>0</v>
      </c>
      <c r="Y217" s="93">
        <f>SUM('3:23'!Y217)</f>
        <v>0</v>
      </c>
      <c r="Z217" s="93">
        <f>SUM('3:23'!Z217)</f>
        <v>0</v>
      </c>
      <c r="AA217" s="93">
        <f>SUM('3:23'!AA217)</f>
        <v>0</v>
      </c>
      <c r="AB217" s="25"/>
      <c r="AC217" s="54"/>
      <c r="AD217" s="346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300">
        <v>30100031</v>
      </c>
      <c r="B218" s="61" t="s">
        <v>79</v>
      </c>
      <c r="C218" s="16" t="s">
        <v>74</v>
      </c>
      <c r="D218" s="17">
        <v>5.03</v>
      </c>
      <c r="E218" s="17"/>
      <c r="F218" s="6"/>
      <c r="G218" s="93">
        <f>SUM('3:23'!G218)</f>
        <v>1878</v>
      </c>
      <c r="H218" s="339">
        <f t="shared" si="70"/>
        <v>9446.34</v>
      </c>
      <c r="I218" s="93">
        <f>SUM('3:23'!I218)</f>
        <v>18</v>
      </c>
      <c r="J218" s="31">
        <f t="array" ref="J218">IF(ISERROR(G218/I218),"",G218/I218)</f>
        <v>104.33333333333333</v>
      </c>
      <c r="K218" s="35">
        <f t="array" ref="K218">IF(ISERROR(G218/L218),"",G218/L218)</f>
        <v>33.535714285714285</v>
      </c>
      <c r="L218" s="87">
        <v>56</v>
      </c>
      <c r="M218" s="36">
        <f t="shared" si="78"/>
        <v>-15.535714285714285</v>
      </c>
      <c r="N218" s="93">
        <f>SUM('3:23'!N218)</f>
        <v>0</v>
      </c>
      <c r="O218" s="93">
        <f>SUM('3:23'!O218)</f>
        <v>0</v>
      </c>
      <c r="P218" s="93">
        <f>SUM('3:23'!P218)</f>
        <v>0</v>
      </c>
      <c r="Q218" s="93">
        <f>SUM('3:23'!Q218)</f>
        <v>0</v>
      </c>
      <c r="R218" s="93">
        <f>SUM('3:23'!R218)</f>
        <v>0</v>
      </c>
      <c r="S218" s="93">
        <f>SUM('3:23'!S218)</f>
        <v>0</v>
      </c>
      <c r="T218" s="93">
        <f>SUM('3:23'!T218)</f>
        <v>0</v>
      </c>
      <c r="U218" s="93">
        <f>SUM('3:23'!U218)</f>
        <v>0</v>
      </c>
      <c r="V218" s="206">
        <f t="shared" si="79"/>
        <v>0</v>
      </c>
      <c r="W218" s="33">
        <f t="shared" si="80"/>
        <v>0</v>
      </c>
      <c r="X218" s="93">
        <f>SUM('3:23'!X218)</f>
        <v>0</v>
      </c>
      <c r="Y218" s="93">
        <f>SUM('3:23'!Y218)</f>
        <v>0</v>
      </c>
      <c r="Z218" s="93">
        <f>SUM('3:23'!Z218)</f>
        <v>0</v>
      </c>
      <c r="AA218" s="93">
        <f>SUM('3:23'!AA218)</f>
        <v>0</v>
      </c>
      <c r="AB218" s="25"/>
      <c r="AC218" s="54"/>
      <c r="AD218" s="346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300">
        <v>30100019</v>
      </c>
      <c r="B219" s="61" t="s">
        <v>385</v>
      </c>
      <c r="C219" s="16" t="s">
        <v>386</v>
      </c>
      <c r="D219" s="17">
        <v>5.03</v>
      </c>
      <c r="E219" s="17"/>
      <c r="F219" s="6"/>
      <c r="G219" s="93">
        <f>SUM('3:23'!G219)</f>
        <v>1144</v>
      </c>
      <c r="H219" s="339">
        <f t="shared" si="70"/>
        <v>5754.3200000000006</v>
      </c>
      <c r="I219" s="93">
        <f>SUM('3:23'!I219)</f>
        <v>19</v>
      </c>
      <c r="J219" s="31"/>
      <c r="K219" s="35">
        <f t="array" ref="K219">IF(ISERROR(G219/L219),"",G219/L219)</f>
        <v>21.185185185185187</v>
      </c>
      <c r="L219" s="87">
        <v>54</v>
      </c>
      <c r="M219" s="36">
        <f t="shared" si="78"/>
        <v>-2.1851851851851869</v>
      </c>
      <c r="N219" s="93">
        <f>SUM('3:23'!N219)</f>
        <v>0</v>
      </c>
      <c r="O219" s="93">
        <f>SUM('3:23'!O219)</f>
        <v>0</v>
      </c>
      <c r="P219" s="93">
        <f>SUM('3:23'!P219)</f>
        <v>0</v>
      </c>
      <c r="Q219" s="93">
        <f>SUM('3:23'!Q219)</f>
        <v>0</v>
      </c>
      <c r="R219" s="93">
        <f>SUM('3:23'!R219)</f>
        <v>0</v>
      </c>
      <c r="S219" s="93">
        <f>SUM('3:23'!S219)</f>
        <v>0</v>
      </c>
      <c r="T219" s="93">
        <f>SUM('3:23'!T219)</f>
        <v>0</v>
      </c>
      <c r="U219" s="93">
        <f>SUM('3:23'!U219)</f>
        <v>0</v>
      </c>
      <c r="V219" s="206"/>
      <c r="W219" s="33"/>
      <c r="X219" s="93">
        <f>SUM('3:23'!X219)</f>
        <v>0</v>
      </c>
      <c r="Y219" s="93">
        <f>SUM('3:23'!Y219)</f>
        <v>0</v>
      </c>
      <c r="Z219" s="93">
        <f>SUM('3:23'!Z219)</f>
        <v>0</v>
      </c>
      <c r="AA219" s="93">
        <f>SUM('3:23'!AA219)</f>
        <v>0</v>
      </c>
      <c r="AB219" s="25"/>
      <c r="AC219" s="54"/>
      <c r="AD219" s="346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300">
        <v>30100020</v>
      </c>
      <c r="B220" s="61" t="s">
        <v>385</v>
      </c>
      <c r="C220" s="16" t="s">
        <v>387</v>
      </c>
      <c r="D220" s="17">
        <v>5.03</v>
      </c>
      <c r="E220" s="17"/>
      <c r="F220" s="6"/>
      <c r="G220" s="93">
        <f>SUM('3:23'!G220)</f>
        <v>981</v>
      </c>
      <c r="H220" s="339">
        <f t="shared" si="70"/>
        <v>4934.43</v>
      </c>
      <c r="I220" s="93">
        <f>SUM('3:23'!I220)</f>
        <v>26</v>
      </c>
      <c r="J220" s="31"/>
      <c r="K220" s="35">
        <f t="array" ref="K220">IF(ISERROR(G220/L220),"",G220/L220)</f>
        <v>18.166666666666668</v>
      </c>
      <c r="L220" s="87">
        <v>54</v>
      </c>
      <c r="M220" s="36">
        <f t="shared" si="78"/>
        <v>7.8333333333333321</v>
      </c>
      <c r="N220" s="93">
        <f>SUM('3:23'!N220)</f>
        <v>0</v>
      </c>
      <c r="O220" s="93">
        <f>SUM('3:23'!O220)</f>
        <v>0</v>
      </c>
      <c r="P220" s="93">
        <f>SUM('3:23'!P220)</f>
        <v>0</v>
      </c>
      <c r="Q220" s="93">
        <f>SUM('3:23'!Q220)</f>
        <v>0</v>
      </c>
      <c r="R220" s="93">
        <f>SUM('3:23'!R220)</f>
        <v>0</v>
      </c>
      <c r="S220" s="93">
        <f>SUM('3:23'!S220)</f>
        <v>0</v>
      </c>
      <c r="T220" s="93">
        <f>SUM('3:23'!T220)</f>
        <v>0</v>
      </c>
      <c r="U220" s="93">
        <f>SUM('3:23'!U220)</f>
        <v>0</v>
      </c>
      <c r="V220" s="206"/>
      <c r="W220" s="33"/>
      <c r="X220" s="93">
        <f>SUM('3:23'!X220)</f>
        <v>0</v>
      </c>
      <c r="Y220" s="93">
        <f>SUM('3:23'!Y220)</f>
        <v>0</v>
      </c>
      <c r="Z220" s="93">
        <f>SUM('3:23'!Z220)</f>
        <v>0</v>
      </c>
      <c r="AA220" s="93">
        <f>SUM('3:23'!AA220)</f>
        <v>0</v>
      </c>
      <c r="AB220" s="25"/>
      <c r="AC220" s="54"/>
      <c r="AD220" s="346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300">
        <v>30100021</v>
      </c>
      <c r="B221" s="190" t="s">
        <v>388</v>
      </c>
      <c r="C221" s="16" t="s">
        <v>390</v>
      </c>
      <c r="D221" s="17">
        <v>5.03</v>
      </c>
      <c r="E221" s="17"/>
      <c r="F221" s="6"/>
      <c r="G221" s="93">
        <f>SUM('3:23'!G221)</f>
        <v>216</v>
      </c>
      <c r="H221" s="339">
        <f t="shared" si="70"/>
        <v>1086.48</v>
      </c>
      <c r="I221" s="93">
        <f>SUM('3:23'!I221)</f>
        <v>5.5</v>
      </c>
      <c r="J221" s="31"/>
      <c r="K221" s="35">
        <f t="array" ref="K221">IF(ISERROR(G221/L221),"",G221/L221)</f>
        <v>4</v>
      </c>
      <c r="L221" s="87">
        <v>54</v>
      </c>
      <c r="M221" s="36">
        <f t="shared" si="78"/>
        <v>1.5</v>
      </c>
      <c r="N221" s="93">
        <f>SUM('3:23'!N221)</f>
        <v>0</v>
      </c>
      <c r="O221" s="93">
        <f>SUM('3:23'!O221)</f>
        <v>0</v>
      </c>
      <c r="P221" s="93">
        <f>SUM('3:23'!P221)</f>
        <v>0</v>
      </c>
      <c r="Q221" s="93">
        <f>SUM('3:23'!Q221)</f>
        <v>0</v>
      </c>
      <c r="R221" s="93">
        <f>SUM('3:23'!R221)</f>
        <v>0</v>
      </c>
      <c r="S221" s="93">
        <f>SUM('3:23'!S221)</f>
        <v>0</v>
      </c>
      <c r="T221" s="93">
        <f>SUM('3:23'!T221)</f>
        <v>0</v>
      </c>
      <c r="U221" s="93">
        <f>SUM('3:23'!U221)</f>
        <v>0</v>
      </c>
      <c r="V221" s="206"/>
      <c r="W221" s="33"/>
      <c r="X221" s="93">
        <f>SUM('3:23'!X221)</f>
        <v>0</v>
      </c>
      <c r="Y221" s="93">
        <f>SUM('3:23'!Y221)</f>
        <v>0</v>
      </c>
      <c r="Z221" s="93">
        <f>SUM('3:23'!Z221)</f>
        <v>0</v>
      </c>
      <c r="AA221" s="93">
        <f>SUM('3:23'!AA221)</f>
        <v>0</v>
      </c>
      <c r="AB221" s="25"/>
      <c r="AC221" s="54"/>
      <c r="AD221" s="346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300">
        <v>30100018</v>
      </c>
      <c r="B222" s="190" t="s">
        <v>388</v>
      </c>
      <c r="C222" s="16" t="s">
        <v>392</v>
      </c>
      <c r="D222" s="17">
        <v>5.03</v>
      </c>
      <c r="E222" s="17"/>
      <c r="F222" s="6"/>
      <c r="G222" s="93">
        <f>SUM('3:23'!G222)</f>
        <v>590</v>
      </c>
      <c r="H222" s="339">
        <f t="shared" si="70"/>
        <v>2967.7000000000003</v>
      </c>
      <c r="I222" s="93">
        <f>SUM('3:23'!I222)</f>
        <v>15</v>
      </c>
      <c r="J222" s="31"/>
      <c r="K222" s="35">
        <f t="array" ref="K222">IF(ISERROR(G222/L222),"",G222/L222)</f>
        <v>10.925925925925926</v>
      </c>
      <c r="L222" s="87">
        <v>54</v>
      </c>
      <c r="M222" s="36">
        <f t="shared" si="78"/>
        <v>4.0740740740740744</v>
      </c>
      <c r="N222" s="93">
        <f>SUM('3:23'!N222)</f>
        <v>0</v>
      </c>
      <c r="O222" s="93">
        <f>SUM('3:23'!O222)</f>
        <v>0</v>
      </c>
      <c r="P222" s="93">
        <f>SUM('3:23'!P222)</f>
        <v>0</v>
      </c>
      <c r="Q222" s="93">
        <f>SUM('3:23'!Q222)</f>
        <v>0</v>
      </c>
      <c r="R222" s="93">
        <f>SUM('3:23'!R222)</f>
        <v>0</v>
      </c>
      <c r="S222" s="93">
        <f>SUM('3:23'!S222)</f>
        <v>0</v>
      </c>
      <c r="T222" s="93">
        <f>SUM('3:23'!T222)</f>
        <v>0</v>
      </c>
      <c r="U222" s="93">
        <f>SUM('3:23'!U222)</f>
        <v>0</v>
      </c>
      <c r="V222" s="206"/>
      <c r="W222" s="33"/>
      <c r="X222" s="93">
        <f>SUM('3:23'!X222)</f>
        <v>0</v>
      </c>
      <c r="Y222" s="93">
        <f>SUM('3:23'!Y222)</f>
        <v>0</v>
      </c>
      <c r="Z222" s="93">
        <f>SUM('3:23'!Z222)</f>
        <v>0</v>
      </c>
      <c r="AA222" s="93">
        <f>SUM('3:23'!AA222)</f>
        <v>0</v>
      </c>
      <c r="AB222" s="25"/>
      <c r="AC222" s="54"/>
      <c r="AD222" s="346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303">
        <v>30700007</v>
      </c>
      <c r="B223" s="190" t="s">
        <v>424</v>
      </c>
      <c r="C223" s="187" t="s">
        <v>364</v>
      </c>
      <c r="D223" s="17">
        <v>5.03</v>
      </c>
      <c r="E223" s="17"/>
      <c r="F223" s="6"/>
      <c r="G223" s="93">
        <f>SUM('3:23'!G223)</f>
        <v>0</v>
      </c>
      <c r="H223" s="339">
        <f t="shared" si="70"/>
        <v>0</v>
      </c>
      <c r="I223" s="93">
        <f>SUM('3:23'!I223)</f>
        <v>0</v>
      </c>
      <c r="J223" s="31"/>
      <c r="K223" s="35">
        <f t="array" ref="K223">IF(ISERROR(G223/L223),"",G223/L223)</f>
        <v>0</v>
      </c>
      <c r="L223" s="87">
        <v>3</v>
      </c>
      <c r="M223" s="36">
        <f t="shared" si="78"/>
        <v>0</v>
      </c>
      <c r="N223" s="93">
        <f>SUM('3:23'!N223)</f>
        <v>0</v>
      </c>
      <c r="O223" s="93">
        <f>SUM('3:23'!O223)</f>
        <v>0</v>
      </c>
      <c r="P223" s="93">
        <f>SUM('3:23'!P223)</f>
        <v>0</v>
      </c>
      <c r="Q223" s="93">
        <f>SUM('3:23'!Q223)</f>
        <v>0</v>
      </c>
      <c r="R223" s="93">
        <f>SUM('3:23'!R223)</f>
        <v>0</v>
      </c>
      <c r="S223" s="93">
        <f>SUM('3:23'!S223)</f>
        <v>0</v>
      </c>
      <c r="T223" s="93">
        <f>SUM('3:23'!T223)</f>
        <v>0</v>
      </c>
      <c r="U223" s="93">
        <f>SUM('3:23'!U223)</f>
        <v>0</v>
      </c>
      <c r="V223" s="206"/>
      <c r="W223" s="33"/>
      <c r="X223" s="93">
        <f>SUM('3:23'!X223)</f>
        <v>0</v>
      </c>
      <c r="Y223" s="93">
        <f>SUM('3:23'!Y223)</f>
        <v>0</v>
      </c>
      <c r="Z223" s="93">
        <f>SUM('3:23'!Z223)</f>
        <v>0</v>
      </c>
      <c r="AA223" s="93">
        <f>SUM('3:23'!AA223)</f>
        <v>0</v>
      </c>
      <c r="AB223" s="25"/>
      <c r="AC223" s="54"/>
      <c r="AD223" s="346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303">
        <v>30700006</v>
      </c>
      <c r="B224" s="190" t="s">
        <v>424</v>
      </c>
      <c r="C224" s="187" t="s">
        <v>365</v>
      </c>
      <c r="D224" s="17">
        <v>5.03</v>
      </c>
      <c r="E224" s="17"/>
      <c r="F224" s="6"/>
      <c r="G224" s="93">
        <f>SUM('3:23'!G224)</f>
        <v>0</v>
      </c>
      <c r="H224" s="339">
        <f t="shared" si="70"/>
        <v>0</v>
      </c>
      <c r="I224" s="93">
        <f>SUM('3:23'!I224)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78"/>
        <v>0</v>
      </c>
      <c r="N224" s="93">
        <f>SUM('3:23'!N224)</f>
        <v>0</v>
      </c>
      <c r="O224" s="93">
        <f>SUM('3:23'!O224)</f>
        <v>0</v>
      </c>
      <c r="P224" s="93">
        <f>SUM('3:23'!P224)</f>
        <v>0</v>
      </c>
      <c r="Q224" s="93">
        <f>SUM('3:23'!Q224)</f>
        <v>0</v>
      </c>
      <c r="R224" s="93">
        <f>SUM('3:23'!R224)</f>
        <v>0</v>
      </c>
      <c r="S224" s="93">
        <f>SUM('3:23'!S224)</f>
        <v>0</v>
      </c>
      <c r="T224" s="93">
        <f>SUM('3:23'!T224)</f>
        <v>0</v>
      </c>
      <c r="U224" s="93">
        <f>SUM('3:23'!U224)</f>
        <v>0</v>
      </c>
      <c r="V224" s="206"/>
      <c r="W224" s="33"/>
      <c r="X224" s="93">
        <f>SUM('3:23'!X224)</f>
        <v>0</v>
      </c>
      <c r="Y224" s="93">
        <f>SUM('3:23'!Y224)</f>
        <v>0</v>
      </c>
      <c r="Z224" s="93">
        <f>SUM('3:23'!Z224)</f>
        <v>0</v>
      </c>
      <c r="AA224" s="93">
        <f>SUM('3:23'!AA224)</f>
        <v>0</v>
      </c>
      <c r="AB224" s="25"/>
      <c r="AC224" s="54"/>
      <c r="AD224" s="346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303">
        <v>30700008</v>
      </c>
      <c r="B225" s="190" t="s">
        <v>424</v>
      </c>
      <c r="C225" s="187" t="s">
        <v>366</v>
      </c>
      <c r="D225" s="17">
        <v>5.03</v>
      </c>
      <c r="E225" s="17"/>
      <c r="F225" s="6"/>
      <c r="G225" s="93">
        <f>SUM('3:23'!G225)</f>
        <v>0</v>
      </c>
      <c r="H225" s="339">
        <f t="shared" si="70"/>
        <v>0</v>
      </c>
      <c r="I225" s="93">
        <f>SUM('3:23'!I225)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78"/>
        <v>0</v>
      </c>
      <c r="N225" s="93">
        <f>SUM('3:23'!N225)</f>
        <v>0</v>
      </c>
      <c r="O225" s="93">
        <f>SUM('3:23'!O225)</f>
        <v>0</v>
      </c>
      <c r="P225" s="93">
        <f>SUM('3:23'!P225)</f>
        <v>0</v>
      </c>
      <c r="Q225" s="93">
        <f>SUM('3:23'!Q225)</f>
        <v>0</v>
      </c>
      <c r="R225" s="93">
        <f>SUM('3:23'!R225)</f>
        <v>0</v>
      </c>
      <c r="S225" s="93">
        <f>SUM('3:23'!S225)</f>
        <v>0</v>
      </c>
      <c r="T225" s="93">
        <f>SUM('3:23'!T225)</f>
        <v>0</v>
      </c>
      <c r="U225" s="93">
        <f>SUM('3:23'!U225)</f>
        <v>0</v>
      </c>
      <c r="V225" s="206"/>
      <c r="W225" s="33"/>
      <c r="X225" s="93">
        <f>SUM('3:23'!X225)</f>
        <v>0</v>
      </c>
      <c r="Y225" s="93">
        <f>SUM('3:23'!Y225)</f>
        <v>0</v>
      </c>
      <c r="Z225" s="93">
        <f>SUM('3:23'!Z225)</f>
        <v>0</v>
      </c>
      <c r="AA225" s="93">
        <f>SUM('3:23'!AA225)</f>
        <v>0</v>
      </c>
      <c r="AB225" s="25"/>
      <c r="AC225" s="54"/>
      <c r="AD225" s="346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303">
        <v>30700009</v>
      </c>
      <c r="B226" s="190" t="s">
        <v>424</v>
      </c>
      <c r="C226" s="187" t="s">
        <v>367</v>
      </c>
      <c r="D226" s="17">
        <v>5.03</v>
      </c>
      <c r="E226" s="17"/>
      <c r="F226" s="6"/>
      <c r="G226" s="93">
        <f>SUM('3:23'!G226)</f>
        <v>0</v>
      </c>
      <c r="H226" s="339">
        <f t="shared" si="70"/>
        <v>0</v>
      </c>
      <c r="I226" s="93">
        <f>SUM('3:23'!I226)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78"/>
        <v>0</v>
      </c>
      <c r="N226" s="93">
        <f>SUM('3:23'!N226)</f>
        <v>0</v>
      </c>
      <c r="O226" s="93">
        <f>SUM('3:23'!O226)</f>
        <v>0</v>
      </c>
      <c r="P226" s="93">
        <f>SUM('3:23'!P226)</f>
        <v>0</v>
      </c>
      <c r="Q226" s="93">
        <f>SUM('3:23'!Q226)</f>
        <v>0</v>
      </c>
      <c r="R226" s="93">
        <f>SUM('3:23'!R226)</f>
        <v>0</v>
      </c>
      <c r="S226" s="93">
        <f>SUM('3:23'!S226)</f>
        <v>0</v>
      </c>
      <c r="T226" s="93">
        <f>SUM('3:23'!T226)</f>
        <v>0</v>
      </c>
      <c r="U226" s="93">
        <f>SUM('3:23'!U226)</f>
        <v>0</v>
      </c>
      <c r="V226" s="206"/>
      <c r="W226" s="33"/>
      <c r="X226" s="93">
        <f>SUM('3:23'!X226)</f>
        <v>0</v>
      </c>
      <c r="Y226" s="93">
        <f>SUM('3:23'!Y226)</f>
        <v>0</v>
      </c>
      <c r="Z226" s="93">
        <f>SUM('3:23'!Z226)</f>
        <v>0</v>
      </c>
      <c r="AA226" s="93">
        <f>SUM('3:23'!AA226)</f>
        <v>0</v>
      </c>
      <c r="AB226" s="25"/>
      <c r="AC226" s="54"/>
      <c r="AD226" s="346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300">
        <v>30100036</v>
      </c>
      <c r="B227" s="62" t="s">
        <v>80</v>
      </c>
      <c r="C227" s="16" t="s">
        <v>61</v>
      </c>
      <c r="D227" s="17">
        <v>5.03</v>
      </c>
      <c r="E227" s="17"/>
      <c r="F227" s="6"/>
      <c r="G227" s="93">
        <f>SUM('3:23'!G227)</f>
        <v>324</v>
      </c>
      <c r="H227" s="339">
        <f t="shared" si="70"/>
        <v>1629.72</v>
      </c>
      <c r="I227" s="93">
        <f>SUM('3:23'!I227)</f>
        <v>8.5</v>
      </c>
      <c r="J227" s="31">
        <f t="array" ref="J227">IF(ISERROR(G227/I227),"",G227/I227)</f>
        <v>38.117647058823529</v>
      </c>
      <c r="K227" s="35">
        <f t="array" ref="K227">IF(ISERROR(G227/L227),"",G227/L227)</f>
        <v>8.1</v>
      </c>
      <c r="L227" s="87">
        <v>40</v>
      </c>
      <c r="M227" s="36">
        <f t="shared" si="78"/>
        <v>0.40000000000000036</v>
      </c>
      <c r="N227" s="93">
        <f>SUM('3:23'!N227)</f>
        <v>0</v>
      </c>
      <c r="O227" s="93">
        <f>SUM('3:23'!O227)</f>
        <v>0</v>
      </c>
      <c r="P227" s="93">
        <f>SUM('3:23'!P227)</f>
        <v>0</v>
      </c>
      <c r="Q227" s="93">
        <f>SUM('3:23'!Q227)</f>
        <v>0</v>
      </c>
      <c r="R227" s="93">
        <f>SUM('3:23'!R227)</f>
        <v>0</v>
      </c>
      <c r="S227" s="93">
        <f>SUM('3:23'!S227)</f>
        <v>0</v>
      </c>
      <c r="T227" s="93">
        <f>SUM('3:23'!T227)</f>
        <v>0</v>
      </c>
      <c r="U227" s="93">
        <f>SUM('3:23'!U227)</f>
        <v>0</v>
      </c>
      <c r="V227" s="206">
        <f t="shared" ref="V227:V236" si="81">SUM(X227:AA227)</f>
        <v>0</v>
      </c>
      <c r="W227" s="33">
        <f t="shared" ref="W227:W236" si="82">IF(ISERROR(V227/G227),"",V227/G227)</f>
        <v>0</v>
      </c>
      <c r="X227" s="93">
        <f>SUM('3:23'!X227)</f>
        <v>0</v>
      </c>
      <c r="Y227" s="93">
        <f>SUM('3:23'!Y227)</f>
        <v>0</v>
      </c>
      <c r="Z227" s="93">
        <f>SUM('3:23'!Z227)</f>
        <v>0</v>
      </c>
      <c r="AA227" s="93">
        <f>SUM('3:23'!AA227)</f>
        <v>0</v>
      </c>
      <c r="AB227" s="73"/>
      <c r="AC227" s="54"/>
      <c r="AD227" s="346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300">
        <v>30100034</v>
      </c>
      <c r="B228" s="62" t="s">
        <v>80</v>
      </c>
      <c r="C228" s="16" t="s">
        <v>60</v>
      </c>
      <c r="D228" s="17">
        <v>5.03</v>
      </c>
      <c r="E228" s="17"/>
      <c r="F228" s="6"/>
      <c r="G228" s="93">
        <f>SUM('3:23'!G228)</f>
        <v>285</v>
      </c>
      <c r="H228" s="339">
        <f t="shared" si="70"/>
        <v>1433.5500000000002</v>
      </c>
      <c r="I228" s="93">
        <f>SUM('3:23'!I228)</f>
        <v>6.15</v>
      </c>
      <c r="J228" s="31">
        <f t="array" ref="J228">IF(ISERROR(G228/I228),"",G228/I228)</f>
        <v>46.341463414634141</v>
      </c>
      <c r="K228" s="35">
        <f t="array" ref="K228">IF(ISERROR(G228/L228),"",G228/L228)</f>
        <v>7.125</v>
      </c>
      <c r="L228" s="87">
        <v>40</v>
      </c>
      <c r="M228" s="36">
        <f t="shared" si="78"/>
        <v>-0.97499999999999964</v>
      </c>
      <c r="N228" s="93">
        <f>SUM('3:23'!N228)</f>
        <v>0</v>
      </c>
      <c r="O228" s="93">
        <f>SUM('3:23'!O228)</f>
        <v>0</v>
      </c>
      <c r="P228" s="93">
        <f>SUM('3:23'!P228)</f>
        <v>0</v>
      </c>
      <c r="Q228" s="93">
        <f>SUM('3:23'!Q228)</f>
        <v>0</v>
      </c>
      <c r="R228" s="93">
        <f>SUM('3:23'!R228)</f>
        <v>0</v>
      </c>
      <c r="S228" s="93">
        <f>SUM('3:23'!S228)</f>
        <v>0</v>
      </c>
      <c r="T228" s="93">
        <f>SUM('3:23'!T228)</f>
        <v>0</v>
      </c>
      <c r="U228" s="93">
        <f>SUM('3:23'!U228)</f>
        <v>0</v>
      </c>
      <c r="V228" s="206">
        <f t="shared" si="81"/>
        <v>0</v>
      </c>
      <c r="W228" s="33">
        <f t="shared" si="82"/>
        <v>0</v>
      </c>
      <c r="X228" s="93">
        <f>SUM('3:23'!X228)</f>
        <v>0</v>
      </c>
      <c r="Y228" s="93">
        <f>SUM('3:23'!Y228)</f>
        <v>0</v>
      </c>
      <c r="Z228" s="93">
        <f>SUM('3:23'!Z228)</f>
        <v>0</v>
      </c>
      <c r="AA228" s="93">
        <f>SUM('3:23'!AA228)</f>
        <v>0</v>
      </c>
      <c r="AB228" s="73"/>
      <c r="AC228" s="54"/>
      <c r="AD228" s="346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300">
        <v>30100035</v>
      </c>
      <c r="B229" s="62" t="s">
        <v>80</v>
      </c>
      <c r="C229" s="16" t="s">
        <v>65</v>
      </c>
      <c r="D229" s="17">
        <v>5.03</v>
      </c>
      <c r="E229" s="17"/>
      <c r="F229" s="6"/>
      <c r="G229" s="93">
        <f>SUM('3:23'!G229)</f>
        <v>216</v>
      </c>
      <c r="H229" s="339">
        <f t="shared" si="70"/>
        <v>1086.48</v>
      </c>
      <c r="I229" s="93">
        <f>SUM('3:23'!I229)</f>
        <v>9</v>
      </c>
      <c r="J229" s="31">
        <f t="array" ref="J229">IF(ISERROR(G229/I229),"",G229/I229)</f>
        <v>24</v>
      </c>
      <c r="K229" s="35">
        <f t="array" ref="K229">IF(ISERROR(G229/L229),"",G229/L229)</f>
        <v>5.4</v>
      </c>
      <c r="L229" s="87">
        <v>40</v>
      </c>
      <c r="M229" s="36">
        <f t="shared" si="78"/>
        <v>3.5999999999999996</v>
      </c>
      <c r="N229" s="93">
        <f>SUM('3:23'!N229)</f>
        <v>0</v>
      </c>
      <c r="O229" s="93">
        <f>SUM('3:23'!O229)</f>
        <v>0</v>
      </c>
      <c r="P229" s="93">
        <f>SUM('3:23'!P229)</f>
        <v>0</v>
      </c>
      <c r="Q229" s="93">
        <f>SUM('3:23'!Q229)</f>
        <v>0</v>
      </c>
      <c r="R229" s="93">
        <f>SUM('3:23'!R229)</f>
        <v>0</v>
      </c>
      <c r="S229" s="93">
        <f>SUM('3:23'!S229)</f>
        <v>0</v>
      </c>
      <c r="T229" s="93">
        <f>SUM('3:23'!T229)</f>
        <v>0</v>
      </c>
      <c r="U229" s="93">
        <f>SUM('3:23'!U229)</f>
        <v>0</v>
      </c>
      <c r="V229" s="206">
        <f t="shared" si="81"/>
        <v>0</v>
      </c>
      <c r="W229" s="33">
        <f t="shared" si="82"/>
        <v>0</v>
      </c>
      <c r="X229" s="93">
        <f>SUM('3:23'!X229)</f>
        <v>0</v>
      </c>
      <c r="Y229" s="93">
        <f>SUM('3:23'!Y229)</f>
        <v>0</v>
      </c>
      <c r="Z229" s="93">
        <f>SUM('3:23'!Z229)</f>
        <v>0</v>
      </c>
      <c r="AA229" s="93">
        <f>SUM('3:23'!AA229)</f>
        <v>0</v>
      </c>
      <c r="AB229" s="73"/>
      <c r="AC229" s="54"/>
      <c r="AD229" s="346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300">
        <v>30100040</v>
      </c>
      <c r="B230" s="62" t="s">
        <v>81</v>
      </c>
      <c r="C230" s="16" t="s">
        <v>82</v>
      </c>
      <c r="D230" s="17">
        <v>5.03</v>
      </c>
      <c r="E230" s="17"/>
      <c r="F230" s="6"/>
      <c r="G230" s="93">
        <f>SUM('3:23'!G230)</f>
        <v>0</v>
      </c>
      <c r="H230" s="339">
        <f t="shared" si="70"/>
        <v>0</v>
      </c>
      <c r="I230" s="93">
        <f>SUM('3:23'!I230)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50</v>
      </c>
      <c r="M230" s="36">
        <f t="shared" si="78"/>
        <v>0</v>
      </c>
      <c r="N230" s="93">
        <f>SUM('3:23'!N230)</f>
        <v>0</v>
      </c>
      <c r="O230" s="93">
        <f>SUM('3:23'!O230)</f>
        <v>0</v>
      </c>
      <c r="P230" s="93">
        <f>SUM('3:23'!P230)</f>
        <v>0</v>
      </c>
      <c r="Q230" s="93">
        <f>SUM('3:23'!Q230)</f>
        <v>0</v>
      </c>
      <c r="R230" s="93">
        <f>SUM('3:23'!R230)</f>
        <v>0</v>
      </c>
      <c r="S230" s="93">
        <f>SUM('3:23'!S230)</f>
        <v>0</v>
      </c>
      <c r="T230" s="93">
        <f>SUM('3:23'!T230)</f>
        <v>0</v>
      </c>
      <c r="U230" s="93">
        <f>SUM('3:23'!U230)</f>
        <v>0</v>
      </c>
      <c r="V230" s="206">
        <f t="shared" si="81"/>
        <v>0</v>
      </c>
      <c r="W230" s="33" t="str">
        <f t="shared" si="82"/>
        <v/>
      </c>
      <c r="X230" s="93">
        <f>SUM('3:23'!X230)</f>
        <v>0</v>
      </c>
      <c r="Y230" s="93">
        <f>SUM('3:23'!Y230)</f>
        <v>0</v>
      </c>
      <c r="Z230" s="93">
        <f>SUM('3:23'!Z230)</f>
        <v>0</v>
      </c>
      <c r="AA230" s="93">
        <f>SUM('3:23'!AA230)</f>
        <v>0</v>
      </c>
      <c r="AB230" s="73"/>
      <c r="AC230" s="54"/>
      <c r="AD230" s="346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300">
        <v>30100039</v>
      </c>
      <c r="B231" s="62" t="s">
        <v>81</v>
      </c>
      <c r="C231" s="16" t="s">
        <v>60</v>
      </c>
      <c r="D231" s="17">
        <v>5.03</v>
      </c>
      <c r="E231" s="17"/>
      <c r="F231" s="6"/>
      <c r="G231" s="93">
        <f>SUM('3:23'!G231)</f>
        <v>0</v>
      </c>
      <c r="H231" s="339">
        <f t="shared" si="70"/>
        <v>0</v>
      </c>
      <c r="I231" s="93">
        <f>SUM('3:23'!I231)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78"/>
        <v>0</v>
      </c>
      <c r="N231" s="93">
        <f>SUM('3:23'!N231)</f>
        <v>0</v>
      </c>
      <c r="O231" s="93">
        <f>SUM('3:23'!O231)</f>
        <v>0</v>
      </c>
      <c r="P231" s="93">
        <f>SUM('3:23'!P231)</f>
        <v>0</v>
      </c>
      <c r="Q231" s="93">
        <f>SUM('3:23'!Q231)</f>
        <v>0</v>
      </c>
      <c r="R231" s="93">
        <f>SUM('3:23'!R231)</f>
        <v>0</v>
      </c>
      <c r="S231" s="93">
        <f>SUM('3:23'!S231)</f>
        <v>0</v>
      </c>
      <c r="T231" s="93">
        <f>SUM('3:23'!T231)</f>
        <v>0</v>
      </c>
      <c r="U231" s="93">
        <f>SUM('3:23'!U231)</f>
        <v>0</v>
      </c>
      <c r="V231" s="206">
        <f t="shared" si="81"/>
        <v>0</v>
      </c>
      <c r="W231" s="33" t="str">
        <f t="shared" si="82"/>
        <v/>
      </c>
      <c r="X231" s="93">
        <f>SUM('3:23'!X231)</f>
        <v>0</v>
      </c>
      <c r="Y231" s="93">
        <f>SUM('3:23'!Y231)</f>
        <v>0</v>
      </c>
      <c r="Z231" s="93">
        <f>SUM('3:23'!Z231)</f>
        <v>0</v>
      </c>
      <c r="AA231" s="93">
        <f>SUM('3:23'!AA231)</f>
        <v>0</v>
      </c>
      <c r="AB231" s="73"/>
      <c r="AC231" s="54"/>
      <c r="AD231" s="346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300">
        <v>30100042</v>
      </c>
      <c r="B232" s="62" t="s">
        <v>81</v>
      </c>
      <c r="C232" s="16" t="s">
        <v>61</v>
      </c>
      <c r="D232" s="17">
        <v>5.03</v>
      </c>
      <c r="E232" s="17"/>
      <c r="F232" s="6"/>
      <c r="G232" s="93">
        <f>SUM('3:23'!G232)</f>
        <v>0</v>
      </c>
      <c r="H232" s="339">
        <f t="shared" si="70"/>
        <v>0</v>
      </c>
      <c r="I232" s="93">
        <f>SUM('3:23'!I232)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78"/>
        <v>0</v>
      </c>
      <c r="N232" s="93">
        <f>SUM('3:23'!N232)</f>
        <v>0</v>
      </c>
      <c r="O232" s="93">
        <f>SUM('3:23'!O232)</f>
        <v>0</v>
      </c>
      <c r="P232" s="93">
        <f>SUM('3:23'!P232)</f>
        <v>0</v>
      </c>
      <c r="Q232" s="93">
        <f>SUM('3:23'!Q232)</f>
        <v>0</v>
      </c>
      <c r="R232" s="93">
        <f>SUM('3:23'!R232)</f>
        <v>0</v>
      </c>
      <c r="S232" s="93">
        <f>SUM('3:23'!S232)</f>
        <v>0</v>
      </c>
      <c r="T232" s="93">
        <f>SUM('3:23'!T232)</f>
        <v>0</v>
      </c>
      <c r="U232" s="93">
        <f>SUM('3:23'!U232)</f>
        <v>0</v>
      </c>
      <c r="V232" s="206">
        <f t="shared" si="81"/>
        <v>0</v>
      </c>
      <c r="W232" s="33" t="str">
        <f t="shared" si="82"/>
        <v/>
      </c>
      <c r="X232" s="93">
        <f>SUM('3:23'!X232)</f>
        <v>0</v>
      </c>
      <c r="Y232" s="93">
        <f>SUM('3:23'!Y232)</f>
        <v>0</v>
      </c>
      <c r="Z232" s="93">
        <f>SUM('3:23'!Z232)</f>
        <v>0</v>
      </c>
      <c r="AA232" s="93">
        <f>SUM('3:23'!AA232)</f>
        <v>0</v>
      </c>
      <c r="AB232" s="73"/>
      <c r="AC232" s="54"/>
      <c r="AD232" s="346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300">
        <v>30100041</v>
      </c>
      <c r="B233" s="62" t="s">
        <v>81</v>
      </c>
      <c r="C233" s="16" t="s">
        <v>65</v>
      </c>
      <c r="D233" s="17">
        <v>5.03</v>
      </c>
      <c r="E233" s="17"/>
      <c r="F233" s="6"/>
      <c r="G233" s="93">
        <f>SUM('3:23'!G233)</f>
        <v>0</v>
      </c>
      <c r="H233" s="339">
        <f t="shared" si="70"/>
        <v>0</v>
      </c>
      <c r="I233" s="93">
        <f>SUM('3:23'!I233)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78"/>
        <v>0</v>
      </c>
      <c r="N233" s="93">
        <f>SUM('3:23'!N233)</f>
        <v>0</v>
      </c>
      <c r="O233" s="93">
        <f>SUM('3:23'!O233)</f>
        <v>0</v>
      </c>
      <c r="P233" s="93">
        <f>SUM('3:23'!P233)</f>
        <v>0</v>
      </c>
      <c r="Q233" s="93">
        <f>SUM('3:23'!Q233)</f>
        <v>0</v>
      </c>
      <c r="R233" s="93">
        <f>SUM('3:23'!R233)</f>
        <v>0</v>
      </c>
      <c r="S233" s="93">
        <f>SUM('3:23'!S233)</f>
        <v>0</v>
      </c>
      <c r="T233" s="93">
        <f>SUM('3:23'!T233)</f>
        <v>0</v>
      </c>
      <c r="U233" s="93">
        <f>SUM('3:23'!U233)</f>
        <v>0</v>
      </c>
      <c r="V233" s="206">
        <f t="shared" si="81"/>
        <v>0</v>
      </c>
      <c r="W233" s="33" t="str">
        <f t="shared" si="82"/>
        <v/>
      </c>
      <c r="X233" s="93">
        <f>SUM('3:23'!X233)</f>
        <v>0</v>
      </c>
      <c r="Y233" s="93">
        <f>SUM('3:23'!Y233)</f>
        <v>0</v>
      </c>
      <c r="Z233" s="93">
        <f>SUM('3:23'!Z233)</f>
        <v>0</v>
      </c>
      <c r="AA233" s="93">
        <f>SUM('3:23'!AA233)</f>
        <v>0</v>
      </c>
      <c r="AB233" s="73"/>
      <c r="AC233" s="54"/>
      <c r="AD233" s="346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300">
        <v>30100045</v>
      </c>
      <c r="B234" s="62" t="s">
        <v>83</v>
      </c>
      <c r="C234" s="16" t="s">
        <v>73</v>
      </c>
      <c r="D234" s="17">
        <v>5.03</v>
      </c>
      <c r="E234" s="17"/>
      <c r="F234" s="6"/>
      <c r="G234" s="93">
        <f>SUM('3:23'!G234)</f>
        <v>923</v>
      </c>
      <c r="H234" s="339">
        <f t="shared" si="70"/>
        <v>4642.6900000000005</v>
      </c>
      <c r="I234" s="93">
        <f>SUM('3:23'!I234)</f>
        <v>16</v>
      </c>
      <c r="J234" s="31">
        <f t="array" ref="J234">IF(ISERROR(G234/I234),"",G234/I234)</f>
        <v>57.6875</v>
      </c>
      <c r="K234" s="35">
        <f t="array" ref="K234">IF(ISERROR(G234/L234),"",G234/L234)</f>
        <v>18.46</v>
      </c>
      <c r="L234" s="87">
        <v>50</v>
      </c>
      <c r="M234" s="36">
        <f t="shared" si="78"/>
        <v>-2.4600000000000009</v>
      </c>
      <c r="N234" s="93">
        <f>SUM('3:23'!N234)</f>
        <v>0</v>
      </c>
      <c r="O234" s="93">
        <f>SUM('3:23'!O234)</f>
        <v>0</v>
      </c>
      <c r="P234" s="93">
        <f>SUM('3:23'!P234)</f>
        <v>0</v>
      </c>
      <c r="Q234" s="93">
        <f>SUM('3:23'!Q234)</f>
        <v>0</v>
      </c>
      <c r="R234" s="93">
        <f>SUM('3:23'!R234)</f>
        <v>0</v>
      </c>
      <c r="S234" s="93">
        <f>SUM('3:23'!S234)</f>
        <v>0</v>
      </c>
      <c r="T234" s="93">
        <f>SUM('3:23'!T234)</f>
        <v>0</v>
      </c>
      <c r="U234" s="93">
        <f>SUM('3:23'!U234)</f>
        <v>0</v>
      </c>
      <c r="V234" s="206">
        <f t="shared" si="81"/>
        <v>0</v>
      </c>
      <c r="W234" s="33">
        <f t="shared" si="82"/>
        <v>0</v>
      </c>
      <c r="X234" s="93">
        <f>SUM('3:23'!X234)</f>
        <v>0</v>
      </c>
      <c r="Y234" s="93">
        <f>SUM('3:23'!Y234)</f>
        <v>0</v>
      </c>
      <c r="Z234" s="93">
        <f>SUM('3:23'!Z234)</f>
        <v>0</v>
      </c>
      <c r="AA234" s="93">
        <f>SUM('3:23'!AA234)</f>
        <v>0</v>
      </c>
      <c r="AB234" s="73"/>
      <c r="AC234" s="54"/>
      <c r="AD234" s="346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300">
        <v>30100044</v>
      </c>
      <c r="B235" s="62" t="s">
        <v>83</v>
      </c>
      <c r="C235" s="16" t="s">
        <v>61</v>
      </c>
      <c r="D235" s="17">
        <v>5.03</v>
      </c>
      <c r="E235" s="17"/>
      <c r="F235" s="6"/>
      <c r="G235" s="93">
        <f>SUM('3:23'!G235)</f>
        <v>1192</v>
      </c>
      <c r="H235" s="339">
        <f t="shared" si="70"/>
        <v>5995.76</v>
      </c>
      <c r="I235" s="93">
        <f>SUM('3:23'!I235)</f>
        <v>31</v>
      </c>
      <c r="J235" s="31">
        <f t="array" ref="J235">IF(ISERROR(G235/I235),"",G235/I235)</f>
        <v>38.451612903225808</v>
      </c>
      <c r="K235" s="35">
        <f t="array" ref="K235">IF(ISERROR(G235/L235),"",G235/L235)</f>
        <v>23.84</v>
      </c>
      <c r="L235" s="87">
        <v>50</v>
      </c>
      <c r="M235" s="36">
        <f t="shared" si="78"/>
        <v>7.16</v>
      </c>
      <c r="N235" s="93">
        <f>SUM('3:23'!N235)</f>
        <v>0</v>
      </c>
      <c r="O235" s="93">
        <f>SUM('3:23'!O235)</f>
        <v>0</v>
      </c>
      <c r="P235" s="93">
        <f>SUM('3:23'!P235)</f>
        <v>0</v>
      </c>
      <c r="Q235" s="93">
        <f>SUM('3:23'!Q235)</f>
        <v>0</v>
      </c>
      <c r="R235" s="93">
        <f>SUM('3:23'!R235)</f>
        <v>0</v>
      </c>
      <c r="S235" s="93">
        <f>SUM('3:23'!S235)</f>
        <v>0</v>
      </c>
      <c r="T235" s="93">
        <f>SUM('3:23'!T235)</f>
        <v>0</v>
      </c>
      <c r="U235" s="93">
        <f>SUM('3:23'!U235)</f>
        <v>0</v>
      </c>
      <c r="V235" s="206">
        <f t="shared" si="81"/>
        <v>0</v>
      </c>
      <c r="W235" s="33">
        <f t="shared" si="82"/>
        <v>0</v>
      </c>
      <c r="X235" s="93">
        <f>SUM('3:23'!X235)</f>
        <v>0</v>
      </c>
      <c r="Y235" s="93">
        <f>SUM('3:23'!Y235)</f>
        <v>0</v>
      </c>
      <c r="Z235" s="93">
        <f>SUM('3:23'!Z235)</f>
        <v>0</v>
      </c>
      <c r="AA235" s="93">
        <f>SUM('3:23'!AA235)</f>
        <v>0</v>
      </c>
      <c r="AB235" s="73"/>
      <c r="AC235" s="54"/>
      <c r="AD235" s="346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300">
        <v>30100046</v>
      </c>
      <c r="B236" s="62" t="s">
        <v>83</v>
      </c>
      <c r="C236" s="16" t="s">
        <v>77</v>
      </c>
      <c r="D236" s="17">
        <v>5.03</v>
      </c>
      <c r="E236" s="17"/>
      <c r="F236" s="6"/>
      <c r="G236" s="93">
        <f>SUM('3:23'!G236)</f>
        <v>1094</v>
      </c>
      <c r="H236" s="339">
        <f t="shared" si="70"/>
        <v>5502.8200000000006</v>
      </c>
      <c r="I236" s="93">
        <f>SUM('3:23'!I236)</f>
        <v>16</v>
      </c>
      <c r="J236" s="31">
        <f t="array" ref="J236">IF(ISERROR(G236/I236),"",G236/I236)</f>
        <v>68.375</v>
      </c>
      <c r="K236" s="35">
        <f t="array" ref="K236">IF(ISERROR(G236/L236),"",G236/L236)</f>
        <v>21.88</v>
      </c>
      <c r="L236" s="87">
        <v>50</v>
      </c>
      <c r="M236" s="36">
        <f t="shared" si="78"/>
        <v>-5.879999999999999</v>
      </c>
      <c r="N236" s="93">
        <f>SUM('3:23'!N236)</f>
        <v>0</v>
      </c>
      <c r="O236" s="93">
        <f>SUM('3:23'!O236)</f>
        <v>0</v>
      </c>
      <c r="P236" s="93">
        <f>SUM('3:23'!P236)</f>
        <v>0</v>
      </c>
      <c r="Q236" s="93">
        <f>SUM('3:23'!Q236)</f>
        <v>0</v>
      </c>
      <c r="R236" s="93">
        <f>SUM('3:23'!R236)</f>
        <v>0</v>
      </c>
      <c r="S236" s="93">
        <f>SUM('3:23'!S236)</f>
        <v>0</v>
      </c>
      <c r="T236" s="93">
        <f>SUM('3:23'!T236)</f>
        <v>0</v>
      </c>
      <c r="U236" s="93">
        <f>SUM('3:23'!U236)</f>
        <v>0</v>
      </c>
      <c r="V236" s="206">
        <f t="shared" si="81"/>
        <v>0</v>
      </c>
      <c r="W236" s="33">
        <f t="shared" si="82"/>
        <v>0</v>
      </c>
      <c r="X236" s="93">
        <f>SUM('3:23'!X236)</f>
        <v>0</v>
      </c>
      <c r="Y236" s="93">
        <f>SUM('3:23'!Y236)</f>
        <v>0</v>
      </c>
      <c r="Z236" s="93">
        <f>SUM('3:23'!Z236)</f>
        <v>0</v>
      </c>
      <c r="AA236" s="93">
        <f>SUM('3:23'!AA236)</f>
        <v>0</v>
      </c>
      <c r="AB236" s="73"/>
      <c r="AC236" s="54"/>
      <c r="AD236" s="346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300">
        <v>30100043</v>
      </c>
      <c r="B237" s="192" t="s">
        <v>429</v>
      </c>
      <c r="C237" s="187" t="s">
        <v>428</v>
      </c>
      <c r="D237" s="17">
        <v>5.03</v>
      </c>
      <c r="E237" s="17"/>
      <c r="F237" s="6"/>
      <c r="G237" s="93">
        <f>SUM('3:23'!G237)</f>
        <v>693</v>
      </c>
      <c r="H237" s="339">
        <f t="shared" si="70"/>
        <v>3485.79</v>
      </c>
      <c r="I237" s="93">
        <f>SUM('3:23'!I237)</f>
        <v>11</v>
      </c>
      <c r="J237" s="31"/>
      <c r="K237" s="35"/>
      <c r="L237" s="87">
        <v>50</v>
      </c>
      <c r="M237" s="36"/>
      <c r="N237" s="93"/>
      <c r="O237" s="93"/>
      <c r="P237" s="93"/>
      <c r="Q237" s="93"/>
      <c r="R237" s="93"/>
      <c r="S237" s="93"/>
      <c r="T237" s="93"/>
      <c r="U237" s="93"/>
      <c r="V237" s="206"/>
      <c r="W237" s="33"/>
      <c r="X237" s="93"/>
      <c r="Y237" s="93"/>
      <c r="Z237" s="93"/>
      <c r="AA237" s="93"/>
      <c r="AB237" s="73"/>
      <c r="AC237" s="54"/>
      <c r="AD237" s="346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300">
        <v>30100064</v>
      </c>
      <c r="B238" s="192" t="s">
        <v>401</v>
      </c>
      <c r="C238" s="187" t="s">
        <v>399</v>
      </c>
      <c r="D238" s="17">
        <v>5</v>
      </c>
      <c r="E238" s="17"/>
      <c r="F238" s="6"/>
      <c r="G238" s="93">
        <f>SUM('3:23'!G238)</f>
        <v>345</v>
      </c>
      <c r="H238" s="339">
        <f t="shared" si="70"/>
        <v>1725</v>
      </c>
      <c r="I238" s="93">
        <f>SUM('3:23'!I238)</f>
        <v>17</v>
      </c>
      <c r="J238" s="31"/>
      <c r="K238" s="35">
        <f t="array" ref="K238">IF(ISERROR(G238/L238),"",G238/L238)</f>
        <v>6.9</v>
      </c>
      <c r="L238" s="87">
        <v>50</v>
      </c>
      <c r="M238" s="36">
        <f t="shared" ref="M238:M249" si="83">IF(ISERROR(I238-K238),"",I238-K238)</f>
        <v>10.1</v>
      </c>
      <c r="N238" s="93">
        <f>SUM('3:23'!N238)</f>
        <v>0</v>
      </c>
      <c r="O238" s="93">
        <f>SUM('3:23'!O238)</f>
        <v>0</v>
      </c>
      <c r="P238" s="93">
        <f>SUM('3:23'!P238)</f>
        <v>0</v>
      </c>
      <c r="Q238" s="93">
        <f>SUM('3:23'!Q238)</f>
        <v>0</v>
      </c>
      <c r="R238" s="93">
        <f>SUM('3:23'!R238)</f>
        <v>0</v>
      </c>
      <c r="S238" s="93">
        <f>SUM('3:23'!S238)</f>
        <v>0</v>
      </c>
      <c r="T238" s="93">
        <f>SUM('3:23'!T238)</f>
        <v>0</v>
      </c>
      <c r="U238" s="93">
        <f>SUM('3:23'!U238)</f>
        <v>0</v>
      </c>
      <c r="V238" s="206"/>
      <c r="W238" s="33"/>
      <c r="X238" s="93">
        <f>SUM('3:23'!X238)</f>
        <v>0</v>
      </c>
      <c r="Y238" s="93">
        <f>SUM('3:23'!Y238)</f>
        <v>0</v>
      </c>
      <c r="Z238" s="93">
        <f>SUM('3:23'!Z238)</f>
        <v>0</v>
      </c>
      <c r="AA238" s="93">
        <f>SUM('3:23'!AA238)</f>
        <v>0</v>
      </c>
      <c r="AB238" s="73"/>
      <c r="AC238" s="54"/>
      <c r="AD238" s="346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300">
        <v>30100049</v>
      </c>
      <c r="B239" s="62" t="s">
        <v>84</v>
      </c>
      <c r="C239" s="16" t="s">
        <v>64</v>
      </c>
      <c r="D239" s="17">
        <v>5.03</v>
      </c>
      <c r="E239" s="17"/>
      <c r="F239" s="6"/>
      <c r="G239" s="93">
        <f>SUM('3:23'!G239)</f>
        <v>1118</v>
      </c>
      <c r="H239" s="339">
        <f t="shared" si="70"/>
        <v>5623.54</v>
      </c>
      <c r="I239" s="93">
        <f>SUM('3:23'!I239)</f>
        <v>51</v>
      </c>
      <c r="J239" s="31">
        <f t="array" ref="J239">IF(ISERROR(G239/I239),"",G239/I239)</f>
        <v>21.921568627450981</v>
      </c>
      <c r="K239" s="35">
        <f t="array" ref="K239">IF(ISERROR(G239/L239),"",G239/L239)</f>
        <v>52</v>
      </c>
      <c r="L239" s="87">
        <v>21.5</v>
      </c>
      <c r="M239" s="36">
        <f t="shared" si="83"/>
        <v>-1</v>
      </c>
      <c r="N239" s="93">
        <f>SUM('3:23'!N239)</f>
        <v>0</v>
      </c>
      <c r="O239" s="93">
        <f>SUM('3:23'!O239)</f>
        <v>0</v>
      </c>
      <c r="P239" s="93">
        <f>SUM('3:23'!P239)</f>
        <v>0</v>
      </c>
      <c r="Q239" s="93">
        <f>SUM('3:23'!Q239)</f>
        <v>0</v>
      </c>
      <c r="R239" s="93">
        <f>SUM('3:23'!R239)</f>
        <v>0</v>
      </c>
      <c r="S239" s="93">
        <f>SUM('3:23'!S239)</f>
        <v>0</v>
      </c>
      <c r="T239" s="93">
        <f>SUM('3:23'!T239)</f>
        <v>0</v>
      </c>
      <c r="U239" s="93">
        <f>SUM('3:23'!U239)</f>
        <v>0</v>
      </c>
      <c r="V239" s="206">
        <f t="shared" ref="V239:V240" si="84">SUM(X239:AA239)</f>
        <v>0</v>
      </c>
      <c r="W239" s="33">
        <f t="shared" ref="W239:W240" si="85">IF(ISERROR(V239/G239),"",V239/G239)</f>
        <v>0</v>
      </c>
      <c r="X239" s="93">
        <f>SUM('3:23'!X239)</f>
        <v>0</v>
      </c>
      <c r="Y239" s="93">
        <f>SUM('3:23'!Y239)</f>
        <v>0</v>
      </c>
      <c r="Z239" s="93">
        <f>SUM('3:23'!Z239)</f>
        <v>0</v>
      </c>
      <c r="AA239" s="93">
        <f>SUM('3:23'!AA239)</f>
        <v>0</v>
      </c>
      <c r="AB239" s="73"/>
      <c r="AC239" s="54"/>
      <c r="AD239" s="346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300">
        <v>30100050</v>
      </c>
      <c r="B240" s="62" t="s">
        <v>84</v>
      </c>
      <c r="C240" s="16" t="s">
        <v>65</v>
      </c>
      <c r="D240" s="17">
        <v>5.03</v>
      </c>
      <c r="E240" s="17"/>
      <c r="F240" s="6"/>
      <c r="G240" s="93">
        <f>SUM('3:23'!G240)</f>
        <v>1007</v>
      </c>
      <c r="H240" s="339">
        <f t="shared" si="70"/>
        <v>5065.21</v>
      </c>
      <c r="I240" s="93">
        <f>SUM('3:23'!I240)</f>
        <v>62.5</v>
      </c>
      <c r="J240" s="31">
        <f t="array" ref="J240">IF(ISERROR(G240/I240),"",G240/I240)</f>
        <v>16.111999999999998</v>
      </c>
      <c r="K240" s="35">
        <f t="array" ref="K240">IF(ISERROR(G240/L240),"",G240/L240)</f>
        <v>46.837209302325583</v>
      </c>
      <c r="L240" s="87">
        <v>21.5</v>
      </c>
      <c r="M240" s="36">
        <f t="shared" si="83"/>
        <v>15.662790697674417</v>
      </c>
      <c r="N240" s="93">
        <f>SUM('3:23'!N240)</f>
        <v>0</v>
      </c>
      <c r="O240" s="93">
        <f>SUM('3:23'!O240)</f>
        <v>0</v>
      </c>
      <c r="P240" s="93">
        <f>SUM('3:23'!P240)</f>
        <v>0</v>
      </c>
      <c r="Q240" s="93">
        <f>SUM('3:23'!Q240)</f>
        <v>0</v>
      </c>
      <c r="R240" s="93">
        <f>SUM('3:23'!R240)</f>
        <v>0</v>
      </c>
      <c r="S240" s="93">
        <f>SUM('3:23'!S240)</f>
        <v>0</v>
      </c>
      <c r="T240" s="93">
        <f>SUM('3:23'!T240)</f>
        <v>0</v>
      </c>
      <c r="U240" s="93">
        <f>SUM('3:23'!U240)</f>
        <v>0</v>
      </c>
      <c r="V240" s="206">
        <f t="shared" si="84"/>
        <v>0</v>
      </c>
      <c r="W240" s="33">
        <f t="shared" si="85"/>
        <v>0</v>
      </c>
      <c r="X240" s="93">
        <f>SUM('3:23'!X240)</f>
        <v>0</v>
      </c>
      <c r="Y240" s="93">
        <f>SUM('3:23'!Y240)</f>
        <v>0</v>
      </c>
      <c r="Z240" s="93">
        <f>SUM('3:23'!Z240)</f>
        <v>0</v>
      </c>
      <c r="AA240" s="93">
        <f>SUM('3:23'!AA240)</f>
        <v>0</v>
      </c>
      <c r="AB240" s="73"/>
      <c r="AC240" s="54"/>
      <c r="AD240" s="346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300"/>
      <c r="B241" s="192" t="s">
        <v>360</v>
      </c>
      <c r="C241" s="187" t="s">
        <v>361</v>
      </c>
      <c r="D241" s="17"/>
      <c r="E241" s="17"/>
      <c r="F241" s="6"/>
      <c r="G241" s="93">
        <f>SUM('3:23'!G241)</f>
        <v>0</v>
      </c>
      <c r="H241" s="339">
        <f t="shared" si="70"/>
        <v>0</v>
      </c>
      <c r="I241" s="93">
        <f>SUM('3:23'!I241)</f>
        <v>0</v>
      </c>
      <c r="J241" s="31"/>
      <c r="K241" s="35"/>
      <c r="L241" s="87"/>
      <c r="M241" s="36">
        <f t="shared" si="83"/>
        <v>0</v>
      </c>
      <c r="N241" s="93">
        <f>SUM('3:23'!N241)</f>
        <v>0</v>
      </c>
      <c r="O241" s="93">
        <f>SUM('3:23'!O241)</f>
        <v>0</v>
      </c>
      <c r="P241" s="93">
        <f>SUM('3:23'!P241)</f>
        <v>0</v>
      </c>
      <c r="Q241" s="93">
        <f>SUM('3:23'!Q241)</f>
        <v>0</v>
      </c>
      <c r="R241" s="93">
        <f>SUM('3:23'!R241)</f>
        <v>0</v>
      </c>
      <c r="S241" s="93">
        <f>SUM('3:23'!S241)</f>
        <v>0</v>
      </c>
      <c r="T241" s="93">
        <f>SUM('3:23'!T241)</f>
        <v>0</v>
      </c>
      <c r="U241" s="93">
        <f>SUM('3:23'!U241)</f>
        <v>0</v>
      </c>
      <c r="V241" s="206"/>
      <c r="W241" s="33"/>
      <c r="X241" s="93">
        <f>SUM('3:23'!X241)</f>
        <v>0</v>
      </c>
      <c r="Y241" s="93">
        <f>SUM('3:23'!Y241)</f>
        <v>0</v>
      </c>
      <c r="Z241" s="93">
        <f>SUM('3:23'!Z241)</f>
        <v>0</v>
      </c>
      <c r="AA241" s="93">
        <f>SUM('3:23'!AA241)</f>
        <v>0</v>
      </c>
      <c r="AB241" s="73"/>
      <c r="AC241" s="54"/>
      <c r="AD241" s="346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300">
        <v>30100055</v>
      </c>
      <c r="B242" s="63" t="s">
        <v>85</v>
      </c>
      <c r="C242" s="16" t="s">
        <v>60</v>
      </c>
      <c r="D242" s="17">
        <v>5.0599999999999996</v>
      </c>
      <c r="E242" s="17"/>
      <c r="F242" s="6"/>
      <c r="G242" s="93">
        <f>SUM('3:23'!G242)</f>
        <v>0</v>
      </c>
      <c r="H242" s="339">
        <f t="shared" si="70"/>
        <v>0</v>
      </c>
      <c r="I242" s="93">
        <f>SUM('3:23'!I242)</f>
        <v>0</v>
      </c>
      <c r="J242" s="31" t="str">
        <f t="array" ref="J242">IF(ISERROR(G242/I242),"",G242/I242)</f>
        <v/>
      </c>
      <c r="K242" s="35" t="str">
        <f t="array" ref="K242">IF(ISERROR(G242/L242),"",G242/L242)</f>
        <v/>
      </c>
      <c r="L242" s="87"/>
      <c r="M242" s="36" t="str">
        <f t="shared" si="83"/>
        <v/>
      </c>
      <c r="N242" s="93">
        <f>SUM('3:23'!N242)</f>
        <v>0</v>
      </c>
      <c r="O242" s="93">
        <f>SUM('3:23'!O242)</f>
        <v>0</v>
      </c>
      <c r="P242" s="93">
        <f>SUM('3:23'!P242)</f>
        <v>0</v>
      </c>
      <c r="Q242" s="93">
        <f>SUM('3:23'!Q242)</f>
        <v>0</v>
      </c>
      <c r="R242" s="93">
        <f>SUM('3:23'!R242)</f>
        <v>0</v>
      </c>
      <c r="S242" s="93">
        <f>SUM('3:23'!S242)</f>
        <v>0</v>
      </c>
      <c r="T242" s="93">
        <f>SUM('3:23'!T242)</f>
        <v>0</v>
      </c>
      <c r="U242" s="93">
        <f>SUM('3:23'!U242)</f>
        <v>0</v>
      </c>
      <c r="V242" s="206">
        <f t="shared" ref="V242:V245" si="86">SUM(X242:AA242)</f>
        <v>0</v>
      </c>
      <c r="W242" s="33" t="str">
        <f t="shared" ref="W242:W245" si="87">IF(ISERROR(V242/G242),"",V242/G242)</f>
        <v/>
      </c>
      <c r="X242" s="93">
        <f>SUM('3:23'!X242)</f>
        <v>0</v>
      </c>
      <c r="Y242" s="93">
        <f>SUM('3:23'!Y242)</f>
        <v>0</v>
      </c>
      <c r="Z242" s="93">
        <f>SUM('3:23'!Z242)</f>
        <v>0</v>
      </c>
      <c r="AA242" s="93">
        <f>SUM('3:23'!AA242)</f>
        <v>0</v>
      </c>
      <c r="AB242" s="73"/>
      <c r="AC242" s="54"/>
      <c r="AD242" s="346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300">
        <v>30100056</v>
      </c>
      <c r="B243" s="63" t="s">
        <v>85</v>
      </c>
      <c r="C243" s="16" t="s">
        <v>74</v>
      </c>
      <c r="D243" s="17">
        <v>5.0599999999999996</v>
      </c>
      <c r="E243" s="17"/>
      <c r="F243" s="6"/>
      <c r="G243" s="93">
        <f>SUM('3:23'!G243)</f>
        <v>0</v>
      </c>
      <c r="H243" s="339">
        <f t="shared" si="70"/>
        <v>0</v>
      </c>
      <c r="I243" s="93">
        <f>SUM('3:23'!I243)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83"/>
        <v/>
      </c>
      <c r="N243" s="93">
        <f>SUM('3:23'!N243)</f>
        <v>0</v>
      </c>
      <c r="O243" s="93">
        <f>SUM('3:23'!O243)</f>
        <v>0</v>
      </c>
      <c r="P243" s="93">
        <f>SUM('3:23'!P243)</f>
        <v>0</v>
      </c>
      <c r="Q243" s="93">
        <f>SUM('3:23'!Q243)</f>
        <v>0</v>
      </c>
      <c r="R243" s="93">
        <f>SUM('3:23'!R243)</f>
        <v>0</v>
      </c>
      <c r="S243" s="93">
        <f>SUM('3:23'!S243)</f>
        <v>0</v>
      </c>
      <c r="T243" s="93">
        <f>SUM('3:23'!T243)</f>
        <v>0</v>
      </c>
      <c r="U243" s="93">
        <f>SUM('3:23'!U243)</f>
        <v>0</v>
      </c>
      <c r="V243" s="206">
        <f t="shared" si="86"/>
        <v>0</v>
      </c>
      <c r="W243" s="33" t="str">
        <f t="shared" si="87"/>
        <v/>
      </c>
      <c r="X243" s="93">
        <f>SUM('3:23'!X243)</f>
        <v>0</v>
      </c>
      <c r="Y243" s="93">
        <f>SUM('3:23'!Y243)</f>
        <v>0</v>
      </c>
      <c r="Z243" s="93">
        <f>SUM('3:23'!Z243)</f>
        <v>0</v>
      </c>
      <c r="AA243" s="93">
        <f>SUM('3:23'!AA243)</f>
        <v>0</v>
      </c>
      <c r="AB243" s="73"/>
      <c r="AC243" s="54"/>
      <c r="AD243" s="346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300">
        <v>30100057</v>
      </c>
      <c r="B244" s="63" t="s">
        <v>85</v>
      </c>
      <c r="C244" s="16" t="s">
        <v>65</v>
      </c>
      <c r="D244" s="17">
        <v>5.0599999999999996</v>
      </c>
      <c r="E244" s="17"/>
      <c r="F244" s="6"/>
      <c r="G244" s="93">
        <f>SUM('3:23'!G244)</f>
        <v>0</v>
      </c>
      <c r="H244" s="339">
        <f t="shared" si="70"/>
        <v>0</v>
      </c>
      <c r="I244" s="93">
        <f>SUM('3:23'!I244)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83"/>
        <v/>
      </c>
      <c r="N244" s="93">
        <f>SUM('3:23'!N244)</f>
        <v>0</v>
      </c>
      <c r="O244" s="93">
        <f>SUM('3:23'!O244)</f>
        <v>0</v>
      </c>
      <c r="P244" s="93">
        <f>SUM('3:23'!P244)</f>
        <v>0</v>
      </c>
      <c r="Q244" s="93">
        <f>SUM('3:23'!Q244)</f>
        <v>0</v>
      </c>
      <c r="R244" s="93">
        <f>SUM('3:23'!R244)</f>
        <v>0</v>
      </c>
      <c r="S244" s="93">
        <f>SUM('3:23'!S244)</f>
        <v>0</v>
      </c>
      <c r="T244" s="93">
        <f>SUM('3:23'!T244)</f>
        <v>0</v>
      </c>
      <c r="U244" s="93">
        <f>SUM('3:23'!U244)</f>
        <v>0</v>
      </c>
      <c r="V244" s="206">
        <f t="shared" si="86"/>
        <v>0</v>
      </c>
      <c r="W244" s="33" t="str">
        <f t="shared" si="87"/>
        <v/>
      </c>
      <c r="X244" s="93">
        <f>SUM('3:23'!X244)</f>
        <v>0</v>
      </c>
      <c r="Y244" s="93">
        <f>SUM('3:23'!Y244)</f>
        <v>0</v>
      </c>
      <c r="Z244" s="93">
        <f>SUM('3:23'!Z244)</f>
        <v>0</v>
      </c>
      <c r="AA244" s="93">
        <f>SUM('3:23'!AA244)</f>
        <v>0</v>
      </c>
      <c r="AB244" s="73"/>
      <c r="AC244" s="54"/>
      <c r="AD244" s="346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 ht="15" customHeight="1">
      <c r="A245" s="300">
        <v>30100058</v>
      </c>
      <c r="B245" s="63" t="s">
        <v>85</v>
      </c>
      <c r="C245" s="16" t="s">
        <v>61</v>
      </c>
      <c r="D245" s="17">
        <v>5.0599999999999996</v>
      </c>
      <c r="E245" s="17"/>
      <c r="F245" s="6"/>
      <c r="G245" s="93">
        <f>SUM('3:23'!G245)</f>
        <v>0</v>
      </c>
      <c r="H245" s="339">
        <f t="shared" si="70"/>
        <v>0</v>
      </c>
      <c r="I245" s="93">
        <f>SUM('3:23'!I245)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83"/>
        <v/>
      </c>
      <c r="N245" s="93">
        <f>SUM('3:23'!N245)</f>
        <v>0</v>
      </c>
      <c r="O245" s="93">
        <f>SUM('3:23'!O245)</f>
        <v>0</v>
      </c>
      <c r="P245" s="93">
        <f>SUM('3:23'!P245)</f>
        <v>0</v>
      </c>
      <c r="Q245" s="93">
        <f>SUM('3:23'!Q245)</f>
        <v>0</v>
      </c>
      <c r="R245" s="93">
        <f>SUM('3:23'!R245)</f>
        <v>0</v>
      </c>
      <c r="S245" s="93">
        <f>SUM('3:23'!S245)</f>
        <v>0</v>
      </c>
      <c r="T245" s="93">
        <f>SUM('3:23'!T245)</f>
        <v>0</v>
      </c>
      <c r="U245" s="93">
        <f>SUM('3:23'!U245)</f>
        <v>0</v>
      </c>
      <c r="V245" s="206">
        <f t="shared" si="86"/>
        <v>0</v>
      </c>
      <c r="W245" s="33" t="str">
        <f t="shared" si="87"/>
        <v/>
      </c>
      <c r="X245" s="93">
        <f>SUM('3:23'!X245)</f>
        <v>0</v>
      </c>
      <c r="Y245" s="93">
        <f>SUM('3:23'!Y245)</f>
        <v>0</v>
      </c>
      <c r="Z245" s="93">
        <f>SUM('3:23'!Z245)</f>
        <v>0</v>
      </c>
      <c r="AA245" s="93">
        <f>SUM('3:23'!AA245)</f>
        <v>0</v>
      </c>
      <c r="AB245" s="73"/>
      <c r="AC245" s="54"/>
      <c r="AD245" s="346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>
      <c r="A246" s="302">
        <v>30600013</v>
      </c>
      <c r="B246" s="197" t="s">
        <v>377</v>
      </c>
      <c r="C246" s="187" t="s">
        <v>374</v>
      </c>
      <c r="D246" s="17"/>
      <c r="E246" s="17"/>
      <c r="F246" s="6"/>
      <c r="G246" s="93">
        <f>SUM('3:23'!G246)</f>
        <v>0</v>
      </c>
      <c r="H246" s="339">
        <f t="shared" si="70"/>
        <v>0</v>
      </c>
      <c r="I246" s="93">
        <f>SUM('3:23'!I246)</f>
        <v>0</v>
      </c>
      <c r="J246" s="31"/>
      <c r="K246" s="35">
        <f t="array" ref="K246">IF(ISERROR(G246/L246),"",G246/L246)</f>
        <v>0</v>
      </c>
      <c r="L246" s="87">
        <v>24</v>
      </c>
      <c r="M246" s="36">
        <f t="shared" si="83"/>
        <v>0</v>
      </c>
      <c r="N246" s="93">
        <f>SUM('3:23'!N246)</f>
        <v>0</v>
      </c>
      <c r="O246" s="93">
        <f>SUM('3:23'!O246)</f>
        <v>0</v>
      </c>
      <c r="P246" s="93">
        <f>SUM('3:23'!P246)</f>
        <v>0</v>
      </c>
      <c r="Q246" s="93">
        <f>SUM('3:23'!Q246)</f>
        <v>0</v>
      </c>
      <c r="R246" s="93">
        <f>SUM('3:23'!R246)</f>
        <v>0</v>
      </c>
      <c r="S246" s="93">
        <f>SUM('3:23'!S246)</f>
        <v>0</v>
      </c>
      <c r="T246" s="93">
        <f>SUM('3:23'!T246)</f>
        <v>0</v>
      </c>
      <c r="U246" s="93">
        <f>SUM('3:23'!U246)</f>
        <v>0</v>
      </c>
      <c r="V246" s="206"/>
      <c r="W246" s="33"/>
      <c r="X246" s="93">
        <f>SUM('3:23'!X246)</f>
        <v>0</v>
      </c>
      <c r="Y246" s="93">
        <f>SUM('3:23'!Y246)</f>
        <v>0</v>
      </c>
      <c r="Z246" s="93">
        <f>SUM('3:23'!Z246)</f>
        <v>0</v>
      </c>
      <c r="AA246" s="93">
        <f>SUM('3:23'!AA246)</f>
        <v>0</v>
      </c>
      <c r="AB246" s="73"/>
      <c r="AC246" s="54"/>
      <c r="AD246" s="346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302">
        <v>30600014</v>
      </c>
      <c r="B247" s="197" t="s">
        <v>377</v>
      </c>
      <c r="C247" s="187" t="s">
        <v>369</v>
      </c>
      <c r="D247" s="17"/>
      <c r="E247" s="17"/>
      <c r="F247" s="6"/>
      <c r="G247" s="93">
        <f>SUM('3:23'!G247)</f>
        <v>0</v>
      </c>
      <c r="H247" s="339">
        <f t="shared" si="70"/>
        <v>0</v>
      </c>
      <c r="I247" s="93">
        <f>SUM('3:23'!I247)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83"/>
        <v>0</v>
      </c>
      <c r="N247" s="93">
        <f>SUM('3:23'!N247)</f>
        <v>0</v>
      </c>
      <c r="O247" s="93">
        <f>SUM('3:23'!O247)</f>
        <v>0</v>
      </c>
      <c r="P247" s="93">
        <f>SUM('3:23'!P247)</f>
        <v>0</v>
      </c>
      <c r="Q247" s="93">
        <f>SUM('3:23'!Q247)</f>
        <v>0</v>
      </c>
      <c r="R247" s="93">
        <f>SUM('3:23'!R247)</f>
        <v>0</v>
      </c>
      <c r="S247" s="93">
        <f>SUM('3:23'!S247)</f>
        <v>0</v>
      </c>
      <c r="T247" s="93">
        <f>SUM('3:23'!T247)</f>
        <v>0</v>
      </c>
      <c r="U247" s="93">
        <f>SUM('3:23'!U247)</f>
        <v>0</v>
      </c>
      <c r="V247" s="206"/>
      <c r="W247" s="33"/>
      <c r="X247" s="93">
        <f>SUM('3:23'!X247)</f>
        <v>0</v>
      </c>
      <c r="Y247" s="93">
        <f>SUM('3:23'!Y247)</f>
        <v>0</v>
      </c>
      <c r="Z247" s="93">
        <f>SUM('3:23'!Z247)</f>
        <v>0</v>
      </c>
      <c r="AA247" s="93">
        <f>SUM('3:23'!AA247)</f>
        <v>0</v>
      </c>
      <c r="AB247" s="73"/>
      <c r="AC247" s="54"/>
      <c r="AD247" s="346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302">
        <v>30600012</v>
      </c>
      <c r="B248" s="197" t="s">
        <v>377</v>
      </c>
      <c r="C248" s="187" t="s">
        <v>370</v>
      </c>
      <c r="D248" s="17"/>
      <c r="E248" s="17"/>
      <c r="F248" s="6"/>
      <c r="G248" s="93">
        <f>SUM('3:23'!G248)</f>
        <v>0</v>
      </c>
      <c r="H248" s="339">
        <f t="shared" si="70"/>
        <v>0</v>
      </c>
      <c r="I248" s="93">
        <f>SUM('3:23'!I248)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83"/>
        <v>0</v>
      </c>
      <c r="N248" s="93">
        <f>SUM('3:23'!N248)</f>
        <v>0</v>
      </c>
      <c r="O248" s="93">
        <f>SUM('3:23'!O248)</f>
        <v>0</v>
      </c>
      <c r="P248" s="93">
        <f>SUM('3:23'!P248)</f>
        <v>0</v>
      </c>
      <c r="Q248" s="93">
        <f>SUM('3:23'!Q248)</f>
        <v>0</v>
      </c>
      <c r="R248" s="93">
        <f>SUM('3:23'!R248)</f>
        <v>0</v>
      </c>
      <c r="S248" s="93">
        <f>SUM('3:23'!S248)</f>
        <v>0</v>
      </c>
      <c r="T248" s="93">
        <f>SUM('3:23'!T248)</f>
        <v>0</v>
      </c>
      <c r="U248" s="93">
        <f>SUM('3:23'!U248)</f>
        <v>0</v>
      </c>
      <c r="V248" s="206"/>
      <c r="W248" s="33"/>
      <c r="X248" s="93">
        <f>SUM('3:23'!X248)</f>
        <v>0</v>
      </c>
      <c r="Y248" s="93">
        <f>SUM('3:23'!Y248)</f>
        <v>0</v>
      </c>
      <c r="Z248" s="93">
        <f>SUM('3:23'!Z248)</f>
        <v>0</v>
      </c>
      <c r="AA248" s="93">
        <f>SUM('3:23'!AA248)</f>
        <v>0</v>
      </c>
      <c r="AB248" s="73"/>
      <c r="AC248" s="54"/>
      <c r="AD248" s="346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302">
        <v>30600011</v>
      </c>
      <c r="B249" s="197" t="s">
        <v>377</v>
      </c>
      <c r="C249" s="187" t="s">
        <v>371</v>
      </c>
      <c r="D249" s="17"/>
      <c r="E249" s="17"/>
      <c r="F249" s="6"/>
      <c r="G249" s="93">
        <f>SUM('3:23'!G249)</f>
        <v>0</v>
      </c>
      <c r="H249" s="339">
        <f t="shared" si="70"/>
        <v>0</v>
      </c>
      <c r="I249" s="93">
        <f>SUM('3:23'!I249)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83"/>
        <v>0</v>
      </c>
      <c r="N249" s="93">
        <f>SUM('3:23'!N249)</f>
        <v>0</v>
      </c>
      <c r="O249" s="93">
        <f>SUM('3:23'!O249)</f>
        <v>0</v>
      </c>
      <c r="P249" s="93">
        <f>SUM('3:23'!P249)</f>
        <v>0</v>
      </c>
      <c r="Q249" s="93">
        <f>SUM('3:23'!Q249)</f>
        <v>0</v>
      </c>
      <c r="R249" s="93">
        <f>SUM('3:23'!R249)</f>
        <v>0</v>
      </c>
      <c r="S249" s="93">
        <f>SUM('3:23'!S249)</f>
        <v>0</v>
      </c>
      <c r="T249" s="93">
        <f>SUM('3:23'!T249)</f>
        <v>0</v>
      </c>
      <c r="U249" s="93">
        <f>SUM('3:23'!U249)</f>
        <v>0</v>
      </c>
      <c r="V249" s="206"/>
      <c r="W249" s="33"/>
      <c r="X249" s="93">
        <f>SUM('3:23'!X249)</f>
        <v>0</v>
      </c>
      <c r="Y249" s="93">
        <f>SUM('3:23'!Y249)</f>
        <v>0</v>
      </c>
      <c r="Z249" s="93">
        <f>SUM('3:23'!Z249)</f>
        <v>0</v>
      </c>
      <c r="AA249" s="93">
        <f>SUM('3:23'!AA249)</f>
        <v>0</v>
      </c>
      <c r="AB249" s="73"/>
      <c r="AC249" s="54"/>
      <c r="AD249" s="346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302">
        <v>30300002</v>
      </c>
      <c r="B250" s="197" t="s">
        <v>407</v>
      </c>
      <c r="C250" s="187" t="s">
        <v>408</v>
      </c>
      <c r="D250" s="17"/>
      <c r="E250" s="17"/>
      <c r="F250" s="6"/>
      <c r="G250" s="93">
        <f>SUM('3:23'!G250)</f>
        <v>0</v>
      </c>
      <c r="H250" s="339">
        <f t="shared" si="70"/>
        <v>0</v>
      </c>
      <c r="I250" s="93">
        <f>SUM('3:23'!I250)</f>
        <v>0</v>
      </c>
      <c r="J250" s="31"/>
      <c r="K250" s="35"/>
      <c r="L250" s="87">
        <v>4</v>
      </c>
      <c r="M250" s="36"/>
      <c r="N250" s="31"/>
      <c r="O250" s="93"/>
      <c r="P250" s="93"/>
      <c r="Q250" s="93"/>
      <c r="R250" s="93"/>
      <c r="S250" s="93"/>
      <c r="T250" s="93"/>
      <c r="U250" s="93"/>
      <c r="V250" s="206"/>
      <c r="W250" s="33"/>
      <c r="X250" s="93"/>
      <c r="Y250" s="93"/>
      <c r="Z250" s="93"/>
      <c r="AA250" s="93"/>
      <c r="AB250" s="73"/>
      <c r="AC250" s="54"/>
      <c r="AD250" s="346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302">
        <v>30300001</v>
      </c>
      <c r="B251" s="197" t="s">
        <v>407</v>
      </c>
      <c r="C251" s="187" t="s">
        <v>409</v>
      </c>
      <c r="D251" s="17"/>
      <c r="E251" s="17"/>
      <c r="F251" s="6"/>
      <c r="G251" s="93">
        <f>SUM('3:23'!G251)</f>
        <v>0</v>
      </c>
      <c r="H251" s="339">
        <f t="shared" si="70"/>
        <v>0</v>
      </c>
      <c r="I251" s="93">
        <f>SUM('3:23'!I251)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6"/>
      <c r="W251" s="33"/>
      <c r="X251" s="93"/>
      <c r="Y251" s="93"/>
      <c r="Z251" s="93"/>
      <c r="AA251" s="93"/>
      <c r="AB251" s="73"/>
      <c r="AC251" s="54"/>
      <c r="AD251" s="346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302">
        <v>30300003</v>
      </c>
      <c r="B252" s="197" t="s">
        <v>407</v>
      </c>
      <c r="C252" s="187" t="s">
        <v>411</v>
      </c>
      <c r="D252" s="17"/>
      <c r="E252" s="17"/>
      <c r="F252" s="6"/>
      <c r="G252" s="93">
        <f>SUM('3:23'!G252)</f>
        <v>0</v>
      </c>
      <c r="H252" s="339">
        <f t="shared" si="70"/>
        <v>0</v>
      </c>
      <c r="I252" s="93">
        <f>SUM('3:23'!I252)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6"/>
      <c r="W252" s="33"/>
      <c r="X252" s="93"/>
      <c r="Y252" s="93"/>
      <c r="Z252" s="93"/>
      <c r="AA252" s="93"/>
      <c r="AB252" s="73"/>
      <c r="AC252" s="54"/>
      <c r="AD252" s="346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302">
        <v>30300005</v>
      </c>
      <c r="B253" s="189" t="s">
        <v>363</v>
      </c>
      <c r="C253" s="16" t="s">
        <v>349</v>
      </c>
      <c r="D253" s="17"/>
      <c r="E253" s="17"/>
      <c r="F253" s="6"/>
      <c r="G253" s="93">
        <f>SUM('3:23'!G253)</f>
        <v>0</v>
      </c>
      <c r="H253" s="339">
        <f t="shared" si="70"/>
        <v>0</v>
      </c>
      <c r="I253" s="93">
        <f>SUM('3:23'!I253)</f>
        <v>0</v>
      </c>
      <c r="J253" s="31"/>
      <c r="K253" s="35"/>
      <c r="L253" s="87">
        <v>4</v>
      </c>
      <c r="M253" s="36"/>
      <c r="N253" s="31"/>
      <c r="O253" s="93">
        <f>SUM('3:23'!O253)</f>
        <v>0</v>
      </c>
      <c r="P253" s="93">
        <f>SUM('3:23'!P253)</f>
        <v>0</v>
      </c>
      <c r="Q253" s="93">
        <f>SUM('3:23'!Q253)</f>
        <v>0</v>
      </c>
      <c r="R253" s="93">
        <f>SUM('3:23'!R253)</f>
        <v>0</v>
      </c>
      <c r="S253" s="93">
        <f>SUM('3:23'!S253)</f>
        <v>0</v>
      </c>
      <c r="T253" s="93">
        <f>SUM('3:23'!T253)</f>
        <v>0</v>
      </c>
      <c r="U253" s="93">
        <f>SUM('3:23'!U253)</f>
        <v>0</v>
      </c>
      <c r="V253" s="206"/>
      <c r="W253" s="33"/>
      <c r="X253" s="93">
        <f>SUM('3:23'!X253)</f>
        <v>0</v>
      </c>
      <c r="Y253" s="93">
        <f>SUM('3:23'!Y253)</f>
        <v>0</v>
      </c>
      <c r="Z253" s="93">
        <f>SUM('3:23'!Z253)</f>
        <v>0</v>
      </c>
      <c r="AA253" s="93">
        <f>SUM('3:23'!AA253)</f>
        <v>0</v>
      </c>
      <c r="AB253" s="73"/>
      <c r="AC253" s="54"/>
      <c r="AD253" s="346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302">
        <v>30300004</v>
      </c>
      <c r="B254" s="189" t="s">
        <v>363</v>
      </c>
      <c r="C254" s="16" t="s">
        <v>350</v>
      </c>
      <c r="D254" s="17"/>
      <c r="E254" s="17"/>
      <c r="F254" s="6"/>
      <c r="G254" s="93">
        <f>SUM('3:23'!G254)</f>
        <v>0</v>
      </c>
      <c r="H254" s="339">
        <f t="shared" si="70"/>
        <v>0</v>
      </c>
      <c r="I254" s="93">
        <f>SUM('3:23'!I254)</f>
        <v>0</v>
      </c>
      <c r="J254" s="31"/>
      <c r="K254" s="35"/>
      <c r="L254" s="87">
        <v>4</v>
      </c>
      <c r="M254" s="36"/>
      <c r="N254" s="31"/>
      <c r="O254" s="93">
        <f>SUM('3:23'!O254)</f>
        <v>0</v>
      </c>
      <c r="P254" s="93">
        <f>SUM('3:23'!P254)</f>
        <v>0</v>
      </c>
      <c r="Q254" s="93">
        <f>SUM('3:23'!Q254)</f>
        <v>0</v>
      </c>
      <c r="R254" s="93">
        <f>SUM('3:23'!R254)</f>
        <v>0</v>
      </c>
      <c r="S254" s="93">
        <f>SUM('3:23'!S254)</f>
        <v>0</v>
      </c>
      <c r="T254" s="93">
        <f>SUM('3:23'!T254)</f>
        <v>0</v>
      </c>
      <c r="U254" s="93">
        <f>SUM('3:23'!U254)</f>
        <v>0</v>
      </c>
      <c r="V254" s="206"/>
      <c r="W254" s="33"/>
      <c r="X254" s="93">
        <f>SUM('3:23'!X254)</f>
        <v>0</v>
      </c>
      <c r="Y254" s="93">
        <f>SUM('3:23'!Y254)</f>
        <v>0</v>
      </c>
      <c r="Z254" s="93">
        <f>SUM('3:23'!Z254)</f>
        <v>0</v>
      </c>
      <c r="AA254" s="93">
        <f>SUM('3:23'!AA254)</f>
        <v>0</v>
      </c>
      <c r="AB254" s="73"/>
      <c r="AC254" s="54"/>
      <c r="AD254" s="346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302">
        <v>30300006</v>
      </c>
      <c r="B255" s="189" t="s">
        <v>363</v>
      </c>
      <c r="C255" s="16" t="s">
        <v>351</v>
      </c>
      <c r="D255" s="17"/>
      <c r="E255" s="17"/>
      <c r="F255" s="6"/>
      <c r="G255" s="93">
        <f>SUM('3:23'!G255)</f>
        <v>0</v>
      </c>
      <c r="H255" s="339">
        <f t="shared" si="70"/>
        <v>0</v>
      </c>
      <c r="I255" s="93">
        <f>SUM('3:23'!I255)</f>
        <v>0</v>
      </c>
      <c r="J255" s="31"/>
      <c r="K255" s="35"/>
      <c r="L255" s="87">
        <v>4</v>
      </c>
      <c r="M255" s="36"/>
      <c r="N255" s="31"/>
      <c r="O255" s="93">
        <f>SUM('3:23'!O255)</f>
        <v>0</v>
      </c>
      <c r="P255" s="93">
        <f>SUM('3:23'!P255)</f>
        <v>0</v>
      </c>
      <c r="Q255" s="93">
        <f>SUM('3:23'!Q255)</f>
        <v>0</v>
      </c>
      <c r="R255" s="93">
        <f>SUM('3:23'!R255)</f>
        <v>0</v>
      </c>
      <c r="S255" s="93">
        <f>SUM('3:23'!S255)</f>
        <v>0</v>
      </c>
      <c r="T255" s="93">
        <f>SUM('3:23'!T255)</f>
        <v>0</v>
      </c>
      <c r="U255" s="93">
        <f>SUM('3:23'!U255)</f>
        <v>0</v>
      </c>
      <c r="V255" s="206"/>
      <c r="W255" s="33"/>
      <c r="X255" s="93">
        <f>SUM('3:23'!X255)</f>
        <v>0</v>
      </c>
      <c r="Y255" s="93">
        <f>SUM('3:23'!Y255)</f>
        <v>0</v>
      </c>
      <c r="Z255" s="93">
        <f>SUM('3:23'!Z255)</f>
        <v>0</v>
      </c>
      <c r="AA255" s="93">
        <f>SUM('3:23'!AA255)</f>
        <v>0</v>
      </c>
      <c r="AB255" s="73"/>
      <c r="AC255" s="54"/>
      <c r="AD255" s="346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724" t="s">
        <v>86</v>
      </c>
      <c r="B256" s="724"/>
      <c r="C256" s="342" t="s">
        <v>71</v>
      </c>
      <c r="D256" s="20"/>
      <c r="E256" s="20"/>
      <c r="F256" s="32"/>
      <c r="G256" s="94">
        <f>SUM(G199:G255)</f>
        <v>25269</v>
      </c>
      <c r="H256" s="30">
        <f>SUM(H199:H255)</f>
        <v>127296.57</v>
      </c>
      <c r="I256" s="30">
        <f>SUM(I199:I255)</f>
        <v>646.65</v>
      </c>
      <c r="J256" s="31">
        <f t="array" ref="J256">IF(ISERROR(G256/I256),"",G256/I256)</f>
        <v>39.076780329389933</v>
      </c>
      <c r="K256" s="30">
        <f>SUM(K199:K255)</f>
        <v>613.50267938779564</v>
      </c>
      <c r="L256" s="98"/>
      <c r="M256" s="89">
        <f t="shared" ref="M256:V256" si="88">SUM(M199:M255)</f>
        <v>-41.352679387795646</v>
      </c>
      <c r="N256" s="30">
        <f t="shared" si="88"/>
        <v>0</v>
      </c>
      <c r="O256" s="91">
        <f t="shared" si="88"/>
        <v>0</v>
      </c>
      <c r="P256" s="91">
        <f t="shared" si="88"/>
        <v>0</v>
      </c>
      <c r="Q256" s="91">
        <f t="shared" si="88"/>
        <v>0</v>
      </c>
      <c r="R256" s="91">
        <f t="shared" si="88"/>
        <v>0</v>
      </c>
      <c r="S256" s="92">
        <f t="shared" si="88"/>
        <v>0</v>
      </c>
      <c r="T256" s="91">
        <f t="shared" si="88"/>
        <v>0</v>
      </c>
      <c r="U256" s="91">
        <f t="shared" si="88"/>
        <v>0</v>
      </c>
      <c r="V256" s="206">
        <f t="shared" si="88"/>
        <v>0</v>
      </c>
      <c r="W256" s="33">
        <f t="shared" ref="W256:W263" si="89">IF(ISERROR(V256/G256),"",V256/G256)</f>
        <v>0</v>
      </c>
      <c r="X256" s="92">
        <f>SUM(X199:X255)</f>
        <v>0</v>
      </c>
      <c r="Y256" s="92">
        <f>SUM(Y199:Y255)</f>
        <v>0</v>
      </c>
      <c r="Z256" s="92">
        <f>SUM(Z199:Z255)</f>
        <v>0</v>
      </c>
      <c r="AA256" s="92">
        <f>SUM(AA199:AA255)</f>
        <v>0</v>
      </c>
      <c r="AB256" s="75"/>
      <c r="AC256" s="70"/>
      <c r="AD256" s="346"/>
      <c r="AE256" s="74"/>
      <c r="AF256" s="74"/>
      <c r="AG256" s="74"/>
      <c r="AH256" s="7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299">
        <v>30400012</v>
      </c>
      <c r="B257" s="61" t="s">
        <v>87</v>
      </c>
      <c r="C257" s="16" t="s">
        <v>53</v>
      </c>
      <c r="D257" s="17">
        <v>5.03</v>
      </c>
      <c r="E257" s="17"/>
      <c r="F257" s="6"/>
      <c r="G257" s="93">
        <f>SUM('3:23'!G257)</f>
        <v>0</v>
      </c>
      <c r="H257" s="339">
        <f>D257*G257</f>
        <v>0</v>
      </c>
      <c r="I257" s="93">
        <f>SUM('3:23'!I257)</f>
        <v>0</v>
      </c>
      <c r="J257" s="31" t="str">
        <f t="array" ref="J257">IF(ISERROR(G257/I257),"",G257/I257)</f>
        <v/>
      </c>
      <c r="K257" s="35">
        <f t="array" ref="K257">IF(ISERROR(G257/L257),"",G257/L257)</f>
        <v>0</v>
      </c>
      <c r="L257" s="87">
        <v>8.8000000000000007</v>
      </c>
      <c r="M257" s="36">
        <f t="shared" ref="M257:M264" si="90">IF(ISERROR(I257-K257),"",I257-K257)</f>
        <v>0</v>
      </c>
      <c r="N257" s="31">
        <f t="shared" ref="N257:N264" si="91">SUM(O257:U257)</f>
        <v>0</v>
      </c>
      <c r="O257" s="93">
        <f>SUM('3:23'!O257)</f>
        <v>0</v>
      </c>
      <c r="P257" s="93">
        <f>SUM('3:23'!P257)</f>
        <v>0</v>
      </c>
      <c r="Q257" s="93">
        <f>SUM('3:23'!Q257)</f>
        <v>0</v>
      </c>
      <c r="R257" s="93">
        <f>SUM('3:23'!R257)</f>
        <v>0</v>
      </c>
      <c r="S257" s="93">
        <f>SUM('3:23'!S257)</f>
        <v>0</v>
      </c>
      <c r="T257" s="93">
        <f>SUM('3:23'!T257)</f>
        <v>0</v>
      </c>
      <c r="U257" s="93">
        <f>SUM('3:23'!U257)</f>
        <v>0</v>
      </c>
      <c r="V257" s="206">
        <f t="shared" ref="V257:V263" si="92">SUM(X257:AA257)</f>
        <v>0</v>
      </c>
      <c r="W257" s="33" t="str">
        <f t="shared" si="89"/>
        <v/>
      </c>
      <c r="X257" s="93">
        <f>SUM('3:23'!X257)</f>
        <v>0</v>
      </c>
      <c r="Y257" s="93">
        <f>SUM('3:23'!Y257)</f>
        <v>0</v>
      </c>
      <c r="Z257" s="93">
        <f>SUM('3:23'!Z257)</f>
        <v>0</v>
      </c>
      <c r="AA257" s="93">
        <f>SUM('3:23'!AA257)</f>
        <v>0</v>
      </c>
      <c r="AB257" s="73"/>
      <c r="AC257" s="54"/>
      <c r="AD257" s="346"/>
      <c r="AE257" s="54"/>
      <c r="AF257" s="54"/>
      <c r="AG257" s="54"/>
      <c r="AH257" s="5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99">
        <v>30400010</v>
      </c>
      <c r="B258" s="61" t="s">
        <v>87</v>
      </c>
      <c r="C258" s="16" t="s">
        <v>60</v>
      </c>
      <c r="D258" s="17">
        <v>5.03</v>
      </c>
      <c r="E258" s="17"/>
      <c r="F258" s="6"/>
      <c r="G258" s="93">
        <f>SUM('3:23'!G258)</f>
        <v>35</v>
      </c>
      <c r="H258" s="339">
        <f t="shared" ref="H258:H290" si="93">D258*G258</f>
        <v>176.05</v>
      </c>
      <c r="I258" s="93">
        <f>SUM('3:23'!I258)</f>
        <v>3</v>
      </c>
      <c r="J258" s="31">
        <f t="array" ref="J258">IF(ISERROR(G258/I258),"",G258/I258)</f>
        <v>11.666666666666666</v>
      </c>
      <c r="K258" s="35">
        <f t="array" ref="K258">IF(ISERROR(G258/L258),"",G258/L258)</f>
        <v>3.9772727272727271</v>
      </c>
      <c r="L258" s="87">
        <v>8.8000000000000007</v>
      </c>
      <c r="M258" s="36">
        <f t="shared" si="90"/>
        <v>-0.97727272727272707</v>
      </c>
      <c r="N258" s="31">
        <f t="shared" si="91"/>
        <v>0</v>
      </c>
      <c r="O258" s="93">
        <f>SUM('3:23'!O258)</f>
        <v>0</v>
      </c>
      <c r="P258" s="93">
        <f>SUM('3:23'!P258)</f>
        <v>0</v>
      </c>
      <c r="Q258" s="93">
        <f>SUM('3:23'!Q258)</f>
        <v>0</v>
      </c>
      <c r="R258" s="93">
        <f>SUM('3:23'!R258)</f>
        <v>0</v>
      </c>
      <c r="S258" s="93">
        <f>SUM('3:23'!S258)</f>
        <v>0</v>
      </c>
      <c r="T258" s="93">
        <f>SUM('3:23'!T258)</f>
        <v>0</v>
      </c>
      <c r="U258" s="93">
        <f>SUM('3:23'!U258)</f>
        <v>0</v>
      </c>
      <c r="V258" s="206">
        <f t="shared" si="92"/>
        <v>0</v>
      </c>
      <c r="W258" s="33">
        <f t="shared" si="89"/>
        <v>0</v>
      </c>
      <c r="X258" s="93">
        <f>SUM('3:23'!X258)</f>
        <v>0</v>
      </c>
      <c r="Y258" s="93">
        <f>SUM('3:23'!Y258)</f>
        <v>0</v>
      </c>
      <c r="Z258" s="93">
        <f>SUM('3:23'!Z258)</f>
        <v>0</v>
      </c>
      <c r="AA258" s="93">
        <f>SUM('3:23'!AA258)</f>
        <v>0</v>
      </c>
      <c r="AB258" s="73"/>
      <c r="AC258" s="54"/>
      <c r="AD258" s="346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99">
        <v>30400011</v>
      </c>
      <c r="B259" s="61" t="s">
        <v>87</v>
      </c>
      <c r="C259" s="16" t="s">
        <v>74</v>
      </c>
      <c r="D259" s="17">
        <v>5.03</v>
      </c>
      <c r="E259" s="17"/>
      <c r="F259" s="6"/>
      <c r="G259" s="93">
        <f>SUM('3:23'!G259)</f>
        <v>0</v>
      </c>
      <c r="H259" s="339">
        <f t="shared" si="93"/>
        <v>0</v>
      </c>
      <c r="I259" s="93">
        <f>SUM('3:23'!I259)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90"/>
        <v>0</v>
      </c>
      <c r="N259" s="31">
        <f t="shared" si="91"/>
        <v>0</v>
      </c>
      <c r="O259" s="93">
        <f>SUM('3:23'!O259)</f>
        <v>0</v>
      </c>
      <c r="P259" s="93">
        <f>SUM('3:23'!P259)</f>
        <v>0</v>
      </c>
      <c r="Q259" s="93">
        <f>SUM('3:23'!Q259)</f>
        <v>0</v>
      </c>
      <c r="R259" s="93">
        <f>SUM('3:23'!R259)</f>
        <v>0</v>
      </c>
      <c r="S259" s="93">
        <f>SUM('3:23'!S259)</f>
        <v>0</v>
      </c>
      <c r="T259" s="93">
        <f>SUM('3:23'!T259)</f>
        <v>0</v>
      </c>
      <c r="U259" s="93">
        <f>SUM('3:23'!U259)</f>
        <v>0</v>
      </c>
      <c r="V259" s="206">
        <f t="shared" si="92"/>
        <v>0</v>
      </c>
      <c r="W259" s="33" t="str">
        <f t="shared" si="89"/>
        <v/>
      </c>
      <c r="X259" s="93">
        <f>SUM('3:23'!X259)</f>
        <v>0</v>
      </c>
      <c r="Y259" s="93">
        <f>SUM('3:23'!Y259)</f>
        <v>0</v>
      </c>
      <c r="Z259" s="93">
        <f>SUM('3:23'!Z259)</f>
        <v>0</v>
      </c>
      <c r="AA259" s="93">
        <f>SUM('3:23'!AA259)</f>
        <v>0</v>
      </c>
      <c r="AB259" s="73"/>
      <c r="AC259" s="54"/>
      <c r="AD259" s="346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99">
        <v>30400014</v>
      </c>
      <c r="B260" s="215" t="s">
        <v>513</v>
      </c>
      <c r="C260" s="16" t="s">
        <v>53</v>
      </c>
      <c r="D260" s="17">
        <v>5.03</v>
      </c>
      <c r="E260" s="17"/>
      <c r="F260" s="6"/>
      <c r="G260" s="93">
        <f>SUM('3:23'!G260)</f>
        <v>360</v>
      </c>
      <c r="H260" s="339">
        <f t="shared" si="93"/>
        <v>1810.8000000000002</v>
      </c>
      <c r="I260" s="93">
        <f>SUM('3:23'!I260)</f>
        <v>100.5</v>
      </c>
      <c r="J260" s="31">
        <f t="array" ref="J260">IF(ISERROR(G260/I260),"",G260/I260)</f>
        <v>3.5820895522388061</v>
      </c>
      <c r="K260" s="35">
        <f t="array" ref="K260">IF(ISERROR(G260/L260),"",G260/L260)</f>
        <v>38.709677419354833</v>
      </c>
      <c r="L260" s="87">
        <v>9.3000000000000007</v>
      </c>
      <c r="M260" s="36">
        <f t="shared" si="90"/>
        <v>61.790322580645167</v>
      </c>
      <c r="N260" s="31">
        <f t="shared" si="91"/>
        <v>0</v>
      </c>
      <c r="O260" s="93">
        <f>SUM('3:23'!O260)</f>
        <v>0</v>
      </c>
      <c r="P260" s="93">
        <f>SUM('3:23'!P260)</f>
        <v>0</v>
      </c>
      <c r="Q260" s="93">
        <f>SUM('3:23'!Q260)</f>
        <v>0</v>
      </c>
      <c r="R260" s="93">
        <f>SUM('3:23'!R260)</f>
        <v>0</v>
      </c>
      <c r="S260" s="93">
        <f>SUM('3:23'!S260)</f>
        <v>0</v>
      </c>
      <c r="T260" s="93">
        <f>SUM('3:23'!T260)</f>
        <v>0</v>
      </c>
      <c r="U260" s="93">
        <f>SUM('3:23'!U260)</f>
        <v>0</v>
      </c>
      <c r="V260" s="206">
        <f t="shared" si="92"/>
        <v>0</v>
      </c>
      <c r="W260" s="33">
        <f t="shared" si="89"/>
        <v>0</v>
      </c>
      <c r="X260" s="93">
        <f>SUM('3:23'!X260)</f>
        <v>0</v>
      </c>
      <c r="Y260" s="93">
        <f>SUM('3:23'!Y260)</f>
        <v>0</v>
      </c>
      <c r="Z260" s="93">
        <f>SUM('3:23'!Z260)</f>
        <v>0</v>
      </c>
      <c r="AA260" s="93">
        <f>SUM('3:23'!AA260)</f>
        <v>0</v>
      </c>
      <c r="AB260" s="73"/>
      <c r="AC260" s="54"/>
      <c r="AD260" s="346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99">
        <v>30400013</v>
      </c>
      <c r="B261" s="215" t="s">
        <v>473</v>
      </c>
      <c r="C261" s="16" t="s">
        <v>72</v>
      </c>
      <c r="D261" s="17">
        <v>5.03</v>
      </c>
      <c r="E261" s="17"/>
      <c r="F261" s="6"/>
      <c r="G261" s="93">
        <f>SUM('3:23'!G261)</f>
        <v>321</v>
      </c>
      <c r="H261" s="339">
        <f t="shared" si="93"/>
        <v>1614.63</v>
      </c>
      <c r="I261" s="93">
        <f>SUM('3:23'!I261)</f>
        <v>49</v>
      </c>
      <c r="J261" s="31">
        <f t="array" ref="J261">IF(ISERROR(G261/I261),"",G261/I261)</f>
        <v>6.5510204081632653</v>
      </c>
      <c r="K261" s="35">
        <f t="array" ref="K261">IF(ISERROR(G261/L261),"",G261/L261)</f>
        <v>34.516129032258064</v>
      </c>
      <c r="L261" s="87">
        <v>9.3000000000000007</v>
      </c>
      <c r="M261" s="36">
        <f t="shared" si="90"/>
        <v>14.483870967741936</v>
      </c>
      <c r="N261" s="31">
        <f t="shared" si="91"/>
        <v>0</v>
      </c>
      <c r="O261" s="93">
        <f>SUM('3:23'!O261)</f>
        <v>0</v>
      </c>
      <c r="P261" s="93">
        <f>SUM('3:23'!P261)</f>
        <v>0</v>
      </c>
      <c r="Q261" s="93">
        <f>SUM('3:23'!Q261)</f>
        <v>0</v>
      </c>
      <c r="R261" s="93">
        <f>SUM('3:23'!R261)</f>
        <v>0</v>
      </c>
      <c r="S261" s="93">
        <f>SUM('3:23'!S261)</f>
        <v>0</v>
      </c>
      <c r="T261" s="93">
        <f>SUM('3:23'!T261)</f>
        <v>0</v>
      </c>
      <c r="U261" s="93">
        <f>SUM('3:23'!U261)</f>
        <v>0</v>
      </c>
      <c r="V261" s="206">
        <f t="shared" si="92"/>
        <v>0</v>
      </c>
      <c r="W261" s="33">
        <f t="shared" si="89"/>
        <v>0</v>
      </c>
      <c r="X261" s="93">
        <f>SUM('3:23'!X261)</f>
        <v>0</v>
      </c>
      <c r="Y261" s="93">
        <f>SUM('3:23'!Y261)</f>
        <v>0</v>
      </c>
      <c r="Z261" s="93">
        <f>SUM('3:23'!Z261)</f>
        <v>0</v>
      </c>
      <c r="AA261" s="93">
        <f>SUM('3:23'!AA261)</f>
        <v>0</v>
      </c>
      <c r="AB261" s="73"/>
      <c r="AC261" s="54"/>
      <c r="AD261" s="346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99">
        <v>30400016</v>
      </c>
      <c r="B262" s="215" t="s">
        <v>513</v>
      </c>
      <c r="C262" s="16" t="s">
        <v>60</v>
      </c>
      <c r="D262" s="17">
        <v>5.03</v>
      </c>
      <c r="E262" s="17"/>
      <c r="F262" s="6"/>
      <c r="G262" s="93">
        <f>SUM('3:23'!G262)</f>
        <v>360</v>
      </c>
      <c r="H262" s="339">
        <f t="shared" si="93"/>
        <v>1810.8000000000002</v>
      </c>
      <c r="I262" s="93">
        <f>SUM('3:23'!I262)</f>
        <v>64</v>
      </c>
      <c r="J262" s="31">
        <f t="array" ref="J262">IF(ISERROR(G262/I262),"",G262/I262)</f>
        <v>5.625</v>
      </c>
      <c r="K262" s="35">
        <f t="array" ref="K262">IF(ISERROR(G262/L262),"",G262/L262)</f>
        <v>38.709677419354833</v>
      </c>
      <c r="L262" s="87">
        <v>9.3000000000000007</v>
      </c>
      <c r="M262" s="36">
        <f t="shared" si="90"/>
        <v>25.290322580645167</v>
      </c>
      <c r="N262" s="31">
        <f t="shared" si="91"/>
        <v>0</v>
      </c>
      <c r="O262" s="93">
        <f>SUM('3:23'!O262)</f>
        <v>0</v>
      </c>
      <c r="P262" s="93">
        <f>SUM('3:23'!P262)</f>
        <v>0</v>
      </c>
      <c r="Q262" s="93">
        <f>SUM('3:23'!Q262)</f>
        <v>0</v>
      </c>
      <c r="R262" s="93">
        <f>SUM('3:23'!R262)</f>
        <v>0</v>
      </c>
      <c r="S262" s="93">
        <f>SUM('3:23'!S262)</f>
        <v>0</v>
      </c>
      <c r="T262" s="93">
        <f>SUM('3:23'!T262)</f>
        <v>0</v>
      </c>
      <c r="U262" s="93">
        <f>SUM('3:23'!U262)</f>
        <v>0</v>
      </c>
      <c r="V262" s="206">
        <f t="shared" si="92"/>
        <v>0</v>
      </c>
      <c r="W262" s="33">
        <f t="shared" si="89"/>
        <v>0</v>
      </c>
      <c r="X262" s="93">
        <f>SUM('3:23'!X262)</f>
        <v>0</v>
      </c>
      <c r="Y262" s="93">
        <f>SUM('3:23'!Y262)</f>
        <v>0</v>
      </c>
      <c r="Z262" s="93">
        <f>SUM('3:23'!Z262)</f>
        <v>0</v>
      </c>
      <c r="AA262" s="93">
        <f>SUM('3:23'!AA262)</f>
        <v>0</v>
      </c>
      <c r="AB262" s="73"/>
      <c r="AC262" s="54"/>
      <c r="AD262" s="346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99">
        <v>30400017</v>
      </c>
      <c r="B263" s="215" t="s">
        <v>513</v>
      </c>
      <c r="C263" s="16" t="s">
        <v>66</v>
      </c>
      <c r="D263" s="17">
        <v>5.03</v>
      </c>
      <c r="E263" s="17"/>
      <c r="F263" s="6"/>
      <c r="G263" s="93">
        <f>SUM('3:23'!G263)</f>
        <v>592</v>
      </c>
      <c r="H263" s="339">
        <f t="shared" si="93"/>
        <v>2977.76</v>
      </c>
      <c r="I263" s="93">
        <f>SUM('3:23'!I263)</f>
        <v>103.5</v>
      </c>
      <c r="J263" s="31">
        <f t="array" ref="J263">IF(ISERROR(G263/I263),"",G263/I263)</f>
        <v>5.7198067632850238</v>
      </c>
      <c r="K263" s="35">
        <f t="array" ref="K263">IF(ISERROR(G263/L263),"",G263/L263)</f>
        <v>63.655913978494617</v>
      </c>
      <c r="L263" s="87">
        <v>9.3000000000000007</v>
      </c>
      <c r="M263" s="36">
        <f t="shared" si="90"/>
        <v>39.844086021505383</v>
      </c>
      <c r="N263" s="31">
        <f t="shared" si="91"/>
        <v>0</v>
      </c>
      <c r="O263" s="93">
        <f>SUM('3:23'!O263)</f>
        <v>0</v>
      </c>
      <c r="P263" s="93">
        <f>SUM('3:23'!P263)</f>
        <v>0</v>
      </c>
      <c r="Q263" s="93">
        <f>SUM('3:23'!Q263)</f>
        <v>0</v>
      </c>
      <c r="R263" s="93">
        <f>SUM('3:23'!R263)</f>
        <v>0</v>
      </c>
      <c r="S263" s="93">
        <f>SUM('3:23'!S263)</f>
        <v>0</v>
      </c>
      <c r="T263" s="93">
        <f>SUM('3:23'!T263)</f>
        <v>0</v>
      </c>
      <c r="U263" s="93">
        <f>SUM('3:23'!U263)</f>
        <v>0</v>
      </c>
      <c r="V263" s="206">
        <f t="shared" si="92"/>
        <v>0</v>
      </c>
      <c r="W263" s="33">
        <f t="shared" si="89"/>
        <v>0</v>
      </c>
      <c r="X263" s="93">
        <f>SUM('3:23'!X263)</f>
        <v>0</v>
      </c>
      <c r="Y263" s="93">
        <f>SUM('3:23'!Y263)</f>
        <v>0</v>
      </c>
      <c r="Z263" s="93">
        <f>SUM('3:23'!Z263)</f>
        <v>0</v>
      </c>
      <c r="AA263" s="93">
        <f>SUM('3:23'!AA263)</f>
        <v>0</v>
      </c>
      <c r="AB263" s="73"/>
      <c r="AC263" s="54"/>
      <c r="AD263" s="346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99">
        <v>30400015</v>
      </c>
      <c r="B264" s="65" t="s">
        <v>512</v>
      </c>
      <c r="C264" s="16" t="s">
        <v>177</v>
      </c>
      <c r="D264" s="17">
        <v>5.03</v>
      </c>
      <c r="E264" s="17"/>
      <c r="F264" s="6"/>
      <c r="G264" s="93">
        <f>SUM('3:23'!G264)</f>
        <v>257</v>
      </c>
      <c r="H264" s="339">
        <f t="shared" si="93"/>
        <v>1292.71</v>
      </c>
      <c r="I264" s="93">
        <f>SUM('3:23'!I264)</f>
        <v>59</v>
      </c>
      <c r="J264" s="31"/>
      <c r="K264" s="35">
        <f t="array" ref="K264">IF(ISERROR(G264/L264),"",G264/L264)</f>
        <v>27.634408602150536</v>
      </c>
      <c r="L264" s="87">
        <v>9.3000000000000007</v>
      </c>
      <c r="M264" s="36">
        <f t="shared" si="90"/>
        <v>31.365591397849464</v>
      </c>
      <c r="N264" s="31">
        <f t="shared" si="91"/>
        <v>0</v>
      </c>
      <c r="O264" s="93">
        <f>SUM('3:23'!O264)</f>
        <v>0</v>
      </c>
      <c r="P264" s="93">
        <f>SUM('3:23'!P264)</f>
        <v>0</v>
      </c>
      <c r="Q264" s="93">
        <f>SUM('3:23'!Q264)</f>
        <v>0</v>
      </c>
      <c r="R264" s="93">
        <f>SUM('3:23'!R264)</f>
        <v>0</v>
      </c>
      <c r="S264" s="93">
        <f>SUM('3:23'!S264)</f>
        <v>0</v>
      </c>
      <c r="T264" s="93">
        <f>SUM('3:23'!T264)</f>
        <v>0</v>
      </c>
      <c r="U264" s="93">
        <f>SUM('3:23'!U264)</f>
        <v>0</v>
      </c>
      <c r="V264" s="207"/>
      <c r="W264" s="33"/>
      <c r="X264" s="93">
        <f>SUM('3:23'!X264)</f>
        <v>0</v>
      </c>
      <c r="Y264" s="93">
        <f>SUM('3:23'!Y264)</f>
        <v>0</v>
      </c>
      <c r="Z264" s="93">
        <f>SUM('3:23'!Z264)</f>
        <v>0</v>
      </c>
      <c r="AA264" s="93">
        <f>SUM('3:23'!AA264)</f>
        <v>0</v>
      </c>
      <c r="AD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</row>
    <row r="265" spans="1:53">
      <c r="A265" s="304">
        <v>30600004</v>
      </c>
      <c r="B265" s="65" t="s">
        <v>162</v>
      </c>
      <c r="C265" s="16" t="s">
        <v>53</v>
      </c>
      <c r="D265" s="17">
        <v>5.03</v>
      </c>
      <c r="E265" s="17"/>
      <c r="F265" s="6"/>
      <c r="G265" s="93">
        <f>SUM('3:23'!G265)</f>
        <v>0</v>
      </c>
      <c r="H265" s="339">
        <f t="shared" si="93"/>
        <v>0</v>
      </c>
      <c r="I265" s="93">
        <f>SUM('3:23'!I265)</f>
        <v>0</v>
      </c>
      <c r="J265" s="31" t="str">
        <f t="array" ref="J265">IF(ISERROR(G265/I265),"",G265/I265)</f>
        <v/>
      </c>
      <c r="K265" s="35">
        <f t="array" ref="K265">IF(ISERROR(G265/L265),"",G265/L265)</f>
        <v>0</v>
      </c>
      <c r="L265" s="87">
        <v>8</v>
      </c>
      <c r="M265" s="36">
        <f>IF(ISERROR(I265-K265),"",I265-K265)</f>
        <v>0</v>
      </c>
      <c r="N265" s="31">
        <f>SUM(O265:U265)</f>
        <v>0</v>
      </c>
      <c r="O265" s="93">
        <f>SUM('3:23'!O265)</f>
        <v>0</v>
      </c>
      <c r="P265" s="93">
        <f>SUM('3:23'!P265)</f>
        <v>0</v>
      </c>
      <c r="Q265" s="93">
        <f>SUM('3:23'!Q265)</f>
        <v>0</v>
      </c>
      <c r="R265" s="93">
        <f>SUM('3:23'!R265)</f>
        <v>0</v>
      </c>
      <c r="S265" s="93">
        <f>SUM('3:23'!S265)</f>
        <v>0</v>
      </c>
      <c r="T265" s="93">
        <f>SUM('3:23'!T265)</f>
        <v>0</v>
      </c>
      <c r="U265" s="93">
        <f>SUM('3:23'!U265)</f>
        <v>0</v>
      </c>
      <c r="V265" s="207">
        <f>SUM(X265:AA265)</f>
        <v>0</v>
      </c>
      <c r="W265" s="33" t="str">
        <f>IF(ISERROR(V265/G265),"",V265/G265)</f>
        <v/>
      </c>
      <c r="X265" s="93">
        <f>SUM('3:23'!X265)</f>
        <v>0</v>
      </c>
      <c r="Y265" s="93">
        <f>SUM('3:23'!Y265)</f>
        <v>0</v>
      </c>
      <c r="Z265" s="93">
        <f>SUM('3:23'!Z265)</f>
        <v>0</v>
      </c>
      <c r="AA265" s="93">
        <f>SUM('3:23'!AA265)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304">
        <v>30600001</v>
      </c>
      <c r="B266" s="65" t="s">
        <v>162</v>
      </c>
      <c r="C266" s="16" t="s">
        <v>55</v>
      </c>
      <c r="D266" s="17">
        <v>5.03</v>
      </c>
      <c r="E266" s="17"/>
      <c r="F266" s="6"/>
      <c r="G266" s="93">
        <f>SUM('3:23'!G266)</f>
        <v>0</v>
      </c>
      <c r="H266" s="339">
        <f t="shared" si="93"/>
        <v>0</v>
      </c>
      <c r="I266" s="93">
        <f>SUM('3:23'!I266)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SUM('3:23'!O266)</f>
        <v>0</v>
      </c>
      <c r="P266" s="93">
        <f>SUM('3:23'!P266)</f>
        <v>0</v>
      </c>
      <c r="Q266" s="93">
        <f>SUM('3:23'!Q266)</f>
        <v>0</v>
      </c>
      <c r="R266" s="93">
        <f>SUM('3:23'!R266)</f>
        <v>0</v>
      </c>
      <c r="S266" s="93">
        <f>SUM('3:23'!S266)</f>
        <v>0</v>
      </c>
      <c r="T266" s="93">
        <f>SUM('3:23'!T266)</f>
        <v>0</v>
      </c>
      <c r="U266" s="93">
        <f>SUM('3:23'!U266)</f>
        <v>0</v>
      </c>
      <c r="V266" s="207">
        <f>SUM(X266:AA266)</f>
        <v>0</v>
      </c>
      <c r="W266" s="33" t="str">
        <f>IF(ISERROR(V266/G266),"",V266/G266)</f>
        <v/>
      </c>
      <c r="X266" s="93">
        <f>SUM('3:23'!X266)</f>
        <v>0</v>
      </c>
      <c r="Y266" s="93">
        <f>SUM('3:23'!Y266)</f>
        <v>0</v>
      </c>
      <c r="Z266" s="93">
        <f>SUM('3:23'!Z266)</f>
        <v>0</v>
      </c>
      <c r="AA266" s="93">
        <f>SUM('3:23'!AA266)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304">
        <v>30600002</v>
      </c>
      <c r="B267" s="65" t="s">
        <v>162</v>
      </c>
      <c r="C267" s="16" t="s">
        <v>60</v>
      </c>
      <c r="D267" s="17">
        <v>5.03</v>
      </c>
      <c r="E267" s="17"/>
      <c r="F267" s="6"/>
      <c r="G267" s="93">
        <f>SUM('3:23'!G267)</f>
        <v>0</v>
      </c>
      <c r="H267" s="339">
        <f t="shared" si="93"/>
        <v>0</v>
      </c>
      <c r="I267" s="93">
        <f>SUM('3:23'!I267)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SUM('3:23'!O267)</f>
        <v>0</v>
      </c>
      <c r="P267" s="93">
        <f>SUM('3:23'!P267)</f>
        <v>0</v>
      </c>
      <c r="Q267" s="93">
        <f>SUM('3:23'!Q267)</f>
        <v>0</v>
      </c>
      <c r="R267" s="93">
        <f>SUM('3:23'!R267)</f>
        <v>0</v>
      </c>
      <c r="S267" s="93">
        <f>SUM('3:23'!S267)</f>
        <v>0</v>
      </c>
      <c r="T267" s="93">
        <f>SUM('3:23'!T267)</f>
        <v>0</v>
      </c>
      <c r="U267" s="93">
        <f>SUM('3:23'!U267)</f>
        <v>0</v>
      </c>
      <c r="V267" s="207">
        <f>SUM(X267:AA267)</f>
        <v>0</v>
      </c>
      <c r="W267" s="33" t="str">
        <f>IF(ISERROR(V267/G267),"",V267/G267)</f>
        <v/>
      </c>
      <c r="X267" s="93">
        <f>SUM('3:23'!X267)</f>
        <v>0</v>
      </c>
      <c r="Y267" s="93">
        <f>SUM('3:23'!Y267)</f>
        <v>0</v>
      </c>
      <c r="Z267" s="93">
        <f>SUM('3:23'!Z267)</f>
        <v>0</v>
      </c>
      <c r="AA267" s="93">
        <f>SUM('3:23'!AA267)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304">
        <v>30600003</v>
      </c>
      <c r="B268" s="65" t="s">
        <v>162</v>
      </c>
      <c r="C268" s="195" t="s">
        <v>89</v>
      </c>
      <c r="D268" s="17">
        <v>5.03</v>
      </c>
      <c r="E268" s="17"/>
      <c r="F268" s="6"/>
      <c r="G268" s="93">
        <f>SUM('3:23'!G268)</f>
        <v>0</v>
      </c>
      <c r="H268" s="339">
        <f t="shared" si="93"/>
        <v>0</v>
      </c>
      <c r="I268" s="93">
        <f>SUM('3:23'!I268)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SUM('3:23'!O268)</f>
        <v>0</v>
      </c>
      <c r="P268" s="93">
        <f>SUM('3:23'!P268)</f>
        <v>0</v>
      </c>
      <c r="Q268" s="93">
        <f>SUM('3:23'!Q268)</f>
        <v>0</v>
      </c>
      <c r="R268" s="93">
        <f>SUM('3:23'!R268)</f>
        <v>0</v>
      </c>
      <c r="S268" s="93">
        <f>SUM('3:23'!S268)</f>
        <v>0</v>
      </c>
      <c r="T268" s="93">
        <f>SUM('3:23'!T268)</f>
        <v>0</v>
      </c>
      <c r="U268" s="93">
        <f>SUM('3:23'!U268)</f>
        <v>0</v>
      </c>
      <c r="V268" s="207">
        <f>SUM(X268:AA268)</f>
        <v>0</v>
      </c>
      <c r="W268" s="33" t="str">
        <f>IF(ISERROR(V268/G268),"",V268/G268)</f>
        <v/>
      </c>
      <c r="X268" s="93">
        <f>SUM('3:23'!X268)</f>
        <v>0</v>
      </c>
      <c r="Y268" s="93">
        <f>SUM('3:23'!Y268)</f>
        <v>0</v>
      </c>
      <c r="Z268" s="93">
        <f>SUM('3:23'!Z268)</f>
        <v>0</v>
      </c>
      <c r="AA268" s="93">
        <f>SUM('3:23'!AA268)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304">
        <v>30400030</v>
      </c>
      <c r="B269" s="65" t="s">
        <v>88</v>
      </c>
      <c r="C269" s="16" t="s">
        <v>53</v>
      </c>
      <c r="D269" s="17">
        <v>5.03</v>
      </c>
      <c r="E269" s="17"/>
      <c r="F269" s="6"/>
      <c r="G269" s="93">
        <f>SUM('3:23'!G269)</f>
        <v>0</v>
      </c>
      <c r="H269" s="339">
        <f t="shared" si="93"/>
        <v>0</v>
      </c>
      <c r="I269" s="93">
        <f>SUM('3:23'!I269)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10</v>
      </c>
      <c r="M269" s="36">
        <f t="shared" ref="M269:M284" si="94">IF(ISERROR(I269-K269),"",I269-K269)</f>
        <v>0</v>
      </c>
      <c r="N269" s="31">
        <f t="shared" ref="N269:N284" si="95">SUM(O269:U269)</f>
        <v>0</v>
      </c>
      <c r="O269" s="93">
        <f>SUM('3:23'!O269)</f>
        <v>0</v>
      </c>
      <c r="P269" s="93">
        <f>SUM('3:23'!P269)</f>
        <v>0</v>
      </c>
      <c r="Q269" s="93">
        <f>SUM('3:23'!Q269)</f>
        <v>0</v>
      </c>
      <c r="R269" s="93">
        <f>SUM('3:23'!R269)</f>
        <v>0</v>
      </c>
      <c r="S269" s="93">
        <f>SUM('3:23'!S269)</f>
        <v>0</v>
      </c>
      <c r="T269" s="93">
        <f>SUM('3:23'!T269)</f>
        <v>0</v>
      </c>
      <c r="U269" s="93">
        <f>SUM('3:23'!U269)</f>
        <v>0</v>
      </c>
      <c r="V269" s="206">
        <f t="shared" ref="V269:V276" si="96">SUM(X269:AA269)</f>
        <v>0</v>
      </c>
      <c r="W269" s="33" t="str">
        <f t="shared" ref="W269:W276" si="97">IF(ISERROR(V269/G269),"",V269/G269)</f>
        <v/>
      </c>
      <c r="X269" s="93">
        <f>SUM('3:23'!X269)</f>
        <v>0</v>
      </c>
      <c r="Y269" s="93">
        <f>SUM('3:23'!Y269)</f>
        <v>0</v>
      </c>
      <c r="Z269" s="93">
        <f>SUM('3:23'!Z269)</f>
        <v>0</v>
      </c>
      <c r="AA269" s="93">
        <f>SUM('3:23'!AA269)</f>
        <v>0</v>
      </c>
      <c r="AB269" s="73"/>
      <c r="AC269" s="54"/>
      <c r="AD269" s="346"/>
      <c r="AE269" s="54"/>
      <c r="AF269" s="54"/>
      <c r="AG269" s="54"/>
      <c r="AH269" s="54"/>
      <c r="AI269" s="57"/>
      <c r="AJ269" s="57"/>
      <c r="AK269" s="57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</row>
    <row r="270" spans="1:53">
      <c r="A270" s="304"/>
      <c r="B270" s="65" t="s">
        <v>88</v>
      </c>
      <c r="C270" s="16" t="s">
        <v>72</v>
      </c>
      <c r="D270" s="17">
        <v>5.03</v>
      </c>
      <c r="E270" s="17"/>
      <c r="F270" s="6"/>
      <c r="G270" s="93">
        <f>SUM('3:23'!G270)</f>
        <v>0</v>
      </c>
      <c r="H270" s="339">
        <f t="shared" si="93"/>
        <v>0</v>
      </c>
      <c r="I270" s="93">
        <f>SUM('3:23'!I270)</f>
        <v>0</v>
      </c>
      <c r="J270" s="31" t="str">
        <f t="array" ref="J270">IF(ISERROR(G270/I270),"",G270/I270)</f>
        <v/>
      </c>
      <c r="K270" s="35" t="str">
        <f t="array" ref="K270">IF(ISERROR(G270/L270),"",G270/L270)</f>
        <v/>
      </c>
      <c r="L270" s="87"/>
      <c r="M270" s="36" t="str">
        <f t="shared" si="94"/>
        <v/>
      </c>
      <c r="N270" s="31">
        <f t="shared" si="95"/>
        <v>0</v>
      </c>
      <c r="O270" s="93">
        <f>SUM('3:23'!O270)</f>
        <v>0</v>
      </c>
      <c r="P270" s="93">
        <f>SUM('3:23'!P270)</f>
        <v>0</v>
      </c>
      <c r="Q270" s="93">
        <f>SUM('3:23'!Q270)</f>
        <v>0</v>
      </c>
      <c r="R270" s="93">
        <f>SUM('3:23'!R270)</f>
        <v>0</v>
      </c>
      <c r="S270" s="93">
        <f>SUM('3:23'!S270)</f>
        <v>0</v>
      </c>
      <c r="T270" s="93">
        <f>SUM('3:23'!T270)</f>
        <v>0</v>
      </c>
      <c r="U270" s="93">
        <f>SUM('3:23'!U270)</f>
        <v>0</v>
      </c>
      <c r="V270" s="206">
        <f t="shared" si="96"/>
        <v>0</v>
      </c>
      <c r="W270" s="33" t="str">
        <f t="shared" si="97"/>
        <v/>
      </c>
      <c r="X270" s="93">
        <f>SUM('3:23'!X270)</f>
        <v>0</v>
      </c>
      <c r="Y270" s="93">
        <f>SUM('3:23'!Y270)</f>
        <v>0</v>
      </c>
      <c r="Z270" s="93">
        <f>SUM('3:23'!Z270)</f>
        <v>0</v>
      </c>
      <c r="AA270" s="93">
        <f>SUM('3:23'!AA270)</f>
        <v>0</v>
      </c>
      <c r="AB270" s="73"/>
      <c r="AC270" s="54"/>
      <c r="AD270" s="346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304"/>
      <c r="B271" s="65" t="s">
        <v>88</v>
      </c>
      <c r="C271" s="16" t="s">
        <v>60</v>
      </c>
      <c r="D271" s="17">
        <v>5.03</v>
      </c>
      <c r="E271" s="17"/>
      <c r="F271" s="6"/>
      <c r="G271" s="93">
        <f>SUM('3:23'!G271)</f>
        <v>0</v>
      </c>
      <c r="H271" s="339">
        <f t="shared" si="93"/>
        <v>0</v>
      </c>
      <c r="I271" s="93">
        <f>SUM('3:23'!I271)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94"/>
        <v/>
      </c>
      <c r="N271" s="31">
        <f t="shared" si="95"/>
        <v>0</v>
      </c>
      <c r="O271" s="93">
        <f>SUM('3:23'!O271)</f>
        <v>0</v>
      </c>
      <c r="P271" s="93">
        <f>SUM('3:23'!P271)</f>
        <v>0</v>
      </c>
      <c r="Q271" s="93">
        <f>SUM('3:23'!Q271)</f>
        <v>0</v>
      </c>
      <c r="R271" s="93">
        <f>SUM('3:23'!R271)</f>
        <v>0</v>
      </c>
      <c r="S271" s="93">
        <f>SUM('3:23'!S271)</f>
        <v>0</v>
      </c>
      <c r="T271" s="93">
        <f>SUM('3:23'!T271)</f>
        <v>0</v>
      </c>
      <c r="U271" s="93">
        <f>SUM('3:23'!U271)</f>
        <v>0</v>
      </c>
      <c r="V271" s="206">
        <f t="shared" si="96"/>
        <v>0</v>
      </c>
      <c r="W271" s="33" t="str">
        <f t="shared" si="97"/>
        <v/>
      </c>
      <c r="X271" s="93">
        <f>SUM('3:23'!X271)</f>
        <v>0</v>
      </c>
      <c r="Y271" s="93">
        <f>SUM('3:23'!Y271)</f>
        <v>0</v>
      </c>
      <c r="Z271" s="93">
        <f>SUM('3:23'!Z271)</f>
        <v>0</v>
      </c>
      <c r="AA271" s="93">
        <f>SUM('3:23'!AA271)</f>
        <v>0</v>
      </c>
      <c r="AB271" s="73"/>
      <c r="AC271" s="54"/>
      <c r="AD271" s="346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304">
        <v>30401031</v>
      </c>
      <c r="B272" s="65" t="s">
        <v>88</v>
      </c>
      <c r="C272" s="16" t="s">
        <v>66</v>
      </c>
      <c r="D272" s="17">
        <v>5.03</v>
      </c>
      <c r="E272" s="17"/>
      <c r="F272" s="6"/>
      <c r="G272" s="93">
        <f>SUM('3:23'!G272)</f>
        <v>0</v>
      </c>
      <c r="H272" s="339">
        <f t="shared" si="93"/>
        <v>0</v>
      </c>
      <c r="I272" s="93">
        <f>SUM('3:23'!I272)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94"/>
        <v/>
      </c>
      <c r="N272" s="31">
        <f t="shared" si="95"/>
        <v>0</v>
      </c>
      <c r="O272" s="93">
        <f>SUM('3:23'!O272)</f>
        <v>0</v>
      </c>
      <c r="P272" s="93">
        <f>SUM('3:23'!P272)</f>
        <v>0</v>
      </c>
      <c r="Q272" s="93">
        <f>SUM('3:23'!Q272)</f>
        <v>0</v>
      </c>
      <c r="R272" s="93">
        <f>SUM('3:23'!R272)</f>
        <v>0</v>
      </c>
      <c r="S272" s="93">
        <f>SUM('3:23'!S272)</f>
        <v>0</v>
      </c>
      <c r="T272" s="93">
        <f>SUM('3:23'!T272)</f>
        <v>0</v>
      </c>
      <c r="U272" s="93">
        <f>SUM('3:23'!U272)</f>
        <v>0</v>
      </c>
      <c r="V272" s="206">
        <f t="shared" si="96"/>
        <v>0</v>
      </c>
      <c r="W272" s="33" t="str">
        <f t="shared" si="97"/>
        <v/>
      </c>
      <c r="X272" s="93">
        <f>SUM('3:23'!X272)</f>
        <v>0</v>
      </c>
      <c r="Y272" s="93">
        <f>SUM('3:23'!Y272)</f>
        <v>0</v>
      </c>
      <c r="Z272" s="93">
        <f>SUM('3:23'!Z272)</f>
        <v>0</v>
      </c>
      <c r="AA272" s="93">
        <f>SUM('3:23'!AA272)</f>
        <v>0</v>
      </c>
      <c r="AB272" s="73"/>
      <c r="AC272" s="54"/>
      <c r="AD272" s="346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304">
        <v>30600005</v>
      </c>
      <c r="B273" s="61" t="s">
        <v>90</v>
      </c>
      <c r="C273" s="16" t="s">
        <v>55</v>
      </c>
      <c r="D273" s="17">
        <v>9.36</v>
      </c>
      <c r="E273" s="17"/>
      <c r="F273" s="6"/>
      <c r="G273" s="93">
        <f>SUM('3:23'!G273)</f>
        <v>0</v>
      </c>
      <c r="H273" s="339">
        <f t="shared" si="93"/>
        <v>0</v>
      </c>
      <c r="I273" s="93">
        <f>SUM('3:23'!I273)</f>
        <v>0</v>
      </c>
      <c r="J273" s="31" t="str">
        <f t="array" ref="J273">IF(ISERROR(G273/I273),"",G273/I273)</f>
        <v/>
      </c>
      <c r="K273" s="35">
        <f t="array" ref="K273">IF(ISERROR(G273/L273),"",G273/L273)</f>
        <v>0</v>
      </c>
      <c r="L273" s="87">
        <v>6</v>
      </c>
      <c r="M273" s="36">
        <f t="shared" si="94"/>
        <v>0</v>
      </c>
      <c r="N273" s="31">
        <f t="shared" si="95"/>
        <v>0</v>
      </c>
      <c r="O273" s="93">
        <f>SUM('3:23'!O273)</f>
        <v>0</v>
      </c>
      <c r="P273" s="93">
        <f>SUM('3:23'!P273)</f>
        <v>0</v>
      </c>
      <c r="Q273" s="93">
        <f>SUM('3:23'!Q273)</f>
        <v>0</v>
      </c>
      <c r="R273" s="93">
        <f>SUM('3:23'!R273)</f>
        <v>0</v>
      </c>
      <c r="S273" s="93">
        <f>SUM('3:23'!S273)</f>
        <v>0</v>
      </c>
      <c r="T273" s="93">
        <f>SUM('3:23'!T273)</f>
        <v>0</v>
      </c>
      <c r="U273" s="93">
        <f>SUM('3:23'!U273)</f>
        <v>0</v>
      </c>
      <c r="V273" s="206">
        <f t="shared" si="96"/>
        <v>0</v>
      </c>
      <c r="W273" s="33" t="str">
        <f t="shared" si="97"/>
        <v/>
      </c>
      <c r="X273" s="93">
        <f>SUM('3:23'!X273)</f>
        <v>0</v>
      </c>
      <c r="Y273" s="93">
        <f>SUM('3:23'!Y273)</f>
        <v>0</v>
      </c>
      <c r="Z273" s="93">
        <f>SUM('3:23'!Z273)</f>
        <v>0</v>
      </c>
      <c r="AA273" s="93">
        <f>SUM('3:23'!AA273)</f>
        <v>0</v>
      </c>
      <c r="AB273" s="73"/>
      <c r="AC273" s="54"/>
      <c r="AD273" s="346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304">
        <v>30600008</v>
      </c>
      <c r="B274" s="61" t="s">
        <v>90</v>
      </c>
      <c r="C274" s="16" t="s">
        <v>53</v>
      </c>
      <c r="D274" s="17">
        <v>9.36</v>
      </c>
      <c r="E274" s="17"/>
      <c r="F274" s="6"/>
      <c r="G274" s="93">
        <f>SUM('3:23'!G274)</f>
        <v>0</v>
      </c>
      <c r="H274" s="339">
        <f t="shared" si="93"/>
        <v>0</v>
      </c>
      <c r="I274" s="93">
        <f>SUM('3:23'!I274)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94"/>
        <v>0</v>
      </c>
      <c r="N274" s="31">
        <f t="shared" si="95"/>
        <v>0</v>
      </c>
      <c r="O274" s="93">
        <f>SUM('3:23'!O274)</f>
        <v>0</v>
      </c>
      <c r="P274" s="93">
        <f>SUM('3:23'!P274)</f>
        <v>0</v>
      </c>
      <c r="Q274" s="93">
        <f>SUM('3:23'!Q274)</f>
        <v>0</v>
      </c>
      <c r="R274" s="93">
        <f>SUM('3:23'!R274)</f>
        <v>0</v>
      </c>
      <c r="S274" s="93">
        <f>SUM('3:23'!S274)</f>
        <v>0</v>
      </c>
      <c r="T274" s="93">
        <f>SUM('3:23'!T274)</f>
        <v>0</v>
      </c>
      <c r="U274" s="93">
        <f>SUM('3:23'!U274)</f>
        <v>0</v>
      </c>
      <c r="V274" s="206">
        <f t="shared" si="96"/>
        <v>0</v>
      </c>
      <c r="W274" s="33" t="str">
        <f t="shared" si="97"/>
        <v/>
      </c>
      <c r="X274" s="93">
        <f>SUM('3:23'!X274)</f>
        <v>0</v>
      </c>
      <c r="Y274" s="93">
        <f>SUM('3:23'!Y274)</f>
        <v>0</v>
      </c>
      <c r="Z274" s="93">
        <f>SUM('3:23'!Z274)</f>
        <v>0</v>
      </c>
      <c r="AA274" s="93">
        <f>SUM('3:23'!AA274)</f>
        <v>0</v>
      </c>
      <c r="AB274" s="73"/>
      <c r="AC274" s="54"/>
      <c r="AD274" s="346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304">
        <v>30600007</v>
      </c>
      <c r="B275" s="61" t="s">
        <v>90</v>
      </c>
      <c r="C275" s="16" t="s">
        <v>89</v>
      </c>
      <c r="D275" s="17">
        <v>9.36</v>
      </c>
      <c r="E275" s="17"/>
      <c r="F275" s="6"/>
      <c r="G275" s="93">
        <f>SUM('3:23'!G275)</f>
        <v>0</v>
      </c>
      <c r="H275" s="339">
        <f t="shared" si="93"/>
        <v>0</v>
      </c>
      <c r="I275" s="93">
        <f>SUM('3:23'!I275)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94"/>
        <v>0</v>
      </c>
      <c r="N275" s="31">
        <f t="shared" si="95"/>
        <v>0</v>
      </c>
      <c r="O275" s="93">
        <f>SUM('3:23'!O275)</f>
        <v>0</v>
      </c>
      <c r="P275" s="93">
        <f>SUM('3:23'!P275)</f>
        <v>0</v>
      </c>
      <c r="Q275" s="93">
        <f>SUM('3:23'!Q275)</f>
        <v>0</v>
      </c>
      <c r="R275" s="93">
        <f>SUM('3:23'!R275)</f>
        <v>0</v>
      </c>
      <c r="S275" s="93">
        <f>SUM('3:23'!S275)</f>
        <v>0</v>
      </c>
      <c r="T275" s="93">
        <f>SUM('3:23'!T275)</f>
        <v>0</v>
      </c>
      <c r="U275" s="93">
        <f>SUM('3:23'!U275)</f>
        <v>0</v>
      </c>
      <c r="V275" s="206">
        <f t="shared" si="96"/>
        <v>0</v>
      </c>
      <c r="W275" s="33" t="str">
        <f t="shared" si="97"/>
        <v/>
      </c>
      <c r="X275" s="93">
        <f>SUM('3:23'!X275)</f>
        <v>0</v>
      </c>
      <c r="Y275" s="93">
        <f>SUM('3:23'!Y275)</f>
        <v>0</v>
      </c>
      <c r="Z275" s="93">
        <f>SUM('3:23'!Z275)</f>
        <v>0</v>
      </c>
      <c r="AA275" s="93">
        <f>SUM('3:23'!AA275)</f>
        <v>0</v>
      </c>
      <c r="AB275" s="73"/>
      <c r="AC275" s="54"/>
      <c r="AD275" s="346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304">
        <v>30600006</v>
      </c>
      <c r="B276" s="61" t="s">
        <v>90</v>
      </c>
      <c r="C276" s="16" t="s">
        <v>60</v>
      </c>
      <c r="D276" s="17">
        <v>9.36</v>
      </c>
      <c r="E276" s="17"/>
      <c r="F276" s="6"/>
      <c r="G276" s="93">
        <f>SUM('3:23'!G276)</f>
        <v>0</v>
      </c>
      <c r="H276" s="339">
        <f t="shared" si="93"/>
        <v>0</v>
      </c>
      <c r="I276" s="93">
        <f>SUM('3:23'!I276)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94"/>
        <v>0</v>
      </c>
      <c r="N276" s="31">
        <f t="shared" si="95"/>
        <v>0</v>
      </c>
      <c r="O276" s="93">
        <f>SUM('3:23'!O276)</f>
        <v>0</v>
      </c>
      <c r="P276" s="93">
        <f>SUM('3:23'!P276)</f>
        <v>0</v>
      </c>
      <c r="Q276" s="93">
        <f>SUM('3:23'!Q276)</f>
        <v>0</v>
      </c>
      <c r="R276" s="93">
        <f>SUM('3:23'!R276)</f>
        <v>0</v>
      </c>
      <c r="S276" s="93">
        <f>SUM('3:23'!S276)</f>
        <v>0</v>
      </c>
      <c r="T276" s="93">
        <f>SUM('3:23'!T276)</f>
        <v>0</v>
      </c>
      <c r="U276" s="93">
        <f>SUM('3:23'!U276)</f>
        <v>0</v>
      </c>
      <c r="V276" s="206">
        <f t="shared" si="96"/>
        <v>0</v>
      </c>
      <c r="W276" s="33" t="str">
        <f t="shared" si="97"/>
        <v/>
      </c>
      <c r="X276" s="93">
        <f>SUM('3:23'!X276)</f>
        <v>0</v>
      </c>
      <c r="Y276" s="93">
        <f>SUM('3:23'!Y276)</f>
        <v>0</v>
      </c>
      <c r="Z276" s="93">
        <f>SUM('3:23'!Z276)</f>
        <v>0</v>
      </c>
      <c r="AA276" s="93">
        <f>SUM('3:23'!AA276)</f>
        <v>0</v>
      </c>
      <c r="AB276" s="73"/>
      <c r="AC276" s="54"/>
      <c r="AD276" s="346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299">
        <v>30400026</v>
      </c>
      <c r="B277" s="190" t="s">
        <v>394</v>
      </c>
      <c r="C277" s="187" t="s">
        <v>396</v>
      </c>
      <c r="D277" s="17">
        <v>5</v>
      </c>
      <c r="E277" s="17"/>
      <c r="F277" s="6"/>
      <c r="G277" s="93">
        <f>SUM('3:23'!G277)</f>
        <v>187</v>
      </c>
      <c r="H277" s="339">
        <f t="shared" si="93"/>
        <v>935</v>
      </c>
      <c r="I277" s="93">
        <f>SUM('3:23'!I277)</f>
        <v>24.5</v>
      </c>
      <c r="J277" s="31"/>
      <c r="K277" s="35">
        <f t="array" ref="K277">IF(ISERROR(G277/L277),"",G277/L277)</f>
        <v>37.4</v>
      </c>
      <c r="L277" s="87">
        <v>5</v>
      </c>
      <c r="M277" s="36">
        <f t="shared" si="94"/>
        <v>-12.899999999999999</v>
      </c>
      <c r="N277" s="31">
        <f t="shared" si="95"/>
        <v>0</v>
      </c>
      <c r="O277" s="93">
        <f>SUM('3:23'!O277)</f>
        <v>0</v>
      </c>
      <c r="P277" s="93">
        <f>SUM('3:23'!P277)</f>
        <v>0</v>
      </c>
      <c r="Q277" s="93">
        <f>SUM('3:23'!Q277)</f>
        <v>0</v>
      </c>
      <c r="R277" s="93">
        <f>SUM('3:23'!R277)</f>
        <v>0</v>
      </c>
      <c r="S277" s="93">
        <f>SUM('3:23'!S277)</f>
        <v>0</v>
      </c>
      <c r="T277" s="93">
        <f>SUM('3:23'!T277)</f>
        <v>0</v>
      </c>
      <c r="U277" s="93">
        <f>SUM('3:23'!U277)</f>
        <v>0</v>
      </c>
      <c r="V277" s="206"/>
      <c r="W277" s="33"/>
      <c r="X277" s="93">
        <f>SUM('3:23'!X277)</f>
        <v>0</v>
      </c>
      <c r="Y277" s="93">
        <f>SUM('3:23'!Y277)</f>
        <v>0</v>
      </c>
      <c r="Z277" s="93">
        <f>SUM('3:23'!Z277)</f>
        <v>0</v>
      </c>
      <c r="AA277" s="93">
        <f>SUM('3:23'!AA277)</f>
        <v>0</v>
      </c>
      <c r="AB277" s="73"/>
      <c r="AC277" s="54"/>
      <c r="AD277" s="346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99">
        <v>30400028</v>
      </c>
      <c r="B278" s="190" t="s">
        <v>393</v>
      </c>
      <c r="C278" s="187" t="s">
        <v>403</v>
      </c>
      <c r="D278" s="17">
        <v>5</v>
      </c>
      <c r="E278" s="17"/>
      <c r="F278" s="6"/>
      <c r="G278" s="93">
        <f>SUM('3:23'!G278)</f>
        <v>1279</v>
      </c>
      <c r="H278" s="339">
        <f t="shared" si="93"/>
        <v>6395</v>
      </c>
      <c r="I278" s="93">
        <f>SUM('3:23'!I278)</f>
        <v>175</v>
      </c>
      <c r="J278" s="31"/>
      <c r="K278" s="35">
        <f t="array" ref="K278">IF(ISERROR(G278/L278),"",G278/L278)</f>
        <v>255.8</v>
      </c>
      <c r="L278" s="87">
        <v>5</v>
      </c>
      <c r="M278" s="36">
        <f t="shared" si="94"/>
        <v>-80.800000000000011</v>
      </c>
      <c r="N278" s="31">
        <f t="shared" si="95"/>
        <v>0</v>
      </c>
      <c r="O278" s="93">
        <f>SUM('3:23'!O278)</f>
        <v>0</v>
      </c>
      <c r="P278" s="93">
        <f>SUM('3:23'!P278)</f>
        <v>0</v>
      </c>
      <c r="Q278" s="93">
        <f>SUM('3:23'!Q278)</f>
        <v>0</v>
      </c>
      <c r="R278" s="93">
        <f>SUM('3:23'!R278)</f>
        <v>0</v>
      </c>
      <c r="S278" s="93">
        <f>SUM('3:23'!S278)</f>
        <v>0</v>
      </c>
      <c r="T278" s="93">
        <f>SUM('3:23'!T278)</f>
        <v>0</v>
      </c>
      <c r="U278" s="93">
        <f>SUM('3:23'!U278)</f>
        <v>0</v>
      </c>
      <c r="V278" s="206"/>
      <c r="W278" s="33"/>
      <c r="X278" s="93">
        <f>SUM('3:23'!X278)</f>
        <v>0</v>
      </c>
      <c r="Y278" s="93">
        <f>SUM('3:23'!Y278)</f>
        <v>0</v>
      </c>
      <c r="Z278" s="93">
        <f>SUM('3:23'!Z278)</f>
        <v>0</v>
      </c>
      <c r="AA278" s="93">
        <f>SUM('3:23'!AA278)</f>
        <v>0</v>
      </c>
      <c r="AB278" s="73"/>
      <c r="AC278" s="54"/>
      <c r="AD278" s="346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99">
        <v>30400027</v>
      </c>
      <c r="B279" s="190" t="s">
        <v>404</v>
      </c>
      <c r="C279" s="187" t="s">
        <v>406</v>
      </c>
      <c r="D279" s="17">
        <v>5</v>
      </c>
      <c r="E279" s="17"/>
      <c r="F279" s="6"/>
      <c r="G279" s="93">
        <f>SUM('3:23'!G279)</f>
        <v>532</v>
      </c>
      <c r="H279" s="339">
        <f t="shared" si="93"/>
        <v>2660</v>
      </c>
      <c r="I279" s="93">
        <f>SUM('3:23'!I279)</f>
        <v>72</v>
      </c>
      <c r="J279" s="31"/>
      <c r="K279" s="35">
        <f t="array" ref="K279">IF(ISERROR(G279/L279),"",G279/L279)</f>
        <v>106.4</v>
      </c>
      <c r="L279" s="87">
        <v>5</v>
      </c>
      <c r="M279" s="36">
        <f t="shared" si="94"/>
        <v>-34.400000000000006</v>
      </c>
      <c r="N279" s="31">
        <f t="shared" si="95"/>
        <v>0</v>
      </c>
      <c r="O279" s="93">
        <f>SUM('3:23'!O279)</f>
        <v>0</v>
      </c>
      <c r="P279" s="93">
        <f>SUM('3:23'!P279)</f>
        <v>0</v>
      </c>
      <c r="Q279" s="93">
        <f>SUM('3:23'!Q279)</f>
        <v>0</v>
      </c>
      <c r="R279" s="93">
        <f>SUM('3:23'!R279)</f>
        <v>0</v>
      </c>
      <c r="S279" s="93">
        <f>SUM('3:23'!S279)</f>
        <v>0</v>
      </c>
      <c r="T279" s="93">
        <f>SUM('3:23'!T279)</f>
        <v>0</v>
      </c>
      <c r="U279" s="93">
        <f>SUM('3:23'!U279)</f>
        <v>0</v>
      </c>
      <c r="V279" s="206"/>
      <c r="W279" s="33"/>
      <c r="X279" s="93">
        <f>SUM('3:23'!X279)</f>
        <v>0</v>
      </c>
      <c r="Y279" s="93">
        <f>SUM('3:23'!Y279)</f>
        <v>0</v>
      </c>
      <c r="Z279" s="93">
        <f>SUM('3:23'!Z279)</f>
        <v>0</v>
      </c>
      <c r="AA279" s="93">
        <f>SUM('3:23'!AA279)</f>
        <v>0</v>
      </c>
      <c r="AB279" s="73"/>
      <c r="AC279" s="54"/>
      <c r="AD279" s="346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99"/>
      <c r="B280" s="61" t="s">
        <v>352</v>
      </c>
      <c r="C280" s="187" t="s">
        <v>372</v>
      </c>
      <c r="D280" s="17">
        <v>5</v>
      </c>
      <c r="E280" s="17"/>
      <c r="F280" s="6"/>
      <c r="G280" s="93">
        <f>SUM('3:23'!G280)</f>
        <v>0</v>
      </c>
      <c r="H280" s="339">
        <f t="shared" si="93"/>
        <v>0</v>
      </c>
      <c r="I280" s="93">
        <f>SUM('3:23'!I280)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94"/>
        <v>0</v>
      </c>
      <c r="N280" s="31">
        <f t="shared" si="95"/>
        <v>0</v>
      </c>
      <c r="O280" s="93">
        <f>SUM('3:23'!O280)</f>
        <v>0</v>
      </c>
      <c r="P280" s="93">
        <f>SUM('3:23'!P280)</f>
        <v>0</v>
      </c>
      <c r="Q280" s="93">
        <f>SUM('3:23'!Q280)</f>
        <v>0</v>
      </c>
      <c r="R280" s="93">
        <f>SUM('3:23'!R280)</f>
        <v>0</v>
      </c>
      <c r="S280" s="93">
        <f>SUM('3:23'!S280)</f>
        <v>0</v>
      </c>
      <c r="T280" s="93">
        <f>SUM('3:23'!T280)</f>
        <v>0</v>
      </c>
      <c r="U280" s="93">
        <f>SUM('3:23'!U280)</f>
        <v>0</v>
      </c>
      <c r="V280" s="206"/>
      <c r="W280" s="33"/>
      <c r="X280" s="93">
        <f>SUM('3:23'!X280)</f>
        <v>0</v>
      </c>
      <c r="Y280" s="93">
        <f>SUM('3:23'!Y280)</f>
        <v>0</v>
      </c>
      <c r="Z280" s="93">
        <f>SUM('3:23'!Z280)</f>
        <v>0</v>
      </c>
      <c r="AA280" s="93">
        <f>SUM('3:23'!AA280)</f>
        <v>0</v>
      </c>
      <c r="AB280" s="73"/>
      <c r="AC280" s="54"/>
      <c r="AD280" s="346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99">
        <v>30600009</v>
      </c>
      <c r="B281" s="61" t="s">
        <v>353</v>
      </c>
      <c r="C281" s="16" t="s">
        <v>354</v>
      </c>
      <c r="D281" s="17">
        <v>5</v>
      </c>
      <c r="E281" s="17"/>
      <c r="F281" s="6"/>
      <c r="G281" s="93">
        <f>SUM('3:23'!G281)</f>
        <v>431</v>
      </c>
      <c r="H281" s="339">
        <f t="shared" si="93"/>
        <v>2155</v>
      </c>
      <c r="I281" s="93">
        <f>SUM('3:23'!I281)</f>
        <v>103</v>
      </c>
      <c r="J281" s="31"/>
      <c r="K281" s="35">
        <f t="array" ref="K281">IF(ISERROR(G281/L281),"",G281/L281)</f>
        <v>86.2</v>
      </c>
      <c r="L281" s="87">
        <v>5</v>
      </c>
      <c r="M281" s="36">
        <f t="shared" si="94"/>
        <v>16.799999999999997</v>
      </c>
      <c r="N281" s="31">
        <f t="shared" si="95"/>
        <v>0</v>
      </c>
      <c r="O281" s="93">
        <f>SUM('3:23'!O281)</f>
        <v>0</v>
      </c>
      <c r="P281" s="93">
        <f>SUM('3:23'!P281)</f>
        <v>0</v>
      </c>
      <c r="Q281" s="93">
        <f>SUM('3:23'!Q281)</f>
        <v>0</v>
      </c>
      <c r="R281" s="93">
        <f>SUM('3:23'!R281)</f>
        <v>0</v>
      </c>
      <c r="S281" s="93">
        <f>SUM('3:23'!S281)</f>
        <v>0</v>
      </c>
      <c r="T281" s="93">
        <f>SUM('3:23'!T281)</f>
        <v>0</v>
      </c>
      <c r="U281" s="93">
        <f>SUM('3:23'!U281)</f>
        <v>0</v>
      </c>
      <c r="V281" s="206"/>
      <c r="W281" s="33"/>
      <c r="X281" s="93">
        <f>SUM('3:23'!X281)</f>
        <v>0</v>
      </c>
      <c r="Y281" s="93">
        <f>SUM('3:23'!Y281)</f>
        <v>0</v>
      </c>
      <c r="Z281" s="93">
        <f>SUM('3:23'!Z281)</f>
        <v>0</v>
      </c>
      <c r="AA281" s="93">
        <f>SUM('3:23'!AA281)</f>
        <v>0</v>
      </c>
      <c r="AB281" s="73"/>
      <c r="AC281" s="54"/>
      <c r="AD281" s="346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99">
        <v>30600010</v>
      </c>
      <c r="B282" s="61" t="s">
        <v>353</v>
      </c>
      <c r="C282" s="16" t="s">
        <v>355</v>
      </c>
      <c r="D282" s="17">
        <v>5</v>
      </c>
      <c r="E282" s="17"/>
      <c r="F282" s="6"/>
      <c r="G282" s="93">
        <f>SUM('3:23'!G282)</f>
        <v>259</v>
      </c>
      <c r="H282" s="339">
        <f t="shared" si="93"/>
        <v>1295</v>
      </c>
      <c r="I282" s="93">
        <f>SUM('3:23'!I282)</f>
        <v>55.5</v>
      </c>
      <c r="J282" s="31"/>
      <c r="K282" s="35">
        <f t="array" ref="K282">IF(ISERROR(G282/L282),"",G282/L282)</f>
        <v>51.8</v>
      </c>
      <c r="L282" s="87">
        <v>5</v>
      </c>
      <c r="M282" s="36">
        <f t="shared" si="94"/>
        <v>3.7000000000000028</v>
      </c>
      <c r="N282" s="31">
        <f t="shared" si="95"/>
        <v>0</v>
      </c>
      <c r="O282" s="93">
        <f>SUM('3:23'!O282)</f>
        <v>0</v>
      </c>
      <c r="P282" s="93">
        <f>SUM('3:23'!P282)</f>
        <v>0</v>
      </c>
      <c r="Q282" s="93">
        <f>SUM('3:23'!Q282)</f>
        <v>0</v>
      </c>
      <c r="R282" s="93">
        <f>SUM('3:23'!R282)</f>
        <v>0</v>
      </c>
      <c r="S282" s="93">
        <f>SUM('3:23'!S282)</f>
        <v>0</v>
      </c>
      <c r="T282" s="93">
        <f>SUM('3:23'!T282)</f>
        <v>0</v>
      </c>
      <c r="U282" s="93">
        <f>SUM('3:23'!U282)</f>
        <v>0</v>
      </c>
      <c r="V282" s="206"/>
      <c r="W282" s="33"/>
      <c r="X282" s="93">
        <f>SUM('3:23'!X282)</f>
        <v>0</v>
      </c>
      <c r="Y282" s="93">
        <f>SUM('3:23'!Y282)</f>
        <v>0</v>
      </c>
      <c r="Z282" s="93">
        <f>SUM('3:23'!Z282)</f>
        <v>0</v>
      </c>
      <c r="AA282" s="93">
        <f>SUM('3:23'!AA282)</f>
        <v>0</v>
      </c>
      <c r="AB282" s="73"/>
      <c r="AC282" s="54"/>
      <c r="AD282" s="346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99">
        <v>30400001</v>
      </c>
      <c r="B283" s="65" t="s">
        <v>514</v>
      </c>
      <c r="C283" s="16" t="s">
        <v>61</v>
      </c>
      <c r="D283" s="17">
        <v>5.0599999999999996</v>
      </c>
      <c r="E283" s="17"/>
      <c r="F283" s="6"/>
      <c r="G283" s="93">
        <f>SUM('3:23'!G283)</f>
        <v>426</v>
      </c>
      <c r="H283" s="339">
        <f t="shared" si="93"/>
        <v>2155.56</v>
      </c>
      <c r="I283" s="93">
        <f>SUM('3:23'!I283)</f>
        <v>35</v>
      </c>
      <c r="J283" s="31">
        <f t="array" ref="J283">IF(ISERROR(G283/I283),"",G283/I283)</f>
        <v>12.171428571428571</v>
      </c>
      <c r="K283" s="35">
        <f t="array" ref="K283">IF(ISERROR(G283/L283),"",G283/L283)</f>
        <v>27.483870967741936</v>
      </c>
      <c r="L283" s="87">
        <v>15.5</v>
      </c>
      <c r="M283" s="36">
        <f t="shared" si="94"/>
        <v>7.5161290322580641</v>
      </c>
      <c r="N283" s="31">
        <f t="shared" si="95"/>
        <v>0</v>
      </c>
      <c r="O283" s="93">
        <f>SUM('3:23'!O283)</f>
        <v>0</v>
      </c>
      <c r="P283" s="93">
        <f>SUM('3:23'!P283)</f>
        <v>0</v>
      </c>
      <c r="Q283" s="93">
        <f>SUM('3:23'!Q283)</f>
        <v>0</v>
      </c>
      <c r="R283" s="93">
        <f>SUM('3:23'!R283)</f>
        <v>0</v>
      </c>
      <c r="S283" s="93">
        <f>SUM('3:23'!S283)</f>
        <v>0</v>
      </c>
      <c r="T283" s="93">
        <f>SUM('3:23'!T283)</f>
        <v>0</v>
      </c>
      <c r="U283" s="93">
        <f>SUM('3:23'!U283)</f>
        <v>0</v>
      </c>
      <c r="V283" s="206">
        <f t="shared" ref="V283:V284" si="98">SUM(X283:AA283)</f>
        <v>0</v>
      </c>
      <c r="W283" s="33">
        <f t="shared" ref="W283:W284" si="99">IF(ISERROR(V283/G283),"",V283/G283)</f>
        <v>0</v>
      </c>
      <c r="X283" s="93">
        <f>SUM('3:23'!X283)</f>
        <v>0</v>
      </c>
      <c r="Y283" s="93">
        <f>SUM('3:23'!Y283)</f>
        <v>0</v>
      </c>
      <c r="Z283" s="93">
        <f>SUM('3:23'!Z283)</f>
        <v>0</v>
      </c>
      <c r="AA283" s="93">
        <f>SUM('3:23'!AA283)</f>
        <v>0</v>
      </c>
      <c r="AB283" s="73"/>
      <c r="AC283" s="54"/>
      <c r="AD283" s="346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99">
        <v>30400002</v>
      </c>
      <c r="B284" s="65" t="s">
        <v>514</v>
      </c>
      <c r="C284" s="16" t="s">
        <v>72</v>
      </c>
      <c r="D284" s="17">
        <v>5.0599999999999996</v>
      </c>
      <c r="E284" s="17"/>
      <c r="F284" s="6"/>
      <c r="G284" s="93">
        <f>SUM('3:23'!G284)</f>
        <v>787</v>
      </c>
      <c r="H284" s="339">
        <f t="shared" si="93"/>
        <v>3982.22</v>
      </c>
      <c r="I284" s="93">
        <f>SUM('3:23'!I284)</f>
        <v>106.8</v>
      </c>
      <c r="J284" s="31">
        <f t="array" ref="J284">IF(ISERROR(G284/I284),"",G284/I284)</f>
        <v>7.368913857677903</v>
      </c>
      <c r="K284" s="35">
        <f t="array" ref="K284">IF(ISERROR(G284/L284),"",G284/L284)</f>
        <v>50.774193548387096</v>
      </c>
      <c r="L284" s="87">
        <v>15.5</v>
      </c>
      <c r="M284" s="36">
        <f t="shared" si="94"/>
        <v>56.025806451612901</v>
      </c>
      <c r="N284" s="31">
        <f t="shared" si="95"/>
        <v>0</v>
      </c>
      <c r="O284" s="93">
        <f>SUM('3:23'!O284)</f>
        <v>0</v>
      </c>
      <c r="P284" s="93">
        <f>SUM('3:23'!P284)</f>
        <v>0</v>
      </c>
      <c r="Q284" s="93">
        <f>SUM('3:23'!Q284)</f>
        <v>0</v>
      </c>
      <c r="R284" s="93">
        <f>SUM('3:23'!R284)</f>
        <v>0</v>
      </c>
      <c r="S284" s="93">
        <f>SUM('3:23'!S284)</f>
        <v>0</v>
      </c>
      <c r="T284" s="93">
        <f>SUM('3:23'!T284)</f>
        <v>0</v>
      </c>
      <c r="U284" s="93">
        <f>SUM('3:23'!U284)</f>
        <v>0</v>
      </c>
      <c r="V284" s="206">
        <f t="shared" si="98"/>
        <v>0</v>
      </c>
      <c r="W284" s="33">
        <f t="shared" si="99"/>
        <v>0</v>
      </c>
      <c r="X284" s="93">
        <f>SUM('3:23'!X284)</f>
        <v>0</v>
      </c>
      <c r="Y284" s="93">
        <f>SUM('3:23'!Y284)</f>
        <v>0</v>
      </c>
      <c r="Z284" s="93">
        <f>SUM('3:23'!Z284)</f>
        <v>0</v>
      </c>
      <c r="AA284" s="93">
        <f>SUM('3:23'!AA284)</f>
        <v>0</v>
      </c>
      <c r="AB284" s="73"/>
      <c r="AC284" s="54"/>
      <c r="AD284" s="346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99">
        <v>30400004</v>
      </c>
      <c r="B285" s="215" t="s">
        <v>419</v>
      </c>
      <c r="C285" s="187" t="s">
        <v>420</v>
      </c>
      <c r="D285" s="17"/>
      <c r="E285" s="17"/>
      <c r="F285" s="6"/>
      <c r="G285" s="93">
        <f>SUM('3:23'!G285)</f>
        <v>964</v>
      </c>
      <c r="H285" s="339">
        <f t="shared" si="93"/>
        <v>0</v>
      </c>
      <c r="I285" s="93">
        <f>SUM('3:23'!I285)</f>
        <v>89</v>
      </c>
      <c r="J285" s="31"/>
      <c r="K285" s="35"/>
      <c r="L285" s="87">
        <v>24</v>
      </c>
      <c r="M285" s="36"/>
      <c r="N285" s="31"/>
      <c r="O285" s="93"/>
      <c r="P285" s="93"/>
      <c r="Q285" s="93"/>
      <c r="R285" s="93"/>
      <c r="S285" s="93"/>
      <c r="T285" s="93"/>
      <c r="U285" s="93"/>
      <c r="V285" s="206"/>
      <c r="W285" s="33"/>
      <c r="X285" s="93"/>
      <c r="Y285" s="93"/>
      <c r="Z285" s="93"/>
      <c r="AA285" s="93"/>
      <c r="AB285" s="73"/>
      <c r="AC285" s="54"/>
      <c r="AD285" s="346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99">
        <v>30400003</v>
      </c>
      <c r="B286" s="215" t="s">
        <v>419</v>
      </c>
      <c r="C286" s="187" t="s">
        <v>421</v>
      </c>
      <c r="D286" s="17"/>
      <c r="E286" s="17"/>
      <c r="F286" s="6"/>
      <c r="G286" s="93">
        <f>SUM('3:23'!G286)</f>
        <v>137</v>
      </c>
      <c r="H286" s="339">
        <f t="shared" si="93"/>
        <v>0</v>
      </c>
      <c r="I286" s="93">
        <f>SUM('3:23'!I286)</f>
        <v>147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6"/>
      <c r="W286" s="33"/>
      <c r="X286" s="93"/>
      <c r="Y286" s="93"/>
      <c r="Z286" s="93"/>
      <c r="AA286" s="93"/>
      <c r="AB286" s="73"/>
      <c r="AC286" s="54"/>
      <c r="AD286" s="346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99">
        <v>30400005</v>
      </c>
      <c r="B287" s="215" t="s">
        <v>419</v>
      </c>
      <c r="C287" s="187" t="s">
        <v>422</v>
      </c>
      <c r="D287" s="17"/>
      <c r="E287" s="17"/>
      <c r="F287" s="6"/>
      <c r="G287" s="93">
        <f>SUM('3:23'!G287)</f>
        <v>943</v>
      </c>
      <c r="H287" s="339">
        <f t="shared" si="93"/>
        <v>0</v>
      </c>
      <c r="I287" s="93">
        <f>SUM('3:23'!I287)</f>
        <v>131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6"/>
      <c r="W287" s="33"/>
      <c r="X287" s="93"/>
      <c r="Y287" s="93"/>
      <c r="Z287" s="93"/>
      <c r="AA287" s="93"/>
      <c r="AB287" s="73"/>
      <c r="AC287" s="54"/>
      <c r="AD287" s="346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99">
        <v>30400007</v>
      </c>
      <c r="B288" s="65" t="s">
        <v>91</v>
      </c>
      <c r="C288" s="16" t="s">
        <v>74</v>
      </c>
      <c r="D288" s="17">
        <v>5.07</v>
      </c>
      <c r="E288" s="17"/>
      <c r="F288" s="6"/>
      <c r="G288" s="93">
        <f>SUM('3:23'!G288)</f>
        <v>1409</v>
      </c>
      <c r="H288" s="339">
        <f t="shared" si="93"/>
        <v>7143.63</v>
      </c>
      <c r="I288" s="93">
        <f>SUM('3:23'!I288)</f>
        <v>220.5</v>
      </c>
      <c r="J288" s="31">
        <f t="array" ref="J288">IF(ISERROR(G288/I288),"",G288/I288)</f>
        <v>6.3900226757369616</v>
      </c>
      <c r="K288" s="35">
        <f t="array" ref="K288">IF(ISERROR(G288/L288),"",G288/L288)</f>
        <v>156.55555555555554</v>
      </c>
      <c r="L288" s="87">
        <v>9</v>
      </c>
      <c r="M288" s="36">
        <f t="shared" ref="M288:M290" si="100">IF(ISERROR(I288-K288),"",I288-K288)</f>
        <v>63.944444444444457</v>
      </c>
      <c r="N288" s="31">
        <f t="shared" ref="N288:N290" si="101">SUM(O288:U288)</f>
        <v>0</v>
      </c>
      <c r="O288" s="93">
        <f>SUM('3:23'!O288)</f>
        <v>0</v>
      </c>
      <c r="P288" s="93">
        <f>SUM('3:23'!P288)</f>
        <v>0</v>
      </c>
      <c r="Q288" s="93">
        <f>SUM('3:23'!Q288)</f>
        <v>0</v>
      </c>
      <c r="R288" s="93">
        <f>SUM('3:23'!R288)</f>
        <v>0</v>
      </c>
      <c r="S288" s="93">
        <f>SUM('3:23'!S288)</f>
        <v>0</v>
      </c>
      <c r="T288" s="93">
        <f>SUM('3:23'!T288)</f>
        <v>0</v>
      </c>
      <c r="U288" s="93">
        <f>SUM('3:23'!U288)</f>
        <v>0</v>
      </c>
      <c r="V288" s="206">
        <f t="shared" ref="V288:V290" si="102">SUM(X288:AA288)</f>
        <v>0</v>
      </c>
      <c r="W288" s="33">
        <f t="shared" ref="W288:W312" si="103">IF(ISERROR(V288/G288),"",V288/G288)</f>
        <v>0</v>
      </c>
      <c r="X288" s="93">
        <f>SUM('3:23'!X288)</f>
        <v>0</v>
      </c>
      <c r="Y288" s="93">
        <f>SUM('3:23'!Y288)</f>
        <v>0</v>
      </c>
      <c r="Z288" s="93">
        <f>SUM('3:23'!Z288)</f>
        <v>0</v>
      </c>
      <c r="AA288" s="93">
        <f>SUM('3:23'!AA288)</f>
        <v>0</v>
      </c>
      <c r="AB288" s="73"/>
      <c r="AC288" s="54"/>
      <c r="AD288" s="346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99">
        <v>30400006</v>
      </c>
      <c r="B289" s="65" t="s">
        <v>91</v>
      </c>
      <c r="C289" s="16" t="s">
        <v>53</v>
      </c>
      <c r="D289" s="17">
        <v>5.07</v>
      </c>
      <c r="E289" s="17"/>
      <c r="F289" s="6"/>
      <c r="G289" s="93">
        <f>SUM('3:23'!G289)</f>
        <v>620</v>
      </c>
      <c r="H289" s="339">
        <f t="shared" si="93"/>
        <v>3143.4</v>
      </c>
      <c r="I289" s="93">
        <f>SUM('3:23'!I289)</f>
        <v>60.5</v>
      </c>
      <c r="J289" s="31">
        <f t="array" ref="J289">IF(ISERROR(G289/I289),"",G289/I289)</f>
        <v>10.24793388429752</v>
      </c>
      <c r="K289" s="35">
        <f t="array" ref="K289">IF(ISERROR(G289/L289),"",G289/L289)</f>
        <v>68.888888888888886</v>
      </c>
      <c r="L289" s="87">
        <v>9</v>
      </c>
      <c r="M289" s="36">
        <f t="shared" si="100"/>
        <v>-8.3888888888888857</v>
      </c>
      <c r="N289" s="31">
        <f t="shared" si="101"/>
        <v>0</v>
      </c>
      <c r="O289" s="93">
        <f>SUM('3:23'!O289)</f>
        <v>0</v>
      </c>
      <c r="P289" s="93">
        <f>SUM('3:23'!P289)</f>
        <v>0</v>
      </c>
      <c r="Q289" s="93">
        <f>SUM('3:23'!Q289)</f>
        <v>0</v>
      </c>
      <c r="R289" s="93">
        <f>SUM('3:23'!R289)</f>
        <v>0</v>
      </c>
      <c r="S289" s="93">
        <f>SUM('3:23'!S289)</f>
        <v>0</v>
      </c>
      <c r="T289" s="93">
        <f>SUM('3:23'!T289)</f>
        <v>0</v>
      </c>
      <c r="U289" s="93">
        <f>SUM('3:23'!U289)</f>
        <v>0</v>
      </c>
      <c r="V289" s="206">
        <f t="shared" si="102"/>
        <v>0</v>
      </c>
      <c r="W289" s="33">
        <f t="shared" si="103"/>
        <v>0</v>
      </c>
      <c r="X289" s="93">
        <f>SUM('3:23'!X289)</f>
        <v>0</v>
      </c>
      <c r="Y289" s="93">
        <f>SUM('3:23'!Y289)</f>
        <v>0</v>
      </c>
      <c r="Z289" s="93">
        <f>SUM('3:23'!Z289)</f>
        <v>0</v>
      </c>
      <c r="AA289" s="93">
        <f>SUM('3:23'!AA289)</f>
        <v>0</v>
      </c>
      <c r="AB289" s="73"/>
      <c r="AC289" s="54"/>
      <c r="AD289" s="346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99">
        <v>30400006</v>
      </c>
      <c r="B290" s="65" t="s">
        <v>91</v>
      </c>
      <c r="C290" s="16" t="s">
        <v>60</v>
      </c>
      <c r="D290" s="17">
        <v>5.0599999999999996</v>
      </c>
      <c r="E290" s="17"/>
      <c r="F290" s="53"/>
      <c r="G290" s="93">
        <f>SUM('3:23'!G290)</f>
        <v>1010</v>
      </c>
      <c r="H290" s="339">
        <f t="shared" si="93"/>
        <v>5110.5999999999995</v>
      </c>
      <c r="I290" s="93">
        <f>SUM('3:23'!I290)</f>
        <v>108</v>
      </c>
      <c r="J290" s="31">
        <f t="array" ref="J290">IF(ISERROR(G290/I290),"",G290/I290)</f>
        <v>9.3518518518518512</v>
      </c>
      <c r="K290" s="339">
        <f t="array" ref="K290">IF(ISERROR(G290/L290),"",G290/L290)</f>
        <v>112.22222222222223</v>
      </c>
      <c r="L290" s="87">
        <v>9</v>
      </c>
      <c r="M290" s="36">
        <f t="shared" si="100"/>
        <v>-4.2222222222222285</v>
      </c>
      <c r="N290" s="31">
        <f t="shared" si="101"/>
        <v>0</v>
      </c>
      <c r="O290" s="93">
        <f>SUM('3:23'!O290)</f>
        <v>0</v>
      </c>
      <c r="P290" s="93">
        <f>SUM('3:23'!P290)</f>
        <v>0</v>
      </c>
      <c r="Q290" s="93">
        <f>SUM('3:23'!Q290)</f>
        <v>0</v>
      </c>
      <c r="R290" s="93">
        <f>SUM('3:23'!R290)</f>
        <v>0</v>
      </c>
      <c r="S290" s="93">
        <f>SUM('3:23'!S290)</f>
        <v>0</v>
      </c>
      <c r="T290" s="93">
        <f>SUM('3:23'!T290)</f>
        <v>0</v>
      </c>
      <c r="U290" s="93">
        <f>SUM('3:23'!U290)</f>
        <v>0</v>
      </c>
      <c r="V290" s="206">
        <f t="shared" si="102"/>
        <v>0</v>
      </c>
      <c r="W290" s="33">
        <f t="shared" si="103"/>
        <v>0</v>
      </c>
      <c r="X290" s="93">
        <f>SUM('3:23'!X290)</f>
        <v>0</v>
      </c>
      <c r="Y290" s="93">
        <f>SUM('3:23'!Y290)</f>
        <v>0</v>
      </c>
      <c r="Z290" s="93">
        <f>SUM('3:23'!Z290)</f>
        <v>0</v>
      </c>
      <c r="AA290" s="93">
        <f>SUM('3:23'!AA290)</f>
        <v>0</v>
      </c>
      <c r="AB290" s="73"/>
      <c r="AC290" s="54"/>
      <c r="AD290" s="346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725" t="s">
        <v>92</v>
      </c>
      <c r="B291" s="726"/>
      <c r="C291" s="342" t="s">
        <v>71</v>
      </c>
      <c r="D291" s="20"/>
      <c r="E291" s="20"/>
      <c r="F291" s="32"/>
      <c r="G291" s="30">
        <f>SUM(G257:G290)</f>
        <v>10909</v>
      </c>
      <c r="H291" s="30">
        <f>SUM(H257:H290)</f>
        <v>44658.16</v>
      </c>
      <c r="I291" s="30">
        <f>SUM(I257:I290)</f>
        <v>1706.8</v>
      </c>
      <c r="J291" s="31">
        <f t="array" ref="J291">IF(ISERROR(G291/I291),"",G291/I291)</f>
        <v>6.391492852120928</v>
      </c>
      <c r="K291" s="30">
        <f>SUM(K257:K290)</f>
        <v>1160.7278103616811</v>
      </c>
      <c r="L291" s="98"/>
      <c r="M291" s="89">
        <f t="shared" ref="M291:V291" si="104">SUM(M257:M290)</f>
        <v>179.07218963831869</v>
      </c>
      <c r="N291" s="30">
        <f t="shared" si="104"/>
        <v>0</v>
      </c>
      <c r="O291" s="91">
        <f t="shared" si="104"/>
        <v>0</v>
      </c>
      <c r="P291" s="91">
        <f t="shared" si="104"/>
        <v>0</v>
      </c>
      <c r="Q291" s="91">
        <f t="shared" si="104"/>
        <v>0</v>
      </c>
      <c r="R291" s="91">
        <f t="shared" si="104"/>
        <v>0</v>
      </c>
      <c r="S291" s="92">
        <f t="shared" si="104"/>
        <v>0</v>
      </c>
      <c r="T291" s="91">
        <f t="shared" si="104"/>
        <v>0</v>
      </c>
      <c r="U291" s="91">
        <f t="shared" si="104"/>
        <v>0</v>
      </c>
      <c r="V291" s="206">
        <f t="shared" si="104"/>
        <v>0</v>
      </c>
      <c r="W291" s="33">
        <f t="shared" si="103"/>
        <v>0</v>
      </c>
      <c r="X291" s="92">
        <f>SUM(X257:X290)</f>
        <v>0</v>
      </c>
      <c r="Y291" s="92">
        <f>SUM(Y257:Y290)</f>
        <v>0</v>
      </c>
      <c r="Z291" s="92">
        <f>SUM(Z257:Z290)</f>
        <v>0</v>
      </c>
      <c r="AA291" s="92">
        <f>SUM(AA257:AA290)</f>
        <v>0</v>
      </c>
      <c r="AB291" s="75"/>
      <c r="AC291" s="70"/>
      <c r="AD291" s="346"/>
      <c r="AE291" s="74"/>
      <c r="AF291" s="74"/>
      <c r="AG291" s="74"/>
      <c r="AH291" s="7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299">
        <v>30100038</v>
      </c>
      <c r="B292" s="62" t="s">
        <v>93</v>
      </c>
      <c r="C292" s="16" t="s">
        <v>94</v>
      </c>
      <c r="D292" s="17">
        <v>5.03</v>
      </c>
      <c r="E292" s="17"/>
      <c r="F292" s="6"/>
      <c r="G292" s="93">
        <f>SUM('3:23'!G292)</f>
        <v>928</v>
      </c>
      <c r="H292" s="339">
        <f>D292*G292</f>
        <v>4667.84</v>
      </c>
      <c r="I292" s="93">
        <f>SUM('3:23'!I292)</f>
        <v>30</v>
      </c>
      <c r="J292" s="31">
        <f t="array" ref="J292">IF(ISERROR(G292/I292),"",G292/I292)</f>
        <v>30.933333333333334</v>
      </c>
      <c r="K292" s="35">
        <f t="array" ref="K292">IF(ISERROR(G292/L292),"",G292/L292)</f>
        <v>37.119999999999997</v>
      </c>
      <c r="L292" s="87">
        <v>25</v>
      </c>
      <c r="M292" s="36">
        <f t="shared" ref="M292:M306" si="105">IF(ISERROR(I292-K292),"",I292-K292)</f>
        <v>-7.1199999999999974</v>
      </c>
      <c r="N292" s="31">
        <f t="shared" ref="N292:N306" si="106">SUM(O292:U292)</f>
        <v>0</v>
      </c>
      <c r="O292" s="93">
        <f>SUM('3:23'!O292)</f>
        <v>0</v>
      </c>
      <c r="P292" s="93">
        <f>SUM('3:23'!P292)</f>
        <v>0</v>
      </c>
      <c r="Q292" s="93">
        <f>SUM('3:23'!Q292)</f>
        <v>0</v>
      </c>
      <c r="R292" s="93">
        <f>SUM('3:23'!R292)</f>
        <v>0</v>
      </c>
      <c r="S292" s="93">
        <f>SUM('3:23'!S292)</f>
        <v>0</v>
      </c>
      <c r="T292" s="93">
        <f>SUM('3:23'!T292)</f>
        <v>0</v>
      </c>
      <c r="U292" s="93">
        <f>SUM('3:23'!U292)</f>
        <v>0</v>
      </c>
      <c r="V292" s="206">
        <f t="shared" ref="V292:V306" si="107">SUM(X292:AA292)</f>
        <v>0</v>
      </c>
      <c r="W292" s="33">
        <f t="shared" si="103"/>
        <v>0</v>
      </c>
      <c r="X292" s="93">
        <f>SUM('3:23'!X292)</f>
        <v>0</v>
      </c>
      <c r="Y292" s="93">
        <f>SUM('3:23'!Y292)</f>
        <v>0</v>
      </c>
      <c r="Z292" s="93">
        <f>SUM('3:23'!Z292)</f>
        <v>0</v>
      </c>
      <c r="AA292" s="93">
        <f>SUM('3:23'!AA292)</f>
        <v>0</v>
      </c>
      <c r="AB292" s="73"/>
      <c r="AC292" s="54"/>
      <c r="AD292" s="346"/>
      <c r="AE292" s="54"/>
      <c r="AF292" s="54"/>
      <c r="AG292" s="54"/>
      <c r="AH292" s="5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99">
        <v>30100037</v>
      </c>
      <c r="B293" s="62" t="s">
        <v>93</v>
      </c>
      <c r="C293" s="16" t="s">
        <v>74</v>
      </c>
      <c r="D293" s="17">
        <v>5.03</v>
      </c>
      <c r="E293" s="17"/>
      <c r="F293" s="6"/>
      <c r="G293" s="93">
        <f>SUM('3:23'!G293)</f>
        <v>578</v>
      </c>
      <c r="H293" s="339">
        <f t="shared" ref="H293:H306" si="108">D293*G293</f>
        <v>2907.34</v>
      </c>
      <c r="I293" s="93">
        <f>SUM('3:23'!I293)</f>
        <v>32</v>
      </c>
      <c r="J293" s="31">
        <f t="array" ref="J293">IF(ISERROR(G293/I293),"",G293/I293)</f>
        <v>18.0625</v>
      </c>
      <c r="K293" s="35">
        <f t="array" ref="K293">IF(ISERROR(G293/L293),"",G293/L293)</f>
        <v>23.12</v>
      </c>
      <c r="L293" s="87">
        <v>25</v>
      </c>
      <c r="M293" s="36">
        <f t="shared" si="105"/>
        <v>8.879999999999999</v>
      </c>
      <c r="N293" s="31">
        <f t="shared" si="106"/>
        <v>0</v>
      </c>
      <c r="O293" s="93">
        <f>SUM('3:23'!O293)</f>
        <v>0</v>
      </c>
      <c r="P293" s="93">
        <f>SUM('3:23'!P293)</f>
        <v>0</v>
      </c>
      <c r="Q293" s="93">
        <f>SUM('3:23'!Q293)</f>
        <v>0</v>
      </c>
      <c r="R293" s="93">
        <f>SUM('3:23'!R293)</f>
        <v>0</v>
      </c>
      <c r="S293" s="93">
        <f>SUM('3:23'!S293)</f>
        <v>0</v>
      </c>
      <c r="T293" s="93">
        <f>SUM('3:23'!T293)</f>
        <v>0</v>
      </c>
      <c r="U293" s="93">
        <f>SUM('3:23'!U293)</f>
        <v>0</v>
      </c>
      <c r="V293" s="206">
        <f t="shared" si="107"/>
        <v>0</v>
      </c>
      <c r="W293" s="33">
        <f t="shared" si="103"/>
        <v>0</v>
      </c>
      <c r="X293" s="93">
        <f>SUM('3:23'!X293)</f>
        <v>0</v>
      </c>
      <c r="Y293" s="93">
        <f>SUM('3:23'!Y293)</f>
        <v>0</v>
      </c>
      <c r="Z293" s="93">
        <f>SUM('3:23'!Z293)</f>
        <v>0</v>
      </c>
      <c r="AA293" s="93">
        <f>SUM('3:23'!AA293)</f>
        <v>0</v>
      </c>
      <c r="AB293" s="73"/>
      <c r="AC293" s="54"/>
      <c r="AD293" s="346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99">
        <v>30100051</v>
      </c>
      <c r="B294" s="62" t="s">
        <v>58</v>
      </c>
      <c r="C294" s="16" t="s">
        <v>65</v>
      </c>
      <c r="D294" s="17">
        <v>5.04</v>
      </c>
      <c r="E294" s="17"/>
      <c r="F294" s="6"/>
      <c r="G294" s="93">
        <f>SUM('3:23'!G294)</f>
        <v>417</v>
      </c>
      <c r="H294" s="339">
        <f t="shared" si="108"/>
        <v>2101.6799999999998</v>
      </c>
      <c r="I294" s="93">
        <f>SUM('3:23'!I294)</f>
        <v>51</v>
      </c>
      <c r="J294" s="31">
        <f t="array" ref="J294">IF(ISERROR(G294/I294),"",G294/I294)</f>
        <v>8.1764705882352935</v>
      </c>
      <c r="K294" s="35">
        <f t="array" ref="K294">IF(ISERROR(G294/L294),"",G294/L294)</f>
        <v>20.85</v>
      </c>
      <c r="L294" s="87">
        <v>20</v>
      </c>
      <c r="M294" s="36">
        <f t="shared" si="105"/>
        <v>30.15</v>
      </c>
      <c r="N294" s="31">
        <f t="shared" si="106"/>
        <v>0</v>
      </c>
      <c r="O294" s="93">
        <f>SUM('3:23'!O294)</f>
        <v>0</v>
      </c>
      <c r="P294" s="93">
        <f>SUM('3:23'!P294)</f>
        <v>0</v>
      </c>
      <c r="Q294" s="93">
        <f>SUM('3:23'!Q294)</f>
        <v>0</v>
      </c>
      <c r="R294" s="93">
        <f>SUM('3:23'!R294)</f>
        <v>0</v>
      </c>
      <c r="S294" s="93">
        <f>SUM('3:23'!S294)</f>
        <v>0</v>
      </c>
      <c r="T294" s="93">
        <f>SUM('3:23'!T294)</f>
        <v>0</v>
      </c>
      <c r="U294" s="93">
        <f>SUM('3:23'!U294)</f>
        <v>0</v>
      </c>
      <c r="V294" s="206">
        <f t="shared" si="107"/>
        <v>0</v>
      </c>
      <c r="W294" s="33">
        <f t="shared" si="103"/>
        <v>0</v>
      </c>
      <c r="X294" s="93">
        <f>SUM('3:23'!X294)</f>
        <v>0</v>
      </c>
      <c r="Y294" s="93">
        <f>SUM('3:23'!Y294)</f>
        <v>0</v>
      </c>
      <c r="Z294" s="93">
        <f>SUM('3:23'!Z294)</f>
        <v>0</v>
      </c>
      <c r="AA294" s="93">
        <f>SUM('3:23'!AA294)</f>
        <v>0</v>
      </c>
      <c r="AB294" s="73"/>
      <c r="AC294" s="54"/>
      <c r="AD294" s="346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99"/>
      <c r="B295" s="63" t="s">
        <v>95</v>
      </c>
      <c r="C295" s="16" t="s">
        <v>82</v>
      </c>
      <c r="D295" s="17">
        <v>5.03</v>
      </c>
      <c r="E295" s="17"/>
      <c r="F295" s="6"/>
      <c r="G295" s="93">
        <f>SUM('3:23'!G295)</f>
        <v>0</v>
      </c>
      <c r="H295" s="339">
        <f t="shared" si="108"/>
        <v>0</v>
      </c>
      <c r="I295" s="93">
        <f>SUM('3:23'!I295)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87">
        <v>4</v>
      </c>
      <c r="M295" s="36">
        <f t="shared" si="105"/>
        <v>0</v>
      </c>
      <c r="N295" s="31">
        <f t="shared" si="106"/>
        <v>0</v>
      </c>
      <c r="O295" s="93">
        <f>SUM('3:23'!O295)</f>
        <v>0</v>
      </c>
      <c r="P295" s="93">
        <f>SUM('3:23'!P295)</f>
        <v>0</v>
      </c>
      <c r="Q295" s="93">
        <f>SUM('3:23'!Q295)</f>
        <v>0</v>
      </c>
      <c r="R295" s="93">
        <f>SUM('3:23'!R295)</f>
        <v>0</v>
      </c>
      <c r="S295" s="93">
        <f>SUM('3:23'!S295)</f>
        <v>0</v>
      </c>
      <c r="T295" s="93">
        <f>SUM('3:23'!T295)</f>
        <v>0</v>
      </c>
      <c r="U295" s="93">
        <f>SUM('3:23'!U295)</f>
        <v>0</v>
      </c>
      <c r="V295" s="206">
        <f t="shared" si="107"/>
        <v>0</v>
      </c>
      <c r="W295" s="33" t="str">
        <f t="shared" si="103"/>
        <v/>
      </c>
      <c r="X295" s="93">
        <f>SUM('3:23'!X295)</f>
        <v>0</v>
      </c>
      <c r="Y295" s="93">
        <f>SUM('3:23'!Y295)</f>
        <v>0</v>
      </c>
      <c r="Z295" s="93">
        <f>SUM('3:23'!Z295)</f>
        <v>0</v>
      </c>
      <c r="AA295" s="93">
        <f>SUM('3:23'!AA295)</f>
        <v>0</v>
      </c>
      <c r="AB295" s="73"/>
      <c r="AC295" s="54"/>
      <c r="AD295" s="346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99">
        <v>30100054</v>
      </c>
      <c r="B296" s="63" t="s">
        <v>95</v>
      </c>
      <c r="C296" s="340" t="s">
        <v>72</v>
      </c>
      <c r="D296" s="17">
        <v>5.03</v>
      </c>
      <c r="E296" s="17"/>
      <c r="F296" s="6"/>
      <c r="G296" s="93">
        <f>SUM('3:23'!G296)</f>
        <v>0</v>
      </c>
      <c r="H296" s="339">
        <f t="shared" si="108"/>
        <v>0</v>
      </c>
      <c r="I296" s="93">
        <f>SUM('3:23'!I296)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105"/>
        <v>0</v>
      </c>
      <c r="N296" s="31">
        <f t="shared" si="106"/>
        <v>0</v>
      </c>
      <c r="O296" s="93">
        <f>SUM('3:23'!O296)</f>
        <v>0</v>
      </c>
      <c r="P296" s="93">
        <f>SUM('3:23'!P296)</f>
        <v>0</v>
      </c>
      <c r="Q296" s="93">
        <f>SUM('3:23'!Q296)</f>
        <v>0</v>
      </c>
      <c r="R296" s="93">
        <f>SUM('3:23'!R296)</f>
        <v>0</v>
      </c>
      <c r="S296" s="93">
        <f>SUM('3:23'!S296)</f>
        <v>0</v>
      </c>
      <c r="T296" s="93">
        <f>SUM('3:23'!T296)</f>
        <v>0</v>
      </c>
      <c r="U296" s="93">
        <f>SUM('3:23'!U296)</f>
        <v>0</v>
      </c>
      <c r="V296" s="206">
        <f t="shared" si="107"/>
        <v>0</v>
      </c>
      <c r="W296" s="33" t="str">
        <f t="shared" si="103"/>
        <v/>
      </c>
      <c r="X296" s="93">
        <f>SUM('3:23'!X296)</f>
        <v>0</v>
      </c>
      <c r="Y296" s="93">
        <f>SUM('3:23'!Y296)</f>
        <v>0</v>
      </c>
      <c r="Z296" s="93">
        <f>SUM('3:23'!Z296)</f>
        <v>0</v>
      </c>
      <c r="AA296" s="93">
        <f>SUM('3:23'!AA296)</f>
        <v>0</v>
      </c>
      <c r="AB296" s="73"/>
      <c r="AC296" s="54"/>
      <c r="AD296" s="346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99">
        <v>30100053</v>
      </c>
      <c r="B297" s="63" t="s">
        <v>95</v>
      </c>
      <c r="C297" s="16" t="s">
        <v>73</v>
      </c>
      <c r="D297" s="17">
        <v>5.03</v>
      </c>
      <c r="E297" s="17"/>
      <c r="F297" s="6"/>
      <c r="G297" s="93">
        <f>SUM('3:23'!G297)</f>
        <v>0</v>
      </c>
      <c r="H297" s="339">
        <f t="shared" si="108"/>
        <v>0</v>
      </c>
      <c r="I297" s="93">
        <f>SUM('3:23'!I297)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105"/>
        <v>0</v>
      </c>
      <c r="N297" s="31">
        <f t="shared" si="106"/>
        <v>0</v>
      </c>
      <c r="O297" s="93">
        <f>SUM('3:23'!O297)</f>
        <v>0</v>
      </c>
      <c r="P297" s="93">
        <f>SUM('3:23'!P297)</f>
        <v>0</v>
      </c>
      <c r="Q297" s="93">
        <f>SUM('3:23'!Q297)</f>
        <v>0</v>
      </c>
      <c r="R297" s="93">
        <f>SUM('3:23'!R297)</f>
        <v>0</v>
      </c>
      <c r="S297" s="93">
        <f>SUM('3:23'!S297)</f>
        <v>0</v>
      </c>
      <c r="T297" s="93">
        <f>SUM('3:23'!T297)</f>
        <v>0</v>
      </c>
      <c r="U297" s="93">
        <f>SUM('3:23'!U297)</f>
        <v>0</v>
      </c>
      <c r="V297" s="206">
        <f t="shared" si="107"/>
        <v>0</v>
      </c>
      <c r="W297" s="33" t="str">
        <f t="shared" si="103"/>
        <v/>
      </c>
      <c r="X297" s="93">
        <f>SUM('3:23'!X297)</f>
        <v>0</v>
      </c>
      <c r="Y297" s="93">
        <f>SUM('3:23'!Y297)</f>
        <v>0</v>
      </c>
      <c r="Z297" s="93">
        <f>SUM('3:23'!Z297)</f>
        <v>0</v>
      </c>
      <c r="AA297" s="93">
        <f>SUM('3:23'!AA297)</f>
        <v>0</v>
      </c>
      <c r="AB297" s="73"/>
      <c r="AC297" s="54"/>
      <c r="AD297" s="346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99"/>
      <c r="B298" s="63" t="s">
        <v>95</v>
      </c>
      <c r="C298" s="16" t="s">
        <v>60</v>
      </c>
      <c r="D298" s="17">
        <v>5.03</v>
      </c>
      <c r="E298" s="17"/>
      <c r="F298" s="6"/>
      <c r="G298" s="93">
        <f>SUM('3:23'!G298)</f>
        <v>0</v>
      </c>
      <c r="H298" s="339">
        <f t="shared" si="108"/>
        <v>0</v>
      </c>
      <c r="I298" s="93">
        <f>SUM('3:23'!I298)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105"/>
        <v>0</v>
      </c>
      <c r="N298" s="31">
        <f t="shared" si="106"/>
        <v>0</v>
      </c>
      <c r="O298" s="93">
        <f>SUM('3:23'!O298)</f>
        <v>0</v>
      </c>
      <c r="P298" s="93">
        <f>SUM('3:23'!P298)</f>
        <v>0</v>
      </c>
      <c r="Q298" s="93">
        <f>SUM('3:23'!Q298)</f>
        <v>0</v>
      </c>
      <c r="R298" s="93">
        <f>SUM('3:23'!R298)</f>
        <v>0</v>
      </c>
      <c r="S298" s="93">
        <f>SUM('3:23'!S298)</f>
        <v>0</v>
      </c>
      <c r="T298" s="93">
        <f>SUM('3:23'!T298)</f>
        <v>0</v>
      </c>
      <c r="U298" s="93">
        <f>SUM('3:23'!U298)</f>
        <v>0</v>
      </c>
      <c r="V298" s="206">
        <f t="shared" si="107"/>
        <v>0</v>
      </c>
      <c r="W298" s="33" t="str">
        <f t="shared" si="103"/>
        <v/>
      </c>
      <c r="X298" s="93">
        <f>SUM('3:23'!X298)</f>
        <v>0</v>
      </c>
      <c r="Y298" s="93">
        <f>SUM('3:23'!Y298)</f>
        <v>0</v>
      </c>
      <c r="Z298" s="93">
        <f>SUM('3:23'!Z298)</f>
        <v>0</v>
      </c>
      <c r="AA298" s="93">
        <f>SUM('3:23'!AA298)</f>
        <v>0</v>
      </c>
      <c r="AB298" s="73"/>
      <c r="AC298" s="54"/>
      <c r="AD298" s="346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99"/>
      <c r="B299" s="63" t="s">
        <v>95</v>
      </c>
      <c r="C299" s="340" t="s">
        <v>96</v>
      </c>
      <c r="D299" s="17">
        <v>5.03</v>
      </c>
      <c r="E299" s="17"/>
      <c r="F299" s="6"/>
      <c r="G299" s="93">
        <f>SUM('3:23'!G299)</f>
        <v>0</v>
      </c>
      <c r="H299" s="339">
        <f t="shared" si="108"/>
        <v>0</v>
      </c>
      <c r="I299" s="93">
        <f>SUM('3:23'!I299)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105"/>
        <v>0</v>
      </c>
      <c r="N299" s="31">
        <f t="shared" si="106"/>
        <v>0</v>
      </c>
      <c r="O299" s="93">
        <f>SUM('3:23'!O299)</f>
        <v>0</v>
      </c>
      <c r="P299" s="93">
        <f>SUM('3:23'!P299)</f>
        <v>0</v>
      </c>
      <c r="Q299" s="93">
        <f>SUM('3:23'!Q299)</f>
        <v>0</v>
      </c>
      <c r="R299" s="93">
        <f>SUM('3:23'!R299)</f>
        <v>0</v>
      </c>
      <c r="S299" s="93">
        <f>SUM('3:23'!S299)</f>
        <v>0</v>
      </c>
      <c r="T299" s="93">
        <f>SUM('3:23'!T299)</f>
        <v>0</v>
      </c>
      <c r="U299" s="93">
        <f>SUM('3:23'!U299)</f>
        <v>0</v>
      </c>
      <c r="V299" s="206">
        <f t="shared" si="107"/>
        <v>0</v>
      </c>
      <c r="W299" s="33" t="str">
        <f t="shared" si="103"/>
        <v/>
      </c>
      <c r="X299" s="93">
        <f>SUM('3:23'!X299)</f>
        <v>0</v>
      </c>
      <c r="Y299" s="93">
        <f>SUM('3:23'!Y299)</f>
        <v>0</v>
      </c>
      <c r="Z299" s="93">
        <f>SUM('3:23'!Z299)</f>
        <v>0</v>
      </c>
      <c r="AA299" s="93">
        <f>SUM('3:23'!AA299)</f>
        <v>0</v>
      </c>
      <c r="AB299" s="73"/>
      <c r="AC299" s="54"/>
      <c r="AD299" s="346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99">
        <v>30101067</v>
      </c>
      <c r="B300" s="63" t="s">
        <v>97</v>
      </c>
      <c r="C300" s="340" t="s">
        <v>82</v>
      </c>
      <c r="D300" s="17">
        <v>5.03</v>
      </c>
      <c r="E300" s="17"/>
      <c r="F300" s="6"/>
      <c r="G300" s="93">
        <f>SUM('3:23'!G300)</f>
        <v>0</v>
      </c>
      <c r="H300" s="339">
        <f t="shared" si="108"/>
        <v>0</v>
      </c>
      <c r="I300" s="93">
        <f>SUM('3:23'!I300)</f>
        <v>0</v>
      </c>
      <c r="J300" s="31" t="str">
        <f t="array" ref="J300">IF(ISERROR(G300/I300),"",G300/I300)</f>
        <v/>
      </c>
      <c r="K300" s="35" t="str">
        <f t="array" ref="K300">IF(ISERROR(G300/L300),"",G300/L300)</f>
        <v/>
      </c>
      <c r="L300" s="87"/>
      <c r="M300" s="36" t="str">
        <f t="shared" si="105"/>
        <v/>
      </c>
      <c r="N300" s="31">
        <f t="shared" si="106"/>
        <v>0</v>
      </c>
      <c r="O300" s="93">
        <f>SUM('3:23'!O300)</f>
        <v>0</v>
      </c>
      <c r="P300" s="93">
        <f>SUM('3:23'!P300)</f>
        <v>0</v>
      </c>
      <c r="Q300" s="93">
        <f>SUM('3:23'!Q300)</f>
        <v>0</v>
      </c>
      <c r="R300" s="93">
        <f>SUM('3:23'!R300)</f>
        <v>0</v>
      </c>
      <c r="S300" s="93">
        <f>SUM('3:23'!S300)</f>
        <v>0</v>
      </c>
      <c r="T300" s="93">
        <f>SUM('3:23'!T300)</f>
        <v>0</v>
      </c>
      <c r="U300" s="93">
        <f>SUM('3:23'!U300)</f>
        <v>0</v>
      </c>
      <c r="V300" s="206">
        <f t="shared" si="107"/>
        <v>0</v>
      </c>
      <c r="W300" s="33" t="str">
        <f t="shared" si="103"/>
        <v/>
      </c>
      <c r="X300" s="93">
        <f>SUM('3:23'!X300)</f>
        <v>0</v>
      </c>
      <c r="Y300" s="93">
        <f>SUM('3:23'!Y300)</f>
        <v>0</v>
      </c>
      <c r="Z300" s="93">
        <f>SUM('3:23'!Z300)</f>
        <v>0</v>
      </c>
      <c r="AA300" s="93">
        <f>SUM('3:23'!AA300)</f>
        <v>0</v>
      </c>
      <c r="AB300" s="73"/>
      <c r="AC300" s="54"/>
      <c r="AD300" s="346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99">
        <v>30101068</v>
      </c>
      <c r="B301" s="63" t="s">
        <v>97</v>
      </c>
      <c r="C301" s="340" t="s">
        <v>72</v>
      </c>
      <c r="D301" s="17">
        <v>5.03</v>
      </c>
      <c r="E301" s="17"/>
      <c r="F301" s="6"/>
      <c r="G301" s="93">
        <f>SUM('3:23'!G301)</f>
        <v>0</v>
      </c>
      <c r="H301" s="339">
        <f t="shared" si="108"/>
        <v>0</v>
      </c>
      <c r="I301" s="93">
        <f>SUM('3:23'!I301)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105"/>
        <v/>
      </c>
      <c r="N301" s="31">
        <f t="shared" si="106"/>
        <v>0</v>
      </c>
      <c r="O301" s="93">
        <f>SUM('3:23'!O301)</f>
        <v>0</v>
      </c>
      <c r="P301" s="93">
        <f>SUM('3:23'!P301)</f>
        <v>0</v>
      </c>
      <c r="Q301" s="93">
        <f>SUM('3:23'!Q301)</f>
        <v>0</v>
      </c>
      <c r="R301" s="93">
        <f>SUM('3:23'!R301)</f>
        <v>0</v>
      </c>
      <c r="S301" s="93">
        <f>SUM('3:23'!S301)</f>
        <v>0</v>
      </c>
      <c r="T301" s="93">
        <f>SUM('3:23'!T301)</f>
        <v>0</v>
      </c>
      <c r="U301" s="93">
        <f>SUM('3:23'!U301)</f>
        <v>0</v>
      </c>
      <c r="V301" s="206">
        <f t="shared" si="107"/>
        <v>0</v>
      </c>
      <c r="W301" s="33" t="str">
        <f t="shared" si="103"/>
        <v/>
      </c>
      <c r="X301" s="93">
        <f>SUM('3:23'!X301)</f>
        <v>0</v>
      </c>
      <c r="Y301" s="93">
        <f>SUM('3:23'!Y301)</f>
        <v>0</v>
      </c>
      <c r="Z301" s="93">
        <f>SUM('3:23'!Z301)</f>
        <v>0</v>
      </c>
      <c r="AA301" s="93">
        <f>SUM('3:23'!AA301)</f>
        <v>0</v>
      </c>
      <c r="AB301" s="73"/>
      <c r="AC301" s="54"/>
      <c r="AD301" s="346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99">
        <v>30101069</v>
      </c>
      <c r="B302" s="63" t="s">
        <v>97</v>
      </c>
      <c r="C302" s="340" t="s">
        <v>60</v>
      </c>
      <c r="D302" s="17">
        <v>5.03</v>
      </c>
      <c r="E302" s="17"/>
      <c r="F302" s="6"/>
      <c r="G302" s="93">
        <f>SUM('3:23'!G302)</f>
        <v>0</v>
      </c>
      <c r="H302" s="339">
        <f t="shared" si="108"/>
        <v>0</v>
      </c>
      <c r="I302" s="93">
        <f>SUM('3:23'!I302)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105"/>
        <v/>
      </c>
      <c r="N302" s="31">
        <f t="shared" si="106"/>
        <v>0</v>
      </c>
      <c r="O302" s="93">
        <f>SUM('3:23'!O302)</f>
        <v>0</v>
      </c>
      <c r="P302" s="93">
        <f>SUM('3:23'!P302)</f>
        <v>0</v>
      </c>
      <c r="Q302" s="93">
        <f>SUM('3:23'!Q302)</f>
        <v>0</v>
      </c>
      <c r="R302" s="93">
        <f>SUM('3:23'!R302)</f>
        <v>0</v>
      </c>
      <c r="S302" s="93">
        <f>SUM('3:23'!S302)</f>
        <v>0</v>
      </c>
      <c r="T302" s="93">
        <f>SUM('3:23'!T302)</f>
        <v>0</v>
      </c>
      <c r="U302" s="93">
        <f>SUM('3:23'!U302)</f>
        <v>0</v>
      </c>
      <c r="V302" s="206">
        <f t="shared" si="107"/>
        <v>0</v>
      </c>
      <c r="W302" s="33" t="str">
        <f t="shared" si="103"/>
        <v/>
      </c>
      <c r="X302" s="93">
        <f>SUM('3:23'!X302)</f>
        <v>0</v>
      </c>
      <c r="Y302" s="93">
        <f>SUM('3:23'!Y302)</f>
        <v>0</v>
      </c>
      <c r="Z302" s="93">
        <f>SUM('3:23'!Z302)</f>
        <v>0</v>
      </c>
      <c r="AA302" s="93">
        <f>SUM('3:23'!AA302)</f>
        <v>0</v>
      </c>
      <c r="AB302" s="73"/>
      <c r="AC302" s="54"/>
      <c r="AD302" s="346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99">
        <v>30101070</v>
      </c>
      <c r="B303" s="63" t="s">
        <v>97</v>
      </c>
      <c r="C303" s="340" t="s">
        <v>96</v>
      </c>
      <c r="D303" s="17">
        <v>5.03</v>
      </c>
      <c r="E303" s="17"/>
      <c r="F303" s="6"/>
      <c r="G303" s="93">
        <f>SUM('3:23'!G303)</f>
        <v>0</v>
      </c>
      <c r="H303" s="339">
        <f t="shared" si="108"/>
        <v>0</v>
      </c>
      <c r="I303" s="93">
        <f>SUM('3:23'!I303)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105"/>
        <v/>
      </c>
      <c r="N303" s="31">
        <f t="shared" si="106"/>
        <v>0</v>
      </c>
      <c r="O303" s="93">
        <f>SUM('3:23'!O303)</f>
        <v>0</v>
      </c>
      <c r="P303" s="93">
        <f>SUM('3:23'!P303)</f>
        <v>0</v>
      </c>
      <c r="Q303" s="93">
        <f>SUM('3:23'!Q303)</f>
        <v>0</v>
      </c>
      <c r="R303" s="93">
        <f>SUM('3:23'!R303)</f>
        <v>0</v>
      </c>
      <c r="S303" s="93">
        <f>SUM('3:23'!S303)</f>
        <v>0</v>
      </c>
      <c r="T303" s="93">
        <f>SUM('3:23'!T303)</f>
        <v>0</v>
      </c>
      <c r="U303" s="93">
        <f>SUM('3:23'!U303)</f>
        <v>0</v>
      </c>
      <c r="V303" s="206">
        <f t="shared" si="107"/>
        <v>0</v>
      </c>
      <c r="W303" s="33" t="str">
        <f t="shared" si="103"/>
        <v/>
      </c>
      <c r="X303" s="93">
        <f>SUM('3:23'!X303)</f>
        <v>0</v>
      </c>
      <c r="Y303" s="93">
        <f>SUM('3:23'!Y303)</f>
        <v>0</v>
      </c>
      <c r="Z303" s="93">
        <f>SUM('3:23'!Z303)</f>
        <v>0</v>
      </c>
      <c r="AA303" s="93">
        <f>SUM('3:23'!AA303)</f>
        <v>0</v>
      </c>
      <c r="AB303" s="73"/>
      <c r="AC303" s="54"/>
      <c r="AD303" s="346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99">
        <v>30101071</v>
      </c>
      <c r="B304" s="63" t="s">
        <v>97</v>
      </c>
      <c r="C304" s="340" t="s">
        <v>73</v>
      </c>
      <c r="D304" s="17">
        <v>5.03</v>
      </c>
      <c r="E304" s="17"/>
      <c r="F304" s="6"/>
      <c r="G304" s="93">
        <f>SUM('3:23'!G304)</f>
        <v>0</v>
      </c>
      <c r="H304" s="339">
        <f t="shared" si="108"/>
        <v>0</v>
      </c>
      <c r="I304" s="93">
        <f>SUM('3:23'!I304)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105"/>
        <v/>
      </c>
      <c r="N304" s="31">
        <f t="shared" si="106"/>
        <v>0</v>
      </c>
      <c r="O304" s="93">
        <f>SUM('3:23'!O304)</f>
        <v>0</v>
      </c>
      <c r="P304" s="93">
        <f>SUM('3:23'!P304)</f>
        <v>0</v>
      </c>
      <c r="Q304" s="93">
        <f>SUM('3:23'!Q304)</f>
        <v>0</v>
      </c>
      <c r="R304" s="93">
        <f>SUM('3:23'!R304)</f>
        <v>0</v>
      </c>
      <c r="S304" s="93">
        <f>SUM('3:23'!S304)</f>
        <v>0</v>
      </c>
      <c r="T304" s="93">
        <f>SUM('3:23'!T304)</f>
        <v>0</v>
      </c>
      <c r="U304" s="93">
        <f>SUM('3:23'!U304)</f>
        <v>0</v>
      </c>
      <c r="V304" s="206">
        <f t="shared" si="107"/>
        <v>0</v>
      </c>
      <c r="W304" s="33" t="str">
        <f t="shared" si="103"/>
        <v/>
      </c>
      <c r="X304" s="93">
        <f>SUM('3:23'!X304)</f>
        <v>0</v>
      </c>
      <c r="Y304" s="93">
        <f>SUM('3:23'!Y304)</f>
        <v>0</v>
      </c>
      <c r="Z304" s="93">
        <f>SUM('3:23'!Z304)</f>
        <v>0</v>
      </c>
      <c r="AA304" s="93">
        <f>SUM('3:23'!AA304)</f>
        <v>0</v>
      </c>
      <c r="AB304" s="73"/>
      <c r="AC304" s="54"/>
      <c r="AD304" s="346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300">
        <v>30100001</v>
      </c>
      <c r="B305" s="62" t="s">
        <v>98</v>
      </c>
      <c r="C305" s="16" t="s">
        <v>74</v>
      </c>
      <c r="D305" s="17">
        <v>5.0599999999999996</v>
      </c>
      <c r="E305" s="17"/>
      <c r="F305" s="6"/>
      <c r="G305" s="93">
        <f>SUM('3:23'!G305)</f>
        <v>833</v>
      </c>
      <c r="H305" s="339">
        <f t="shared" si="108"/>
        <v>4214.9799999999996</v>
      </c>
      <c r="I305" s="93">
        <f>SUM('3:23'!I305)</f>
        <v>35.5</v>
      </c>
      <c r="J305" s="31">
        <f t="array" ref="J305">IF(ISERROR(G305/I305),"",G305/I305)</f>
        <v>23.464788732394368</v>
      </c>
      <c r="K305" s="35">
        <f t="array" ref="K305">IF(ISERROR(G305/L305),"",G305/L305)</f>
        <v>33.32</v>
      </c>
      <c r="L305" s="87">
        <v>25</v>
      </c>
      <c r="M305" s="36">
        <f t="shared" si="105"/>
        <v>2.1799999999999997</v>
      </c>
      <c r="N305" s="31">
        <f t="shared" si="106"/>
        <v>0</v>
      </c>
      <c r="O305" s="93">
        <f>SUM('3:23'!O305)</f>
        <v>0</v>
      </c>
      <c r="P305" s="93">
        <f>SUM('3:23'!P305)</f>
        <v>0</v>
      </c>
      <c r="Q305" s="93">
        <f>SUM('3:23'!Q305)</f>
        <v>0</v>
      </c>
      <c r="R305" s="93">
        <f>SUM('3:23'!R305)</f>
        <v>0</v>
      </c>
      <c r="S305" s="93">
        <f>SUM('3:23'!S305)</f>
        <v>0</v>
      </c>
      <c r="T305" s="93">
        <f>SUM('3:23'!T305)</f>
        <v>0</v>
      </c>
      <c r="U305" s="93">
        <f>SUM('3:23'!U305)</f>
        <v>0</v>
      </c>
      <c r="V305" s="206">
        <f t="shared" si="107"/>
        <v>0</v>
      </c>
      <c r="W305" s="33">
        <f t="shared" si="103"/>
        <v>0</v>
      </c>
      <c r="X305" s="93">
        <f>SUM('3:23'!X305)</f>
        <v>0</v>
      </c>
      <c r="Y305" s="93">
        <f>SUM('3:23'!Y305)</f>
        <v>0</v>
      </c>
      <c r="Z305" s="93">
        <f>SUM('3:23'!Z305)</f>
        <v>0</v>
      </c>
      <c r="AA305" s="93">
        <f>SUM('3:23'!AA305)</f>
        <v>0</v>
      </c>
      <c r="AB305" s="73"/>
      <c r="AC305" s="54"/>
      <c r="AD305" s="346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300">
        <v>30100002</v>
      </c>
      <c r="B306" s="62" t="s">
        <v>98</v>
      </c>
      <c r="C306" s="16" t="s">
        <v>94</v>
      </c>
      <c r="D306" s="17">
        <v>5.0599999999999996</v>
      </c>
      <c r="E306" s="17"/>
      <c r="F306" s="6"/>
      <c r="G306" s="93">
        <f>SUM('3:23'!G306)</f>
        <v>900</v>
      </c>
      <c r="H306" s="339">
        <f t="shared" si="108"/>
        <v>4554</v>
      </c>
      <c r="I306" s="93">
        <f>SUM('3:23'!I306)</f>
        <v>34.5</v>
      </c>
      <c r="J306" s="31">
        <f t="array" ref="J306">IF(ISERROR(G306/I306),"",G306/I306)</f>
        <v>26.086956521739129</v>
      </c>
      <c r="K306" s="35">
        <f t="array" ref="K306">IF(ISERROR(G306/L306),"",G306/L306)</f>
        <v>36</v>
      </c>
      <c r="L306" s="87">
        <v>25</v>
      </c>
      <c r="M306" s="36">
        <f t="shared" si="105"/>
        <v>-1.5</v>
      </c>
      <c r="N306" s="31">
        <f t="shared" si="106"/>
        <v>0</v>
      </c>
      <c r="O306" s="93">
        <f>SUM('3:23'!O306)</f>
        <v>0</v>
      </c>
      <c r="P306" s="93">
        <f>SUM('3:23'!P306)</f>
        <v>0</v>
      </c>
      <c r="Q306" s="93">
        <f>SUM('3:23'!Q306)</f>
        <v>0</v>
      </c>
      <c r="R306" s="93">
        <f>SUM('3:23'!R306)</f>
        <v>0</v>
      </c>
      <c r="S306" s="93">
        <f>SUM('3:23'!S306)</f>
        <v>0</v>
      </c>
      <c r="T306" s="93">
        <f>SUM('3:23'!T306)</f>
        <v>0</v>
      </c>
      <c r="U306" s="93">
        <f>SUM('3:23'!U306)</f>
        <v>0</v>
      </c>
      <c r="V306" s="206">
        <f t="shared" si="107"/>
        <v>0</v>
      </c>
      <c r="W306" s="33">
        <f t="shared" si="103"/>
        <v>0</v>
      </c>
      <c r="X306" s="93">
        <f>SUM('3:23'!X306)</f>
        <v>0</v>
      </c>
      <c r="Y306" s="93">
        <f>SUM('3:23'!Y306)</f>
        <v>0</v>
      </c>
      <c r="Z306" s="93">
        <f>SUM('3:23'!Z306)</f>
        <v>0</v>
      </c>
      <c r="AA306" s="93">
        <f>SUM('3:23'!AA306)</f>
        <v>0</v>
      </c>
      <c r="AB306" s="73"/>
      <c r="AC306" s="54"/>
      <c r="AD306" s="346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725" t="s">
        <v>99</v>
      </c>
      <c r="B307" s="726"/>
      <c r="C307" s="342" t="s">
        <v>71</v>
      </c>
      <c r="D307" s="20"/>
      <c r="E307" s="20"/>
      <c r="F307" s="32"/>
      <c r="G307" s="99">
        <f>SUM(G292:G306)</f>
        <v>3656</v>
      </c>
      <c r="H307" s="30">
        <f>SUM(H292:H306)</f>
        <v>18445.84</v>
      </c>
      <c r="I307" s="30">
        <f>SUM(I292:I306)</f>
        <v>183</v>
      </c>
      <c r="J307" s="31">
        <f t="array" ref="J307">IF(ISERROR(G307/I307),"",G307/I307)</f>
        <v>19.978142076502731</v>
      </c>
      <c r="K307" s="30">
        <f>SUM(K292:K306)</f>
        <v>150.41</v>
      </c>
      <c r="L307" s="30"/>
      <c r="M307" s="89">
        <f t="shared" ref="M307:V307" si="109">SUM(M292:M306)</f>
        <v>32.590000000000003</v>
      </c>
      <c r="N307" s="30">
        <f t="shared" si="109"/>
        <v>0</v>
      </c>
      <c r="O307" s="30">
        <f t="shared" si="109"/>
        <v>0</v>
      </c>
      <c r="P307" s="30">
        <f t="shared" si="109"/>
        <v>0</v>
      </c>
      <c r="Q307" s="30">
        <f t="shared" si="109"/>
        <v>0</v>
      </c>
      <c r="R307" s="30">
        <f t="shared" si="109"/>
        <v>0</v>
      </c>
      <c r="S307" s="30">
        <f t="shared" si="109"/>
        <v>0</v>
      </c>
      <c r="T307" s="30">
        <f t="shared" si="109"/>
        <v>0</v>
      </c>
      <c r="U307" s="30">
        <f t="shared" si="109"/>
        <v>0</v>
      </c>
      <c r="V307" s="208">
        <f t="shared" si="109"/>
        <v>0</v>
      </c>
      <c r="W307" s="33">
        <f t="shared" si="103"/>
        <v>0</v>
      </c>
      <c r="X307" s="94">
        <f>SUM(X292:X306)</f>
        <v>0</v>
      </c>
      <c r="Y307" s="94">
        <f>SUM(Y292:Y306)</f>
        <v>0</v>
      </c>
      <c r="Z307" s="94">
        <f>SUM(Z292:Z306)</f>
        <v>0</v>
      </c>
      <c r="AA307" s="94">
        <f>SUM(AA292:AA306)</f>
        <v>0</v>
      </c>
      <c r="AB307" s="75"/>
      <c r="AC307" s="70"/>
      <c r="AD307" s="346"/>
      <c r="AE307" s="74"/>
      <c r="AF307" s="74"/>
      <c r="AG307" s="74"/>
      <c r="AH307" s="7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300">
        <v>30400025</v>
      </c>
      <c r="B308" s="62" t="s">
        <v>100</v>
      </c>
      <c r="C308" s="16" t="s">
        <v>53</v>
      </c>
      <c r="D308" s="17">
        <v>5.04</v>
      </c>
      <c r="E308" s="17"/>
      <c r="F308" s="6"/>
      <c r="G308" s="93">
        <f>SUM('3:23'!G308)</f>
        <v>509</v>
      </c>
      <c r="H308" s="339">
        <f t="shared" ref="H308:H316" si="110">D308*G308</f>
        <v>2565.36</v>
      </c>
      <c r="I308" s="93">
        <f>SUM('3:23'!I308)</f>
        <v>25</v>
      </c>
      <c r="J308" s="31">
        <f t="array" ref="J308">IF(ISERROR(G308/I308),"",G308/I308)</f>
        <v>20.36</v>
      </c>
      <c r="K308" s="35">
        <f t="array" ref="K308">IF(ISERROR(G308/L308),"",G308/L308)</f>
        <v>23.136363636363637</v>
      </c>
      <c r="L308" s="87">
        <v>22</v>
      </c>
      <c r="M308" s="36">
        <f t="shared" ref="M308:M312" si="111">IF(ISERROR(I308-K308),"",I308-K308)</f>
        <v>1.8636363636363633</v>
      </c>
      <c r="N308" s="31">
        <f t="shared" ref="N308:N312" si="112">SUM(O308:U308)</f>
        <v>0</v>
      </c>
      <c r="O308" s="93">
        <f>SUM('3:23'!O308)</f>
        <v>0</v>
      </c>
      <c r="P308" s="93">
        <f>SUM('3:23'!P308)</f>
        <v>0</v>
      </c>
      <c r="Q308" s="93">
        <f>SUM('3:23'!Q308)</f>
        <v>0</v>
      </c>
      <c r="R308" s="93">
        <f>SUM('3:23'!R308)</f>
        <v>0</v>
      </c>
      <c r="S308" s="93">
        <f>SUM('3:23'!S308)</f>
        <v>0</v>
      </c>
      <c r="T308" s="93">
        <f>SUM('3:23'!T308)</f>
        <v>0</v>
      </c>
      <c r="U308" s="93">
        <f>SUM('3:23'!U308)</f>
        <v>0</v>
      </c>
      <c r="V308" s="206">
        <f t="shared" ref="V308:V312" si="113">SUM(X308:AA308)</f>
        <v>0</v>
      </c>
      <c r="W308" s="33">
        <f t="shared" si="103"/>
        <v>0</v>
      </c>
      <c r="X308" s="93">
        <f>SUM('3:23'!X308)</f>
        <v>0</v>
      </c>
      <c r="Y308" s="93">
        <f>SUM('3:23'!Y308)</f>
        <v>0</v>
      </c>
      <c r="Z308" s="93">
        <f>SUM('3:23'!Z308)</f>
        <v>0</v>
      </c>
      <c r="AA308" s="93">
        <f>SUM('3:23'!AA308)</f>
        <v>0</v>
      </c>
      <c r="AB308" s="73"/>
      <c r="AC308" s="54"/>
      <c r="AD308" s="346"/>
      <c r="AE308" s="54"/>
      <c r="AF308" s="54"/>
      <c r="AG308" s="54"/>
      <c r="AH308" s="5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300">
        <v>30400023</v>
      </c>
      <c r="B309" s="62" t="s">
        <v>100</v>
      </c>
      <c r="C309" s="16" t="s">
        <v>60</v>
      </c>
      <c r="D309" s="17">
        <v>5.04</v>
      </c>
      <c r="E309" s="17"/>
      <c r="F309" s="6"/>
      <c r="G309" s="93">
        <f>SUM('3:23'!G309)</f>
        <v>0</v>
      </c>
      <c r="H309" s="339">
        <f t="shared" si="110"/>
        <v>0</v>
      </c>
      <c r="I309" s="93">
        <f>SUM('3:23'!I309)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si="111"/>
        <v>0</v>
      </c>
      <c r="N309" s="31">
        <f t="shared" si="112"/>
        <v>0</v>
      </c>
      <c r="O309" s="93">
        <f>SUM('3:23'!O309)</f>
        <v>0</v>
      </c>
      <c r="P309" s="93">
        <f>SUM('3:23'!P309)</f>
        <v>0</v>
      </c>
      <c r="Q309" s="93">
        <f>SUM('3:23'!Q309)</f>
        <v>0</v>
      </c>
      <c r="R309" s="93">
        <f>SUM('3:23'!R309)</f>
        <v>0</v>
      </c>
      <c r="S309" s="93">
        <f>SUM('3:23'!S309)</f>
        <v>0</v>
      </c>
      <c r="T309" s="93">
        <f>SUM('3:23'!T309)</f>
        <v>0</v>
      </c>
      <c r="U309" s="93">
        <f>SUM('3:23'!U309)</f>
        <v>0</v>
      </c>
      <c r="V309" s="206">
        <f t="shared" si="113"/>
        <v>0</v>
      </c>
      <c r="W309" s="33" t="str">
        <f t="shared" si="103"/>
        <v/>
      </c>
      <c r="X309" s="93">
        <f>SUM('3:23'!X309)</f>
        <v>0</v>
      </c>
      <c r="Y309" s="93">
        <f>SUM('3:23'!Y309)</f>
        <v>0</v>
      </c>
      <c r="Z309" s="93">
        <f>SUM('3:23'!Z309)</f>
        <v>0</v>
      </c>
      <c r="AA309" s="93">
        <f>SUM('3:23'!AA309)</f>
        <v>0</v>
      </c>
      <c r="AB309" s="73"/>
      <c r="AC309" s="54"/>
      <c r="AD309" s="346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300">
        <v>30400024</v>
      </c>
      <c r="B310" s="62" t="s">
        <v>100</v>
      </c>
      <c r="C310" s="16" t="s">
        <v>74</v>
      </c>
      <c r="D310" s="17">
        <v>5.04</v>
      </c>
      <c r="E310" s="17"/>
      <c r="F310" s="6"/>
      <c r="G310" s="93">
        <f>SUM('3:23'!G310)</f>
        <v>420</v>
      </c>
      <c r="H310" s="339">
        <f t="shared" si="110"/>
        <v>2116.8000000000002</v>
      </c>
      <c r="I310" s="93">
        <f>SUM('3:23'!I310)</f>
        <v>25</v>
      </c>
      <c r="J310" s="31">
        <f t="array" ref="J310">IF(ISERROR(G310/I310),"",G310/I310)</f>
        <v>16.8</v>
      </c>
      <c r="K310" s="35">
        <f t="array" ref="K310">IF(ISERROR(G310/L310),"",G310/L310)</f>
        <v>19.09090909090909</v>
      </c>
      <c r="L310" s="87">
        <v>22</v>
      </c>
      <c r="M310" s="36">
        <f t="shared" si="111"/>
        <v>5.9090909090909101</v>
      </c>
      <c r="N310" s="31">
        <f t="shared" si="112"/>
        <v>0</v>
      </c>
      <c r="O310" s="93">
        <f>SUM('3:23'!O310)</f>
        <v>0</v>
      </c>
      <c r="P310" s="93">
        <f>SUM('3:23'!P310)</f>
        <v>0</v>
      </c>
      <c r="Q310" s="93">
        <f>SUM('3:23'!Q310)</f>
        <v>0</v>
      </c>
      <c r="R310" s="93">
        <f>SUM('3:23'!R310)</f>
        <v>0</v>
      </c>
      <c r="S310" s="93">
        <f>SUM('3:23'!S310)</f>
        <v>0</v>
      </c>
      <c r="T310" s="93">
        <f>SUM('3:23'!T310)</f>
        <v>0</v>
      </c>
      <c r="U310" s="93">
        <f>SUM('3:23'!U310)</f>
        <v>0</v>
      </c>
      <c r="V310" s="206">
        <f t="shared" si="113"/>
        <v>0</v>
      </c>
      <c r="W310" s="33">
        <f t="shared" si="103"/>
        <v>0</v>
      </c>
      <c r="X310" s="93">
        <f>SUM('3:23'!X310)</f>
        <v>0</v>
      </c>
      <c r="Y310" s="93">
        <f>SUM('3:23'!Y310)</f>
        <v>0</v>
      </c>
      <c r="Z310" s="93">
        <f>SUM('3:23'!Z310)</f>
        <v>0</v>
      </c>
      <c r="AA310" s="93">
        <f>SUM('3:23'!AA310)</f>
        <v>0</v>
      </c>
      <c r="AB310" s="73"/>
      <c r="AC310" s="54"/>
      <c r="AD310" s="346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300"/>
      <c r="B311" s="62" t="s">
        <v>100</v>
      </c>
      <c r="C311" s="16" t="s">
        <v>66</v>
      </c>
      <c r="D311" s="17">
        <v>5.04</v>
      </c>
      <c r="E311" s="17"/>
      <c r="F311" s="6"/>
      <c r="G311" s="93">
        <f>SUM('3:23'!G311)</f>
        <v>0</v>
      </c>
      <c r="H311" s="339">
        <f t="shared" si="110"/>
        <v>0</v>
      </c>
      <c r="I311" s="93">
        <f>SUM('3:23'!I311)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111"/>
        <v>0</v>
      </c>
      <c r="N311" s="31">
        <f t="shared" si="112"/>
        <v>0</v>
      </c>
      <c r="O311" s="93">
        <f>SUM('3:23'!O311)</f>
        <v>0</v>
      </c>
      <c r="P311" s="93">
        <f>SUM('3:23'!P311)</f>
        <v>0</v>
      </c>
      <c r="Q311" s="93">
        <f>SUM('3:23'!Q311)</f>
        <v>0</v>
      </c>
      <c r="R311" s="93">
        <f>SUM('3:23'!R311)</f>
        <v>0</v>
      </c>
      <c r="S311" s="93">
        <f>SUM('3:23'!S311)</f>
        <v>0</v>
      </c>
      <c r="T311" s="93">
        <f>SUM('3:23'!T311)</f>
        <v>0</v>
      </c>
      <c r="U311" s="93">
        <f>SUM('3:23'!U311)</f>
        <v>0</v>
      </c>
      <c r="V311" s="206">
        <f t="shared" si="113"/>
        <v>0</v>
      </c>
      <c r="W311" s="33" t="str">
        <f t="shared" si="103"/>
        <v/>
      </c>
      <c r="X311" s="93">
        <f>SUM('3:23'!X311)</f>
        <v>0</v>
      </c>
      <c r="Y311" s="93">
        <f>SUM('3:23'!Y311)</f>
        <v>0</v>
      </c>
      <c r="Z311" s="93">
        <f>SUM('3:23'!Z311)</f>
        <v>0</v>
      </c>
      <c r="AA311" s="93">
        <f>SUM('3:23'!AA311)</f>
        <v>0</v>
      </c>
      <c r="AB311" s="73"/>
      <c r="AC311" s="54"/>
      <c r="AD311" s="346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300"/>
      <c r="B312" s="62" t="s">
        <v>100</v>
      </c>
      <c r="C312" s="16" t="s">
        <v>101</v>
      </c>
      <c r="D312" s="17">
        <v>5.04</v>
      </c>
      <c r="E312" s="17"/>
      <c r="F312" s="6"/>
      <c r="G312" s="93">
        <f>SUM('3:23'!G312)</f>
        <v>0</v>
      </c>
      <c r="H312" s="339">
        <f t="shared" si="110"/>
        <v>0</v>
      </c>
      <c r="I312" s="93">
        <f>SUM('3:23'!I312)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111"/>
        <v>0</v>
      </c>
      <c r="N312" s="31">
        <f t="shared" si="112"/>
        <v>0</v>
      </c>
      <c r="O312" s="93">
        <f>SUM('3:23'!O312)</f>
        <v>0</v>
      </c>
      <c r="P312" s="93">
        <f>SUM('3:23'!P312)</f>
        <v>0</v>
      </c>
      <c r="Q312" s="93">
        <f>SUM('3:23'!Q312)</f>
        <v>0</v>
      </c>
      <c r="R312" s="93">
        <f>SUM('3:23'!R312)</f>
        <v>0</v>
      </c>
      <c r="S312" s="93">
        <f>SUM('3:23'!S312)</f>
        <v>0</v>
      </c>
      <c r="T312" s="93">
        <f>SUM('3:23'!T312)</f>
        <v>0</v>
      </c>
      <c r="U312" s="93">
        <f>SUM('3:23'!U312)</f>
        <v>0</v>
      </c>
      <c r="V312" s="206">
        <f t="shared" si="113"/>
        <v>0</v>
      </c>
      <c r="W312" s="33" t="str">
        <f t="shared" si="103"/>
        <v/>
      </c>
      <c r="X312" s="93">
        <f>SUM('3:23'!X312)</f>
        <v>0</v>
      </c>
      <c r="Y312" s="93">
        <f>SUM('3:23'!Y312)</f>
        <v>0</v>
      </c>
      <c r="Z312" s="93">
        <f>SUM('3:23'!Z312)</f>
        <v>0</v>
      </c>
      <c r="AA312" s="93">
        <f>SUM('3:23'!AA312)</f>
        <v>0</v>
      </c>
      <c r="AB312" s="73"/>
      <c r="AC312" s="54"/>
      <c r="AD312" s="346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300">
        <v>30400019</v>
      </c>
      <c r="B313" s="192" t="s">
        <v>440</v>
      </c>
      <c r="C313" s="187" t="s">
        <v>442</v>
      </c>
      <c r="D313" s="17">
        <v>5.03</v>
      </c>
      <c r="E313" s="17"/>
      <c r="F313" s="6"/>
      <c r="G313" s="93">
        <f>SUM('3:23'!G313)</f>
        <v>493</v>
      </c>
      <c r="H313" s="481">
        <f t="shared" si="110"/>
        <v>2479.79</v>
      </c>
      <c r="I313" s="93">
        <f>SUM('3:23'!I313)</f>
        <v>22</v>
      </c>
      <c r="J313" s="31">
        <f t="array" ref="J313">IF(ISERROR(G313/I313),"",G313/I313)</f>
        <v>22.40909090909091</v>
      </c>
      <c r="K313" s="35"/>
      <c r="L313" s="87">
        <v>13.5</v>
      </c>
      <c r="M313" s="36"/>
      <c r="N313" s="31"/>
      <c r="O313" s="93"/>
      <c r="P313" s="93"/>
      <c r="Q313" s="93"/>
      <c r="R313" s="93"/>
      <c r="S313" s="93"/>
      <c r="T313" s="93"/>
      <c r="U313" s="93"/>
      <c r="V313" s="206"/>
      <c r="W313" s="33"/>
      <c r="X313" s="93"/>
      <c r="Y313" s="93"/>
      <c r="Z313" s="93"/>
      <c r="AA313" s="93"/>
      <c r="AB313" s="73"/>
      <c r="AC313" s="54"/>
      <c r="AD313" s="346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300">
        <v>30400020</v>
      </c>
      <c r="B314" s="192" t="s">
        <v>439</v>
      </c>
      <c r="C314" s="187" t="s">
        <v>523</v>
      </c>
      <c r="D314" s="17">
        <v>5.03</v>
      </c>
      <c r="E314" s="17"/>
      <c r="F314" s="6"/>
      <c r="G314" s="93">
        <f>SUM('3:23'!G314)</f>
        <v>655</v>
      </c>
      <c r="H314" s="481">
        <f t="shared" si="110"/>
        <v>3294.65</v>
      </c>
      <c r="I314" s="93">
        <f>SUM('3:23'!I314)</f>
        <v>47</v>
      </c>
      <c r="J314" s="31">
        <f t="array" ref="J314">IF(ISERROR(G314/I314),"",G314/I314)</f>
        <v>13.936170212765957</v>
      </c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6"/>
      <c r="W314" s="33"/>
      <c r="X314" s="93"/>
      <c r="Y314" s="93"/>
      <c r="Z314" s="93"/>
      <c r="AA314" s="93"/>
      <c r="AB314" s="73"/>
      <c r="AC314" s="54"/>
      <c r="AD314" s="482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300">
        <v>30400021</v>
      </c>
      <c r="B315" s="192" t="s">
        <v>439</v>
      </c>
      <c r="C315" s="187" t="s">
        <v>525</v>
      </c>
      <c r="D315" s="17">
        <v>5.03</v>
      </c>
      <c r="E315" s="17"/>
      <c r="F315" s="6"/>
      <c r="G315" s="93">
        <f>SUM('3:23'!G315)</f>
        <v>578</v>
      </c>
      <c r="H315" s="508">
        <f t="shared" si="110"/>
        <v>2907.34</v>
      </c>
      <c r="I315" s="93">
        <f>SUM('3:23'!I315)</f>
        <v>46</v>
      </c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6"/>
      <c r="W315" s="33"/>
      <c r="X315" s="93"/>
      <c r="Y315" s="93"/>
      <c r="Z315" s="93"/>
      <c r="AA315" s="93"/>
      <c r="AB315" s="73"/>
      <c r="AC315" s="54"/>
      <c r="AD315" s="509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300">
        <v>30400022</v>
      </c>
      <c r="B316" s="62" t="s">
        <v>100</v>
      </c>
      <c r="C316" s="16" t="s">
        <v>55</v>
      </c>
      <c r="D316" s="17">
        <v>5.04</v>
      </c>
      <c r="E316" s="17"/>
      <c r="F316" s="6"/>
      <c r="G316" s="93">
        <f>SUM('3:23'!G316)</f>
        <v>890</v>
      </c>
      <c r="H316" s="339">
        <f t="shared" si="110"/>
        <v>4485.6000000000004</v>
      </c>
      <c r="I316" s="93">
        <f>SUM('3:23'!I316)</f>
        <v>55.5</v>
      </c>
      <c r="J316" s="31">
        <f t="array" ref="J316">IF(ISERROR(G316/I316),"",G316/I316)</f>
        <v>16.036036036036037</v>
      </c>
      <c r="K316" s="35">
        <f t="array" ref="K316">IF(ISERROR(G316/L316),"",G316/L316)</f>
        <v>40.454545454545453</v>
      </c>
      <c r="L316" s="87">
        <v>22</v>
      </c>
      <c r="M316" s="36">
        <f t="shared" ref="M316" si="114">IF(ISERROR(I316-K316),"",I316-K316)</f>
        <v>15.045454545454547</v>
      </c>
      <c r="N316" s="31">
        <f t="shared" ref="N316" si="115">SUM(O316:U316)</f>
        <v>0</v>
      </c>
      <c r="O316" s="93">
        <f>SUM('3:23'!O316)</f>
        <v>0</v>
      </c>
      <c r="P316" s="93">
        <f>SUM('3:23'!P316)</f>
        <v>0</v>
      </c>
      <c r="Q316" s="93">
        <f>SUM('3:23'!Q316)</f>
        <v>0</v>
      </c>
      <c r="R316" s="93">
        <f>SUM('3:23'!R316)</f>
        <v>0</v>
      </c>
      <c r="S316" s="93">
        <f>SUM('3:23'!S316)</f>
        <v>0</v>
      </c>
      <c r="T316" s="93">
        <f>SUM('3:23'!T316)</f>
        <v>0</v>
      </c>
      <c r="U316" s="93">
        <f>SUM('3:23'!U316)</f>
        <v>0</v>
      </c>
      <c r="V316" s="206">
        <f t="shared" ref="V316" si="116">SUM(X316:AA316)</f>
        <v>0</v>
      </c>
      <c r="W316" s="33">
        <f t="shared" ref="W316:W321" si="117">IF(ISERROR(V316/G316),"",V316/G316)</f>
        <v>0</v>
      </c>
      <c r="X316" s="93">
        <f>SUM('3:23'!X316)</f>
        <v>0</v>
      </c>
      <c r="Y316" s="93">
        <f>SUM('3:23'!Y316)</f>
        <v>0</v>
      </c>
      <c r="Z316" s="93">
        <f>SUM('3:23'!Z316)</f>
        <v>0</v>
      </c>
      <c r="AA316" s="93">
        <f>SUM('3:23'!AA316)</f>
        <v>0</v>
      </c>
      <c r="AB316" s="73"/>
      <c r="AC316" s="54"/>
      <c r="AD316" s="346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725" t="s">
        <v>102</v>
      </c>
      <c r="B317" s="726"/>
      <c r="C317" s="342" t="s">
        <v>71</v>
      </c>
      <c r="D317" s="20"/>
      <c r="E317" s="20"/>
      <c r="F317" s="32"/>
      <c r="G317" s="103">
        <f>SUM(G308:G316)</f>
        <v>3545</v>
      </c>
      <c r="H317" s="30">
        <f>SUM(H308:H316)</f>
        <v>17849.54</v>
      </c>
      <c r="I317" s="30">
        <f>SUM(I308:I316)</f>
        <v>220.5</v>
      </c>
      <c r="J317" s="31">
        <f t="array" ref="J317">IF(ISERROR(G317/I317),"",G317/I317)</f>
        <v>16.077097505668934</v>
      </c>
      <c r="K317" s="30">
        <f>SUM(K308:K316)</f>
        <v>82.681818181818187</v>
      </c>
      <c r="L317" s="98"/>
      <c r="M317" s="89">
        <f>SUM(M308:M316)</f>
        <v>22.81818181818182</v>
      </c>
      <c r="N317" s="30">
        <f>SUM(N308:N316)</f>
        <v>0</v>
      </c>
      <c r="O317" s="91">
        <f>SUM(O308:O316)</f>
        <v>0</v>
      </c>
      <c r="P317" s="91">
        <f>SUM(P308:P316)</f>
        <v>0</v>
      </c>
      <c r="Q317" s="91">
        <f>SUM(Q308:Q316)</f>
        <v>0</v>
      </c>
      <c r="R317" s="91"/>
      <c r="S317" s="92">
        <f>SUM(S308:S316)</f>
        <v>0</v>
      </c>
      <c r="T317" s="91">
        <f>SUM(T308:T316)</f>
        <v>0</v>
      </c>
      <c r="U317" s="91">
        <f>SUM(U308:U316)</f>
        <v>0</v>
      </c>
      <c r="V317" s="206">
        <f>SUM(V308:V316)</f>
        <v>0</v>
      </c>
      <c r="W317" s="33">
        <f t="shared" si="117"/>
        <v>0</v>
      </c>
      <c r="X317" s="92">
        <f>SUM(X308:X316)</f>
        <v>0</v>
      </c>
      <c r="Y317" s="92">
        <f>SUM(Y308:Y316)</f>
        <v>0</v>
      </c>
      <c r="Z317" s="92">
        <f>SUM(Z308:Z316)</f>
        <v>0</v>
      </c>
      <c r="AA317" s="92">
        <f>SUM(AA308:AA316)</f>
        <v>0</v>
      </c>
      <c r="AB317" s="75"/>
      <c r="AC317" s="70"/>
      <c r="AD317" s="346"/>
      <c r="AE317" s="74"/>
      <c r="AF317" s="74"/>
      <c r="AG317" s="74"/>
      <c r="AH317" s="7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299">
        <v>30700013</v>
      </c>
      <c r="B318" s="64" t="s">
        <v>103</v>
      </c>
      <c r="C318" s="335"/>
      <c r="D318" s="17">
        <v>3.65</v>
      </c>
      <c r="E318" s="17"/>
      <c r="F318" s="53"/>
      <c r="G318" s="93">
        <f>SUM('3:23'!G318)</f>
        <v>0</v>
      </c>
      <c r="H318" s="339">
        <f>D318*G318</f>
        <v>0</v>
      </c>
      <c r="I318" s="93">
        <f>SUM('3:23'!I318)</f>
        <v>0</v>
      </c>
      <c r="J318" s="31" t="str">
        <f t="array" ref="J318">IF(ISERROR(G318/I318),"",G318/I318)</f>
        <v/>
      </c>
      <c r="K318" s="339">
        <f t="array" ref="K318">IF(ISERROR(G318/L318),"",G318/L318)</f>
        <v>0</v>
      </c>
      <c r="L318" s="87">
        <v>5</v>
      </c>
      <c r="M318" s="36">
        <f t="shared" ref="M318:M321" si="118">IF(ISERROR(I318-K318),"",I318-K318)</f>
        <v>0</v>
      </c>
      <c r="N318" s="31">
        <f t="shared" ref="N318:N321" si="119">SUM(O318:U318)</f>
        <v>0</v>
      </c>
      <c r="O318" s="93">
        <f>SUM('3:23'!O318)</f>
        <v>0</v>
      </c>
      <c r="P318" s="93">
        <f>SUM('3:23'!P318)</f>
        <v>0</v>
      </c>
      <c r="Q318" s="93">
        <f>SUM('3:23'!Q318)</f>
        <v>0</v>
      </c>
      <c r="R318" s="93">
        <f>SUM('3:23'!R318)</f>
        <v>0</v>
      </c>
      <c r="S318" s="93">
        <f>SUM('3:23'!S318)</f>
        <v>0</v>
      </c>
      <c r="T318" s="93">
        <f>SUM('3:23'!T318)</f>
        <v>0</v>
      </c>
      <c r="U318" s="93">
        <f>SUM('3:23'!U318)</f>
        <v>0</v>
      </c>
      <c r="V318" s="206">
        <f t="shared" ref="V318:V321" si="120">SUM(X318:AA318)</f>
        <v>0</v>
      </c>
      <c r="W318" s="33" t="str">
        <f t="shared" si="117"/>
        <v/>
      </c>
      <c r="X318" s="93">
        <f>SUM('3:23'!X318)</f>
        <v>0</v>
      </c>
      <c r="Y318" s="93">
        <f>SUM('3:23'!Y318)</f>
        <v>0</v>
      </c>
      <c r="Z318" s="93">
        <f>SUM('3:23'!Z318)</f>
        <v>0</v>
      </c>
      <c r="AA318" s="93">
        <f>SUM('3:23'!AA318)</f>
        <v>0</v>
      </c>
      <c r="AB318" s="73"/>
      <c r="AC318" s="54"/>
      <c r="AD318" s="346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299">
        <v>30700014</v>
      </c>
      <c r="B319" s="64" t="s">
        <v>0</v>
      </c>
      <c r="C319" s="335"/>
      <c r="D319" s="17">
        <v>6.58</v>
      </c>
      <c r="E319" s="17"/>
      <c r="F319" s="6"/>
      <c r="G319" s="93">
        <f>SUM('3:23'!G319)</f>
        <v>0</v>
      </c>
      <c r="H319" s="339">
        <f t="shared" ref="H319:H331" si="121">D319*G319</f>
        <v>0</v>
      </c>
      <c r="I319" s="93">
        <f>SUM('3:23'!I319)</f>
        <v>0</v>
      </c>
      <c r="J319" s="31" t="str">
        <f t="array" ref="J319">IF(ISERROR(G319/I319),"",G319/I319)</f>
        <v/>
      </c>
      <c r="K319" s="35">
        <f t="array" ref="K319">IF(ISERROR(G319/L319),"",G319/L319)</f>
        <v>0</v>
      </c>
      <c r="L319" s="87">
        <v>5</v>
      </c>
      <c r="M319" s="36">
        <f t="shared" si="118"/>
        <v>0</v>
      </c>
      <c r="N319" s="31">
        <f t="shared" si="119"/>
        <v>0</v>
      </c>
      <c r="O319" s="93">
        <f>SUM('3:23'!O319)</f>
        <v>0</v>
      </c>
      <c r="P319" s="93">
        <f>SUM('3:23'!P319)</f>
        <v>0</v>
      </c>
      <c r="Q319" s="93">
        <f>SUM('3:23'!Q319)</f>
        <v>0</v>
      </c>
      <c r="R319" s="93">
        <f>SUM('3:23'!R319)</f>
        <v>0</v>
      </c>
      <c r="S319" s="93">
        <f>SUM('3:23'!S319)</f>
        <v>0</v>
      </c>
      <c r="T319" s="93">
        <f>SUM('3:23'!T319)</f>
        <v>0</v>
      </c>
      <c r="U319" s="93">
        <f>SUM('3:23'!U319)</f>
        <v>0</v>
      </c>
      <c r="V319" s="206">
        <f t="shared" si="120"/>
        <v>0</v>
      </c>
      <c r="W319" s="33" t="str">
        <f t="shared" si="117"/>
        <v/>
      </c>
      <c r="X319" s="93">
        <f>SUM('3:23'!X319)</f>
        <v>0</v>
      </c>
      <c r="Y319" s="93">
        <f>SUM('3:23'!Y319)</f>
        <v>0</v>
      </c>
      <c r="Z319" s="93">
        <f>SUM('3:23'!Z319)</f>
        <v>0</v>
      </c>
      <c r="AA319" s="93">
        <f>SUM('3:23'!AA319)</f>
        <v>0</v>
      </c>
      <c r="AB319" s="73"/>
      <c r="AC319" s="54"/>
      <c r="AD319" s="346"/>
      <c r="AE319" s="54"/>
      <c r="AF319" s="54"/>
      <c r="AG319" s="54"/>
      <c r="AH319" s="5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99">
        <v>30700016</v>
      </c>
      <c r="B320" s="64" t="s">
        <v>1</v>
      </c>
      <c r="C320" s="335"/>
      <c r="D320" s="17">
        <v>7.8</v>
      </c>
      <c r="E320" s="17"/>
      <c r="F320" s="6"/>
      <c r="G320" s="93">
        <f>SUM('3:23'!G320)</f>
        <v>278</v>
      </c>
      <c r="H320" s="339">
        <f t="shared" si="121"/>
        <v>2168.4</v>
      </c>
      <c r="I320" s="93">
        <f>SUM('3:23'!I320)</f>
        <v>134.5</v>
      </c>
      <c r="J320" s="31">
        <f t="array" ref="J320">IF(ISERROR(G320/I320),"",G320/I320)</f>
        <v>2.0669144981412639</v>
      </c>
      <c r="K320" s="35">
        <f t="array" ref="K320">IF(ISERROR(G320/L320),"",G320/L320)</f>
        <v>60.434782608695656</v>
      </c>
      <c r="L320" s="87">
        <v>4.5999999999999996</v>
      </c>
      <c r="M320" s="36">
        <f t="shared" si="118"/>
        <v>74.065217391304344</v>
      </c>
      <c r="N320" s="31">
        <f t="shared" si="119"/>
        <v>0</v>
      </c>
      <c r="O320" s="93">
        <f>SUM('3:23'!O320)</f>
        <v>0</v>
      </c>
      <c r="P320" s="93">
        <f>SUM('3:23'!P320)</f>
        <v>0</v>
      </c>
      <c r="Q320" s="93">
        <f>SUM('3:23'!Q320)</f>
        <v>0</v>
      </c>
      <c r="R320" s="93">
        <f>SUM('3:23'!R320)</f>
        <v>0</v>
      </c>
      <c r="S320" s="93">
        <f>SUM('3:23'!S320)</f>
        <v>0</v>
      </c>
      <c r="T320" s="93">
        <f>SUM('3:23'!T320)</f>
        <v>0</v>
      </c>
      <c r="U320" s="93">
        <f>SUM('3:23'!U320)</f>
        <v>0</v>
      </c>
      <c r="V320" s="206">
        <f t="shared" si="120"/>
        <v>0</v>
      </c>
      <c r="W320" s="33">
        <f t="shared" si="117"/>
        <v>0</v>
      </c>
      <c r="X320" s="93">
        <f>SUM('3:23'!X320)</f>
        <v>0</v>
      </c>
      <c r="Y320" s="93">
        <f>SUM('3:23'!Y320)</f>
        <v>0</v>
      </c>
      <c r="Z320" s="93">
        <f>SUM('3:23'!Z320)</f>
        <v>0</v>
      </c>
      <c r="AA320" s="93">
        <f>SUM('3:23'!AA320)</f>
        <v>0</v>
      </c>
      <c r="AB320" s="73"/>
      <c r="AC320" s="54"/>
      <c r="AD320" s="346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99">
        <v>30700017</v>
      </c>
      <c r="B321" s="64" t="s">
        <v>2</v>
      </c>
      <c r="C321" s="335"/>
      <c r="D321" s="17">
        <v>4.4000000000000004</v>
      </c>
      <c r="E321" s="17"/>
      <c r="F321" s="6"/>
      <c r="G321" s="93">
        <f>SUM('3:23'!G321)</f>
        <v>243</v>
      </c>
      <c r="H321" s="339">
        <f t="shared" si="121"/>
        <v>1069.2</v>
      </c>
      <c r="I321" s="93">
        <f>SUM('3:23'!I321)</f>
        <v>42</v>
      </c>
      <c r="J321" s="31">
        <f t="array" ref="J321">IF(ISERROR(G321/I321),"",G321/I321)</f>
        <v>5.7857142857142856</v>
      </c>
      <c r="K321" s="35">
        <f t="array" ref="K321">IF(ISERROR(G321/L321),"",G321/L321)</f>
        <v>41.896551724137929</v>
      </c>
      <c r="L321" s="87">
        <v>5.8</v>
      </c>
      <c r="M321" s="36">
        <f t="shared" si="118"/>
        <v>0.10344827586207117</v>
      </c>
      <c r="N321" s="31">
        <f t="shared" si="119"/>
        <v>0</v>
      </c>
      <c r="O321" s="93">
        <f>SUM('3:23'!O321)</f>
        <v>0</v>
      </c>
      <c r="P321" s="93">
        <f>SUM('3:23'!P321)</f>
        <v>0</v>
      </c>
      <c r="Q321" s="93">
        <f>SUM('3:23'!Q321)</f>
        <v>0</v>
      </c>
      <c r="R321" s="93">
        <f>SUM('3:23'!R321)</f>
        <v>0</v>
      </c>
      <c r="S321" s="93">
        <f>SUM('3:23'!S321)</f>
        <v>0</v>
      </c>
      <c r="T321" s="93">
        <f>SUM('3:23'!T321)</f>
        <v>0</v>
      </c>
      <c r="U321" s="93">
        <f>SUM('3:23'!U321)</f>
        <v>0</v>
      </c>
      <c r="V321" s="206">
        <f t="shared" si="120"/>
        <v>0</v>
      </c>
      <c r="W321" s="33">
        <f t="shared" si="117"/>
        <v>0</v>
      </c>
      <c r="X321" s="93">
        <f>SUM('3:23'!X321)</f>
        <v>0</v>
      </c>
      <c r="Y321" s="93">
        <f>SUM('3:23'!Y321)</f>
        <v>0</v>
      </c>
      <c r="Z321" s="93">
        <f>SUM('3:23'!Z321)</f>
        <v>0</v>
      </c>
      <c r="AA321" s="93">
        <f>SUM('3:23'!AA321)</f>
        <v>0</v>
      </c>
      <c r="AB321" s="73"/>
      <c r="AC321" s="54"/>
      <c r="AD321" s="346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99">
        <v>30700001</v>
      </c>
      <c r="B322" s="191" t="s">
        <v>359</v>
      </c>
      <c r="C322" s="335"/>
      <c r="D322" s="17"/>
      <c r="E322" s="17"/>
      <c r="F322" s="6"/>
      <c r="G322" s="93">
        <f>SUM('3:23'!G322)</f>
        <v>0</v>
      </c>
      <c r="H322" s="339">
        <f t="shared" si="121"/>
        <v>0</v>
      </c>
      <c r="I322" s="93">
        <f>SUM('3:23'!I322)</f>
        <v>0</v>
      </c>
      <c r="J322" s="31"/>
      <c r="K322" s="35"/>
      <c r="L322" s="87">
        <v>6</v>
      </c>
      <c r="M322" s="36"/>
      <c r="N322" s="31"/>
      <c r="O322" s="93">
        <f>SUM('3:23'!O322)</f>
        <v>0</v>
      </c>
      <c r="P322" s="93">
        <f>SUM('3:23'!P322)</f>
        <v>0</v>
      </c>
      <c r="Q322" s="93">
        <f>SUM('3:23'!Q322)</f>
        <v>0</v>
      </c>
      <c r="R322" s="93">
        <f>SUM('3:23'!R322)</f>
        <v>0</v>
      </c>
      <c r="S322" s="93">
        <f>SUM('3:23'!S322)</f>
        <v>0</v>
      </c>
      <c r="T322" s="93">
        <f>SUM('3:23'!T322)</f>
        <v>0</v>
      </c>
      <c r="U322" s="93">
        <f>SUM('3:23'!U322)</f>
        <v>0</v>
      </c>
      <c r="V322" s="206"/>
      <c r="W322" s="33"/>
      <c r="X322" s="93">
        <f>SUM('3:23'!X322)</f>
        <v>0</v>
      </c>
      <c r="Y322" s="93">
        <f>SUM('3:23'!Y322)</f>
        <v>0</v>
      </c>
      <c r="Z322" s="93">
        <f>SUM('3:23'!Z322)</f>
        <v>0</v>
      </c>
      <c r="AA322" s="93">
        <f>SUM('3:23'!AA322)</f>
        <v>0</v>
      </c>
      <c r="AB322" s="73"/>
      <c r="AC322" s="54"/>
      <c r="AD322" s="346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305"/>
      <c r="B323" s="66" t="s">
        <v>104</v>
      </c>
      <c r="C323" s="335" t="s">
        <v>53</v>
      </c>
      <c r="D323" s="17">
        <v>6.04</v>
      </c>
      <c r="E323" s="17"/>
      <c r="F323" s="6"/>
      <c r="G323" s="93">
        <f>SUM('3:23'!G323)</f>
        <v>0</v>
      </c>
      <c r="H323" s="339">
        <f t="shared" si="121"/>
        <v>0</v>
      </c>
      <c r="I323" s="93">
        <f>SUM('3:23'!I323)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6</v>
      </c>
      <c r="M323" s="36">
        <f t="shared" ref="M323:M324" si="122">IF(ISERROR(I323-K323),"",I323-K323)</f>
        <v>0</v>
      </c>
      <c r="N323" s="31">
        <f t="shared" ref="N323:N324" si="123">SUM(O323:U323)</f>
        <v>0</v>
      </c>
      <c r="O323" s="93">
        <f>SUM('3:23'!O323)</f>
        <v>0</v>
      </c>
      <c r="P323" s="93">
        <f>SUM('3:23'!P323)</f>
        <v>0</v>
      </c>
      <c r="Q323" s="93">
        <f>SUM('3:23'!Q323)</f>
        <v>0</v>
      </c>
      <c r="R323" s="93">
        <f>SUM('3:23'!R323)</f>
        <v>0</v>
      </c>
      <c r="S323" s="93">
        <f>SUM('3:23'!S323)</f>
        <v>0</v>
      </c>
      <c r="T323" s="93">
        <f>SUM('3:23'!T323)</f>
        <v>0</v>
      </c>
      <c r="U323" s="93">
        <f>SUM('3:23'!U323)</f>
        <v>0</v>
      </c>
      <c r="V323" s="206">
        <f t="shared" ref="V323:V324" si="124">SUM(X323:AA323)</f>
        <v>0</v>
      </c>
      <c r="W323" s="33" t="str">
        <f t="shared" ref="W323:W324" si="125">IF(ISERROR(V323/G323),"",V323/G323)</f>
        <v/>
      </c>
      <c r="X323" s="93">
        <f>SUM('3:23'!X323)</f>
        <v>0</v>
      </c>
      <c r="Y323" s="93">
        <f>SUM('3:23'!Y323)</f>
        <v>0</v>
      </c>
      <c r="Z323" s="93">
        <f>SUM('3:23'!Z323)</f>
        <v>0</v>
      </c>
      <c r="AA323" s="93">
        <f>SUM('3:23'!AA323)</f>
        <v>0</v>
      </c>
      <c r="AB323" s="73"/>
      <c r="AC323" s="54"/>
      <c r="AD323" s="346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305">
        <v>30700019</v>
      </c>
      <c r="B324" s="66" t="s">
        <v>104</v>
      </c>
      <c r="C324" s="335" t="s">
        <v>60</v>
      </c>
      <c r="D324" s="17">
        <v>6.04</v>
      </c>
      <c r="E324" s="17"/>
      <c r="F324" s="6"/>
      <c r="G324" s="93">
        <f>SUM('3:23'!G324)</f>
        <v>0</v>
      </c>
      <c r="H324" s="339">
        <f t="shared" si="121"/>
        <v>0</v>
      </c>
      <c r="I324" s="93">
        <f>SUM('3:23'!I324)</f>
        <v>0</v>
      </c>
      <c r="J324" s="31" t="str">
        <f t="array" ref="J324">IF(ISERROR(G324/I324),"",G324/I324)</f>
        <v/>
      </c>
      <c r="K324" s="35">
        <f t="array" ref="K324">IF(ISERROR(G324/L324),"",G324/L324)</f>
        <v>0</v>
      </c>
      <c r="L324" s="87">
        <v>6</v>
      </c>
      <c r="M324" s="36">
        <f t="shared" si="122"/>
        <v>0</v>
      </c>
      <c r="N324" s="31">
        <f t="shared" si="123"/>
        <v>0</v>
      </c>
      <c r="O324" s="93">
        <f>SUM('3:23'!O324)</f>
        <v>0</v>
      </c>
      <c r="P324" s="93">
        <f>SUM('3:23'!P324)</f>
        <v>0</v>
      </c>
      <c r="Q324" s="93">
        <f>SUM('3:23'!Q324)</f>
        <v>0</v>
      </c>
      <c r="R324" s="93">
        <f>SUM('3:23'!R324)</f>
        <v>0</v>
      </c>
      <c r="S324" s="93">
        <f>SUM('3:23'!S324)</f>
        <v>0</v>
      </c>
      <c r="T324" s="93">
        <f>SUM('3:23'!T324)</f>
        <v>0</v>
      </c>
      <c r="U324" s="93">
        <f>SUM('3:23'!U324)</f>
        <v>0</v>
      </c>
      <c r="V324" s="206">
        <f t="shared" si="124"/>
        <v>0</v>
      </c>
      <c r="W324" s="33" t="str">
        <f t="shared" si="125"/>
        <v/>
      </c>
      <c r="X324" s="93">
        <f>SUM('3:23'!X324)</f>
        <v>0</v>
      </c>
      <c r="Y324" s="93">
        <f>SUM('3:23'!Y324)</f>
        <v>0</v>
      </c>
      <c r="Z324" s="93">
        <f>SUM('3:23'!Z324)</f>
        <v>0</v>
      </c>
      <c r="AA324" s="93">
        <f>SUM('3:23'!AA324)</f>
        <v>0</v>
      </c>
      <c r="AB324" s="73"/>
      <c r="AC324" s="54"/>
      <c r="AD324" s="346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305">
        <v>30601015</v>
      </c>
      <c r="B325" s="281" t="s">
        <v>443</v>
      </c>
      <c r="C325" s="335" t="s">
        <v>53</v>
      </c>
      <c r="D325" s="17">
        <v>6</v>
      </c>
      <c r="E325" s="17"/>
      <c r="F325" s="6"/>
      <c r="G325" s="93">
        <f>SUM('3:23'!G325)</f>
        <v>164</v>
      </c>
      <c r="H325" s="339">
        <f t="shared" si="121"/>
        <v>984</v>
      </c>
      <c r="I325" s="93">
        <f>SUM('3:23'!I325)</f>
        <v>77</v>
      </c>
      <c r="J325" s="31"/>
      <c r="K325" s="35"/>
      <c r="L325" s="87"/>
      <c r="M325" s="36"/>
      <c r="N325" s="31"/>
      <c r="O325" s="93"/>
      <c r="P325" s="93"/>
      <c r="Q325" s="93"/>
      <c r="R325" s="93"/>
      <c r="S325" s="93"/>
      <c r="T325" s="93"/>
      <c r="U325" s="93"/>
      <c r="V325" s="206"/>
      <c r="W325" s="33"/>
      <c r="X325" s="93"/>
      <c r="Y325" s="93"/>
      <c r="Z325" s="93"/>
      <c r="AA325" s="93"/>
      <c r="AB325" s="73"/>
      <c r="AC325" s="54"/>
      <c r="AD325" s="346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305">
        <v>30101016</v>
      </c>
      <c r="B326" s="281" t="s">
        <v>443</v>
      </c>
      <c r="C326" s="335" t="s">
        <v>421</v>
      </c>
      <c r="D326" s="17">
        <v>6</v>
      </c>
      <c r="E326" s="17"/>
      <c r="F326" s="6"/>
      <c r="G326" s="93">
        <f>SUM('3:23'!G326)</f>
        <v>321</v>
      </c>
      <c r="H326" s="339">
        <f t="shared" si="121"/>
        <v>1926</v>
      </c>
      <c r="I326" s="93">
        <f>SUM('3:23'!I326)</f>
        <v>102</v>
      </c>
      <c r="J326" s="31"/>
      <c r="K326" s="35">
        <f t="array" ref="K326">IF(ISERROR(G326/L326),"",G326/L326)</f>
        <v>53.5</v>
      </c>
      <c r="L326" s="87">
        <v>6</v>
      </c>
      <c r="M326" s="36"/>
      <c r="N326" s="31"/>
      <c r="O326" s="93">
        <f>SUM('3:23'!O326)</f>
        <v>0</v>
      </c>
      <c r="P326" s="93">
        <f>SUM('3:23'!P326)</f>
        <v>0</v>
      </c>
      <c r="Q326" s="93">
        <f>SUM('3:23'!Q326)</f>
        <v>0</v>
      </c>
      <c r="R326" s="93">
        <f>SUM('3:23'!R326)</f>
        <v>0</v>
      </c>
      <c r="S326" s="93">
        <f>SUM('3:23'!S326)</f>
        <v>0</v>
      </c>
      <c r="T326" s="93">
        <f>SUM('3:23'!T326)</f>
        <v>0</v>
      </c>
      <c r="U326" s="93">
        <f>SUM('3:23'!U326)</f>
        <v>0</v>
      </c>
      <c r="V326" s="206"/>
      <c r="W326" s="33"/>
      <c r="X326" s="93">
        <f>SUM('3:23'!X326)</f>
        <v>0</v>
      </c>
      <c r="Y326" s="93">
        <f>SUM('3:23'!Y326)</f>
        <v>0</v>
      </c>
      <c r="Z326" s="93">
        <f>SUM('3:23'!Z326)</f>
        <v>0</v>
      </c>
      <c r="AA326" s="93">
        <f>SUM('3:23'!AA326)</f>
        <v>0</v>
      </c>
      <c r="AB326" s="73"/>
      <c r="AC326" s="54"/>
      <c r="AD326" s="346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299">
        <v>30700018</v>
      </c>
      <c r="B327" s="61" t="s">
        <v>159</v>
      </c>
      <c r="C327" s="16"/>
      <c r="D327" s="17">
        <v>7.3</v>
      </c>
      <c r="E327" s="17"/>
      <c r="F327" s="6"/>
      <c r="G327" s="93"/>
      <c r="H327" s="339">
        <f t="shared" si="121"/>
        <v>0</v>
      </c>
      <c r="I327" s="93"/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6"/>
      <c r="W327" s="33"/>
      <c r="X327" s="93"/>
      <c r="Y327" s="93"/>
      <c r="Z327" s="93"/>
      <c r="AA327" s="93"/>
      <c r="AB327" s="73"/>
      <c r="AC327" s="54"/>
      <c r="AD327" s="346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299">
        <v>30700010</v>
      </c>
      <c r="B328" s="61" t="s">
        <v>105</v>
      </c>
      <c r="C328" s="16"/>
      <c r="D328" s="17">
        <f>78*120/1000</f>
        <v>9.36</v>
      </c>
      <c r="E328" s="17"/>
      <c r="F328" s="6"/>
      <c r="G328" s="93">
        <f>SUM('3:23'!G328)</f>
        <v>0</v>
      </c>
      <c r="H328" s="339">
        <f t="shared" si="121"/>
        <v>0</v>
      </c>
      <c r="I328" s="93">
        <f>SUM('3:23'!I328)</f>
        <v>0</v>
      </c>
      <c r="J328" s="31" t="str">
        <f t="array" ref="J328">IF(ISERROR(G328/I328),"",G328/I328)</f>
        <v/>
      </c>
      <c r="K328" s="35">
        <f t="array" ref="K328">IF(ISERROR(G328/L328),"",G328/L328)</f>
        <v>0</v>
      </c>
      <c r="L328" s="87">
        <v>7.5</v>
      </c>
      <c r="M328" s="36">
        <f t="shared" ref="M328" si="126">IF(ISERROR(I328-K328),"",I328-K328)</f>
        <v>0</v>
      </c>
      <c r="N328" s="31">
        <f t="shared" ref="N328" si="127">SUM(O328:U328)</f>
        <v>0</v>
      </c>
      <c r="O328" s="93">
        <f>SUM('3:23'!O328)</f>
        <v>0</v>
      </c>
      <c r="P328" s="93">
        <f>SUM('3:23'!P328)</f>
        <v>0</v>
      </c>
      <c r="Q328" s="93">
        <f>SUM('3:23'!Q328)</f>
        <v>0</v>
      </c>
      <c r="R328" s="93">
        <f>SUM('3:23'!R328)</f>
        <v>0</v>
      </c>
      <c r="S328" s="93">
        <f>SUM('3:23'!S328)</f>
        <v>0</v>
      </c>
      <c r="T328" s="93">
        <f>SUM('3:23'!T328)</f>
        <v>0</v>
      </c>
      <c r="U328" s="93">
        <f>SUM('3:23'!U328)</f>
        <v>0</v>
      </c>
      <c r="V328" s="206">
        <f t="shared" ref="V328" si="128">SUM(X328:AA328)</f>
        <v>0</v>
      </c>
      <c r="W328" s="33" t="str">
        <f t="shared" ref="W328" si="129">IF(ISERROR(V328/G328),"",V328/G328)</f>
        <v/>
      </c>
      <c r="X328" s="93">
        <f>SUM('3:23'!X328)</f>
        <v>0</v>
      </c>
      <c r="Y328" s="93">
        <f>SUM('3:23'!Y328)</f>
        <v>0</v>
      </c>
      <c r="Z328" s="93">
        <f>SUM('3:23'!Z328)</f>
        <v>0</v>
      </c>
      <c r="AA328" s="93">
        <f>SUM('3:23'!AA328)</f>
        <v>0</v>
      </c>
      <c r="AB328" s="73"/>
      <c r="AC328" s="54"/>
      <c r="AD328" s="346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99">
        <v>30700015</v>
      </c>
      <c r="B329" s="336" t="s">
        <v>159</v>
      </c>
      <c r="C329" s="16"/>
      <c r="D329" s="17">
        <v>4.5</v>
      </c>
      <c r="E329" s="17"/>
      <c r="F329" s="6"/>
      <c r="G329" s="93">
        <f>SUM('3:23'!G329)</f>
        <v>0</v>
      </c>
      <c r="H329" s="339">
        <f t="shared" si="121"/>
        <v>0</v>
      </c>
      <c r="I329" s="93">
        <f>SUM('3:23'!I329)</f>
        <v>0</v>
      </c>
      <c r="J329" s="31"/>
      <c r="K329" s="35" t="str">
        <f t="array" ref="K329">IF(ISERROR(G329/L329),"",G329/L329)</f>
        <v/>
      </c>
      <c r="L329" s="87"/>
      <c r="M329" s="36"/>
      <c r="N329" s="31"/>
      <c r="O329" s="93">
        <f>SUM('3:23'!O329)</f>
        <v>0</v>
      </c>
      <c r="P329" s="93">
        <f>SUM('3:23'!P329)</f>
        <v>0</v>
      </c>
      <c r="Q329" s="93">
        <f>SUM('3:23'!Q329)</f>
        <v>0</v>
      </c>
      <c r="R329" s="93">
        <f>SUM('3:23'!R329)</f>
        <v>0</v>
      </c>
      <c r="S329" s="93">
        <f>SUM('3:23'!S329)</f>
        <v>0</v>
      </c>
      <c r="T329" s="93">
        <f>SUM('3:23'!T329)</f>
        <v>0</v>
      </c>
      <c r="U329" s="93">
        <f>SUM('3:23'!U329)</f>
        <v>0</v>
      </c>
      <c r="V329" s="206"/>
      <c r="W329" s="33"/>
      <c r="X329" s="93">
        <f>SUM('3:23'!X329)</f>
        <v>0</v>
      </c>
      <c r="Y329" s="93">
        <f>SUM('3:23'!Y329)</f>
        <v>0</v>
      </c>
      <c r="Z329" s="93">
        <f>SUM('3:23'!Z329)</f>
        <v>0</v>
      </c>
      <c r="AA329" s="93">
        <f>SUM('3:23'!AA329)</f>
        <v>0</v>
      </c>
      <c r="AB329" s="73"/>
      <c r="AC329" s="54"/>
      <c r="AD329" s="346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99">
        <v>30700012</v>
      </c>
      <c r="B330" s="336" t="s">
        <v>160</v>
      </c>
      <c r="C330" s="16"/>
      <c r="D330" s="17">
        <v>4.5</v>
      </c>
      <c r="E330" s="17"/>
      <c r="F330" s="6"/>
      <c r="G330" s="93">
        <f>SUM('3:23'!G330)</f>
        <v>0</v>
      </c>
      <c r="H330" s="339">
        <f t="shared" si="121"/>
        <v>0</v>
      </c>
      <c r="I330" s="93">
        <f>SUM('3:23'!I330)</f>
        <v>0</v>
      </c>
      <c r="J330" s="31"/>
      <c r="K330" s="35">
        <f t="array" ref="K330">IF(ISERROR(G330/L330),"",G330/L330)</f>
        <v>0</v>
      </c>
      <c r="L330" s="87">
        <v>6.5</v>
      </c>
      <c r="M330" s="36">
        <f>IF(ISERROR(I330-K330),"",I330-K330)</f>
        <v>0</v>
      </c>
      <c r="N330" s="31"/>
      <c r="O330" s="93">
        <f>SUM('3:23'!O330)</f>
        <v>0</v>
      </c>
      <c r="P330" s="93">
        <f>SUM('3:23'!P330)</f>
        <v>0</v>
      </c>
      <c r="Q330" s="93">
        <f>SUM('3:23'!Q330)</f>
        <v>0</v>
      </c>
      <c r="R330" s="93">
        <f>SUM('3:23'!R330)</f>
        <v>0</v>
      </c>
      <c r="S330" s="93">
        <f>SUM('3:23'!S330)</f>
        <v>0</v>
      </c>
      <c r="T330" s="93">
        <f>SUM('3:23'!T330)</f>
        <v>0</v>
      </c>
      <c r="U330" s="93">
        <f>SUM('3:23'!U330)</f>
        <v>0</v>
      </c>
      <c r="V330" s="206"/>
      <c r="W330" s="33"/>
      <c r="X330" s="93">
        <f>SUM('3:23'!X330)</f>
        <v>0</v>
      </c>
      <c r="Y330" s="93">
        <f>SUM('3:23'!Y330)</f>
        <v>0</v>
      </c>
      <c r="Z330" s="93">
        <f>SUM('3:23'!Z330)</f>
        <v>0</v>
      </c>
      <c r="AA330" s="93">
        <f>SUM('3:23'!AA330)</f>
        <v>0</v>
      </c>
      <c r="AB330" s="73"/>
      <c r="AC330" s="54"/>
      <c r="AD330" s="346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99"/>
      <c r="B331" s="199" t="s">
        <v>438</v>
      </c>
      <c r="C331" s="16"/>
      <c r="D331" s="17">
        <v>4.5</v>
      </c>
      <c r="E331" s="17"/>
      <c r="F331" s="6"/>
      <c r="G331" s="93">
        <f>SUM('3:23'!G331)</f>
        <v>0</v>
      </c>
      <c r="H331" s="339">
        <f t="shared" si="121"/>
        <v>0</v>
      </c>
      <c r="I331" s="93">
        <f>SUM('3:23'!I331)</f>
        <v>0</v>
      </c>
      <c r="J331" s="31"/>
      <c r="K331" s="35">
        <f t="array" ref="K331">IF(ISERROR(G331/L331),"",G331/L331)</f>
        <v>0</v>
      </c>
      <c r="L331" s="87">
        <v>7.5</v>
      </c>
      <c r="M331" s="36">
        <f>IF(ISERROR(I331-K331),"",I331-K331)</f>
        <v>0</v>
      </c>
      <c r="N331" s="31"/>
      <c r="O331" s="93">
        <f>SUM('3:23'!O331)</f>
        <v>0</v>
      </c>
      <c r="P331" s="93">
        <f>SUM('3:23'!P331)</f>
        <v>0</v>
      </c>
      <c r="Q331" s="93">
        <f>SUM('3:23'!Q331)</f>
        <v>0</v>
      </c>
      <c r="R331" s="93">
        <f>SUM('3:23'!R331)</f>
        <v>0</v>
      </c>
      <c r="S331" s="93">
        <f>SUM('3:23'!S331)</f>
        <v>0</v>
      </c>
      <c r="T331" s="93">
        <f>SUM('3:23'!T331)</f>
        <v>0</v>
      </c>
      <c r="U331" s="93">
        <f>SUM('3:23'!U331)</f>
        <v>0</v>
      </c>
      <c r="V331" s="206"/>
      <c r="W331" s="33"/>
      <c r="X331" s="93">
        <f>SUM('3:23'!X331)</f>
        <v>0</v>
      </c>
      <c r="Y331" s="93">
        <f>SUM('3:23'!Y331)</f>
        <v>0</v>
      </c>
      <c r="Z331" s="93">
        <f>SUM('3:23'!Z331)</f>
        <v>0</v>
      </c>
      <c r="AA331" s="93">
        <f>SUM('3:23'!AA331)</f>
        <v>0</v>
      </c>
      <c r="AB331" s="73"/>
      <c r="AC331" s="54"/>
      <c r="AD331" s="346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725" t="s">
        <v>106</v>
      </c>
      <c r="B332" s="726"/>
      <c r="C332" s="342" t="s">
        <v>71</v>
      </c>
      <c r="D332" s="20"/>
      <c r="E332" s="20"/>
      <c r="F332" s="32"/>
      <c r="G332" s="94">
        <f>SUM(G318:G331)</f>
        <v>1006</v>
      </c>
      <c r="H332" s="30">
        <f>SUM(H318:H331)</f>
        <v>6147.6</v>
      </c>
      <c r="I332" s="30">
        <f>SUM(I318:I331)</f>
        <v>355.5</v>
      </c>
      <c r="J332" s="31">
        <f t="array" ref="J332">IF(ISERROR(G332/I332),"",G332/I332)</f>
        <v>2.8298171589310828</v>
      </c>
      <c r="K332" s="30">
        <f>SUM(K318:K328)</f>
        <v>155.83133433283359</v>
      </c>
      <c r="L332" s="98"/>
      <c r="M332" s="89">
        <f t="shared" ref="M332:V332" si="130">SUM(M318:M328)</f>
        <v>74.168665667166408</v>
      </c>
      <c r="N332" s="20">
        <f t="shared" si="130"/>
        <v>0</v>
      </c>
      <c r="O332" s="91">
        <f t="shared" si="130"/>
        <v>0</v>
      </c>
      <c r="P332" s="91">
        <f t="shared" si="130"/>
        <v>0</v>
      </c>
      <c r="Q332" s="91">
        <f t="shared" si="130"/>
        <v>0</v>
      </c>
      <c r="R332" s="91">
        <f t="shared" si="130"/>
        <v>0</v>
      </c>
      <c r="S332" s="92">
        <f t="shared" si="130"/>
        <v>0</v>
      </c>
      <c r="T332" s="91">
        <f t="shared" si="130"/>
        <v>0</v>
      </c>
      <c r="U332" s="91">
        <f t="shared" si="130"/>
        <v>0</v>
      </c>
      <c r="V332" s="206">
        <f t="shared" si="130"/>
        <v>0</v>
      </c>
      <c r="W332" s="33">
        <f t="shared" ref="W332" si="131">IF(ISERROR(V332/G332),"",V332/G332)</f>
        <v>0</v>
      </c>
      <c r="X332" s="92">
        <f>SUM(X318:X328)</f>
        <v>0</v>
      </c>
      <c r="Y332" s="92">
        <f>SUM(Y318:Y328)</f>
        <v>0</v>
      </c>
      <c r="Z332" s="92">
        <f>SUM(Z318:Z328)</f>
        <v>0</v>
      </c>
      <c r="AA332" s="92">
        <f>SUM(AA318:AA328)</f>
        <v>0</v>
      </c>
      <c r="AB332" s="70"/>
      <c r="AC332" s="70"/>
      <c r="AD332" s="58"/>
      <c r="AE332" s="70"/>
      <c r="AF332" s="70"/>
      <c r="AG332" s="70"/>
      <c r="AH332" s="70"/>
      <c r="AI332" s="58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  <c r="AU332" s="58"/>
      <c r="AV332" s="58"/>
      <c r="AW332" s="58"/>
      <c r="AX332" s="58"/>
      <c r="AY332" s="58"/>
      <c r="AZ332" s="58"/>
      <c r="BA332" s="58"/>
    </row>
    <row r="333" spans="1:53">
      <c r="A333" s="736" t="s">
        <v>108</v>
      </c>
      <c r="B333" s="737"/>
      <c r="C333" s="737"/>
      <c r="D333" s="737"/>
      <c r="E333" s="737"/>
      <c r="F333" s="738"/>
      <c r="G333" s="193">
        <f>SUM(G198,G256,G291,G307,G317,G332)</f>
        <v>59657</v>
      </c>
      <c r="H333" s="193">
        <f>SUM(H198,H256,H291,H307,H317,H332)</f>
        <v>290550.3</v>
      </c>
      <c r="I333" s="193">
        <f>SUM(I198,I256,I291,I307,I317,I332)</f>
        <v>4173.95</v>
      </c>
      <c r="J333" s="52">
        <f t="array" ref="J333">IF(ISERROR(G333/I333),"",G333/I333)</f>
        <v>14.292696366750921</v>
      </c>
      <c r="K333" s="193">
        <f>SUM(K198,K256,K291,K307,K317,K332)</f>
        <v>2949.6972477578374</v>
      </c>
      <c r="L333" s="52">
        <f>IF(ISERROR(G333/K333),"",G333/K333)</f>
        <v>20.224787491444168</v>
      </c>
      <c r="M333" s="193">
        <f t="shared" ref="M333:AA333" si="132">SUM(M198,M256,M291,M307,M317,M332)</f>
        <v>542.25275224216205</v>
      </c>
      <c r="N333" s="193">
        <f t="shared" si="132"/>
        <v>0</v>
      </c>
      <c r="O333" s="193">
        <f t="shared" si="132"/>
        <v>0</v>
      </c>
      <c r="P333" s="193">
        <f t="shared" si="132"/>
        <v>0</v>
      </c>
      <c r="Q333" s="193">
        <f t="shared" si="132"/>
        <v>0</v>
      </c>
      <c r="R333" s="193">
        <f t="shared" si="132"/>
        <v>0</v>
      </c>
      <c r="S333" s="193">
        <f t="shared" si="132"/>
        <v>0</v>
      </c>
      <c r="T333" s="193">
        <f t="shared" si="132"/>
        <v>0</v>
      </c>
      <c r="U333" s="193">
        <f t="shared" si="132"/>
        <v>0</v>
      </c>
      <c r="V333" s="193">
        <f t="shared" si="132"/>
        <v>0</v>
      </c>
      <c r="W333" s="193">
        <f t="shared" si="132"/>
        <v>0</v>
      </c>
      <c r="X333" s="193">
        <f t="shared" si="132"/>
        <v>0</v>
      </c>
      <c r="Y333" s="193">
        <f t="shared" si="132"/>
        <v>0</v>
      </c>
      <c r="Z333" s="193">
        <f t="shared" si="132"/>
        <v>0</v>
      </c>
      <c r="AA333" s="193">
        <f t="shared" si="132"/>
        <v>0</v>
      </c>
      <c r="AB333" s="76"/>
      <c r="AC333" s="71"/>
      <c r="AD333" s="346"/>
      <c r="AE333" s="77"/>
      <c r="AF333" s="77"/>
      <c r="AG333" s="77"/>
      <c r="AH333" s="77"/>
      <c r="AI333" s="57"/>
      <c r="AJ333" s="57"/>
      <c r="AK333" s="57"/>
      <c r="AL333" s="753"/>
      <c r="AM333" s="753"/>
      <c r="AN333" s="753"/>
      <c r="AO333" s="753"/>
      <c r="AP333" s="753"/>
      <c r="AQ333" s="753"/>
      <c r="AR333" s="753"/>
      <c r="AS333" s="753"/>
      <c r="AT333" s="753"/>
      <c r="AU333" s="753"/>
      <c r="AV333" s="753"/>
      <c r="AW333" s="753"/>
      <c r="AX333" s="753"/>
      <c r="AY333" s="753"/>
      <c r="AZ333" s="753"/>
      <c r="BA333" s="753"/>
    </row>
    <row r="334" spans="1:53" ht="15.75" customHeight="1">
      <c r="A334" s="635" t="s">
        <v>503</v>
      </c>
      <c r="B334" s="337" t="s">
        <v>110</v>
      </c>
      <c r="C334" s="739" t="s">
        <v>111</v>
      </c>
      <c r="D334" s="739"/>
      <c r="E334" s="718" t="s">
        <v>112</v>
      </c>
      <c r="F334" s="718"/>
      <c r="G334" s="729" t="s">
        <v>113</v>
      </c>
      <c r="H334" s="729"/>
      <c r="I334" s="718" t="s">
        <v>114</v>
      </c>
      <c r="J334" s="718"/>
      <c r="K334" s="718" t="s">
        <v>36</v>
      </c>
      <c r="L334" s="718"/>
      <c r="M334" s="718" t="s">
        <v>115</v>
      </c>
      <c r="N334" s="718"/>
      <c r="O334" s="718" t="s">
        <v>116</v>
      </c>
      <c r="P334" s="729" t="s">
        <v>117</v>
      </c>
      <c r="Q334" s="729"/>
      <c r="R334" s="729" t="s">
        <v>36</v>
      </c>
      <c r="S334" s="729"/>
      <c r="T334" s="729" t="s">
        <v>118</v>
      </c>
      <c r="U334" s="729"/>
      <c r="V334" s="729" t="s">
        <v>119</v>
      </c>
      <c r="W334" s="729"/>
      <c r="X334" s="729" t="s">
        <v>36</v>
      </c>
      <c r="Y334" s="729"/>
      <c r="Z334" s="729" t="s">
        <v>118</v>
      </c>
      <c r="AA334" s="729"/>
      <c r="AB334" s="12"/>
      <c r="AC334" s="12"/>
      <c r="AD334" s="12"/>
      <c r="AE334" s="3"/>
      <c r="AF334" s="3"/>
      <c r="AG334" s="3"/>
      <c r="AH334" s="34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21"/>
      <c r="AV334" s="21"/>
      <c r="AW334" s="21"/>
      <c r="AX334" s="21"/>
      <c r="AY334" s="21"/>
      <c r="AZ334" s="21"/>
      <c r="BA334" s="21"/>
    </row>
    <row r="335" spans="1:53" ht="15.75" customHeight="1">
      <c r="A335" s="636"/>
      <c r="B335" s="337" t="s">
        <v>120</v>
      </c>
      <c r="C335" s="740">
        <f>SUM('3:23'!C335)</f>
        <v>21</v>
      </c>
      <c r="D335" s="741"/>
      <c r="E335" s="742">
        <f>D335*11</f>
        <v>0</v>
      </c>
      <c r="F335" s="742"/>
      <c r="G335" s="740">
        <f>SUM('3:23'!G335)</f>
        <v>21</v>
      </c>
      <c r="H335" s="741"/>
      <c r="I335" s="718">
        <f>G335*11</f>
        <v>231</v>
      </c>
      <c r="J335" s="718"/>
      <c r="K335" s="718">
        <f>E335-I335</f>
        <v>-231</v>
      </c>
      <c r="L335" s="718"/>
      <c r="M335" s="743" t="str">
        <f>IF(ISERROR(K335/E335),"",K335/E335)</f>
        <v/>
      </c>
      <c r="N335" s="743"/>
      <c r="O335" s="718"/>
      <c r="P335" s="729" t="s">
        <v>70</v>
      </c>
      <c r="Q335" s="729"/>
      <c r="R335" s="744">
        <f>SUM(O198:U198)</f>
        <v>0</v>
      </c>
      <c r="S335" s="744"/>
      <c r="T335" s="745" t="str">
        <f t="array" ref="T335">IF(ISERROR(R335/R342),"",R335/R342)</f>
        <v/>
      </c>
      <c r="U335" s="745"/>
      <c r="V335" s="729" t="s">
        <v>41</v>
      </c>
      <c r="W335" s="729"/>
      <c r="X335" s="754">
        <f>SUM(P197,P255,P290,P306,P316,P331)</f>
        <v>0</v>
      </c>
      <c r="Y335" s="755"/>
      <c r="Z335" s="745" t="str">
        <f t="array" ref="Z335">IF(ISERROR(X335/X342),"",X335/X342)</f>
        <v/>
      </c>
      <c r="AA335" s="745"/>
      <c r="AB335" s="12"/>
      <c r="AC335" s="22"/>
      <c r="AD335" s="22"/>
      <c r="AE335" s="3"/>
      <c r="AF335" s="3"/>
      <c r="AG335" s="3"/>
      <c r="AH335" s="346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21"/>
      <c r="AV335" s="21"/>
      <c r="AW335" s="21"/>
      <c r="AX335" s="21"/>
      <c r="AY335" s="21"/>
      <c r="AZ335" s="21"/>
      <c r="BA335" s="21"/>
    </row>
    <row r="336" spans="1:53">
      <c r="A336" s="636"/>
      <c r="B336" s="337" t="s">
        <v>121</v>
      </c>
      <c r="C336" s="740">
        <f>SUM('3:23'!C336)</f>
        <v>0</v>
      </c>
      <c r="D336" s="741"/>
      <c r="E336" s="742">
        <f>D336*11</f>
        <v>0</v>
      </c>
      <c r="F336" s="742"/>
      <c r="G336" s="740">
        <f>SUM('3:23'!G336)</f>
        <v>0</v>
      </c>
      <c r="H336" s="741"/>
      <c r="I336" s="718">
        <f>G336*11</f>
        <v>0</v>
      </c>
      <c r="J336" s="718"/>
      <c r="K336" s="718">
        <f>E336-I336</f>
        <v>0</v>
      </c>
      <c r="L336" s="718"/>
      <c r="M336" s="743" t="str">
        <f>IF(ISERROR(K336/E336),"",K336/E336)</f>
        <v/>
      </c>
      <c r="N336" s="743"/>
      <c r="O336" s="718"/>
      <c r="P336" s="729" t="s">
        <v>86</v>
      </c>
      <c r="Q336" s="729"/>
      <c r="R336" s="744">
        <f>SUM(O256:U256)</f>
        <v>0</v>
      </c>
      <c r="S336" s="744"/>
      <c r="T336" s="745" t="str">
        <f>IF(ISERROR(R336/R342),"",R336/R342)</f>
        <v/>
      </c>
      <c r="U336" s="745"/>
      <c r="V336" s="729" t="s">
        <v>42</v>
      </c>
      <c r="W336" s="729"/>
      <c r="X336" s="754">
        <f>SUM(P198,P256,P291,P307,P317,P332)</f>
        <v>0</v>
      </c>
      <c r="Y336" s="755"/>
      <c r="Z336" s="745" t="str">
        <f>IF(ISERROR(X336/X342),"",X336/X342)</f>
        <v/>
      </c>
      <c r="AA336" s="745"/>
      <c r="AB336" s="12"/>
      <c r="AC336" s="22"/>
      <c r="AD336" s="22"/>
      <c r="AE336" s="3"/>
      <c r="AF336" s="3"/>
      <c r="AG336" s="3"/>
      <c r="AH336" s="346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>
      <c r="A337" s="636"/>
      <c r="B337" s="337" t="s">
        <v>122</v>
      </c>
      <c r="C337" s="740">
        <f>SUM('3:23'!C337)</f>
        <v>0</v>
      </c>
      <c r="D337" s="741"/>
      <c r="E337" s="742">
        <f>D337*11</f>
        <v>0</v>
      </c>
      <c r="F337" s="742"/>
      <c r="G337" s="740">
        <f>SUM('3:23'!G337)</f>
        <v>21</v>
      </c>
      <c r="H337" s="741"/>
      <c r="I337" s="718">
        <f>G337*8</f>
        <v>168</v>
      </c>
      <c r="J337" s="718"/>
      <c r="K337" s="718">
        <f>E337-I337</f>
        <v>-168</v>
      </c>
      <c r="L337" s="718"/>
      <c r="M337" s="743" t="str">
        <f>IF(ISERROR(K337/E337),"",K337/E337)</f>
        <v/>
      </c>
      <c r="N337" s="743"/>
      <c r="O337" s="718"/>
      <c r="P337" s="729" t="s">
        <v>92</v>
      </c>
      <c r="Q337" s="729"/>
      <c r="R337" s="744">
        <f>SUM(O291:U291)</f>
        <v>0</v>
      </c>
      <c r="S337" s="744"/>
      <c r="T337" s="745" t="str">
        <f>IF(ISERROR(R337/R342),"",R337/R342)</f>
        <v/>
      </c>
      <c r="U337" s="745"/>
      <c r="V337" s="729" t="s">
        <v>43</v>
      </c>
      <c r="W337" s="729"/>
      <c r="X337" s="754">
        <f>SUM(P199,P257,P292,P308,P318,P333)</f>
        <v>0</v>
      </c>
      <c r="Y337" s="755"/>
      <c r="Z337" s="745" t="str">
        <f>IF(ISERROR(X337/X342),"",X337/X342)</f>
        <v/>
      </c>
      <c r="AA337" s="745"/>
      <c r="AB337" s="12"/>
      <c r="AC337" s="22"/>
      <c r="AD337" s="22"/>
      <c r="AE337" s="3"/>
      <c r="AF337" s="3"/>
      <c r="AG337" s="346"/>
      <c r="AH337" s="346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636"/>
      <c r="B338" s="337" t="s">
        <v>47</v>
      </c>
      <c r="C338" s="740">
        <f>SUM('3:23'!C338)</f>
        <v>21</v>
      </c>
      <c r="D338" s="741"/>
      <c r="E338" s="742">
        <f>D338*11</f>
        <v>0</v>
      </c>
      <c r="F338" s="742"/>
      <c r="G338" s="740">
        <f>SUM('3:23'!G338)</f>
        <v>21</v>
      </c>
      <c r="H338" s="741"/>
      <c r="I338" s="718">
        <f>G338*11</f>
        <v>231</v>
      </c>
      <c r="J338" s="718"/>
      <c r="K338" s="718">
        <f>E338-I338</f>
        <v>-231</v>
      </c>
      <c r="L338" s="718"/>
      <c r="M338" s="743" t="str">
        <f>IF(ISERROR(K338/E338),"",K338/E338)</f>
        <v/>
      </c>
      <c r="N338" s="743"/>
      <c r="O338" s="718"/>
      <c r="P338" s="729" t="s">
        <v>99</v>
      </c>
      <c r="Q338" s="729"/>
      <c r="R338" s="744">
        <f>SUM(O307:U307)</f>
        <v>0</v>
      </c>
      <c r="S338" s="744"/>
      <c r="T338" s="745" t="str">
        <f>IF(ISERROR(R338/R342),"",R338/R342)</f>
        <v/>
      </c>
      <c r="U338" s="745"/>
      <c r="V338" s="729" t="s">
        <v>44</v>
      </c>
      <c r="W338" s="729"/>
      <c r="X338" s="754">
        <f>SUM(P201,P258,P293,P309,P319,P334)</f>
        <v>0</v>
      </c>
      <c r="Y338" s="755"/>
      <c r="Z338" s="745" t="str">
        <f>IF(ISERROR(X338/X342),"",X338/X342)</f>
        <v/>
      </c>
      <c r="AA338" s="745"/>
      <c r="AB338" s="12"/>
      <c r="AC338" s="22"/>
      <c r="AD338" s="22"/>
      <c r="AE338" s="3"/>
      <c r="AF338" s="3"/>
      <c r="AG338" s="346"/>
      <c r="AH338" s="346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637"/>
      <c r="B339" s="337" t="s">
        <v>123</v>
      </c>
      <c r="C339" s="747">
        <f>SUM(C335:D338)</f>
        <v>42</v>
      </c>
      <c r="D339" s="718"/>
      <c r="E339" s="742">
        <f>SUM(F335:F338)</f>
        <v>0</v>
      </c>
      <c r="F339" s="718"/>
      <c r="G339" s="747">
        <f>SUM(G335:H338)</f>
        <v>63</v>
      </c>
      <c r="H339" s="718"/>
      <c r="I339" s="718">
        <f>SUM(I335:J338)</f>
        <v>630</v>
      </c>
      <c r="J339" s="718"/>
      <c r="K339" s="718">
        <f>SUM(K335:L338)</f>
        <v>-630</v>
      </c>
      <c r="L339" s="718"/>
      <c r="M339" s="743" t="str">
        <f>IF(ISERROR(K339/E339),"",K339/E339)</f>
        <v/>
      </c>
      <c r="N339" s="743"/>
      <c r="O339" s="718"/>
      <c r="P339" s="729" t="s">
        <v>102</v>
      </c>
      <c r="Q339" s="729"/>
      <c r="R339" s="744">
        <f>SUM(O317:U317)</f>
        <v>0</v>
      </c>
      <c r="S339" s="744"/>
      <c r="T339" s="745" t="str">
        <f>IF(ISERROR(R339/R342),"",R339/R342)</f>
        <v/>
      </c>
      <c r="U339" s="745"/>
      <c r="V339" s="729" t="s">
        <v>45</v>
      </c>
      <c r="W339" s="729"/>
      <c r="X339" s="754">
        <f>SUM(P202,P259,P294,P310,P320,P335)</f>
        <v>0</v>
      </c>
      <c r="Y339" s="755"/>
      <c r="Z339" s="745" t="str">
        <f>IF(ISERROR(X339/X342),"",X339/X342)</f>
        <v/>
      </c>
      <c r="AA339" s="745"/>
      <c r="AB339" s="12"/>
      <c r="AC339" s="22"/>
      <c r="AD339" s="22"/>
      <c r="AE339" s="3"/>
      <c r="AF339" s="3"/>
      <c r="AG339" s="346"/>
      <c r="AH339" s="346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343"/>
      <c r="AV339" s="343"/>
      <c r="AW339" s="343"/>
      <c r="AX339" s="343"/>
      <c r="AY339" s="343"/>
      <c r="AZ339" s="343"/>
      <c r="BA339" s="343"/>
    </row>
    <row r="340" spans="1:53" ht="17.25">
      <c r="A340" s="309" t="s">
        <v>504</v>
      </c>
      <c r="B340" s="337">
        <f>G333</f>
        <v>59657</v>
      </c>
      <c r="C340" s="744" t="s">
        <v>155</v>
      </c>
      <c r="D340" s="744"/>
      <c r="E340" s="729">
        <f>H333</f>
        <v>290550.3</v>
      </c>
      <c r="F340" s="729"/>
      <c r="G340" s="729" t="s">
        <v>34</v>
      </c>
      <c r="H340" s="729"/>
      <c r="I340" s="746">
        <f>L333</f>
        <v>20.224787491444168</v>
      </c>
      <c r="J340" s="746"/>
      <c r="K340" s="718" t="s">
        <v>32</v>
      </c>
      <c r="L340" s="718"/>
      <c r="M340" s="746">
        <f>J333</f>
        <v>14.292696366750921</v>
      </c>
      <c r="N340" s="746"/>
      <c r="O340" s="718"/>
      <c r="P340" s="729" t="s">
        <v>106</v>
      </c>
      <c r="Q340" s="729"/>
      <c r="R340" s="744">
        <f>SUM(O332:U332)</f>
        <v>0</v>
      </c>
      <c r="S340" s="744"/>
      <c r="T340" s="745" t="str">
        <f>IF(ISERROR(R340/R342),"",R340/R342)</f>
        <v/>
      </c>
      <c r="U340" s="745"/>
      <c r="V340" s="729" t="s">
        <v>46</v>
      </c>
      <c r="W340" s="729"/>
      <c r="X340" s="754">
        <f>SUM(P203,P260,P295,P311,P321,P336)</f>
        <v>0</v>
      </c>
      <c r="Y340" s="755"/>
      <c r="Z340" s="745" t="str">
        <f>IF(ISERROR(X340/X342),"",X340/X342)</f>
        <v/>
      </c>
      <c r="AA340" s="745"/>
      <c r="AB340" s="12"/>
      <c r="AC340" s="22"/>
      <c r="AD340" s="22"/>
      <c r="AE340" s="3"/>
      <c r="AF340" s="3"/>
      <c r="AG340" s="346"/>
      <c r="AH340" s="346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343"/>
      <c r="AV340" s="343"/>
      <c r="AW340" s="343"/>
      <c r="AX340" s="343"/>
      <c r="AY340" s="343"/>
      <c r="AZ340" s="343"/>
      <c r="BA340" s="343"/>
    </row>
    <row r="341" spans="1:53" ht="15.75" customHeight="1">
      <c r="A341" s="310" t="s">
        <v>505</v>
      </c>
      <c r="B341" s="337">
        <f>I333+C339</f>
        <v>4215.95</v>
      </c>
      <c r="C341" s="729" t="s">
        <v>114</v>
      </c>
      <c r="D341" s="729"/>
      <c r="E341" s="739">
        <f>K333+I339</f>
        <v>3579.6972477578374</v>
      </c>
      <c r="F341" s="739"/>
      <c r="G341" s="729" t="s">
        <v>150</v>
      </c>
      <c r="H341" s="729"/>
      <c r="I341" s="746">
        <f>B341-E341</f>
        <v>636.25275224216239</v>
      </c>
      <c r="J341" s="746"/>
      <c r="K341" s="718" t="s">
        <v>151</v>
      </c>
      <c r="L341" s="718"/>
      <c r="M341" s="743">
        <f>IF(ISERROR(I341/B341),"",I341/B341)</f>
        <v>0.15091563046102596</v>
      </c>
      <c r="N341" s="743"/>
      <c r="O341" s="718"/>
      <c r="P341" s="729" t="s">
        <v>107</v>
      </c>
      <c r="Q341" s="729"/>
      <c r="R341" s="744"/>
      <c r="S341" s="744"/>
      <c r="T341" s="745" t="str">
        <f>IF(ISERROR(R341/R342),"",R341/R342)</f>
        <v/>
      </c>
      <c r="U341" s="745"/>
      <c r="V341" s="729" t="s">
        <v>47</v>
      </c>
      <c r="W341" s="729"/>
      <c r="X341" s="754">
        <f>SUM(P204,P261,P296,P312,P322,P337)</f>
        <v>0</v>
      </c>
      <c r="Y341" s="755"/>
      <c r="Z341" s="745" t="str">
        <f>IF(ISERROR(X341/X342),"",X341/X342)</f>
        <v/>
      </c>
      <c r="AA341" s="745"/>
      <c r="AB341" s="12"/>
      <c r="AC341" s="22"/>
      <c r="AD341" s="22"/>
      <c r="AE341" s="3"/>
      <c r="AF341" s="3"/>
      <c r="AG341" s="346"/>
      <c r="AH341" s="346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343"/>
      <c r="AV341" s="343"/>
      <c r="AW341" s="343"/>
      <c r="AX341" s="343"/>
      <c r="AY341" s="343"/>
      <c r="AZ341" s="343"/>
      <c r="BA341" s="343"/>
    </row>
    <row r="342" spans="1:53" ht="15.75" customHeight="1">
      <c r="A342" s="310" t="s">
        <v>507</v>
      </c>
      <c r="B342" s="337">
        <f>N333</f>
        <v>0</v>
      </c>
      <c r="C342" s="729" t="s">
        <v>149</v>
      </c>
      <c r="D342" s="729"/>
      <c r="E342" s="745">
        <f>IF(ISERROR(B342/B341),"",B342/B341)</f>
        <v>0</v>
      </c>
      <c r="F342" s="745"/>
      <c r="G342" s="729" t="s">
        <v>158</v>
      </c>
      <c r="H342" s="729"/>
      <c r="I342" s="718">
        <f>V333</f>
        <v>0</v>
      </c>
      <c r="J342" s="718"/>
      <c r="K342" s="718" t="s">
        <v>156</v>
      </c>
      <c r="L342" s="718"/>
      <c r="M342" s="743">
        <f t="array" ref="M342">IF(ISERROR(I342/B340),"",I342/B340)</f>
        <v>0</v>
      </c>
      <c r="N342" s="743"/>
      <c r="O342" s="718"/>
      <c r="P342" s="729" t="s">
        <v>123</v>
      </c>
      <c r="Q342" s="729"/>
      <c r="R342" s="744">
        <f>SUM(R335:S341)</f>
        <v>0</v>
      </c>
      <c r="S342" s="744"/>
      <c r="T342" s="745">
        <f>SUM(T335:U341)</f>
        <v>0</v>
      </c>
      <c r="U342" s="745"/>
      <c r="V342" s="729" t="s">
        <v>123</v>
      </c>
      <c r="W342" s="729"/>
      <c r="X342" s="744">
        <f>SUM(X335:Y341)</f>
        <v>0</v>
      </c>
      <c r="Y342" s="744"/>
      <c r="Z342" s="745">
        <f>SUM(Z335:AA341)</f>
        <v>0</v>
      </c>
      <c r="AA342" s="745"/>
      <c r="AB342" s="12"/>
      <c r="AC342" s="22"/>
      <c r="AD342" s="22"/>
      <c r="AE342" s="3"/>
      <c r="AF342" s="3"/>
      <c r="AG342" s="346"/>
      <c r="AH342" s="346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343"/>
      <c r="AV342" s="343"/>
      <c r="AW342" s="343"/>
      <c r="AX342" s="343"/>
      <c r="AY342" s="343"/>
      <c r="AZ342" s="343"/>
      <c r="BA342" s="343"/>
    </row>
    <row r="343" spans="1:53" ht="15.75" customHeight="1">
      <c r="A343" s="748" t="s">
        <v>129</v>
      </c>
      <c r="B343" s="748"/>
      <c r="C343" s="748"/>
      <c r="D343" s="748"/>
      <c r="E343" s="748"/>
      <c r="F343" s="748"/>
      <c r="G343" s="748"/>
      <c r="H343" s="748"/>
      <c r="I343" s="748"/>
      <c r="J343" s="748"/>
      <c r="K343" s="748"/>
      <c r="L343" s="748"/>
      <c r="M343" s="748"/>
      <c r="N343" s="748"/>
      <c r="O343" s="748"/>
      <c r="P343" s="748"/>
      <c r="Q343" s="748"/>
      <c r="R343" s="748"/>
      <c r="S343" s="748"/>
      <c r="T343" s="748"/>
      <c r="U343" s="748"/>
      <c r="V343" s="748"/>
      <c r="W343" s="748"/>
      <c r="X343" s="748"/>
      <c r="Y343" s="748"/>
      <c r="Z343" s="748"/>
      <c r="AA343" s="748"/>
      <c r="AB343" s="748"/>
      <c r="AC343" s="748"/>
      <c r="AD343" s="748"/>
      <c r="AE343" s="748"/>
      <c r="AF343" s="748"/>
      <c r="AG343" s="748"/>
      <c r="AH343" s="748"/>
      <c r="AI343" s="748"/>
      <c r="AJ343" s="748"/>
      <c r="AK343" s="748"/>
      <c r="AL343" s="748"/>
      <c r="AM343" s="748"/>
      <c r="AN343" s="748"/>
      <c r="AO343" s="748"/>
      <c r="AP343" s="748"/>
      <c r="AQ343" s="748"/>
      <c r="AR343" s="748"/>
      <c r="AS343" s="748"/>
      <c r="AT343" s="748"/>
      <c r="AU343" s="748"/>
      <c r="AV343" s="748"/>
      <c r="AW343" s="748"/>
      <c r="AX343" s="748"/>
      <c r="AY343" s="748"/>
      <c r="AZ343" s="748"/>
      <c r="BA343" s="748"/>
    </row>
    <row r="344" spans="1:53">
      <c r="A344" s="656" t="s">
        <v>502</v>
      </c>
      <c r="B344" s="709" t="s">
        <v>25</v>
      </c>
      <c r="C344" s="709" t="s">
        <v>26</v>
      </c>
      <c r="D344" s="709" t="s">
        <v>27</v>
      </c>
      <c r="E344" s="712" t="s">
        <v>28</v>
      </c>
      <c r="F344" s="715" t="s">
        <v>29</v>
      </c>
      <c r="G344" s="718" t="s">
        <v>30</v>
      </c>
      <c r="H344" s="718"/>
      <c r="I344" s="709" t="s">
        <v>31</v>
      </c>
      <c r="J344" s="719" t="s">
        <v>32</v>
      </c>
      <c r="K344" s="730" t="s">
        <v>33</v>
      </c>
      <c r="L344" s="709" t="s">
        <v>34</v>
      </c>
      <c r="M344" s="733" t="s">
        <v>35</v>
      </c>
      <c r="N344" s="727" t="s">
        <v>36</v>
      </c>
      <c r="O344" s="718" t="s">
        <v>37</v>
      </c>
      <c r="P344" s="718"/>
      <c r="Q344" s="718"/>
      <c r="R344" s="718"/>
      <c r="S344" s="718"/>
      <c r="T344" s="718"/>
      <c r="U344" s="718"/>
      <c r="V344" s="735" t="s">
        <v>38</v>
      </c>
      <c r="W344" s="727" t="s">
        <v>39</v>
      </c>
      <c r="X344" s="718" t="s">
        <v>40</v>
      </c>
      <c r="Y344" s="718"/>
      <c r="Z344" s="718"/>
      <c r="AA344" s="718"/>
      <c r="AB344" s="21"/>
      <c r="AC344" s="21"/>
      <c r="AD344" s="21"/>
      <c r="AE344" s="21"/>
      <c r="AF344" s="21"/>
      <c r="AG344" s="21"/>
      <c r="AH344" s="21"/>
      <c r="AI344" s="752"/>
      <c r="AJ344" s="750"/>
      <c r="AK344" s="750"/>
      <c r="AL344" s="750"/>
      <c r="AM344" s="750"/>
      <c r="AN344" s="750"/>
      <c r="AO344" s="750"/>
      <c r="AP344" s="750"/>
      <c r="AQ344" s="750"/>
      <c r="AR344" s="750"/>
      <c r="AS344" s="750"/>
      <c r="AT344" s="750"/>
      <c r="AU344" s="750"/>
      <c r="AV344" s="750"/>
      <c r="AW344" s="750"/>
      <c r="AX344" s="750"/>
      <c r="AY344" s="750"/>
      <c r="AZ344" s="750"/>
      <c r="BA344" s="750"/>
    </row>
    <row r="345" spans="1:53">
      <c r="A345" s="657"/>
      <c r="B345" s="710"/>
      <c r="C345" s="710"/>
      <c r="D345" s="710"/>
      <c r="E345" s="713"/>
      <c r="F345" s="716"/>
      <c r="G345" s="718"/>
      <c r="H345" s="718"/>
      <c r="I345" s="710"/>
      <c r="J345" s="720"/>
      <c r="K345" s="731"/>
      <c r="L345" s="710"/>
      <c r="M345" s="734"/>
      <c r="N345" s="727"/>
      <c r="O345" s="718" t="s">
        <v>41</v>
      </c>
      <c r="P345" s="718" t="s">
        <v>42</v>
      </c>
      <c r="Q345" s="718" t="s">
        <v>43</v>
      </c>
      <c r="R345" s="728" t="s">
        <v>44</v>
      </c>
      <c r="S345" s="729" t="s">
        <v>45</v>
      </c>
      <c r="T345" s="718" t="s">
        <v>46</v>
      </c>
      <c r="U345" s="718" t="s">
        <v>47</v>
      </c>
      <c r="V345" s="735"/>
      <c r="W345" s="727"/>
      <c r="X345" s="718" t="s">
        <v>13</v>
      </c>
      <c r="Y345" s="718" t="s">
        <v>48</v>
      </c>
      <c r="Z345" s="718" t="s">
        <v>49</v>
      </c>
      <c r="AA345" s="718" t="s">
        <v>47</v>
      </c>
      <c r="AB345" s="21"/>
      <c r="AC345" s="21"/>
      <c r="AD345" s="21"/>
      <c r="AE345" s="21"/>
      <c r="AF345" s="21"/>
      <c r="AG345" s="21"/>
      <c r="AH345" s="21"/>
      <c r="AI345" s="752"/>
      <c r="AJ345" s="750"/>
      <c r="AK345" s="750"/>
      <c r="AL345" s="750"/>
      <c r="AM345" s="750"/>
      <c r="AN345" s="750"/>
      <c r="AO345" s="750"/>
      <c r="AP345" s="750"/>
      <c r="AQ345" s="750"/>
      <c r="AR345" s="750"/>
      <c r="AS345" s="751"/>
      <c r="AT345" s="751"/>
      <c r="AU345" s="751"/>
      <c r="AV345" s="751"/>
      <c r="AW345" s="751"/>
      <c r="AX345" s="751"/>
      <c r="AY345" s="751"/>
      <c r="AZ345" s="751"/>
      <c r="BA345" s="751"/>
    </row>
    <row r="346" spans="1:53" ht="15.75" customHeight="1">
      <c r="A346" s="658"/>
      <c r="B346" s="711"/>
      <c r="C346" s="711"/>
      <c r="D346" s="711"/>
      <c r="E346" s="714"/>
      <c r="F346" s="717"/>
      <c r="G346" s="335" t="s">
        <v>50</v>
      </c>
      <c r="H346" s="335" t="s">
        <v>51</v>
      </c>
      <c r="I346" s="711"/>
      <c r="J346" s="721"/>
      <c r="K346" s="732"/>
      <c r="L346" s="711"/>
      <c r="M346" s="734"/>
      <c r="N346" s="727"/>
      <c r="O346" s="718"/>
      <c r="P346" s="718"/>
      <c r="Q346" s="718"/>
      <c r="R346" s="728"/>
      <c r="S346" s="729"/>
      <c r="T346" s="718"/>
      <c r="U346" s="718"/>
      <c r="V346" s="735"/>
      <c r="W346" s="727"/>
      <c r="X346" s="718"/>
      <c r="Y346" s="718"/>
      <c r="Z346" s="718"/>
      <c r="AA346" s="718"/>
      <c r="AB346" s="21"/>
      <c r="AC346" s="21"/>
      <c r="AD346" s="21"/>
      <c r="AE346" s="21"/>
      <c r="AF346" s="21"/>
      <c r="AG346" s="21"/>
      <c r="AH346" s="21"/>
      <c r="AI346" s="752"/>
      <c r="AJ346" s="750"/>
      <c r="AK346" s="750"/>
      <c r="AL346" s="343"/>
      <c r="AM346" s="343"/>
      <c r="AN346" s="343"/>
      <c r="AO346" s="343"/>
      <c r="AP346" s="343"/>
      <c r="AQ346" s="343"/>
      <c r="AR346" s="343"/>
      <c r="AS346" s="21"/>
      <c r="AT346" s="21"/>
      <c r="AU346" s="21"/>
      <c r="AV346" s="344"/>
      <c r="AW346" s="343"/>
      <c r="AX346" s="343"/>
      <c r="AY346" s="343"/>
      <c r="AZ346" s="343"/>
      <c r="BA346" s="343"/>
    </row>
    <row r="347" spans="1:53">
      <c r="A347" s="315">
        <v>30100030</v>
      </c>
      <c r="B347" s="82" t="s">
        <v>52</v>
      </c>
      <c r="C347" s="81" t="s">
        <v>53</v>
      </c>
      <c r="D347" s="80">
        <v>5.03</v>
      </c>
      <c r="E347" s="80"/>
      <c r="F347" s="83"/>
      <c r="G347" s="93">
        <f>SUM('3:23'!G347)</f>
        <v>0</v>
      </c>
      <c r="H347" s="95">
        <f t="shared" ref="H347:H367" si="133">D347*G347</f>
        <v>0</v>
      </c>
      <c r="I347" s="93">
        <f>SUM('3:23'!I347)</f>
        <v>0</v>
      </c>
      <c r="J347" s="31" t="str">
        <f t="array" ref="J347">IF(ISERROR(G347/I347),"",G347/I347)</f>
        <v/>
      </c>
      <c r="K347" s="96">
        <f t="array" ref="K347">IF(ISERROR(G347/L347),"",G347/L347)</f>
        <v>0</v>
      </c>
      <c r="L347" s="84">
        <v>16</v>
      </c>
      <c r="M347" s="97">
        <f t="shared" ref="M347:M356" si="134">IF(ISERROR(I347-K347),"",I347-K347)</f>
        <v>0</v>
      </c>
      <c r="N347" s="84">
        <f>SUM(O347:U347)</f>
        <v>0</v>
      </c>
      <c r="O347" s="93">
        <f>SUM('3:23'!O347)</f>
        <v>0</v>
      </c>
      <c r="P347" s="93">
        <f>SUM('3:23'!P347)</f>
        <v>0</v>
      </c>
      <c r="Q347" s="93">
        <f>SUM('3:23'!Q347)</f>
        <v>0</v>
      </c>
      <c r="R347" s="93">
        <f>SUM('3:23'!R347)</f>
        <v>0</v>
      </c>
      <c r="S347" s="93">
        <f>SUM('3:23'!S347)</f>
        <v>0</v>
      </c>
      <c r="T347" s="93">
        <f>SUM('3:23'!T347)</f>
        <v>0</v>
      </c>
      <c r="U347" s="93">
        <f>SUM('3:23'!U347)</f>
        <v>0</v>
      </c>
      <c r="V347" s="206">
        <f t="shared" ref="V347:V356" si="135">SUM(X347:AA347)</f>
        <v>0</v>
      </c>
      <c r="W347" s="33" t="str">
        <f t="shared" ref="W347:W356" si="136">IF(ISERROR(V347/G347),"",V347/G347)</f>
        <v/>
      </c>
      <c r="X347" s="93">
        <f>SUM('3:23'!X347)</f>
        <v>0</v>
      </c>
      <c r="Y347" s="93">
        <f>SUM('3:23'!Y347)</f>
        <v>0</v>
      </c>
      <c r="Z347" s="93">
        <f>SUM('3:23'!Z347)</f>
        <v>0</v>
      </c>
      <c r="AA347" s="93">
        <f>SUM('3:23'!AA347)</f>
        <v>0</v>
      </c>
      <c r="AB347" s="73"/>
      <c r="AC347" s="54"/>
      <c r="AD347" s="346"/>
      <c r="AE347" s="54"/>
      <c r="AF347" s="54"/>
      <c r="AG347" s="54"/>
      <c r="AH347" s="54"/>
      <c r="AI347" s="57"/>
      <c r="AJ347" s="57"/>
      <c r="AK347" s="57"/>
      <c r="AL347" s="345"/>
      <c r="AM347" s="54"/>
      <c r="AN347" s="345"/>
      <c r="AO347" s="345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</row>
    <row r="348" spans="1:53">
      <c r="A348" s="300"/>
      <c r="B348" s="62" t="s">
        <v>54</v>
      </c>
      <c r="C348" s="16" t="s">
        <v>53</v>
      </c>
      <c r="D348" s="17">
        <v>5.03</v>
      </c>
      <c r="E348" s="17"/>
      <c r="F348" s="6"/>
      <c r="G348" s="93">
        <f>SUM('3:23'!G348)</f>
        <v>0</v>
      </c>
      <c r="H348" s="95">
        <f t="shared" si="133"/>
        <v>0</v>
      </c>
      <c r="I348" s="93">
        <f>SUM('3:23'!I348)</f>
        <v>0</v>
      </c>
      <c r="J348" s="31" t="str">
        <f t="array" ref="J348">IF(ISERROR(G348/I348),"",G348/I348)</f>
        <v/>
      </c>
      <c r="K348" s="35">
        <f>IF(ISERROR(G348/L348),"",G348/L348)</f>
        <v>0</v>
      </c>
      <c r="L348" s="87">
        <v>19</v>
      </c>
      <c r="M348" s="36">
        <f t="shared" si="134"/>
        <v>0</v>
      </c>
      <c r="N348" s="31">
        <f t="shared" ref="N348:N356" si="137">SUM(O348:U348)</f>
        <v>0</v>
      </c>
      <c r="O348" s="93">
        <f>SUM('3:23'!O348)</f>
        <v>0</v>
      </c>
      <c r="P348" s="93">
        <f>SUM('3:23'!P348)</f>
        <v>0</v>
      </c>
      <c r="Q348" s="93">
        <f>SUM('3:23'!Q348)</f>
        <v>0</v>
      </c>
      <c r="R348" s="93">
        <f>SUM('3:23'!R348)</f>
        <v>0</v>
      </c>
      <c r="S348" s="93">
        <f>SUM('3:23'!S348)</f>
        <v>0</v>
      </c>
      <c r="T348" s="93">
        <f>SUM('3:23'!T348)</f>
        <v>0</v>
      </c>
      <c r="U348" s="93">
        <f>SUM('3:23'!U348)</f>
        <v>0</v>
      </c>
      <c r="V348" s="206">
        <f t="shared" si="135"/>
        <v>0</v>
      </c>
      <c r="W348" s="33" t="str">
        <f t="shared" si="136"/>
        <v/>
      </c>
      <c r="X348" s="93">
        <f>SUM('3:23'!X348)</f>
        <v>0</v>
      </c>
      <c r="Y348" s="93">
        <f>SUM('3:23'!Y348)</f>
        <v>0</v>
      </c>
      <c r="Z348" s="93">
        <f>SUM('3:23'!Z348)</f>
        <v>0</v>
      </c>
      <c r="AA348" s="93">
        <f>SUM('3:23'!AA348)</f>
        <v>0</v>
      </c>
      <c r="AB348" s="73"/>
      <c r="AC348" s="54"/>
      <c r="AD348" s="346"/>
      <c r="AE348" s="54"/>
      <c r="AF348" s="54"/>
      <c r="AG348" s="54"/>
      <c r="AH348" s="54"/>
      <c r="AI348" s="57"/>
      <c r="AJ348" s="57"/>
      <c r="AK348" s="57"/>
      <c r="AL348" s="54"/>
      <c r="AM348" s="54"/>
      <c r="AN348" s="345"/>
      <c r="AO348" s="54"/>
      <c r="AP348" s="345"/>
      <c r="AQ348" s="54"/>
      <c r="AR348" s="54"/>
      <c r="AS348" s="345"/>
      <c r="AT348" s="345"/>
      <c r="AU348" s="345"/>
      <c r="AV348" s="345"/>
      <c r="AW348" s="55"/>
      <c r="AX348" s="54"/>
      <c r="AY348" s="54"/>
      <c r="AZ348" s="54"/>
      <c r="BA348" s="54"/>
    </row>
    <row r="349" spans="1:53">
      <c r="A349" s="301"/>
      <c r="B349" s="62" t="s">
        <v>54</v>
      </c>
      <c r="C349" s="16" t="s">
        <v>55</v>
      </c>
      <c r="D349" s="17">
        <v>5.03</v>
      </c>
      <c r="E349" s="17"/>
      <c r="F349" s="6"/>
      <c r="G349" s="93">
        <f>SUM('3:23'!G349)</f>
        <v>0</v>
      </c>
      <c r="H349" s="95">
        <f t="shared" si="133"/>
        <v>0</v>
      </c>
      <c r="I349" s="93">
        <f>SUM('3:23'!I349)</f>
        <v>0</v>
      </c>
      <c r="J349" s="31" t="str">
        <f t="array" ref="J349">IF(ISERROR(G349/I349),"",G349/I349)</f>
        <v/>
      </c>
      <c r="K349" s="35">
        <f>IF(ISERROR(G349/L349),"",G349/L349)</f>
        <v>0</v>
      </c>
      <c r="L349" s="87">
        <v>19</v>
      </c>
      <c r="M349" s="36">
        <f t="shared" si="134"/>
        <v>0</v>
      </c>
      <c r="N349" s="31">
        <f t="shared" si="137"/>
        <v>0</v>
      </c>
      <c r="O349" s="93">
        <f>SUM('3:23'!O349)</f>
        <v>0</v>
      </c>
      <c r="P349" s="93">
        <f>SUM('3:23'!P349)</f>
        <v>0</v>
      </c>
      <c r="Q349" s="93">
        <f>SUM('3:23'!Q349)</f>
        <v>0</v>
      </c>
      <c r="R349" s="93">
        <f>SUM('3:23'!R349)</f>
        <v>0</v>
      </c>
      <c r="S349" s="93">
        <f>SUM('3:23'!S349)</f>
        <v>0</v>
      </c>
      <c r="T349" s="93">
        <f>SUM('3:23'!T349)</f>
        <v>0</v>
      </c>
      <c r="U349" s="93">
        <f>SUM('3:23'!U349)</f>
        <v>0</v>
      </c>
      <c r="V349" s="206">
        <f t="shared" si="135"/>
        <v>0</v>
      </c>
      <c r="W349" s="33" t="str">
        <f t="shared" si="136"/>
        <v/>
      </c>
      <c r="X349" s="93">
        <f>SUM('3:23'!X349)</f>
        <v>0</v>
      </c>
      <c r="Y349" s="93">
        <f>SUM('3:23'!Y349)</f>
        <v>0</v>
      </c>
      <c r="Z349" s="93">
        <f>SUM('3:23'!Z349)</f>
        <v>0</v>
      </c>
      <c r="AA349" s="93">
        <f>SUM('3:23'!AA349)</f>
        <v>0</v>
      </c>
      <c r="AB349" s="73"/>
      <c r="AC349" s="54"/>
      <c r="AD349" s="346"/>
      <c r="AE349" s="54"/>
      <c r="AF349" s="54"/>
      <c r="AG349" s="54"/>
      <c r="AH349" s="54"/>
      <c r="AI349" s="57"/>
      <c r="AJ349" s="57"/>
      <c r="AK349" s="57"/>
      <c r="AL349" s="54"/>
      <c r="AM349" s="54"/>
      <c r="AN349" s="54"/>
      <c r="AO349" s="345"/>
      <c r="AP349" s="54"/>
      <c r="AQ349" s="54"/>
      <c r="AR349" s="54"/>
      <c r="AS349" s="56"/>
      <c r="AT349" s="56"/>
      <c r="AU349" s="56"/>
      <c r="AV349" s="54"/>
      <c r="AW349" s="54"/>
      <c r="AX349" s="54"/>
      <c r="AY349" s="54"/>
      <c r="AZ349" s="54"/>
      <c r="BA349" s="54"/>
    </row>
    <row r="350" spans="1:53">
      <c r="A350" s="315">
        <v>30100048</v>
      </c>
      <c r="B350" s="62" t="s">
        <v>56</v>
      </c>
      <c r="C350" s="16" t="s">
        <v>53</v>
      </c>
      <c r="D350" s="17">
        <v>5.03</v>
      </c>
      <c r="E350" s="17"/>
      <c r="F350" s="6"/>
      <c r="G350" s="93">
        <f>SUM('3:23'!G350)</f>
        <v>0</v>
      </c>
      <c r="H350" s="95">
        <f t="shared" si="133"/>
        <v>0</v>
      </c>
      <c r="I350" s="93">
        <f>SUM('3:23'!I350)</f>
        <v>0</v>
      </c>
      <c r="J350" s="31" t="str">
        <f t="array" ref="J350">IF(ISERROR(G350/I350),"",G350/I350)</f>
        <v/>
      </c>
      <c r="K350" s="35">
        <f t="array" ref="K350">IF(ISERROR(G350/L350),"",G350/L350)</f>
        <v>0</v>
      </c>
      <c r="L350" s="87">
        <v>19</v>
      </c>
      <c r="M350" s="36">
        <f t="shared" si="134"/>
        <v>0</v>
      </c>
      <c r="N350" s="31">
        <f t="shared" si="137"/>
        <v>0</v>
      </c>
      <c r="O350" s="93">
        <f>SUM('3:23'!O350)</f>
        <v>0</v>
      </c>
      <c r="P350" s="93">
        <f>SUM('3:23'!P350)</f>
        <v>0</v>
      </c>
      <c r="Q350" s="93">
        <f>SUM('3:23'!Q350)</f>
        <v>0</v>
      </c>
      <c r="R350" s="93">
        <f>SUM('3:23'!R350)</f>
        <v>0</v>
      </c>
      <c r="S350" s="93">
        <f>SUM('3:23'!S350)</f>
        <v>0</v>
      </c>
      <c r="T350" s="93">
        <f>SUM('3:23'!T350)</f>
        <v>0</v>
      </c>
      <c r="U350" s="93">
        <f>SUM('3:23'!U350)</f>
        <v>0</v>
      </c>
      <c r="V350" s="206">
        <f t="shared" si="135"/>
        <v>0</v>
      </c>
      <c r="W350" s="33" t="str">
        <f t="shared" si="136"/>
        <v/>
      </c>
      <c r="X350" s="93">
        <f>SUM('3:23'!X350)</f>
        <v>0</v>
      </c>
      <c r="Y350" s="93">
        <f>SUM('3:23'!Y350)</f>
        <v>0</v>
      </c>
      <c r="Z350" s="93">
        <f>SUM('3:23'!Z350)</f>
        <v>0</v>
      </c>
      <c r="AA350" s="93">
        <f>SUM('3:23'!AA350)</f>
        <v>0</v>
      </c>
      <c r="AB350" s="73"/>
      <c r="AC350" s="54"/>
      <c r="AD350" s="346"/>
      <c r="AE350" s="54"/>
      <c r="AF350" s="54"/>
      <c r="AG350" s="54"/>
      <c r="AH350" s="54"/>
      <c r="AI350" s="57"/>
      <c r="AJ350" s="57"/>
      <c r="AK350" s="57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5"/>
      <c r="AW350" s="55"/>
      <c r="AX350" s="55"/>
      <c r="AY350" s="54"/>
      <c r="AZ350" s="54"/>
      <c r="BA350" s="54"/>
    </row>
    <row r="351" spans="1:53">
      <c r="A351" s="315">
        <v>30100047</v>
      </c>
      <c r="B351" s="62" t="s">
        <v>56</v>
      </c>
      <c r="C351" s="16" t="s">
        <v>57</v>
      </c>
      <c r="D351" s="17">
        <v>5.03</v>
      </c>
      <c r="E351" s="17"/>
      <c r="F351" s="6"/>
      <c r="G351" s="93">
        <f>SUM('3:23'!G351)</f>
        <v>0</v>
      </c>
      <c r="H351" s="95">
        <f t="shared" si="133"/>
        <v>0</v>
      </c>
      <c r="I351" s="93">
        <f>SUM('3:23'!I351)</f>
        <v>0</v>
      </c>
      <c r="J351" s="31" t="str">
        <f t="array" ref="J351">IF(ISERROR(G351/I351),"",G351/I351)</f>
        <v/>
      </c>
      <c r="K351" s="35">
        <f t="array" ref="K351">IF(ISERROR(G351/L351),"",G351/L351)</f>
        <v>0</v>
      </c>
      <c r="L351" s="87">
        <v>20</v>
      </c>
      <c r="M351" s="36">
        <f t="shared" si="134"/>
        <v>0</v>
      </c>
      <c r="N351" s="31">
        <f t="shared" si="137"/>
        <v>0</v>
      </c>
      <c r="O351" s="93">
        <f>SUM('3:23'!O351)</f>
        <v>0</v>
      </c>
      <c r="P351" s="93">
        <f>SUM('3:23'!P351)</f>
        <v>0</v>
      </c>
      <c r="Q351" s="93">
        <f>SUM('3:23'!Q351)</f>
        <v>0</v>
      </c>
      <c r="R351" s="93">
        <f>SUM('3:23'!R351)</f>
        <v>0</v>
      </c>
      <c r="S351" s="93">
        <f>SUM('3:23'!S351)</f>
        <v>0</v>
      </c>
      <c r="T351" s="93">
        <f>SUM('3:23'!T351)</f>
        <v>0</v>
      </c>
      <c r="U351" s="93">
        <f>SUM('3:23'!U351)</f>
        <v>0</v>
      </c>
      <c r="V351" s="206">
        <f t="shared" si="135"/>
        <v>0</v>
      </c>
      <c r="W351" s="33" t="str">
        <f t="shared" si="136"/>
        <v/>
      </c>
      <c r="X351" s="93">
        <f>SUM('3:23'!X351)</f>
        <v>0</v>
      </c>
      <c r="Y351" s="93">
        <f>SUM('3:23'!Y351)</f>
        <v>0</v>
      </c>
      <c r="Z351" s="93">
        <f>SUM('3:23'!Z351)</f>
        <v>0</v>
      </c>
      <c r="AA351" s="93">
        <f>SUM('3:23'!AA351)</f>
        <v>0</v>
      </c>
      <c r="AB351" s="73"/>
      <c r="AC351" s="54"/>
      <c r="AD351" s="346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</row>
    <row r="352" spans="1:53">
      <c r="A352" s="315">
        <v>30100052</v>
      </c>
      <c r="B352" s="62" t="s">
        <v>58</v>
      </c>
      <c r="C352" s="16" t="s">
        <v>53</v>
      </c>
      <c r="D352" s="17">
        <v>5.04</v>
      </c>
      <c r="E352" s="17"/>
      <c r="F352" s="6"/>
      <c r="G352" s="93">
        <f>SUM('3:23'!G352)</f>
        <v>0</v>
      </c>
      <c r="H352" s="95">
        <f t="shared" si="133"/>
        <v>0</v>
      </c>
      <c r="I352" s="93">
        <f>SUM('3:23'!I352)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134"/>
        <v>0</v>
      </c>
      <c r="N352" s="31">
        <f t="shared" si="137"/>
        <v>0</v>
      </c>
      <c r="O352" s="93">
        <f>SUM('3:23'!O352)</f>
        <v>0</v>
      </c>
      <c r="P352" s="93">
        <f>SUM('3:23'!P352)</f>
        <v>0</v>
      </c>
      <c r="Q352" s="93">
        <f>SUM('3:23'!Q352)</f>
        <v>0</v>
      </c>
      <c r="R352" s="93">
        <f>SUM('3:23'!R352)</f>
        <v>0</v>
      </c>
      <c r="S352" s="93">
        <f>SUM('3:23'!S352)</f>
        <v>0</v>
      </c>
      <c r="T352" s="93">
        <f>SUM('3:23'!T352)</f>
        <v>0</v>
      </c>
      <c r="U352" s="93">
        <f>SUM('3:23'!U352)</f>
        <v>0</v>
      </c>
      <c r="V352" s="206">
        <f t="shared" si="135"/>
        <v>0</v>
      </c>
      <c r="W352" s="33" t="str">
        <f t="shared" si="136"/>
        <v/>
      </c>
      <c r="X352" s="93">
        <f>SUM('3:23'!X352)</f>
        <v>0</v>
      </c>
      <c r="Y352" s="93">
        <f>SUM('3:23'!Y352)</f>
        <v>0</v>
      </c>
      <c r="Z352" s="93">
        <f>SUM('3:23'!Z352)</f>
        <v>0</v>
      </c>
      <c r="AA352" s="93">
        <f>SUM('3:23'!AA352)</f>
        <v>0</v>
      </c>
      <c r="AB352" s="73"/>
      <c r="AC352" s="54"/>
      <c r="AD352" s="346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</row>
    <row r="353" spans="1:53">
      <c r="A353" s="332">
        <v>30100059</v>
      </c>
      <c r="B353" s="62" t="s">
        <v>59</v>
      </c>
      <c r="C353" s="16" t="s">
        <v>60</v>
      </c>
      <c r="D353" s="17">
        <v>5.03</v>
      </c>
      <c r="E353" s="17"/>
      <c r="F353" s="6"/>
      <c r="G353" s="93">
        <f>SUM('3:23'!G353)</f>
        <v>0</v>
      </c>
      <c r="H353" s="95">
        <f t="shared" si="133"/>
        <v>0</v>
      </c>
      <c r="I353" s="93">
        <f>SUM('3:23'!I353)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3</v>
      </c>
      <c r="M353" s="36">
        <f t="shared" si="134"/>
        <v>0</v>
      </c>
      <c r="N353" s="31">
        <f t="shared" si="137"/>
        <v>0</v>
      </c>
      <c r="O353" s="93">
        <f>SUM('3:23'!O353)</f>
        <v>0</v>
      </c>
      <c r="P353" s="93">
        <f>SUM('3:23'!P353)</f>
        <v>0</v>
      </c>
      <c r="Q353" s="93">
        <f>SUM('3:23'!Q353)</f>
        <v>0</v>
      </c>
      <c r="R353" s="93">
        <f>SUM('3:23'!R353)</f>
        <v>0</v>
      </c>
      <c r="S353" s="93">
        <f>SUM('3:23'!S353)</f>
        <v>0</v>
      </c>
      <c r="T353" s="93">
        <f>SUM('3:23'!T353)</f>
        <v>0</v>
      </c>
      <c r="U353" s="93">
        <f>SUM('3:23'!U353)</f>
        <v>0</v>
      </c>
      <c r="V353" s="206">
        <f t="shared" si="135"/>
        <v>0</v>
      </c>
      <c r="W353" s="33" t="str">
        <f t="shared" si="136"/>
        <v/>
      </c>
      <c r="X353" s="93">
        <f>SUM('3:23'!X353)</f>
        <v>0</v>
      </c>
      <c r="Y353" s="93">
        <f>SUM('3:23'!Y353)</f>
        <v>0</v>
      </c>
      <c r="Z353" s="93">
        <f>SUM('3:23'!Z353)</f>
        <v>0</v>
      </c>
      <c r="AA353" s="93">
        <f>SUM('3:23'!AA353)</f>
        <v>0</v>
      </c>
      <c r="AB353" s="73"/>
      <c r="AC353" s="54"/>
      <c r="AD353" s="346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302">
        <v>30100060</v>
      </c>
      <c r="B354" s="62" t="s">
        <v>59</v>
      </c>
      <c r="C354" s="16" t="s">
        <v>61</v>
      </c>
      <c r="D354" s="17">
        <v>5.03</v>
      </c>
      <c r="E354" s="17"/>
      <c r="F354" s="6"/>
      <c r="G354" s="93">
        <f>SUM('3:23'!G354)</f>
        <v>0</v>
      </c>
      <c r="H354" s="95">
        <f t="shared" si="133"/>
        <v>0</v>
      </c>
      <c r="I354" s="93">
        <f>SUM('3:23'!I354)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3</v>
      </c>
      <c r="M354" s="36">
        <f t="shared" si="134"/>
        <v>0</v>
      </c>
      <c r="N354" s="31">
        <f t="shared" si="137"/>
        <v>0</v>
      </c>
      <c r="O354" s="93">
        <f>SUM('3:23'!O354)</f>
        <v>0</v>
      </c>
      <c r="P354" s="93">
        <f>SUM('3:23'!P354)</f>
        <v>0</v>
      </c>
      <c r="Q354" s="93">
        <f>SUM('3:23'!Q354)</f>
        <v>0</v>
      </c>
      <c r="R354" s="93">
        <f>SUM('3:23'!R354)</f>
        <v>0</v>
      </c>
      <c r="S354" s="93">
        <f>SUM('3:23'!S354)</f>
        <v>0</v>
      </c>
      <c r="T354" s="93">
        <f>SUM('3:23'!T354)</f>
        <v>0</v>
      </c>
      <c r="U354" s="93">
        <f>SUM('3:23'!U354)</f>
        <v>0</v>
      </c>
      <c r="V354" s="206">
        <f t="shared" si="135"/>
        <v>0</v>
      </c>
      <c r="W354" s="33" t="str">
        <f t="shared" si="136"/>
        <v/>
      </c>
      <c r="X354" s="93">
        <f>SUM('3:23'!X354)</f>
        <v>0</v>
      </c>
      <c r="Y354" s="93">
        <f>SUM('3:23'!Y354)</f>
        <v>0</v>
      </c>
      <c r="Z354" s="93">
        <f>SUM('3:23'!Z354)</f>
        <v>0</v>
      </c>
      <c r="AA354" s="93">
        <f>SUM('3:23'!AA354)</f>
        <v>0</v>
      </c>
      <c r="AB354" s="73"/>
      <c r="AC354" s="54"/>
      <c r="AD354" s="346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300">
        <v>30200006</v>
      </c>
      <c r="B355" s="62" t="s">
        <v>62</v>
      </c>
      <c r="C355" s="16" t="s">
        <v>63</v>
      </c>
      <c r="D355" s="17">
        <v>5.04</v>
      </c>
      <c r="E355" s="17"/>
      <c r="F355" s="79"/>
      <c r="G355" s="93">
        <f>SUM('3:23'!G355)</f>
        <v>0</v>
      </c>
      <c r="H355" s="95">
        <f t="shared" si="133"/>
        <v>0</v>
      </c>
      <c r="I355" s="93">
        <f>SUM('3:23'!I355)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17</v>
      </c>
      <c r="M355" s="36">
        <f t="shared" si="134"/>
        <v>0</v>
      </c>
      <c r="N355" s="31">
        <f t="shared" si="137"/>
        <v>0</v>
      </c>
      <c r="O355" s="93">
        <f>SUM('3:23'!O355)</f>
        <v>0</v>
      </c>
      <c r="P355" s="93">
        <f>SUM('3:23'!P355)</f>
        <v>0</v>
      </c>
      <c r="Q355" s="93">
        <f>SUM('3:23'!Q355)</f>
        <v>0</v>
      </c>
      <c r="R355" s="93">
        <f>SUM('3:23'!R355)</f>
        <v>0</v>
      </c>
      <c r="S355" s="93">
        <f>SUM('3:23'!S355)</f>
        <v>0</v>
      </c>
      <c r="T355" s="93">
        <f>SUM('3:23'!T355)</f>
        <v>0</v>
      </c>
      <c r="U355" s="93">
        <f>SUM('3:23'!U355)</f>
        <v>0</v>
      </c>
      <c r="V355" s="206">
        <f t="shared" si="135"/>
        <v>0</v>
      </c>
      <c r="W355" s="33" t="str">
        <f t="shared" si="136"/>
        <v/>
      </c>
      <c r="X355" s="93">
        <f>SUM('3:23'!X355)</f>
        <v>0</v>
      </c>
      <c r="Y355" s="93">
        <f>SUM('3:23'!Y355)</f>
        <v>0</v>
      </c>
      <c r="Z355" s="93">
        <f>SUM('3:23'!Z355)</f>
        <v>0</v>
      </c>
      <c r="AA355" s="93">
        <f>SUM('3:23'!AA355)</f>
        <v>0</v>
      </c>
      <c r="AB355" s="73"/>
      <c r="AC355" s="54"/>
      <c r="AD355" s="346"/>
      <c r="AE355" s="54"/>
      <c r="AF355" s="54"/>
      <c r="AG355" s="54"/>
      <c r="AH355" s="54"/>
      <c r="AI355" s="57"/>
      <c r="AJ355" s="57"/>
      <c r="AK355" s="57"/>
      <c r="AL355" s="345"/>
      <c r="AM355" s="54"/>
      <c r="AN355" s="54"/>
      <c r="AO355" s="54"/>
      <c r="AP355" s="345"/>
      <c r="AQ355" s="345"/>
      <c r="AR355" s="345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300">
        <v>30200005</v>
      </c>
      <c r="B356" s="62" t="s">
        <v>62</v>
      </c>
      <c r="C356" s="16" t="s">
        <v>64</v>
      </c>
      <c r="D356" s="17">
        <v>5.04</v>
      </c>
      <c r="E356" s="17"/>
      <c r="F356" s="79"/>
      <c r="G356" s="93">
        <f>SUM('3:23'!G356)</f>
        <v>0</v>
      </c>
      <c r="H356" s="95">
        <f t="shared" si="133"/>
        <v>0</v>
      </c>
      <c r="I356" s="93">
        <f>SUM('3:23'!I356)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17</v>
      </c>
      <c r="M356" s="36">
        <f t="shared" si="134"/>
        <v>0</v>
      </c>
      <c r="N356" s="31">
        <f t="shared" si="137"/>
        <v>0</v>
      </c>
      <c r="O356" s="93">
        <f>SUM('3:23'!O356)</f>
        <v>0</v>
      </c>
      <c r="P356" s="93">
        <f>SUM('3:23'!P356)</f>
        <v>0</v>
      </c>
      <c r="Q356" s="93">
        <f>SUM('3:23'!Q356)</f>
        <v>0</v>
      </c>
      <c r="R356" s="93">
        <f>SUM('3:23'!R356)</f>
        <v>0</v>
      </c>
      <c r="S356" s="93">
        <f>SUM('3:23'!S356)</f>
        <v>0</v>
      </c>
      <c r="T356" s="93">
        <f>SUM('3:23'!T356)</f>
        <v>0</v>
      </c>
      <c r="U356" s="93">
        <f>SUM('3:23'!U356)</f>
        <v>0</v>
      </c>
      <c r="V356" s="206">
        <f t="shared" si="135"/>
        <v>0</v>
      </c>
      <c r="W356" s="33" t="str">
        <f t="shared" si="136"/>
        <v/>
      </c>
      <c r="X356" s="93">
        <f>SUM('3:23'!X356)</f>
        <v>0</v>
      </c>
      <c r="Y356" s="93">
        <f>SUM('3:23'!Y356)</f>
        <v>0</v>
      </c>
      <c r="Z356" s="93">
        <f>SUM('3:23'!Z356)</f>
        <v>0</v>
      </c>
      <c r="AA356" s="93">
        <f>SUM('3:23'!AA356)</f>
        <v>0</v>
      </c>
      <c r="AB356" s="73"/>
      <c r="AC356" s="54"/>
      <c r="AD356" s="346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302">
        <v>30100063</v>
      </c>
      <c r="B357" s="62" t="s">
        <v>171</v>
      </c>
      <c r="C357" s="16" t="s">
        <v>172</v>
      </c>
      <c r="D357" s="17"/>
      <c r="E357" s="17"/>
      <c r="F357" s="79"/>
      <c r="G357" s="93">
        <f>SUM('3:23'!G357)</f>
        <v>0</v>
      </c>
      <c r="H357" s="95">
        <f t="shared" si="133"/>
        <v>0</v>
      </c>
      <c r="I357" s="93"/>
      <c r="J357" s="31"/>
      <c r="K357" s="35"/>
      <c r="L357" s="87"/>
      <c r="M357" s="36"/>
      <c r="N357" s="31"/>
      <c r="O357" s="93"/>
      <c r="P357" s="93"/>
      <c r="Q357" s="93"/>
      <c r="R357" s="93"/>
      <c r="S357" s="93"/>
      <c r="T357" s="93"/>
      <c r="U357" s="93"/>
      <c r="V357" s="206"/>
      <c r="W357" s="33"/>
      <c r="X357" s="93"/>
      <c r="Y357" s="93"/>
      <c r="Z357" s="93"/>
      <c r="AA357" s="93"/>
      <c r="AB357" s="73"/>
      <c r="AC357" s="54"/>
      <c r="AD357" s="346"/>
      <c r="AE357" s="54"/>
      <c r="AF357" s="54"/>
      <c r="AG357" s="54"/>
      <c r="AH357" s="54"/>
      <c r="AI357" s="57"/>
      <c r="AJ357" s="57"/>
      <c r="AK357" s="57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302">
        <v>30100061</v>
      </c>
      <c r="B358" s="62" t="s">
        <v>171</v>
      </c>
      <c r="C358" s="16" t="s">
        <v>173</v>
      </c>
      <c r="D358" s="17"/>
      <c r="E358" s="17"/>
      <c r="F358" s="79"/>
      <c r="G358" s="93">
        <f>SUM('3:23'!G358)</f>
        <v>0</v>
      </c>
      <c r="H358" s="95">
        <f t="shared" si="133"/>
        <v>0</v>
      </c>
      <c r="I358" s="93"/>
      <c r="J358" s="31"/>
      <c r="K358" s="35"/>
      <c r="L358" s="87"/>
      <c r="M358" s="36"/>
      <c r="N358" s="31"/>
      <c r="O358" s="93"/>
      <c r="P358" s="93"/>
      <c r="Q358" s="93"/>
      <c r="R358" s="93"/>
      <c r="S358" s="93"/>
      <c r="T358" s="93"/>
      <c r="U358" s="93"/>
      <c r="V358" s="206"/>
      <c r="W358" s="33"/>
      <c r="X358" s="93"/>
      <c r="Y358" s="93"/>
      <c r="Z358" s="93"/>
      <c r="AA358" s="93"/>
      <c r="AB358" s="73"/>
      <c r="AC358" s="54"/>
      <c r="AD358" s="346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300">
        <v>30200001</v>
      </c>
      <c r="B359" s="62" t="s">
        <v>67</v>
      </c>
      <c r="C359" s="16" t="s">
        <v>63</v>
      </c>
      <c r="D359" s="17">
        <v>5.0599999999999996</v>
      </c>
      <c r="E359" s="17"/>
      <c r="F359" s="6"/>
      <c r="G359" s="93">
        <f>SUM('3:23'!G359)</f>
        <v>0</v>
      </c>
      <c r="H359" s="95">
        <f t="shared" si="133"/>
        <v>0</v>
      </c>
      <c r="I359" s="93">
        <f>SUM('3:23'!I359)</f>
        <v>0</v>
      </c>
      <c r="J359" s="31" t="str">
        <f t="array" ref="J359">IF(ISERROR(G359/I359),"",G359/I359)</f>
        <v/>
      </c>
      <c r="K359" s="35">
        <f t="array" ref="K359">IF(ISERROR(G359/L359),"",G359/L359)</f>
        <v>0</v>
      </c>
      <c r="L359" s="87">
        <v>19</v>
      </c>
      <c r="M359" s="36">
        <f t="shared" ref="M359:M362" si="138">IF(ISERROR(I359-K359),"",I359-K359)</f>
        <v>0</v>
      </c>
      <c r="N359" s="31">
        <f t="shared" ref="N359:N362" si="139">SUM(O359:U359)</f>
        <v>0</v>
      </c>
      <c r="O359" s="93">
        <f>SUM('3:23'!O359)</f>
        <v>0</v>
      </c>
      <c r="P359" s="93">
        <f>SUM('3:23'!P359)</f>
        <v>0</v>
      </c>
      <c r="Q359" s="93">
        <f>SUM('3:23'!Q359)</f>
        <v>0</v>
      </c>
      <c r="R359" s="93">
        <f>SUM('3:23'!R359)</f>
        <v>0</v>
      </c>
      <c r="S359" s="93">
        <f>SUM('3:23'!S359)</f>
        <v>0</v>
      </c>
      <c r="T359" s="93">
        <f>SUM('3:23'!T359)</f>
        <v>0</v>
      </c>
      <c r="U359" s="93">
        <f>SUM('3:23'!U359)</f>
        <v>0</v>
      </c>
      <c r="V359" s="206">
        <f t="shared" ref="V359:V362" si="140">SUM(X359:AA359)</f>
        <v>0</v>
      </c>
      <c r="W359" s="33" t="str">
        <f t="shared" ref="W359:W362" si="141">IF(ISERROR(V359/G359),"",V359/G359)</f>
        <v/>
      </c>
      <c r="X359" s="93">
        <f>SUM('3:23'!X359)</f>
        <v>0</v>
      </c>
      <c r="Y359" s="93">
        <f>SUM('3:23'!Y359)</f>
        <v>0</v>
      </c>
      <c r="Z359" s="93">
        <f>SUM('3:23'!Z359)</f>
        <v>0</v>
      </c>
      <c r="AA359" s="93">
        <f>SUM('3:23'!AA359)</f>
        <v>0</v>
      </c>
      <c r="AB359" s="73"/>
      <c r="AC359" s="54"/>
      <c r="AD359" s="346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300">
        <v>30200002</v>
      </c>
      <c r="B360" s="62" t="s">
        <v>68</v>
      </c>
      <c r="C360" s="16" t="s">
        <v>63</v>
      </c>
      <c r="D360" s="17">
        <v>5.09</v>
      </c>
      <c r="E360" s="17"/>
      <c r="F360" s="6"/>
      <c r="G360" s="93">
        <f>SUM('3:23'!G360)</f>
        <v>0</v>
      </c>
      <c r="H360" s="95">
        <f t="shared" si="133"/>
        <v>0</v>
      </c>
      <c r="I360" s="93">
        <f>SUM('3:23'!I360)</f>
        <v>0</v>
      </c>
      <c r="J360" s="31" t="str">
        <f t="array" ref="J360">IF(ISERROR(G360/I360),"",G360/I360)</f>
        <v/>
      </c>
      <c r="K360" s="35">
        <f t="array" ref="K360">IF(ISERROR(G360/L360),"",G360/L360)</f>
        <v>0</v>
      </c>
      <c r="L360" s="87">
        <v>23</v>
      </c>
      <c r="M360" s="36">
        <f t="shared" si="138"/>
        <v>0</v>
      </c>
      <c r="N360" s="31">
        <f t="shared" si="139"/>
        <v>0</v>
      </c>
      <c r="O360" s="93">
        <f>SUM('3:23'!O360)</f>
        <v>0</v>
      </c>
      <c r="P360" s="93">
        <f>SUM('3:23'!P360)</f>
        <v>0</v>
      </c>
      <c r="Q360" s="93">
        <f>SUM('3:23'!Q360)</f>
        <v>0</v>
      </c>
      <c r="R360" s="93">
        <f>SUM('3:23'!R360)</f>
        <v>0</v>
      </c>
      <c r="S360" s="93">
        <f>SUM('3:23'!S360)</f>
        <v>0</v>
      </c>
      <c r="T360" s="93">
        <f>SUM('3:23'!T360)</f>
        <v>0</v>
      </c>
      <c r="U360" s="93">
        <f>SUM('3:23'!U360)</f>
        <v>0</v>
      </c>
      <c r="V360" s="206">
        <f t="shared" si="140"/>
        <v>0</v>
      </c>
      <c r="W360" s="33" t="str">
        <f t="shared" si="141"/>
        <v/>
      </c>
      <c r="X360" s="93">
        <f>SUM('3:23'!X360)</f>
        <v>0</v>
      </c>
      <c r="Y360" s="93">
        <f>SUM('3:23'!Y360)</f>
        <v>0</v>
      </c>
      <c r="Z360" s="93">
        <f>SUM('3:23'!Z360)</f>
        <v>0</v>
      </c>
      <c r="AA360" s="93">
        <f>SUM('3:23'!AA360)</f>
        <v>0</v>
      </c>
      <c r="AB360" s="73"/>
      <c r="AC360" s="54"/>
      <c r="AD360" s="346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300">
        <v>30200003</v>
      </c>
      <c r="B361" s="62" t="s">
        <v>68</v>
      </c>
      <c r="C361" s="16" t="s">
        <v>64</v>
      </c>
      <c r="D361" s="17">
        <v>5.09</v>
      </c>
      <c r="E361" s="17"/>
      <c r="F361" s="6"/>
      <c r="G361" s="93">
        <f>SUM('3:23'!G361)</f>
        <v>0</v>
      </c>
      <c r="H361" s="95">
        <f t="shared" si="133"/>
        <v>0</v>
      </c>
      <c r="I361" s="93">
        <f>SUM('3:23'!I361)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23</v>
      </c>
      <c r="M361" s="36">
        <f t="shared" si="138"/>
        <v>0</v>
      </c>
      <c r="N361" s="31">
        <f t="shared" si="139"/>
        <v>0</v>
      </c>
      <c r="O361" s="93">
        <f>SUM('3:23'!O361)</f>
        <v>0</v>
      </c>
      <c r="P361" s="93">
        <f>SUM('3:23'!P361)</f>
        <v>0</v>
      </c>
      <c r="Q361" s="93">
        <f>SUM('3:23'!Q361)</f>
        <v>0</v>
      </c>
      <c r="R361" s="93">
        <f>SUM('3:23'!R361)</f>
        <v>0</v>
      </c>
      <c r="S361" s="93">
        <f>SUM('3:23'!S361)</f>
        <v>0</v>
      </c>
      <c r="T361" s="93">
        <f>SUM('3:23'!T361)</f>
        <v>0</v>
      </c>
      <c r="U361" s="93">
        <f>SUM('3:23'!U361)</f>
        <v>0</v>
      </c>
      <c r="V361" s="206">
        <f t="shared" si="140"/>
        <v>0</v>
      </c>
      <c r="W361" s="33" t="str">
        <f t="shared" si="141"/>
        <v/>
      </c>
      <c r="X361" s="93">
        <f>SUM('3:23'!X361)</f>
        <v>0</v>
      </c>
      <c r="Y361" s="93">
        <f>SUM('3:23'!Y361)</f>
        <v>0</v>
      </c>
      <c r="Z361" s="93">
        <f>SUM('3:23'!Z361)</f>
        <v>0</v>
      </c>
      <c r="AA361" s="93">
        <f>SUM('3:23'!AA361)</f>
        <v>0</v>
      </c>
      <c r="AB361" s="73"/>
      <c r="AC361" s="54"/>
      <c r="AD361" s="346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300">
        <v>30100003</v>
      </c>
      <c r="B362" s="141" t="s">
        <v>198</v>
      </c>
      <c r="C362" s="333" t="s">
        <v>190</v>
      </c>
      <c r="D362" s="108">
        <v>4.8</v>
      </c>
      <c r="E362" s="17"/>
      <c r="F362" s="6"/>
      <c r="G362" s="93">
        <f>SUM('3:23'!G362)</f>
        <v>0</v>
      </c>
      <c r="H362" s="95">
        <f t="shared" si="133"/>
        <v>0</v>
      </c>
      <c r="I362" s="93">
        <f>SUM('3:23'!I362)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4</v>
      </c>
      <c r="M362" s="36">
        <f t="shared" si="138"/>
        <v>0</v>
      </c>
      <c r="N362" s="31">
        <f t="shared" si="139"/>
        <v>0</v>
      </c>
      <c r="O362" s="93">
        <f>SUM('3:23'!O362)</f>
        <v>0</v>
      </c>
      <c r="P362" s="93">
        <f>SUM('3:23'!P362)</f>
        <v>0</v>
      </c>
      <c r="Q362" s="93">
        <f>SUM('3:23'!Q362)</f>
        <v>0</v>
      </c>
      <c r="R362" s="93">
        <f>SUM('3:23'!R362)</f>
        <v>0</v>
      </c>
      <c r="S362" s="93">
        <f>SUM('3:23'!S362)</f>
        <v>0</v>
      </c>
      <c r="T362" s="93">
        <f>SUM('3:23'!T362)</f>
        <v>0</v>
      </c>
      <c r="U362" s="93">
        <f>SUM('3:23'!U362)</f>
        <v>0</v>
      </c>
      <c r="V362" s="206">
        <f t="shared" si="140"/>
        <v>0</v>
      </c>
      <c r="W362" s="33" t="str">
        <f t="shared" si="141"/>
        <v/>
      </c>
      <c r="X362" s="93">
        <f>SUM('3:23'!X362)</f>
        <v>0</v>
      </c>
      <c r="Y362" s="93">
        <f>SUM('3:23'!Y362)</f>
        <v>0</v>
      </c>
      <c r="Z362" s="93">
        <f>SUM('3:23'!Z362)</f>
        <v>0</v>
      </c>
      <c r="AA362" s="93">
        <f>SUM('3:23'!AA362)</f>
        <v>0</v>
      </c>
      <c r="AB362" s="73"/>
      <c r="AC362" s="54"/>
      <c r="AD362" s="346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300">
        <v>30100004</v>
      </c>
      <c r="B363" s="141" t="s">
        <v>198</v>
      </c>
      <c r="C363" s="333" t="s">
        <v>187</v>
      </c>
      <c r="D363" s="108">
        <v>4.8</v>
      </c>
      <c r="E363" s="17"/>
      <c r="F363" s="6"/>
      <c r="G363" s="93">
        <f>SUM('3:23'!G363)</f>
        <v>0</v>
      </c>
      <c r="H363" s="95">
        <f t="shared" si="133"/>
        <v>0</v>
      </c>
      <c r="I363" s="93">
        <f>SUM('3:23'!I363)</f>
        <v>0</v>
      </c>
      <c r="J363" s="31"/>
      <c r="K363" s="35">
        <f t="array" ref="K363">IF(ISERROR(G363/L363),"",G363/L363)</f>
        <v>0</v>
      </c>
      <c r="L363" s="87">
        <v>4</v>
      </c>
      <c r="M363" s="36">
        <f>IF(ISERROR(I363-K363),"",I363-K363)</f>
        <v>0</v>
      </c>
      <c r="N363" s="31"/>
      <c r="O363" s="93">
        <f>SUM('3:23'!O363)</f>
        <v>0</v>
      </c>
      <c r="P363" s="93">
        <f>SUM('3:23'!P363)</f>
        <v>0</v>
      </c>
      <c r="Q363" s="93">
        <f>SUM('3:23'!Q363)</f>
        <v>0</v>
      </c>
      <c r="R363" s="93">
        <f>SUM('3:23'!R363)</f>
        <v>0</v>
      </c>
      <c r="S363" s="93">
        <f>SUM('3:23'!S363)</f>
        <v>0</v>
      </c>
      <c r="T363" s="93">
        <f>SUM('3:23'!T363)</f>
        <v>0</v>
      </c>
      <c r="U363" s="93">
        <f>SUM('3:23'!U363)</f>
        <v>0</v>
      </c>
      <c r="V363" s="206"/>
      <c r="W363" s="33"/>
      <c r="X363" s="93">
        <f>SUM('3:23'!X363)</f>
        <v>0</v>
      </c>
      <c r="Y363" s="93">
        <f>SUM('3:23'!Y363)</f>
        <v>0</v>
      </c>
      <c r="Z363" s="93">
        <f>SUM('3:23'!Z363)</f>
        <v>0</v>
      </c>
      <c r="AA363" s="93">
        <f>SUM('3:23'!AA363)</f>
        <v>0</v>
      </c>
      <c r="AB363" s="73"/>
      <c r="AC363" s="54"/>
      <c r="AD363" s="346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300">
        <v>30100006</v>
      </c>
      <c r="B364" s="141" t="s">
        <v>198</v>
      </c>
      <c r="C364" s="333" t="s">
        <v>179</v>
      </c>
      <c r="D364" s="108">
        <v>4.8</v>
      </c>
      <c r="E364" s="17"/>
      <c r="F364" s="6"/>
      <c r="G364" s="93">
        <f>SUM('3:23'!G364)</f>
        <v>0</v>
      </c>
      <c r="H364" s="95">
        <f t="shared" si="133"/>
        <v>0</v>
      </c>
      <c r="I364" s="93">
        <f>SUM('3:23'!I364)</f>
        <v>0</v>
      </c>
      <c r="J364" s="31"/>
      <c r="K364" s="35">
        <f t="array" ref="K364">IF(ISERROR(G364/L364),"",G364/L364)</f>
        <v>0</v>
      </c>
      <c r="L364" s="87">
        <v>4</v>
      </c>
      <c r="M364" s="36">
        <f>IF(ISERROR(I364-K364),"",I364-K364)</f>
        <v>0</v>
      </c>
      <c r="N364" s="31"/>
      <c r="O364" s="93">
        <f>SUM('3:23'!O364)</f>
        <v>0</v>
      </c>
      <c r="P364" s="93">
        <f>SUM('3:23'!P364)</f>
        <v>0</v>
      </c>
      <c r="Q364" s="93">
        <f>SUM('3:23'!Q364)</f>
        <v>0</v>
      </c>
      <c r="R364" s="93">
        <f>SUM('3:23'!R364)</f>
        <v>0</v>
      </c>
      <c r="S364" s="93">
        <f>SUM('3:23'!S364)</f>
        <v>0</v>
      </c>
      <c r="T364" s="93">
        <f>SUM('3:23'!T364)</f>
        <v>0</v>
      </c>
      <c r="U364" s="93">
        <f>SUM('3:23'!U364)</f>
        <v>0</v>
      </c>
      <c r="V364" s="206"/>
      <c r="W364" s="33"/>
      <c r="X364" s="93">
        <f>SUM('3:23'!X364)</f>
        <v>0</v>
      </c>
      <c r="Y364" s="93">
        <f>SUM('3:23'!Y364)</f>
        <v>0</v>
      </c>
      <c r="Z364" s="93">
        <f>SUM('3:23'!Z364)</f>
        <v>0</v>
      </c>
      <c r="AA364" s="93">
        <f>SUM('3:23'!AA364)</f>
        <v>0</v>
      </c>
      <c r="AB364" s="73"/>
      <c r="AC364" s="54"/>
      <c r="AD364" s="346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300">
        <v>30100005</v>
      </c>
      <c r="B365" s="141" t="s">
        <v>198</v>
      </c>
      <c r="C365" s="333" t="s">
        <v>199</v>
      </c>
      <c r="D365" s="108">
        <v>4.8</v>
      </c>
      <c r="E365" s="17"/>
      <c r="F365" s="6"/>
      <c r="G365" s="93">
        <f>SUM('3:23'!G365)</f>
        <v>0</v>
      </c>
      <c r="H365" s="95">
        <f t="shared" si="133"/>
        <v>0</v>
      </c>
      <c r="I365" s="93">
        <f>SUM('3:23'!I365)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SUM('3:23'!O365)</f>
        <v>0</v>
      </c>
      <c r="P365" s="93">
        <f>SUM('3:23'!P365)</f>
        <v>0</v>
      </c>
      <c r="Q365" s="93">
        <f>SUM('3:23'!Q365)</f>
        <v>0</v>
      </c>
      <c r="R365" s="93">
        <f>SUM('3:23'!R365)</f>
        <v>0</v>
      </c>
      <c r="S365" s="93">
        <f>SUM('3:23'!S365)</f>
        <v>0</v>
      </c>
      <c r="T365" s="93">
        <f>SUM('3:23'!T365)</f>
        <v>0</v>
      </c>
      <c r="U365" s="93">
        <f>SUM('3:23'!U365)</f>
        <v>0</v>
      </c>
      <c r="V365" s="206"/>
      <c r="W365" s="33"/>
      <c r="X365" s="93">
        <f>SUM('3:23'!X365)</f>
        <v>0</v>
      </c>
      <c r="Y365" s="93">
        <f>SUM('3:23'!Y365)</f>
        <v>0</v>
      </c>
      <c r="Z365" s="93">
        <f>SUM('3:23'!Z365)</f>
        <v>0</v>
      </c>
      <c r="AA365" s="93">
        <f>SUM('3:23'!AA365)</f>
        <v>0</v>
      </c>
      <c r="AB365" s="73"/>
      <c r="AC365" s="54"/>
      <c r="AD365" s="346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300">
        <v>30100009</v>
      </c>
      <c r="B366" s="141" t="s">
        <v>200</v>
      </c>
      <c r="C366" s="126" t="s">
        <v>190</v>
      </c>
      <c r="D366" s="108">
        <v>4.99</v>
      </c>
      <c r="E366" s="17"/>
      <c r="F366" s="6"/>
      <c r="G366" s="93">
        <f>SUM('3:23'!G366)</f>
        <v>0</v>
      </c>
      <c r="H366" s="95">
        <f t="shared" si="133"/>
        <v>0</v>
      </c>
      <c r="I366" s="93">
        <f>SUM('3:23'!I366)</f>
        <v>0</v>
      </c>
      <c r="J366" s="31"/>
      <c r="K366" s="35">
        <f t="array" ref="K366">IF(ISERROR(G366/L366),"",G366/L366)</f>
        <v>0</v>
      </c>
      <c r="L366" s="87">
        <v>23.5</v>
      </c>
      <c r="M366" s="36">
        <f>IF(ISERROR(I366-K366),"",I366-K366)</f>
        <v>0</v>
      </c>
      <c r="N366" s="31"/>
      <c r="O366" s="93">
        <f>SUM('3:23'!O366)</f>
        <v>0</v>
      </c>
      <c r="P366" s="93">
        <f>SUM('3:23'!P366)</f>
        <v>0</v>
      </c>
      <c r="Q366" s="93">
        <f>SUM('3:23'!Q366)</f>
        <v>0</v>
      </c>
      <c r="R366" s="93">
        <f>SUM('3:23'!R366)</f>
        <v>0</v>
      </c>
      <c r="S366" s="93">
        <f>SUM('3:23'!S366)</f>
        <v>0</v>
      </c>
      <c r="T366" s="93">
        <f>SUM('3:23'!T366)</f>
        <v>0</v>
      </c>
      <c r="U366" s="93">
        <f>SUM('3:23'!U366)</f>
        <v>0</v>
      </c>
      <c r="V366" s="206"/>
      <c r="W366" s="33"/>
      <c r="X366" s="93">
        <f>SUM('3:23'!X366)</f>
        <v>0</v>
      </c>
      <c r="Y366" s="93">
        <f>SUM('3:23'!Y366)</f>
        <v>0</v>
      </c>
      <c r="Z366" s="93">
        <f>SUM('3:23'!Z366)</f>
        <v>0</v>
      </c>
      <c r="AA366" s="93">
        <f>SUM('3:23'!AA366)</f>
        <v>0</v>
      </c>
      <c r="AB366" s="73"/>
      <c r="AC366" s="54"/>
      <c r="AD366" s="346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299">
        <v>30200004</v>
      </c>
      <c r="B367" s="141" t="s">
        <v>200</v>
      </c>
      <c r="C367" s="126" t="s">
        <v>189</v>
      </c>
      <c r="D367" s="108">
        <v>4.99</v>
      </c>
      <c r="E367" s="17"/>
      <c r="F367" s="13"/>
      <c r="G367" s="93">
        <f>SUM('3:23'!G367)</f>
        <v>0</v>
      </c>
      <c r="H367" s="95">
        <f t="shared" si="133"/>
        <v>0</v>
      </c>
      <c r="I367" s="93">
        <f>SUM('3:23'!I367)</f>
        <v>0</v>
      </c>
      <c r="J367" s="31" t="str">
        <f t="array" ref="J367">IF(ISERROR(G367/I367),"",G367/I367)</f>
        <v/>
      </c>
      <c r="K367" s="35">
        <f t="array" ref="K367">IF(ISERROR(G367/L367),"",G367/L367)</f>
        <v>0</v>
      </c>
      <c r="L367" s="87">
        <v>23.5</v>
      </c>
      <c r="M367" s="36">
        <f t="shared" ref="M367" si="142">IF(ISERROR(I367-K367),"",I367-K367)</f>
        <v>0</v>
      </c>
      <c r="N367" s="31">
        <f t="shared" ref="N367" si="143">SUM(O367:U367)</f>
        <v>0</v>
      </c>
      <c r="O367" s="93">
        <f>SUM('3:23'!O367)</f>
        <v>0</v>
      </c>
      <c r="P367" s="93">
        <f>SUM('3:23'!P367)</f>
        <v>0</v>
      </c>
      <c r="Q367" s="93">
        <f>SUM('3:23'!Q367)</f>
        <v>0</v>
      </c>
      <c r="R367" s="93">
        <f>SUM('3:23'!R367)</f>
        <v>0</v>
      </c>
      <c r="S367" s="93">
        <f>SUM('3:23'!S367)</f>
        <v>0</v>
      </c>
      <c r="T367" s="93">
        <f>SUM('3:23'!T367)</f>
        <v>0</v>
      </c>
      <c r="U367" s="93">
        <f>SUM('3:23'!U367)</f>
        <v>0</v>
      </c>
      <c r="V367" s="206">
        <f t="shared" ref="V367" si="144">SUM(X367:AA367)</f>
        <v>0</v>
      </c>
      <c r="W367" s="33" t="str">
        <f t="shared" ref="W367" si="145">IF(ISERROR(V367/G367),"",V367/G367)</f>
        <v/>
      </c>
      <c r="X367" s="93">
        <f>SUM('3:23'!X367)</f>
        <v>0</v>
      </c>
      <c r="Y367" s="93">
        <f>SUM('3:23'!Y367)</f>
        <v>0</v>
      </c>
      <c r="Z367" s="93">
        <f>SUM('3:23'!Z367)</f>
        <v>0</v>
      </c>
      <c r="AA367" s="93">
        <f>SUM('3:23'!AA367)</f>
        <v>0</v>
      </c>
      <c r="AB367" s="73"/>
      <c r="AC367" s="54"/>
      <c r="AD367" s="346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722" t="s">
        <v>70</v>
      </c>
      <c r="B368" s="723"/>
      <c r="C368" s="31" t="s">
        <v>71</v>
      </c>
      <c r="D368" s="30"/>
      <c r="E368" s="30"/>
      <c r="F368" s="30"/>
      <c r="G368" s="94">
        <f>SUM(G347:G367)</f>
        <v>0</v>
      </c>
      <c r="H368" s="30">
        <f>SUM(H347:H367)</f>
        <v>0</v>
      </c>
      <c r="I368" s="30">
        <f>SUM(I347:I367)</f>
        <v>0</v>
      </c>
      <c r="J368" s="31" t="str">
        <f t="array" ref="J368">IF(ISERROR(G368/I368),"",G368/I368)</f>
        <v/>
      </c>
      <c r="K368" s="30">
        <f>SUM(K347:K367)</f>
        <v>0</v>
      </c>
      <c r="L368" s="98"/>
      <c r="M368" s="89">
        <f t="shared" ref="M368:AA368" si="146">SUM(M347:M367)</f>
        <v>0</v>
      </c>
      <c r="N368" s="30">
        <f t="shared" si="146"/>
        <v>0</v>
      </c>
      <c r="O368" s="34">
        <f t="shared" si="146"/>
        <v>0</v>
      </c>
      <c r="P368" s="34">
        <f t="shared" si="146"/>
        <v>0</v>
      </c>
      <c r="Q368" s="34">
        <f t="shared" si="146"/>
        <v>0</v>
      </c>
      <c r="R368" s="34">
        <f t="shared" si="146"/>
        <v>0</v>
      </c>
      <c r="S368" s="34">
        <f t="shared" si="146"/>
        <v>0</v>
      </c>
      <c r="T368" s="34">
        <f t="shared" si="146"/>
        <v>0</v>
      </c>
      <c r="U368" s="34">
        <f t="shared" si="146"/>
        <v>0</v>
      </c>
      <c r="V368" s="206">
        <f t="shared" si="146"/>
        <v>0</v>
      </c>
      <c r="W368" s="33">
        <f t="shared" si="146"/>
        <v>0</v>
      </c>
      <c r="X368" s="92">
        <f t="shared" si="146"/>
        <v>0</v>
      </c>
      <c r="Y368" s="92">
        <f t="shared" si="146"/>
        <v>0</v>
      </c>
      <c r="Z368" s="92">
        <f t="shared" si="146"/>
        <v>0</v>
      </c>
      <c r="AA368" s="92">
        <f t="shared" si="146"/>
        <v>0</v>
      </c>
      <c r="AB368" s="70"/>
      <c r="AC368" s="70"/>
      <c r="AD368" s="58"/>
      <c r="AE368" s="70"/>
      <c r="AF368" s="70"/>
      <c r="AG368" s="70"/>
      <c r="AH368" s="70"/>
      <c r="AI368" s="58"/>
      <c r="AJ368" s="58"/>
      <c r="AK368" s="58"/>
      <c r="AL368" s="58"/>
      <c r="AM368" s="58"/>
      <c r="AN368" s="58"/>
      <c r="AO368" s="58"/>
      <c r="AP368" s="58"/>
      <c r="AQ368" s="58"/>
      <c r="AR368" s="58"/>
      <c r="AS368" s="58"/>
      <c r="AT368" s="58"/>
      <c r="AU368" s="58"/>
      <c r="AV368" s="58"/>
      <c r="AW368" s="58"/>
      <c r="AX368" s="58"/>
      <c r="AY368" s="58"/>
      <c r="AZ368" s="58"/>
      <c r="BA368" s="58"/>
    </row>
    <row r="369" spans="1:53">
      <c r="A369" s="300">
        <v>30100012</v>
      </c>
      <c r="B369" s="61" t="s">
        <v>76</v>
      </c>
      <c r="C369" s="16" t="s">
        <v>73</v>
      </c>
      <c r="D369" s="17">
        <v>5.03</v>
      </c>
      <c r="E369" s="17"/>
      <c r="F369" s="6"/>
      <c r="G369" s="93">
        <f>SUM('3:23'!G369)</f>
        <v>0</v>
      </c>
      <c r="H369" s="339">
        <f t="shared" ref="H369:H425" si="147">D369*G369</f>
        <v>0</v>
      </c>
      <c r="I369" s="93">
        <f>SUM('3:23'!I369)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52</v>
      </c>
      <c r="M369" s="36">
        <f t="shared" ref="M369" si="148">IF(ISERROR(I369-K369),"",I369-K369)</f>
        <v>0</v>
      </c>
      <c r="N369" s="31">
        <f t="shared" ref="N369" si="149">SUM(O369:U369)</f>
        <v>0</v>
      </c>
      <c r="O369" s="93">
        <f>SUM('3:23'!O369)</f>
        <v>0</v>
      </c>
      <c r="P369" s="93">
        <f>SUM('3:23'!P369)</f>
        <v>0</v>
      </c>
      <c r="Q369" s="93">
        <f>SUM('3:23'!Q369)</f>
        <v>0</v>
      </c>
      <c r="R369" s="93">
        <f>SUM('3:23'!R369)</f>
        <v>0</v>
      </c>
      <c r="S369" s="93">
        <f>SUM('3:23'!S369)</f>
        <v>0</v>
      </c>
      <c r="T369" s="93">
        <f>SUM('3:23'!T369)</f>
        <v>0</v>
      </c>
      <c r="U369" s="93">
        <f>SUM('3:23'!U369)</f>
        <v>0</v>
      </c>
      <c r="V369" s="206">
        <f t="shared" ref="V369" si="150">SUM(X369:AA369)</f>
        <v>0</v>
      </c>
      <c r="W369" s="33" t="str">
        <f t="shared" ref="W369" si="151">IF(ISERROR(V369/G369),"",V369/G369)</f>
        <v/>
      </c>
      <c r="X369" s="93">
        <f>SUM('3:23'!X369)</f>
        <v>0</v>
      </c>
      <c r="Y369" s="93">
        <f>SUM('3:23'!Y369)</f>
        <v>0</v>
      </c>
      <c r="Z369" s="93">
        <f>SUM('3:23'!Z369)</f>
        <v>0</v>
      </c>
      <c r="AA369" s="93">
        <f>SUM('3:23'!AA369)</f>
        <v>0</v>
      </c>
      <c r="AB369" s="25"/>
      <c r="AC369" s="54"/>
      <c r="AD369" s="346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300">
        <v>30100011</v>
      </c>
      <c r="B370" s="190" t="s">
        <v>425</v>
      </c>
      <c r="C370" s="187" t="s">
        <v>427</v>
      </c>
      <c r="D370" s="17">
        <v>5.03</v>
      </c>
      <c r="E370" s="17"/>
      <c r="F370" s="6"/>
      <c r="G370" s="93">
        <f>SUM('3:23'!G370)</f>
        <v>0</v>
      </c>
      <c r="H370" s="339">
        <f t="shared" si="147"/>
        <v>0</v>
      </c>
      <c r="I370" s="93"/>
      <c r="J370" s="31"/>
      <c r="K370" s="35">
        <f t="array" ref="K370">IF(ISERROR(G370/L370),"",G370/L370)</f>
        <v>0</v>
      </c>
      <c r="L370" s="87">
        <v>52</v>
      </c>
      <c r="M370" s="36"/>
      <c r="N370" s="31"/>
      <c r="O370" s="93"/>
      <c r="P370" s="93"/>
      <c r="Q370" s="93"/>
      <c r="R370" s="93"/>
      <c r="S370" s="93"/>
      <c r="T370" s="93"/>
      <c r="U370" s="93"/>
      <c r="V370" s="206"/>
      <c r="W370" s="33"/>
      <c r="X370" s="93"/>
      <c r="Y370" s="93"/>
      <c r="Z370" s="93"/>
      <c r="AA370" s="93"/>
      <c r="AB370" s="25"/>
      <c r="AC370" s="54"/>
      <c r="AD370" s="346"/>
      <c r="AE370" s="54"/>
      <c r="AF370" s="54"/>
      <c r="AG370" s="54"/>
      <c r="AH370" s="54"/>
      <c r="AI370" s="57"/>
      <c r="AJ370" s="57"/>
      <c r="AK370" s="57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</row>
    <row r="371" spans="1:53">
      <c r="A371" s="300">
        <v>30100010</v>
      </c>
      <c r="B371" s="61" t="s">
        <v>76</v>
      </c>
      <c r="C371" s="16" t="s">
        <v>60</v>
      </c>
      <c r="D371" s="17">
        <v>5.03</v>
      </c>
      <c r="E371" s="17"/>
      <c r="F371" s="6"/>
      <c r="G371" s="93">
        <f>SUM('3:23'!G371)</f>
        <v>0</v>
      </c>
      <c r="H371" s="339">
        <f t="shared" si="147"/>
        <v>0</v>
      </c>
      <c r="I371" s="93">
        <f>SUM('3:23'!I371)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 t="shared" ref="M371:M406" si="152">IF(ISERROR(I371-K371),"",I371-K371)</f>
        <v>0</v>
      </c>
      <c r="N371" s="31">
        <f t="shared" ref="N371:N373" si="153">SUM(O371:U371)</f>
        <v>0</v>
      </c>
      <c r="O371" s="93">
        <f>SUM('3:23'!O371)</f>
        <v>0</v>
      </c>
      <c r="P371" s="93">
        <f>SUM('3:23'!P371)</f>
        <v>0</v>
      </c>
      <c r="Q371" s="93">
        <f>SUM('3:23'!Q371)</f>
        <v>0</v>
      </c>
      <c r="R371" s="93">
        <f>SUM('3:23'!R371)</f>
        <v>0</v>
      </c>
      <c r="S371" s="93">
        <f>SUM('3:23'!S371)</f>
        <v>0</v>
      </c>
      <c r="T371" s="93">
        <f>SUM('3:23'!T371)</f>
        <v>0</v>
      </c>
      <c r="U371" s="93">
        <f>SUM('3:23'!U371)</f>
        <v>0</v>
      </c>
      <c r="V371" s="206">
        <f t="shared" ref="V371:V373" si="154">SUM(X371:AA371)</f>
        <v>0</v>
      </c>
      <c r="W371" s="33" t="str">
        <f t="shared" ref="W371:W373" si="155">IF(ISERROR(V371/G371),"",V371/G371)</f>
        <v/>
      </c>
      <c r="X371" s="93">
        <f>SUM('3:23'!X371)</f>
        <v>0</v>
      </c>
      <c r="Y371" s="93">
        <f>SUM('3:23'!Y371)</f>
        <v>0</v>
      </c>
      <c r="Z371" s="93">
        <f>SUM('3:23'!Z371)</f>
        <v>0</v>
      </c>
      <c r="AA371" s="93">
        <f>SUM('3:23'!AA371)</f>
        <v>0</v>
      </c>
      <c r="AB371" s="25"/>
      <c r="AC371" s="54"/>
      <c r="AD371" s="346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 ht="17.25" customHeight="1">
      <c r="A372" s="300">
        <v>30100014</v>
      </c>
      <c r="B372" s="61" t="s">
        <v>76</v>
      </c>
      <c r="C372" s="16" t="s">
        <v>72</v>
      </c>
      <c r="D372" s="17">
        <v>5.03</v>
      </c>
      <c r="E372" s="17"/>
      <c r="F372" s="6"/>
      <c r="G372" s="93">
        <f>SUM('3:23'!G372)</f>
        <v>0</v>
      </c>
      <c r="H372" s="339">
        <f t="shared" si="147"/>
        <v>0</v>
      </c>
      <c r="I372" s="93">
        <f>SUM('3:23'!I372)</f>
        <v>0</v>
      </c>
      <c r="J372" s="31" t="str">
        <f t="array" ref="J372">IF(ISERROR(G372/I372),"",G372/I372)</f>
        <v/>
      </c>
      <c r="K372" s="35">
        <f t="array" ref="K372">IF(ISERROR(G372/L372),"",G372/L372)</f>
        <v>0</v>
      </c>
      <c r="L372" s="87">
        <v>52</v>
      </c>
      <c r="M372" s="36">
        <f t="shared" si="152"/>
        <v>0</v>
      </c>
      <c r="N372" s="31">
        <f t="shared" si="153"/>
        <v>0</v>
      </c>
      <c r="O372" s="93">
        <f>SUM('3:23'!O372)</f>
        <v>0</v>
      </c>
      <c r="P372" s="93">
        <f>SUM('3:23'!P372)</f>
        <v>0</v>
      </c>
      <c r="Q372" s="93">
        <f>SUM('3:23'!Q372)</f>
        <v>0</v>
      </c>
      <c r="R372" s="93">
        <f>SUM('3:23'!R372)</f>
        <v>0</v>
      </c>
      <c r="S372" s="93">
        <f>SUM('3:23'!S372)</f>
        <v>0</v>
      </c>
      <c r="T372" s="93">
        <f>SUM('3:23'!T372)</f>
        <v>0</v>
      </c>
      <c r="U372" s="93">
        <f>SUM('3:23'!U372)</f>
        <v>0</v>
      </c>
      <c r="V372" s="206">
        <f t="shared" si="154"/>
        <v>0</v>
      </c>
      <c r="W372" s="33" t="str">
        <f t="shared" si="155"/>
        <v/>
      </c>
      <c r="X372" s="93">
        <f>SUM('3:23'!X372)</f>
        <v>0</v>
      </c>
      <c r="Y372" s="93">
        <f>SUM('3:23'!Y372)</f>
        <v>0</v>
      </c>
      <c r="Z372" s="93">
        <f>SUM('3:23'!Z372)</f>
        <v>0</v>
      </c>
      <c r="AA372" s="93">
        <f>SUM('3:23'!AA372)</f>
        <v>0</v>
      </c>
      <c r="AB372" s="25"/>
      <c r="AC372" s="54"/>
      <c r="AD372" s="346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300">
        <v>30100013</v>
      </c>
      <c r="B373" s="61" t="s">
        <v>76</v>
      </c>
      <c r="C373" s="16" t="s">
        <v>77</v>
      </c>
      <c r="D373" s="17">
        <v>5.03</v>
      </c>
      <c r="E373" s="17"/>
      <c r="F373" s="6"/>
      <c r="G373" s="93">
        <f>SUM('3:23'!G373)</f>
        <v>0</v>
      </c>
      <c r="H373" s="339">
        <f t="shared" si="147"/>
        <v>0</v>
      </c>
      <c r="I373" s="93">
        <f>SUM('3:23'!I373)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si="152"/>
        <v>0</v>
      </c>
      <c r="N373" s="31">
        <f t="shared" si="153"/>
        <v>0</v>
      </c>
      <c r="O373" s="93">
        <f>SUM('3:23'!O373)</f>
        <v>0</v>
      </c>
      <c r="P373" s="93">
        <f>SUM('3:23'!P373)</f>
        <v>0</v>
      </c>
      <c r="Q373" s="93">
        <f>SUM('3:23'!Q373)</f>
        <v>0</v>
      </c>
      <c r="R373" s="93">
        <f>SUM('3:23'!R373)</f>
        <v>0</v>
      </c>
      <c r="S373" s="93">
        <f>SUM('3:23'!S373)</f>
        <v>0</v>
      </c>
      <c r="T373" s="93">
        <f>SUM('3:23'!T373)</f>
        <v>0</v>
      </c>
      <c r="U373" s="93">
        <f>SUM('3:23'!U373)</f>
        <v>0</v>
      </c>
      <c r="V373" s="206">
        <f t="shared" si="154"/>
        <v>0</v>
      </c>
      <c r="W373" s="33" t="str">
        <f t="shared" si="155"/>
        <v/>
      </c>
      <c r="X373" s="93">
        <f>SUM('3:23'!X373)</f>
        <v>0</v>
      </c>
      <c r="Y373" s="93">
        <f>SUM('3:23'!Y373)</f>
        <v>0</v>
      </c>
      <c r="Z373" s="93">
        <f>SUM('3:23'!Z373)</f>
        <v>0</v>
      </c>
      <c r="AA373" s="93">
        <f>SUM('3:23'!AA373)</f>
        <v>0</v>
      </c>
      <c r="AB373" s="25"/>
      <c r="AC373" s="54"/>
      <c r="AD373" s="346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>
      <c r="A374" s="300">
        <v>30100016</v>
      </c>
      <c r="B374" s="334" t="s">
        <v>414</v>
      </c>
      <c r="C374" s="187" t="s">
        <v>415</v>
      </c>
      <c r="D374" s="17"/>
      <c r="E374" s="17"/>
      <c r="F374" s="6"/>
      <c r="G374" s="93">
        <f>SUM('3:23'!G374)</f>
        <v>0</v>
      </c>
      <c r="H374" s="339">
        <f t="shared" si="147"/>
        <v>0</v>
      </c>
      <c r="I374" s="93">
        <f>SUM('3:23'!I374)</f>
        <v>0</v>
      </c>
      <c r="J374" s="31"/>
      <c r="K374" s="35">
        <f t="array" ref="K374">IF(ISERROR(G374/L374),"",G374/L374)</f>
        <v>0</v>
      </c>
      <c r="L374" s="87">
        <v>52</v>
      </c>
      <c r="M374" s="36">
        <f t="shared" si="152"/>
        <v>0</v>
      </c>
      <c r="N374" s="31"/>
      <c r="O374" s="93"/>
      <c r="P374" s="93"/>
      <c r="Q374" s="93"/>
      <c r="R374" s="93"/>
      <c r="S374" s="93"/>
      <c r="T374" s="93"/>
      <c r="U374" s="93"/>
      <c r="V374" s="206"/>
      <c r="W374" s="33"/>
      <c r="X374" s="93"/>
      <c r="Y374" s="93"/>
      <c r="Z374" s="93"/>
      <c r="AA374" s="93"/>
      <c r="AB374" s="25"/>
      <c r="AC374" s="54"/>
      <c r="AD374" s="346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300">
        <v>30100017</v>
      </c>
      <c r="B375" s="334" t="s">
        <v>414</v>
      </c>
      <c r="C375" s="187" t="s">
        <v>416</v>
      </c>
      <c r="D375" s="17"/>
      <c r="E375" s="17"/>
      <c r="F375" s="6"/>
      <c r="G375" s="93">
        <f>SUM('3:23'!G375)</f>
        <v>0</v>
      </c>
      <c r="H375" s="339">
        <f t="shared" si="147"/>
        <v>0</v>
      </c>
      <c r="I375" s="93">
        <f>SUM('3:23'!I375)</f>
        <v>0</v>
      </c>
      <c r="J375" s="31"/>
      <c r="K375" s="35">
        <f t="array" ref="K375">IF(ISERROR(G375/L375),"",G375/L375)</f>
        <v>0</v>
      </c>
      <c r="L375" s="87">
        <v>52</v>
      </c>
      <c r="M375" s="36">
        <f t="shared" si="152"/>
        <v>0</v>
      </c>
      <c r="N375" s="31"/>
      <c r="O375" s="93"/>
      <c r="P375" s="93"/>
      <c r="Q375" s="93"/>
      <c r="R375" s="93"/>
      <c r="S375" s="93"/>
      <c r="T375" s="93"/>
      <c r="U375" s="93"/>
      <c r="V375" s="206"/>
      <c r="W375" s="33"/>
      <c r="X375" s="93"/>
      <c r="Y375" s="93"/>
      <c r="Z375" s="93"/>
      <c r="AA375" s="93"/>
      <c r="AB375" s="25"/>
      <c r="AC375" s="54"/>
      <c r="AD375" s="346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300">
        <v>30100015</v>
      </c>
      <c r="B376" s="334" t="s">
        <v>414</v>
      </c>
      <c r="C376" s="187" t="s">
        <v>417</v>
      </c>
      <c r="D376" s="17"/>
      <c r="E376" s="17"/>
      <c r="F376" s="6"/>
      <c r="G376" s="93">
        <f>SUM('3:23'!G376)</f>
        <v>0</v>
      </c>
      <c r="H376" s="339">
        <f t="shared" si="147"/>
        <v>0</v>
      </c>
      <c r="I376" s="93">
        <f>SUM('3:23'!I376)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152"/>
        <v>0</v>
      </c>
      <c r="N376" s="31"/>
      <c r="O376" s="93"/>
      <c r="P376" s="93"/>
      <c r="Q376" s="93"/>
      <c r="R376" s="93"/>
      <c r="S376" s="93"/>
      <c r="T376" s="93"/>
      <c r="U376" s="93"/>
      <c r="V376" s="206"/>
      <c r="W376" s="33"/>
      <c r="X376" s="93"/>
      <c r="Y376" s="93"/>
      <c r="Z376" s="93"/>
      <c r="AA376" s="93"/>
      <c r="AB376" s="25"/>
      <c r="AC376" s="54"/>
      <c r="AD376" s="346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300">
        <v>30100027</v>
      </c>
      <c r="B377" s="61" t="s">
        <v>78</v>
      </c>
      <c r="C377" s="16" t="s">
        <v>53</v>
      </c>
      <c r="D377" s="17">
        <v>5.08</v>
      </c>
      <c r="E377" s="17"/>
      <c r="F377" s="6"/>
      <c r="G377" s="93">
        <f>SUM('3:23'!G377)</f>
        <v>0</v>
      </c>
      <c r="H377" s="339">
        <f t="shared" si="147"/>
        <v>0</v>
      </c>
      <c r="I377" s="93">
        <f>SUM('3:23'!I377)</f>
        <v>0</v>
      </c>
      <c r="J377" s="31" t="str">
        <f t="array" ref="J377">IF(ISERROR(G377/I377),"",G377/I377)</f>
        <v/>
      </c>
      <c r="K377" s="35">
        <f t="array" ref="K377">IF(ISERROR(G377/L377),"",G377/L377)</f>
        <v>0</v>
      </c>
      <c r="L377" s="87">
        <v>21</v>
      </c>
      <c r="M377" s="36">
        <f t="shared" si="152"/>
        <v>0</v>
      </c>
      <c r="N377" s="31">
        <f t="shared" ref="N377:N392" si="156">SUM(O377:U377)</f>
        <v>0</v>
      </c>
      <c r="O377" s="93">
        <f>SUM('3:23'!O377)</f>
        <v>0</v>
      </c>
      <c r="P377" s="93">
        <f>SUM('3:23'!P377)</f>
        <v>0</v>
      </c>
      <c r="Q377" s="93">
        <f>SUM('3:23'!Q377)</f>
        <v>0</v>
      </c>
      <c r="R377" s="93">
        <f>SUM('3:23'!R377)</f>
        <v>0</v>
      </c>
      <c r="S377" s="93">
        <f>SUM('3:23'!S377)</f>
        <v>0</v>
      </c>
      <c r="T377" s="93">
        <f>SUM('3:23'!T377)</f>
        <v>0</v>
      </c>
      <c r="U377" s="93">
        <f>SUM('3:23'!U377)</f>
        <v>0</v>
      </c>
      <c r="V377" s="206">
        <f t="shared" ref="V377:V388" si="157">SUM(X377:AA377)</f>
        <v>0</v>
      </c>
      <c r="W377" s="33" t="str">
        <f t="shared" ref="W377:W388" si="158">IF(ISERROR(V377/G377),"",V377/G377)</f>
        <v/>
      </c>
      <c r="X377" s="93">
        <f>SUM('3:23'!X377)</f>
        <v>0</v>
      </c>
      <c r="Y377" s="93">
        <f>SUM('3:23'!Y377)</f>
        <v>0</v>
      </c>
      <c r="Z377" s="93">
        <f>SUM('3:23'!Z377)</f>
        <v>0</v>
      </c>
      <c r="AA377" s="93">
        <f>SUM('3:23'!AA377)</f>
        <v>0</v>
      </c>
      <c r="AB377" s="25"/>
      <c r="AC377" s="54"/>
      <c r="AD377" s="346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300">
        <v>30100023</v>
      </c>
      <c r="B378" s="61" t="s">
        <v>78</v>
      </c>
      <c r="C378" s="16" t="s">
        <v>74</v>
      </c>
      <c r="D378" s="17">
        <v>5.08</v>
      </c>
      <c r="E378" s="17"/>
      <c r="F378" s="6"/>
      <c r="G378" s="93">
        <f>SUM('3:23'!G378)</f>
        <v>0</v>
      </c>
      <c r="H378" s="339">
        <f t="shared" si="147"/>
        <v>0</v>
      </c>
      <c r="I378" s="93">
        <f>SUM('3:23'!I378)</f>
        <v>0</v>
      </c>
      <c r="J378" s="31" t="str">
        <f t="array" ref="J378">IF(ISERROR(G378/I378),"",G378/I378)</f>
        <v/>
      </c>
      <c r="K378" s="35">
        <f t="array" ref="K378">IF(ISERROR(G378/L378),"",G378/L378)</f>
        <v>0</v>
      </c>
      <c r="L378" s="87">
        <v>21</v>
      </c>
      <c r="M378" s="36">
        <f t="shared" si="152"/>
        <v>0</v>
      </c>
      <c r="N378" s="31">
        <f t="shared" si="156"/>
        <v>0</v>
      </c>
      <c r="O378" s="93">
        <f>SUM('3:23'!O378)</f>
        <v>0</v>
      </c>
      <c r="P378" s="93">
        <f>SUM('3:23'!P378)</f>
        <v>0</v>
      </c>
      <c r="Q378" s="93">
        <f>SUM('3:23'!Q378)</f>
        <v>0</v>
      </c>
      <c r="R378" s="93">
        <f>SUM('3:23'!R378)</f>
        <v>0</v>
      </c>
      <c r="S378" s="93">
        <f>SUM('3:23'!S378)</f>
        <v>0</v>
      </c>
      <c r="T378" s="93">
        <f>SUM('3:23'!T378)</f>
        <v>0</v>
      </c>
      <c r="U378" s="93">
        <f>SUM('3:23'!U378)</f>
        <v>0</v>
      </c>
      <c r="V378" s="206">
        <f t="shared" si="157"/>
        <v>0</v>
      </c>
      <c r="W378" s="33" t="str">
        <f t="shared" si="158"/>
        <v/>
      </c>
      <c r="X378" s="93">
        <f>SUM('3:23'!X378)</f>
        <v>0</v>
      </c>
      <c r="Y378" s="93">
        <f>SUM('3:23'!Y378)</f>
        <v>0</v>
      </c>
      <c r="Z378" s="93">
        <f>SUM('3:23'!Z378)</f>
        <v>0</v>
      </c>
      <c r="AA378" s="93">
        <f>SUM('3:23'!AA378)</f>
        <v>0</v>
      </c>
      <c r="AB378" s="25"/>
      <c r="AC378" s="54"/>
      <c r="AD378" s="346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300">
        <v>30100024</v>
      </c>
      <c r="B379" s="61" t="s">
        <v>78</v>
      </c>
      <c r="C379" s="16" t="s">
        <v>75</v>
      </c>
      <c r="D379" s="17">
        <v>5.08</v>
      </c>
      <c r="E379" s="17"/>
      <c r="F379" s="6"/>
      <c r="G379" s="93">
        <f>SUM('3:23'!G379)</f>
        <v>0</v>
      </c>
      <c r="H379" s="339">
        <f t="shared" si="147"/>
        <v>0</v>
      </c>
      <c r="I379" s="93">
        <f>SUM('3:23'!I379)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152"/>
        <v>0</v>
      </c>
      <c r="N379" s="31">
        <f t="shared" si="156"/>
        <v>0</v>
      </c>
      <c r="O379" s="93">
        <f>SUM('3:23'!O379)</f>
        <v>0</v>
      </c>
      <c r="P379" s="93">
        <f>SUM('3:23'!P379)</f>
        <v>0</v>
      </c>
      <c r="Q379" s="93">
        <f>SUM('3:23'!Q379)</f>
        <v>0</v>
      </c>
      <c r="R379" s="93">
        <f>SUM('3:23'!R379)</f>
        <v>0</v>
      </c>
      <c r="S379" s="93">
        <f>SUM('3:23'!S379)</f>
        <v>0</v>
      </c>
      <c r="T379" s="93">
        <f>SUM('3:23'!T379)</f>
        <v>0</v>
      </c>
      <c r="U379" s="93">
        <f>SUM('3:23'!U379)</f>
        <v>0</v>
      </c>
      <c r="V379" s="206">
        <f t="shared" si="157"/>
        <v>0</v>
      </c>
      <c r="W379" s="33" t="str">
        <f t="shared" si="158"/>
        <v/>
      </c>
      <c r="X379" s="93">
        <f>SUM('3:23'!X379)</f>
        <v>0</v>
      </c>
      <c r="Y379" s="93">
        <f>SUM('3:23'!Y379)</f>
        <v>0</v>
      </c>
      <c r="Z379" s="93">
        <f>SUM('3:23'!Z379)</f>
        <v>0</v>
      </c>
      <c r="AA379" s="93">
        <f>SUM('3:23'!AA379)</f>
        <v>0</v>
      </c>
      <c r="AB379" s="25"/>
      <c r="AC379" s="54"/>
      <c r="AD379" s="346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300">
        <v>30100022</v>
      </c>
      <c r="B380" s="61" t="s">
        <v>78</v>
      </c>
      <c r="C380" s="16" t="s">
        <v>60</v>
      </c>
      <c r="D380" s="17">
        <v>5.08</v>
      </c>
      <c r="E380" s="17"/>
      <c r="F380" s="6"/>
      <c r="G380" s="93">
        <f>SUM('3:23'!G380)</f>
        <v>0</v>
      </c>
      <c r="H380" s="339">
        <f t="shared" si="147"/>
        <v>0</v>
      </c>
      <c r="I380" s="93">
        <f>SUM('3:23'!I380)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152"/>
        <v>0</v>
      </c>
      <c r="N380" s="31">
        <f t="shared" si="156"/>
        <v>0</v>
      </c>
      <c r="O380" s="93">
        <f>SUM('3:23'!O380)</f>
        <v>0</v>
      </c>
      <c r="P380" s="93">
        <f>SUM('3:23'!P380)</f>
        <v>0</v>
      </c>
      <c r="Q380" s="93">
        <f>SUM('3:23'!Q380)</f>
        <v>0</v>
      </c>
      <c r="R380" s="93">
        <f>SUM('3:23'!R380)</f>
        <v>0</v>
      </c>
      <c r="S380" s="93">
        <f>SUM('3:23'!S380)</f>
        <v>0</v>
      </c>
      <c r="T380" s="93">
        <f>SUM('3:23'!T380)</f>
        <v>0</v>
      </c>
      <c r="U380" s="93">
        <f>SUM('3:23'!U380)</f>
        <v>0</v>
      </c>
      <c r="V380" s="206">
        <f t="shared" si="157"/>
        <v>0</v>
      </c>
      <c r="W380" s="33" t="str">
        <f t="shared" si="158"/>
        <v/>
      </c>
      <c r="X380" s="93">
        <f>SUM('3:23'!X380)</f>
        <v>0</v>
      </c>
      <c r="Y380" s="93">
        <f>SUM('3:23'!Y380)</f>
        <v>0</v>
      </c>
      <c r="Z380" s="93">
        <f>SUM('3:23'!Z380)</f>
        <v>0</v>
      </c>
      <c r="AA380" s="93">
        <f>SUM('3:23'!AA380)</f>
        <v>0</v>
      </c>
      <c r="AB380" s="25"/>
      <c r="AC380" s="54"/>
      <c r="AD380" s="346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300">
        <v>30100029</v>
      </c>
      <c r="B381" s="61" t="s">
        <v>78</v>
      </c>
      <c r="C381" s="16" t="s">
        <v>72</v>
      </c>
      <c r="D381" s="17">
        <v>5.08</v>
      </c>
      <c r="E381" s="17"/>
      <c r="F381" s="6"/>
      <c r="G381" s="93">
        <f>SUM('3:23'!G381)</f>
        <v>0</v>
      </c>
      <c r="H381" s="339">
        <f t="shared" si="147"/>
        <v>0</v>
      </c>
      <c r="I381" s="93">
        <f>SUM('3:23'!I381)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152"/>
        <v>0</v>
      </c>
      <c r="N381" s="31">
        <f t="shared" si="156"/>
        <v>0</v>
      </c>
      <c r="O381" s="93">
        <f>SUM('3:23'!O381)</f>
        <v>0</v>
      </c>
      <c r="P381" s="93">
        <f>SUM('3:23'!P381)</f>
        <v>0</v>
      </c>
      <c r="Q381" s="93">
        <f>SUM('3:23'!Q381)</f>
        <v>0</v>
      </c>
      <c r="R381" s="93">
        <f>SUM('3:23'!R381)</f>
        <v>0</v>
      </c>
      <c r="S381" s="93">
        <f>SUM('3:23'!S381)</f>
        <v>0</v>
      </c>
      <c r="T381" s="93">
        <f>SUM('3:23'!T381)</f>
        <v>0</v>
      </c>
      <c r="U381" s="93">
        <f>SUM('3:23'!U381)</f>
        <v>0</v>
      </c>
      <c r="V381" s="206">
        <f t="shared" si="157"/>
        <v>0</v>
      </c>
      <c r="W381" s="33" t="str">
        <f t="shared" si="158"/>
        <v/>
      </c>
      <c r="X381" s="93">
        <f>SUM('3:23'!X381)</f>
        <v>0</v>
      </c>
      <c r="Y381" s="93">
        <f>SUM('3:23'!Y381)</f>
        <v>0</v>
      </c>
      <c r="Z381" s="93">
        <f>SUM('3:23'!Z381)</f>
        <v>0</v>
      </c>
      <c r="AA381" s="93">
        <f>SUM('3:23'!AA381)</f>
        <v>0</v>
      </c>
      <c r="AB381" s="25"/>
      <c r="AC381" s="54"/>
      <c r="AD381" s="346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300">
        <v>30100026</v>
      </c>
      <c r="B382" s="61" t="s">
        <v>78</v>
      </c>
      <c r="C382" s="16" t="s">
        <v>73</v>
      </c>
      <c r="D382" s="17">
        <v>5.08</v>
      </c>
      <c r="E382" s="17"/>
      <c r="F382" s="6"/>
      <c r="G382" s="93">
        <f>SUM('3:23'!G382)</f>
        <v>0</v>
      </c>
      <c r="H382" s="339">
        <f t="shared" si="147"/>
        <v>0</v>
      </c>
      <c r="I382" s="93">
        <f>SUM('3:23'!I382)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152"/>
        <v>0</v>
      </c>
      <c r="N382" s="31">
        <f t="shared" si="156"/>
        <v>0</v>
      </c>
      <c r="O382" s="93">
        <f>SUM('3:23'!O382)</f>
        <v>0</v>
      </c>
      <c r="P382" s="93">
        <f>SUM('3:23'!P382)</f>
        <v>0</v>
      </c>
      <c r="Q382" s="93">
        <f>SUM('3:23'!Q382)</f>
        <v>0</v>
      </c>
      <c r="R382" s="93">
        <f>SUM('3:23'!R382)</f>
        <v>0</v>
      </c>
      <c r="S382" s="93">
        <f>SUM('3:23'!S382)</f>
        <v>0</v>
      </c>
      <c r="T382" s="93">
        <f>SUM('3:23'!T382)</f>
        <v>0</v>
      </c>
      <c r="U382" s="93">
        <f>SUM('3:23'!U382)</f>
        <v>0</v>
      </c>
      <c r="V382" s="206">
        <f t="shared" si="157"/>
        <v>0</v>
      </c>
      <c r="W382" s="33" t="str">
        <f t="shared" si="158"/>
        <v/>
      </c>
      <c r="X382" s="93">
        <f>SUM('3:23'!X382)</f>
        <v>0</v>
      </c>
      <c r="Y382" s="93">
        <f>SUM('3:23'!Y382)</f>
        <v>0</v>
      </c>
      <c r="Z382" s="93">
        <f>SUM('3:23'!Z382)</f>
        <v>0</v>
      </c>
      <c r="AA382" s="93">
        <f>SUM('3:23'!AA382)</f>
        <v>0</v>
      </c>
      <c r="AB382" s="73"/>
      <c r="AC382" s="54"/>
      <c r="AD382" s="346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300">
        <v>30100025</v>
      </c>
      <c r="B383" s="61" t="s">
        <v>78</v>
      </c>
      <c r="C383" s="16" t="s">
        <v>61</v>
      </c>
      <c r="D383" s="17">
        <v>5.08</v>
      </c>
      <c r="E383" s="17"/>
      <c r="F383" s="6"/>
      <c r="G383" s="93">
        <f>SUM('3:23'!G383)</f>
        <v>0</v>
      </c>
      <c r="H383" s="339">
        <f t="shared" si="147"/>
        <v>0</v>
      </c>
      <c r="I383" s="93">
        <f>SUM('3:23'!I383)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152"/>
        <v>0</v>
      </c>
      <c r="N383" s="31">
        <f t="shared" si="156"/>
        <v>0</v>
      </c>
      <c r="O383" s="93">
        <f>SUM('3:23'!O383)</f>
        <v>0</v>
      </c>
      <c r="P383" s="93">
        <f>SUM('3:23'!P383)</f>
        <v>0</v>
      </c>
      <c r="Q383" s="93">
        <f>SUM('3:23'!Q383)</f>
        <v>0</v>
      </c>
      <c r="R383" s="93">
        <f>SUM('3:23'!R383)</f>
        <v>0</v>
      </c>
      <c r="S383" s="93">
        <f>SUM('3:23'!S383)</f>
        <v>0</v>
      </c>
      <c r="T383" s="93">
        <f>SUM('3:23'!T383)</f>
        <v>0</v>
      </c>
      <c r="U383" s="93">
        <f>SUM('3:23'!U383)</f>
        <v>0</v>
      </c>
      <c r="V383" s="206">
        <f t="shared" si="157"/>
        <v>0</v>
      </c>
      <c r="W383" s="33" t="str">
        <f t="shared" si="158"/>
        <v/>
      </c>
      <c r="X383" s="93">
        <f>SUM('3:23'!X383)</f>
        <v>0</v>
      </c>
      <c r="Y383" s="93">
        <f>SUM('3:23'!Y383)</f>
        <v>0</v>
      </c>
      <c r="Z383" s="93">
        <f>SUM('3:23'!Z383)</f>
        <v>0</v>
      </c>
      <c r="AA383" s="93">
        <f>SUM('3:23'!AA383)</f>
        <v>0</v>
      </c>
      <c r="AB383" s="25"/>
      <c r="AC383" s="54"/>
      <c r="AD383" s="346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300">
        <v>30100028</v>
      </c>
      <c r="B384" s="61" t="s">
        <v>78</v>
      </c>
      <c r="C384" s="16" t="s">
        <v>77</v>
      </c>
      <c r="D384" s="17">
        <v>5.08</v>
      </c>
      <c r="E384" s="17"/>
      <c r="F384" s="6"/>
      <c r="G384" s="93">
        <f>SUM('3:23'!G384)</f>
        <v>0</v>
      </c>
      <c r="H384" s="339">
        <f t="shared" si="147"/>
        <v>0</v>
      </c>
      <c r="I384" s="93">
        <f>SUM('3:23'!I384)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152"/>
        <v>0</v>
      </c>
      <c r="N384" s="31">
        <f t="shared" si="156"/>
        <v>0</v>
      </c>
      <c r="O384" s="93">
        <f>SUM('3:23'!O384)</f>
        <v>0</v>
      </c>
      <c r="P384" s="93">
        <f>SUM('3:23'!P384)</f>
        <v>0</v>
      </c>
      <c r="Q384" s="93">
        <f>SUM('3:23'!Q384)</f>
        <v>0</v>
      </c>
      <c r="R384" s="93">
        <f>SUM('3:23'!R384)</f>
        <v>0</v>
      </c>
      <c r="S384" s="93">
        <f>SUM('3:23'!S384)</f>
        <v>0</v>
      </c>
      <c r="T384" s="93">
        <f>SUM('3:23'!T384)</f>
        <v>0</v>
      </c>
      <c r="U384" s="93">
        <f>SUM('3:23'!U384)</f>
        <v>0</v>
      </c>
      <c r="V384" s="206">
        <f t="shared" si="157"/>
        <v>0</v>
      </c>
      <c r="W384" s="33" t="str">
        <f t="shared" si="158"/>
        <v/>
      </c>
      <c r="X384" s="93">
        <f>SUM('3:23'!X384)</f>
        <v>0</v>
      </c>
      <c r="Y384" s="93">
        <f>SUM('3:23'!Y384)</f>
        <v>0</v>
      </c>
      <c r="Z384" s="93">
        <f>SUM('3:23'!Z384)</f>
        <v>0</v>
      </c>
      <c r="AA384" s="93">
        <f>SUM('3:23'!AA384)</f>
        <v>0</v>
      </c>
      <c r="AB384" s="73"/>
      <c r="AC384" s="54"/>
      <c r="AD384" s="346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300">
        <v>30100032</v>
      </c>
      <c r="B385" s="61" t="s">
        <v>79</v>
      </c>
      <c r="C385" s="16" t="s">
        <v>65</v>
      </c>
      <c r="D385" s="17">
        <v>5.03</v>
      </c>
      <c r="E385" s="17"/>
      <c r="F385" s="6"/>
      <c r="G385" s="93">
        <f>SUM('3:23'!G385)</f>
        <v>0</v>
      </c>
      <c r="H385" s="339">
        <f t="shared" si="147"/>
        <v>0</v>
      </c>
      <c r="I385" s="93">
        <f>SUM('3:23'!I385)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56</v>
      </c>
      <c r="M385" s="36">
        <f t="shared" si="152"/>
        <v>0</v>
      </c>
      <c r="N385" s="31">
        <f t="shared" si="156"/>
        <v>0</v>
      </c>
      <c r="O385" s="93">
        <f>SUM('3:23'!O385)</f>
        <v>0</v>
      </c>
      <c r="P385" s="93">
        <f>SUM('3:23'!P385)</f>
        <v>0</v>
      </c>
      <c r="Q385" s="93">
        <f>SUM('3:23'!Q385)</f>
        <v>0</v>
      </c>
      <c r="R385" s="93">
        <f>SUM('3:23'!R385)</f>
        <v>0</v>
      </c>
      <c r="S385" s="93">
        <f>SUM('3:23'!S385)</f>
        <v>0</v>
      </c>
      <c r="T385" s="93">
        <f>SUM('3:23'!T385)</f>
        <v>0</v>
      </c>
      <c r="U385" s="93">
        <f>SUM('3:23'!U385)</f>
        <v>0</v>
      </c>
      <c r="V385" s="206">
        <f t="shared" si="157"/>
        <v>0</v>
      </c>
      <c r="W385" s="33" t="str">
        <f t="shared" si="158"/>
        <v/>
      </c>
      <c r="X385" s="93">
        <f>SUM('3:23'!X385)</f>
        <v>0</v>
      </c>
      <c r="Y385" s="93">
        <f>SUM('3:23'!Y385)</f>
        <v>0</v>
      </c>
      <c r="Z385" s="93">
        <f>SUM('3:23'!Z385)</f>
        <v>0</v>
      </c>
      <c r="AA385" s="93">
        <f>SUM('3:23'!AA385)</f>
        <v>0</v>
      </c>
      <c r="AB385" s="25"/>
      <c r="AC385" s="54"/>
      <c r="AD385" s="346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300">
        <v>30100033</v>
      </c>
      <c r="B386" s="61" t="s">
        <v>79</v>
      </c>
      <c r="C386" s="16" t="s">
        <v>53</v>
      </c>
      <c r="D386" s="17">
        <v>5.03</v>
      </c>
      <c r="E386" s="17"/>
      <c r="F386" s="6"/>
      <c r="G386" s="93">
        <f>SUM('3:23'!G386)</f>
        <v>0</v>
      </c>
      <c r="H386" s="339">
        <f t="shared" si="147"/>
        <v>0</v>
      </c>
      <c r="I386" s="93">
        <f>SUM('3:23'!I386)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56</v>
      </c>
      <c r="M386" s="36">
        <f t="shared" si="152"/>
        <v>0</v>
      </c>
      <c r="N386" s="31">
        <f t="shared" si="156"/>
        <v>0</v>
      </c>
      <c r="O386" s="93">
        <f>SUM('3:23'!O386)</f>
        <v>0</v>
      </c>
      <c r="P386" s="93">
        <f>SUM('3:23'!P386)</f>
        <v>0</v>
      </c>
      <c r="Q386" s="93">
        <f>SUM('3:23'!Q386)</f>
        <v>0</v>
      </c>
      <c r="R386" s="93">
        <f>SUM('3:23'!R386)</f>
        <v>0</v>
      </c>
      <c r="S386" s="93">
        <f>SUM('3:23'!S386)</f>
        <v>0</v>
      </c>
      <c r="T386" s="93">
        <f>SUM('3:23'!T386)</f>
        <v>0</v>
      </c>
      <c r="U386" s="93">
        <f>SUM('3:23'!U386)</f>
        <v>0</v>
      </c>
      <c r="V386" s="206">
        <f t="shared" si="157"/>
        <v>0</v>
      </c>
      <c r="W386" s="33" t="str">
        <f t="shared" si="158"/>
        <v/>
      </c>
      <c r="X386" s="93">
        <f>SUM('3:23'!X386)</f>
        <v>0</v>
      </c>
      <c r="Y386" s="93">
        <f>SUM('3:23'!Y386)</f>
        <v>0</v>
      </c>
      <c r="Z386" s="93">
        <f>SUM('3:23'!Z386)</f>
        <v>0</v>
      </c>
      <c r="AA386" s="93">
        <f>SUM('3:23'!AA386)</f>
        <v>0</v>
      </c>
      <c r="AB386" s="25"/>
      <c r="AC386" s="54"/>
      <c r="AD386" s="346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300">
        <v>30100062</v>
      </c>
      <c r="B387" s="61" t="s">
        <v>79</v>
      </c>
      <c r="C387" s="16" t="s">
        <v>66</v>
      </c>
      <c r="D387" s="17">
        <v>5.03</v>
      </c>
      <c r="E387" s="17"/>
      <c r="F387" s="6"/>
      <c r="G387" s="93">
        <f>SUM('3:23'!G387)</f>
        <v>0</v>
      </c>
      <c r="H387" s="339">
        <f t="shared" si="147"/>
        <v>0</v>
      </c>
      <c r="I387" s="93">
        <f>SUM('3:23'!I387)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152"/>
        <v>0</v>
      </c>
      <c r="N387" s="31">
        <f t="shared" si="156"/>
        <v>0</v>
      </c>
      <c r="O387" s="93">
        <f>SUM('3:23'!O387)</f>
        <v>0</v>
      </c>
      <c r="P387" s="93">
        <f>SUM('3:23'!P387)</f>
        <v>0</v>
      </c>
      <c r="Q387" s="93">
        <f>SUM('3:23'!Q387)</f>
        <v>0</v>
      </c>
      <c r="R387" s="93">
        <f>SUM('3:23'!R387)</f>
        <v>0</v>
      </c>
      <c r="S387" s="93">
        <f>SUM('3:23'!S387)</f>
        <v>0</v>
      </c>
      <c r="T387" s="93">
        <f>SUM('3:23'!T387)</f>
        <v>0</v>
      </c>
      <c r="U387" s="93">
        <f>SUM('3:23'!U387)</f>
        <v>0</v>
      </c>
      <c r="V387" s="206">
        <f t="shared" si="157"/>
        <v>0</v>
      </c>
      <c r="W387" s="33" t="str">
        <f t="shared" si="158"/>
        <v/>
      </c>
      <c r="X387" s="93">
        <f>SUM('3:23'!X387)</f>
        <v>0</v>
      </c>
      <c r="Y387" s="93">
        <f>SUM('3:23'!Y387)</f>
        <v>0</v>
      </c>
      <c r="Z387" s="93">
        <f>SUM('3:23'!Z387)</f>
        <v>0</v>
      </c>
      <c r="AA387" s="93">
        <f>SUM('3:23'!AA387)</f>
        <v>0</v>
      </c>
      <c r="AB387" s="25"/>
      <c r="AC387" s="54"/>
      <c r="AD387" s="346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300">
        <v>30100031</v>
      </c>
      <c r="B388" s="61" t="s">
        <v>79</v>
      </c>
      <c r="C388" s="16" t="s">
        <v>74</v>
      </c>
      <c r="D388" s="17">
        <v>5.03</v>
      </c>
      <c r="E388" s="17"/>
      <c r="F388" s="6"/>
      <c r="G388" s="93">
        <f>SUM('3:23'!G388)</f>
        <v>0</v>
      </c>
      <c r="H388" s="339">
        <f t="shared" si="147"/>
        <v>0</v>
      </c>
      <c r="I388" s="93">
        <f>SUM('3:23'!I388)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152"/>
        <v>0</v>
      </c>
      <c r="N388" s="31">
        <f t="shared" si="156"/>
        <v>0</v>
      </c>
      <c r="O388" s="93">
        <f>SUM('3:23'!O388)</f>
        <v>0</v>
      </c>
      <c r="P388" s="93">
        <f>SUM('3:23'!P388)</f>
        <v>0</v>
      </c>
      <c r="Q388" s="93">
        <f>SUM('3:23'!Q388)</f>
        <v>0</v>
      </c>
      <c r="R388" s="93">
        <f>SUM('3:23'!R388)</f>
        <v>0</v>
      </c>
      <c r="S388" s="93">
        <f>SUM('3:23'!S388)</f>
        <v>0</v>
      </c>
      <c r="T388" s="93">
        <f>SUM('3:23'!T388)</f>
        <v>0</v>
      </c>
      <c r="U388" s="93">
        <f>SUM('3:23'!U388)</f>
        <v>0</v>
      </c>
      <c r="V388" s="206">
        <f t="shared" si="157"/>
        <v>0</v>
      </c>
      <c r="W388" s="33" t="str">
        <f t="shared" si="158"/>
        <v/>
      </c>
      <c r="X388" s="93">
        <f>SUM('3:23'!X388)</f>
        <v>0</v>
      </c>
      <c r="Y388" s="93">
        <f>SUM('3:23'!Y388)</f>
        <v>0</v>
      </c>
      <c r="Z388" s="93">
        <f>SUM('3:23'!Z388)</f>
        <v>0</v>
      </c>
      <c r="AA388" s="93">
        <f>SUM('3:23'!AA388)</f>
        <v>0</v>
      </c>
      <c r="AB388" s="25"/>
      <c r="AC388" s="54"/>
      <c r="AD388" s="346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300">
        <v>30100019</v>
      </c>
      <c r="B389" s="61" t="s">
        <v>385</v>
      </c>
      <c r="C389" s="16" t="s">
        <v>386</v>
      </c>
      <c r="D389" s="17">
        <v>5.03</v>
      </c>
      <c r="E389" s="17"/>
      <c r="F389" s="6"/>
      <c r="G389" s="93">
        <f>SUM('3:23'!G389)</f>
        <v>0</v>
      </c>
      <c r="H389" s="339">
        <f t="shared" si="147"/>
        <v>0</v>
      </c>
      <c r="I389" s="93">
        <f>SUM('3:23'!I389)</f>
        <v>0</v>
      </c>
      <c r="J389" s="31"/>
      <c r="K389" s="35">
        <f t="array" ref="K389">IF(ISERROR(G389/L389),"",G389/L389)</f>
        <v>0</v>
      </c>
      <c r="L389" s="87">
        <v>54</v>
      </c>
      <c r="M389" s="36">
        <f t="shared" si="152"/>
        <v>0</v>
      </c>
      <c r="N389" s="31">
        <f t="shared" si="156"/>
        <v>0</v>
      </c>
      <c r="O389" s="93">
        <f>SUM('3:23'!O389)</f>
        <v>0</v>
      </c>
      <c r="P389" s="93">
        <f>SUM('3:23'!P389)</f>
        <v>0</v>
      </c>
      <c r="Q389" s="93">
        <f>SUM('3:23'!Q389)</f>
        <v>0</v>
      </c>
      <c r="R389" s="93">
        <f>SUM('3:23'!R389)</f>
        <v>0</v>
      </c>
      <c r="S389" s="93">
        <f>SUM('3:23'!S389)</f>
        <v>0</v>
      </c>
      <c r="T389" s="93">
        <f>SUM('3:23'!T389)</f>
        <v>0</v>
      </c>
      <c r="U389" s="93">
        <f>SUM('3:23'!U389)</f>
        <v>0</v>
      </c>
      <c r="V389" s="206"/>
      <c r="W389" s="33"/>
      <c r="X389" s="93">
        <f>SUM('3:23'!X389)</f>
        <v>0</v>
      </c>
      <c r="Y389" s="93">
        <f>SUM('3:23'!Y389)</f>
        <v>0</v>
      </c>
      <c r="Z389" s="93">
        <f>SUM('3:23'!Z389)</f>
        <v>0</v>
      </c>
      <c r="AA389" s="93">
        <f>SUM('3:23'!AA389)</f>
        <v>0</v>
      </c>
      <c r="AB389" s="25"/>
      <c r="AC389" s="54"/>
      <c r="AD389" s="346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300">
        <v>30100020</v>
      </c>
      <c r="B390" s="61" t="s">
        <v>385</v>
      </c>
      <c r="C390" s="16" t="s">
        <v>387</v>
      </c>
      <c r="D390" s="17">
        <v>5.03</v>
      </c>
      <c r="E390" s="17"/>
      <c r="F390" s="6"/>
      <c r="G390" s="93">
        <f>SUM('3:23'!G390)</f>
        <v>0</v>
      </c>
      <c r="H390" s="339">
        <f t="shared" si="147"/>
        <v>0</v>
      </c>
      <c r="I390" s="93">
        <f>SUM('3:23'!I390)</f>
        <v>0</v>
      </c>
      <c r="J390" s="31"/>
      <c r="K390" s="35">
        <f t="array" ref="K390">IF(ISERROR(G390/L390),"",G390/L390)</f>
        <v>0</v>
      </c>
      <c r="L390" s="87">
        <v>54</v>
      </c>
      <c r="M390" s="36">
        <f t="shared" si="152"/>
        <v>0</v>
      </c>
      <c r="N390" s="31">
        <f t="shared" si="156"/>
        <v>0</v>
      </c>
      <c r="O390" s="93">
        <f>SUM('3:23'!O390)</f>
        <v>0</v>
      </c>
      <c r="P390" s="93">
        <f>SUM('3:23'!P390)</f>
        <v>0</v>
      </c>
      <c r="Q390" s="93">
        <f>SUM('3:23'!Q390)</f>
        <v>0</v>
      </c>
      <c r="R390" s="93">
        <f>SUM('3:23'!R390)</f>
        <v>0</v>
      </c>
      <c r="S390" s="93">
        <f>SUM('3:23'!S390)</f>
        <v>0</v>
      </c>
      <c r="T390" s="93">
        <f>SUM('3:23'!T390)</f>
        <v>0</v>
      </c>
      <c r="U390" s="93">
        <f>SUM('3:23'!U390)</f>
        <v>0</v>
      </c>
      <c r="V390" s="206"/>
      <c r="W390" s="33"/>
      <c r="X390" s="93">
        <f>SUM('3:23'!X390)</f>
        <v>0</v>
      </c>
      <c r="Y390" s="93">
        <f>SUM('3:23'!Y390)</f>
        <v>0</v>
      </c>
      <c r="Z390" s="93">
        <f>SUM('3:23'!Z390)</f>
        <v>0</v>
      </c>
      <c r="AA390" s="93">
        <f>SUM('3:23'!AA390)</f>
        <v>0</v>
      </c>
      <c r="AB390" s="25"/>
      <c r="AC390" s="54"/>
      <c r="AD390" s="346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300">
        <v>30100021</v>
      </c>
      <c r="B391" s="190" t="s">
        <v>388</v>
      </c>
      <c r="C391" s="16" t="s">
        <v>390</v>
      </c>
      <c r="D391" s="17">
        <v>5.03</v>
      </c>
      <c r="E391" s="17"/>
      <c r="F391" s="6"/>
      <c r="G391" s="93">
        <f>SUM('3:23'!G391)</f>
        <v>0</v>
      </c>
      <c r="H391" s="339">
        <f t="shared" si="147"/>
        <v>0</v>
      </c>
      <c r="I391" s="93">
        <f>SUM('3:23'!I391)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152"/>
        <v>0</v>
      </c>
      <c r="N391" s="31">
        <f t="shared" si="156"/>
        <v>0</v>
      </c>
      <c r="O391" s="93">
        <f>SUM('3:23'!O391)</f>
        <v>0</v>
      </c>
      <c r="P391" s="93">
        <f>SUM('3:23'!P391)</f>
        <v>0</v>
      </c>
      <c r="Q391" s="93">
        <f>SUM('3:23'!Q391)</f>
        <v>0</v>
      </c>
      <c r="R391" s="93">
        <f>SUM('3:23'!R391)</f>
        <v>0</v>
      </c>
      <c r="S391" s="93">
        <f>SUM('3:23'!S391)</f>
        <v>0</v>
      </c>
      <c r="T391" s="93">
        <f>SUM('3:23'!T391)</f>
        <v>0</v>
      </c>
      <c r="U391" s="93">
        <f>SUM('3:23'!U391)</f>
        <v>0</v>
      </c>
      <c r="V391" s="206"/>
      <c r="W391" s="33"/>
      <c r="X391" s="93">
        <f>SUM('3:23'!X391)</f>
        <v>0</v>
      </c>
      <c r="Y391" s="93">
        <f>SUM('3:23'!Y391)</f>
        <v>0</v>
      </c>
      <c r="Z391" s="93">
        <f>SUM('3:23'!Z391)</f>
        <v>0</v>
      </c>
      <c r="AA391" s="93">
        <f>SUM('3:23'!AA391)</f>
        <v>0</v>
      </c>
      <c r="AB391" s="25"/>
      <c r="AC391" s="54"/>
      <c r="AD391" s="346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300">
        <v>30100018</v>
      </c>
      <c r="B392" s="190" t="s">
        <v>388</v>
      </c>
      <c r="C392" s="16" t="s">
        <v>392</v>
      </c>
      <c r="D392" s="17">
        <v>5.03</v>
      </c>
      <c r="E392" s="17"/>
      <c r="F392" s="6"/>
      <c r="G392" s="93">
        <f>SUM('3:23'!G392)</f>
        <v>0</v>
      </c>
      <c r="H392" s="339">
        <f t="shared" si="147"/>
        <v>0</v>
      </c>
      <c r="I392" s="93">
        <f>SUM('3:23'!I392)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152"/>
        <v>0</v>
      </c>
      <c r="N392" s="31">
        <f t="shared" si="156"/>
        <v>0</v>
      </c>
      <c r="O392" s="93">
        <f>SUM('3:23'!O392)</f>
        <v>0</v>
      </c>
      <c r="P392" s="93">
        <f>SUM('3:23'!P392)</f>
        <v>0</v>
      </c>
      <c r="Q392" s="93">
        <f>SUM('3:23'!Q392)</f>
        <v>0</v>
      </c>
      <c r="R392" s="93">
        <f>SUM('3:23'!R392)</f>
        <v>0</v>
      </c>
      <c r="S392" s="93">
        <f>SUM('3:23'!S392)</f>
        <v>0</v>
      </c>
      <c r="T392" s="93">
        <f>SUM('3:23'!T392)</f>
        <v>0</v>
      </c>
      <c r="U392" s="93">
        <f>SUM('3:23'!U392)</f>
        <v>0</v>
      </c>
      <c r="V392" s="206"/>
      <c r="W392" s="33"/>
      <c r="X392" s="93">
        <f>SUM('3:23'!X392)</f>
        <v>0</v>
      </c>
      <c r="Y392" s="93">
        <f>SUM('3:23'!Y392)</f>
        <v>0</v>
      </c>
      <c r="Z392" s="93">
        <f>SUM('3:23'!Z392)</f>
        <v>0</v>
      </c>
      <c r="AA392" s="93">
        <f>SUM('3:23'!AA392)</f>
        <v>0</v>
      </c>
      <c r="AB392" s="25"/>
      <c r="AC392" s="54"/>
      <c r="AD392" s="346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303">
        <v>30700007</v>
      </c>
      <c r="B393" s="190" t="s">
        <v>424</v>
      </c>
      <c r="C393" s="187" t="s">
        <v>364</v>
      </c>
      <c r="D393" s="17">
        <v>5.03</v>
      </c>
      <c r="E393" s="17"/>
      <c r="F393" s="6"/>
      <c r="G393" s="93">
        <f>SUM('3:23'!G393)</f>
        <v>0</v>
      </c>
      <c r="H393" s="339">
        <f t="shared" si="147"/>
        <v>0</v>
      </c>
      <c r="I393" s="93">
        <f>SUM('3:23'!I393)</f>
        <v>0</v>
      </c>
      <c r="J393" s="31"/>
      <c r="K393" s="35">
        <f t="array" ref="K393">IF(ISERROR(G393/L393),"",G393/L393)</f>
        <v>0</v>
      </c>
      <c r="L393" s="87">
        <v>4</v>
      </c>
      <c r="M393" s="36">
        <f t="shared" si="152"/>
        <v>0</v>
      </c>
      <c r="N393" s="31"/>
      <c r="O393" s="93">
        <f>SUM('3:23'!O393)</f>
        <v>0</v>
      </c>
      <c r="P393" s="93">
        <f>SUM('3:23'!P393)</f>
        <v>0</v>
      </c>
      <c r="Q393" s="93">
        <f>SUM('3:23'!Q393)</f>
        <v>0</v>
      </c>
      <c r="R393" s="93">
        <f>SUM('3:23'!R393)</f>
        <v>0</v>
      </c>
      <c r="S393" s="93">
        <f>SUM('3:23'!S393)</f>
        <v>0</v>
      </c>
      <c r="T393" s="93">
        <f>SUM('3:23'!T393)</f>
        <v>0</v>
      </c>
      <c r="U393" s="93">
        <f>SUM('3:23'!U393)</f>
        <v>0</v>
      </c>
      <c r="V393" s="206"/>
      <c r="W393" s="33"/>
      <c r="X393" s="93">
        <f>SUM('3:23'!X393)</f>
        <v>0</v>
      </c>
      <c r="Y393" s="93">
        <f>SUM('3:23'!Y393)</f>
        <v>0</v>
      </c>
      <c r="Z393" s="93">
        <f>SUM('3:23'!Z393)</f>
        <v>0</v>
      </c>
      <c r="AA393" s="93">
        <f>SUM('3:23'!AA393)</f>
        <v>0</v>
      </c>
      <c r="AB393" s="25"/>
      <c r="AC393" s="54"/>
      <c r="AD393" s="346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303">
        <v>30700006</v>
      </c>
      <c r="B394" s="190" t="s">
        <v>424</v>
      </c>
      <c r="C394" s="187" t="s">
        <v>365</v>
      </c>
      <c r="D394" s="17">
        <v>5.03</v>
      </c>
      <c r="E394" s="17"/>
      <c r="F394" s="6"/>
      <c r="G394" s="93">
        <f>SUM('3:23'!G394)</f>
        <v>0</v>
      </c>
      <c r="H394" s="339">
        <f t="shared" si="147"/>
        <v>0</v>
      </c>
      <c r="I394" s="93">
        <f>SUM('3:23'!I394)</f>
        <v>0</v>
      </c>
      <c r="J394" s="31"/>
      <c r="K394" s="35">
        <f t="array" ref="K394">IF(ISERROR(G394/L394),"",G394/L394)</f>
        <v>0</v>
      </c>
      <c r="L394" s="87">
        <v>4</v>
      </c>
      <c r="M394" s="36">
        <f t="shared" si="152"/>
        <v>0</v>
      </c>
      <c r="N394" s="31"/>
      <c r="O394" s="93">
        <f>SUM('3:23'!O394)</f>
        <v>0</v>
      </c>
      <c r="P394" s="93">
        <f>SUM('3:23'!P394)</f>
        <v>0</v>
      </c>
      <c r="Q394" s="93">
        <f>SUM('3:23'!Q394)</f>
        <v>0</v>
      </c>
      <c r="R394" s="93">
        <f>SUM('3:23'!R394)</f>
        <v>0</v>
      </c>
      <c r="S394" s="93">
        <f>SUM('3:23'!S394)</f>
        <v>0</v>
      </c>
      <c r="T394" s="93">
        <f>SUM('3:23'!T394)</f>
        <v>0</v>
      </c>
      <c r="U394" s="93">
        <f>SUM('3:23'!U394)</f>
        <v>0</v>
      </c>
      <c r="V394" s="206"/>
      <c r="W394" s="33"/>
      <c r="X394" s="93">
        <f>SUM('3:23'!X394)</f>
        <v>0</v>
      </c>
      <c r="Y394" s="93">
        <f>SUM('3:23'!Y394)</f>
        <v>0</v>
      </c>
      <c r="Z394" s="93">
        <f>SUM('3:23'!Z394)</f>
        <v>0</v>
      </c>
      <c r="AA394" s="93">
        <f>SUM('3:23'!AA394)</f>
        <v>0</v>
      </c>
      <c r="AB394" s="25"/>
      <c r="AC394" s="54"/>
      <c r="AD394" s="346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303">
        <v>30700008</v>
      </c>
      <c r="B395" s="190" t="s">
        <v>424</v>
      </c>
      <c r="C395" s="187" t="s">
        <v>366</v>
      </c>
      <c r="D395" s="17">
        <v>5.03</v>
      </c>
      <c r="E395" s="17"/>
      <c r="F395" s="6"/>
      <c r="G395" s="93">
        <f>SUM('3:23'!G395)</f>
        <v>0</v>
      </c>
      <c r="H395" s="339">
        <f t="shared" si="147"/>
        <v>0</v>
      </c>
      <c r="I395" s="93">
        <f>SUM('3:23'!I395)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152"/>
        <v>0</v>
      </c>
      <c r="N395" s="31"/>
      <c r="O395" s="93">
        <f>SUM('3:23'!O395)</f>
        <v>0</v>
      </c>
      <c r="P395" s="93">
        <f>SUM('3:23'!P395)</f>
        <v>0</v>
      </c>
      <c r="Q395" s="93">
        <f>SUM('3:23'!Q395)</f>
        <v>0</v>
      </c>
      <c r="R395" s="93">
        <f>SUM('3:23'!R395)</f>
        <v>0</v>
      </c>
      <c r="S395" s="93">
        <f>SUM('3:23'!S395)</f>
        <v>0</v>
      </c>
      <c r="T395" s="93">
        <f>SUM('3:23'!T395)</f>
        <v>0</v>
      </c>
      <c r="U395" s="93">
        <f>SUM('3:23'!U395)</f>
        <v>0</v>
      </c>
      <c r="V395" s="206"/>
      <c r="W395" s="33"/>
      <c r="X395" s="93">
        <f>SUM('3:23'!X395)</f>
        <v>0</v>
      </c>
      <c r="Y395" s="93">
        <f>SUM('3:23'!Y395)</f>
        <v>0</v>
      </c>
      <c r="Z395" s="93">
        <f>SUM('3:23'!Z395)</f>
        <v>0</v>
      </c>
      <c r="AA395" s="93">
        <f>SUM('3:23'!AA395)</f>
        <v>0</v>
      </c>
      <c r="AB395" s="25"/>
      <c r="AC395" s="54"/>
      <c r="AD395" s="346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303">
        <v>30700009</v>
      </c>
      <c r="B396" s="190" t="s">
        <v>424</v>
      </c>
      <c r="C396" s="187" t="s">
        <v>367</v>
      </c>
      <c r="D396" s="17">
        <v>5.03</v>
      </c>
      <c r="E396" s="17"/>
      <c r="F396" s="6"/>
      <c r="G396" s="93">
        <f>SUM('3:23'!G396)</f>
        <v>0</v>
      </c>
      <c r="H396" s="339">
        <f t="shared" si="147"/>
        <v>0</v>
      </c>
      <c r="I396" s="93">
        <f>SUM('3:23'!I396)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152"/>
        <v>0</v>
      </c>
      <c r="N396" s="31"/>
      <c r="O396" s="93">
        <f>SUM('3:23'!O396)</f>
        <v>0</v>
      </c>
      <c r="P396" s="93">
        <f>SUM('3:23'!P396)</f>
        <v>0</v>
      </c>
      <c r="Q396" s="93">
        <f>SUM('3:23'!Q396)</f>
        <v>0</v>
      </c>
      <c r="R396" s="93">
        <f>SUM('3:23'!R396)</f>
        <v>0</v>
      </c>
      <c r="S396" s="93">
        <f>SUM('3:23'!S396)</f>
        <v>0</v>
      </c>
      <c r="T396" s="93">
        <f>SUM('3:23'!T396)</f>
        <v>0</v>
      </c>
      <c r="U396" s="93">
        <f>SUM('3:23'!U396)</f>
        <v>0</v>
      </c>
      <c r="V396" s="206"/>
      <c r="W396" s="33"/>
      <c r="X396" s="93">
        <f>SUM('3:23'!X396)</f>
        <v>0</v>
      </c>
      <c r="Y396" s="93">
        <f>SUM('3:23'!Y396)</f>
        <v>0</v>
      </c>
      <c r="Z396" s="93">
        <f>SUM('3:23'!Z396)</f>
        <v>0</v>
      </c>
      <c r="AA396" s="93">
        <f>SUM('3:23'!AA396)</f>
        <v>0</v>
      </c>
      <c r="AB396" s="25"/>
      <c r="AC396" s="54"/>
      <c r="AD396" s="346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300">
        <v>30100036</v>
      </c>
      <c r="B397" s="62" t="s">
        <v>80</v>
      </c>
      <c r="C397" s="16" t="s">
        <v>61</v>
      </c>
      <c r="D397" s="17">
        <v>5.03</v>
      </c>
      <c r="E397" s="17"/>
      <c r="F397" s="6"/>
      <c r="G397" s="93">
        <f>SUM('3:23'!G397)</f>
        <v>0</v>
      </c>
      <c r="H397" s="339">
        <f t="shared" si="147"/>
        <v>0</v>
      </c>
      <c r="I397" s="93">
        <f>SUM('3:23'!I397)</f>
        <v>0</v>
      </c>
      <c r="J397" s="31" t="str">
        <f t="array" ref="J397">IF(ISERROR(G397/I397),"",G397/I397)</f>
        <v/>
      </c>
      <c r="K397" s="35">
        <f t="array" ref="K397">IF(ISERROR(G397/L397),"",G397/L397)</f>
        <v>0</v>
      </c>
      <c r="L397" s="87">
        <v>40</v>
      </c>
      <c r="M397" s="36">
        <f t="shared" si="152"/>
        <v>0</v>
      </c>
      <c r="N397" s="31">
        <f t="shared" ref="N397:N406" si="159">SUM(O397:U397)</f>
        <v>0</v>
      </c>
      <c r="O397" s="93">
        <f>SUM('3:23'!O397)</f>
        <v>0</v>
      </c>
      <c r="P397" s="93">
        <f>SUM('3:23'!P397)</f>
        <v>0</v>
      </c>
      <c r="Q397" s="93">
        <f>SUM('3:23'!Q397)</f>
        <v>0</v>
      </c>
      <c r="R397" s="93">
        <f>SUM('3:23'!R397)</f>
        <v>0</v>
      </c>
      <c r="S397" s="93">
        <f>SUM('3:23'!S397)</f>
        <v>0</v>
      </c>
      <c r="T397" s="93">
        <f>SUM('3:23'!T397)</f>
        <v>0</v>
      </c>
      <c r="U397" s="93">
        <f>SUM('3:23'!U397)</f>
        <v>0</v>
      </c>
      <c r="V397" s="206">
        <f t="shared" ref="V397:V406" si="160">SUM(X397:AA397)</f>
        <v>0</v>
      </c>
      <c r="W397" s="33" t="str">
        <f t="shared" ref="W397:W406" si="161">IF(ISERROR(V397/G397),"",V397/G397)</f>
        <v/>
      </c>
      <c r="X397" s="93">
        <f>SUM('3:23'!X397)</f>
        <v>0</v>
      </c>
      <c r="Y397" s="93">
        <f>SUM('3:23'!Y397)</f>
        <v>0</v>
      </c>
      <c r="Z397" s="93">
        <f>SUM('3:23'!Z397)</f>
        <v>0</v>
      </c>
      <c r="AA397" s="93">
        <f>SUM('3:23'!AA397)</f>
        <v>0</v>
      </c>
      <c r="AB397" s="73"/>
      <c r="AC397" s="54"/>
      <c r="AD397" s="346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300">
        <v>30100034</v>
      </c>
      <c r="B398" s="62" t="s">
        <v>80</v>
      </c>
      <c r="C398" s="16" t="s">
        <v>60</v>
      </c>
      <c r="D398" s="17">
        <v>5.03</v>
      </c>
      <c r="E398" s="17"/>
      <c r="F398" s="6"/>
      <c r="G398" s="93">
        <f>SUM('3:23'!G398)</f>
        <v>0</v>
      </c>
      <c r="H398" s="339">
        <f t="shared" si="147"/>
        <v>0</v>
      </c>
      <c r="I398" s="93">
        <f>SUM('3:23'!I398)</f>
        <v>0</v>
      </c>
      <c r="J398" s="31" t="str">
        <f t="array" ref="J398">IF(ISERROR(G398/I398),"",G398/I398)</f>
        <v/>
      </c>
      <c r="K398" s="35">
        <f t="array" ref="K398">IF(ISERROR(G398/L398),"",G398/L398)</f>
        <v>0</v>
      </c>
      <c r="L398" s="87">
        <v>40</v>
      </c>
      <c r="M398" s="36">
        <f t="shared" si="152"/>
        <v>0</v>
      </c>
      <c r="N398" s="31">
        <f t="shared" si="159"/>
        <v>0</v>
      </c>
      <c r="O398" s="93">
        <f>SUM('3:23'!O398)</f>
        <v>0</v>
      </c>
      <c r="P398" s="93">
        <f>SUM('3:23'!P398)</f>
        <v>0</v>
      </c>
      <c r="Q398" s="93">
        <f>SUM('3:23'!Q398)</f>
        <v>0</v>
      </c>
      <c r="R398" s="93">
        <f>SUM('3:23'!R398)</f>
        <v>0</v>
      </c>
      <c r="S398" s="93">
        <f>SUM('3:23'!S398)</f>
        <v>0</v>
      </c>
      <c r="T398" s="93">
        <f>SUM('3:23'!T398)</f>
        <v>0</v>
      </c>
      <c r="U398" s="93">
        <f>SUM('3:23'!U398)</f>
        <v>0</v>
      </c>
      <c r="V398" s="206">
        <f t="shared" si="160"/>
        <v>0</v>
      </c>
      <c r="W398" s="33" t="str">
        <f t="shared" si="161"/>
        <v/>
      </c>
      <c r="X398" s="93">
        <f>SUM('3:23'!X398)</f>
        <v>0</v>
      </c>
      <c r="Y398" s="93">
        <f>SUM('3:23'!Y398)</f>
        <v>0</v>
      </c>
      <c r="Z398" s="93">
        <f>SUM('3:23'!Z398)</f>
        <v>0</v>
      </c>
      <c r="AA398" s="93">
        <f>SUM('3:23'!AA398)</f>
        <v>0</v>
      </c>
      <c r="AB398" s="73"/>
      <c r="AC398" s="54"/>
      <c r="AD398" s="346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300">
        <v>30100035</v>
      </c>
      <c r="B399" s="62" t="s">
        <v>80</v>
      </c>
      <c r="C399" s="16" t="s">
        <v>65</v>
      </c>
      <c r="D399" s="17">
        <v>5.03</v>
      </c>
      <c r="E399" s="17"/>
      <c r="F399" s="6"/>
      <c r="G399" s="93">
        <f>SUM('3:23'!G399)</f>
        <v>0</v>
      </c>
      <c r="H399" s="339">
        <f t="shared" si="147"/>
        <v>0</v>
      </c>
      <c r="I399" s="93">
        <f>SUM('3:23'!I399)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152"/>
        <v>0</v>
      </c>
      <c r="N399" s="31">
        <f t="shared" si="159"/>
        <v>0</v>
      </c>
      <c r="O399" s="93">
        <f>SUM('3:23'!O399)</f>
        <v>0</v>
      </c>
      <c r="P399" s="93">
        <f>SUM('3:23'!P399)</f>
        <v>0</v>
      </c>
      <c r="Q399" s="93">
        <f>SUM('3:23'!Q399)</f>
        <v>0</v>
      </c>
      <c r="R399" s="93">
        <f>SUM('3:23'!R399)</f>
        <v>0</v>
      </c>
      <c r="S399" s="93">
        <f>SUM('3:23'!S399)</f>
        <v>0</v>
      </c>
      <c r="T399" s="93">
        <f>SUM('3:23'!T399)</f>
        <v>0</v>
      </c>
      <c r="U399" s="93">
        <f>SUM('3:23'!U399)</f>
        <v>0</v>
      </c>
      <c r="V399" s="206">
        <f t="shared" si="160"/>
        <v>0</v>
      </c>
      <c r="W399" s="33" t="str">
        <f t="shared" si="161"/>
        <v/>
      </c>
      <c r="X399" s="93">
        <f>SUM('3:23'!X399)</f>
        <v>0</v>
      </c>
      <c r="Y399" s="93">
        <f>SUM('3:23'!Y399)</f>
        <v>0</v>
      </c>
      <c r="Z399" s="93">
        <f>SUM('3:23'!Z399)</f>
        <v>0</v>
      </c>
      <c r="AA399" s="93">
        <f>SUM('3:23'!AA399)</f>
        <v>0</v>
      </c>
      <c r="AB399" s="73"/>
      <c r="AC399" s="54"/>
      <c r="AD399" s="346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300">
        <v>30100040</v>
      </c>
      <c r="B400" s="62" t="s">
        <v>81</v>
      </c>
      <c r="C400" s="16" t="s">
        <v>82</v>
      </c>
      <c r="D400" s="17">
        <v>5.03</v>
      </c>
      <c r="E400" s="17"/>
      <c r="F400" s="6"/>
      <c r="G400" s="93">
        <f>SUM('3:23'!G400)</f>
        <v>0</v>
      </c>
      <c r="H400" s="339">
        <f t="shared" si="147"/>
        <v>0</v>
      </c>
      <c r="I400" s="93">
        <f>SUM('3:23'!I400)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50</v>
      </c>
      <c r="M400" s="36">
        <f t="shared" si="152"/>
        <v>0</v>
      </c>
      <c r="N400" s="31">
        <f t="shared" si="159"/>
        <v>0</v>
      </c>
      <c r="O400" s="93">
        <f>SUM('3:23'!O400)</f>
        <v>0</v>
      </c>
      <c r="P400" s="93">
        <f>SUM('3:23'!P400)</f>
        <v>0</v>
      </c>
      <c r="Q400" s="93">
        <f>SUM('3:23'!Q400)</f>
        <v>0</v>
      </c>
      <c r="R400" s="93">
        <f>SUM('3:23'!R400)</f>
        <v>0</v>
      </c>
      <c r="S400" s="93">
        <f>SUM('3:23'!S400)</f>
        <v>0</v>
      </c>
      <c r="T400" s="93">
        <f>SUM('3:23'!T400)</f>
        <v>0</v>
      </c>
      <c r="U400" s="93">
        <f>SUM('3:23'!U400)</f>
        <v>0</v>
      </c>
      <c r="V400" s="206">
        <f t="shared" si="160"/>
        <v>0</v>
      </c>
      <c r="W400" s="33" t="str">
        <f t="shared" si="161"/>
        <v/>
      </c>
      <c r="X400" s="93">
        <f>SUM('3:23'!X400)</f>
        <v>0</v>
      </c>
      <c r="Y400" s="93">
        <f>SUM('3:23'!Y400)</f>
        <v>0</v>
      </c>
      <c r="Z400" s="93">
        <f>SUM('3:23'!Z400)</f>
        <v>0</v>
      </c>
      <c r="AA400" s="93">
        <f>SUM('3:23'!AA400)</f>
        <v>0</v>
      </c>
      <c r="AB400" s="73"/>
      <c r="AC400" s="54"/>
      <c r="AD400" s="346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300">
        <v>30100039</v>
      </c>
      <c r="B401" s="62" t="s">
        <v>81</v>
      </c>
      <c r="C401" s="16" t="s">
        <v>60</v>
      </c>
      <c r="D401" s="17">
        <v>5.03</v>
      </c>
      <c r="E401" s="17"/>
      <c r="F401" s="6"/>
      <c r="G401" s="93">
        <f>SUM('3:23'!G401)</f>
        <v>0</v>
      </c>
      <c r="H401" s="339">
        <f t="shared" si="147"/>
        <v>0</v>
      </c>
      <c r="I401" s="93">
        <f>SUM('3:23'!I401)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50</v>
      </c>
      <c r="M401" s="36">
        <f t="shared" si="152"/>
        <v>0</v>
      </c>
      <c r="N401" s="31">
        <f t="shared" si="159"/>
        <v>0</v>
      </c>
      <c r="O401" s="93">
        <f>SUM('3:23'!O401)</f>
        <v>0</v>
      </c>
      <c r="P401" s="93">
        <f>SUM('3:23'!P401)</f>
        <v>0</v>
      </c>
      <c r="Q401" s="93">
        <f>SUM('3:23'!Q401)</f>
        <v>0</v>
      </c>
      <c r="R401" s="93">
        <f>SUM('3:23'!R401)</f>
        <v>0</v>
      </c>
      <c r="S401" s="93">
        <f>SUM('3:23'!S401)</f>
        <v>0</v>
      </c>
      <c r="T401" s="93">
        <f>SUM('3:23'!T401)</f>
        <v>0</v>
      </c>
      <c r="U401" s="93">
        <f>SUM('3:23'!U401)</f>
        <v>0</v>
      </c>
      <c r="V401" s="206">
        <f t="shared" si="160"/>
        <v>0</v>
      </c>
      <c r="W401" s="33" t="str">
        <f t="shared" si="161"/>
        <v/>
      </c>
      <c r="X401" s="93">
        <f>SUM('3:23'!X401)</f>
        <v>0</v>
      </c>
      <c r="Y401" s="93">
        <f>SUM('3:23'!Y401)</f>
        <v>0</v>
      </c>
      <c r="Z401" s="93">
        <f>SUM('3:23'!Z401)</f>
        <v>0</v>
      </c>
      <c r="AA401" s="93">
        <f>SUM('3:23'!AA401)</f>
        <v>0</v>
      </c>
      <c r="AB401" s="73"/>
      <c r="AC401" s="54"/>
      <c r="AD401" s="346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300">
        <v>30100042</v>
      </c>
      <c r="B402" s="62" t="s">
        <v>81</v>
      </c>
      <c r="C402" s="16" t="s">
        <v>61</v>
      </c>
      <c r="D402" s="17">
        <v>5.03</v>
      </c>
      <c r="E402" s="17"/>
      <c r="F402" s="6"/>
      <c r="G402" s="93">
        <f>SUM('3:23'!G402)</f>
        <v>0</v>
      </c>
      <c r="H402" s="339">
        <f t="shared" si="147"/>
        <v>0</v>
      </c>
      <c r="I402" s="93">
        <f>SUM('3:23'!I402)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152"/>
        <v>0</v>
      </c>
      <c r="N402" s="31">
        <f t="shared" si="159"/>
        <v>0</v>
      </c>
      <c r="O402" s="93">
        <f>SUM('3:23'!O402)</f>
        <v>0</v>
      </c>
      <c r="P402" s="93">
        <f>SUM('3:23'!P402)</f>
        <v>0</v>
      </c>
      <c r="Q402" s="93">
        <f>SUM('3:23'!Q402)</f>
        <v>0</v>
      </c>
      <c r="R402" s="93">
        <f>SUM('3:23'!R402)</f>
        <v>0</v>
      </c>
      <c r="S402" s="93">
        <f>SUM('3:23'!S402)</f>
        <v>0</v>
      </c>
      <c r="T402" s="93">
        <f>SUM('3:23'!T402)</f>
        <v>0</v>
      </c>
      <c r="U402" s="93">
        <f>SUM('3:23'!U402)</f>
        <v>0</v>
      </c>
      <c r="V402" s="206">
        <f t="shared" si="160"/>
        <v>0</v>
      </c>
      <c r="W402" s="33" t="str">
        <f t="shared" si="161"/>
        <v/>
      </c>
      <c r="X402" s="93">
        <f>SUM('3:23'!X402)</f>
        <v>0</v>
      </c>
      <c r="Y402" s="93">
        <f>SUM('3:23'!Y402)</f>
        <v>0</v>
      </c>
      <c r="Z402" s="93">
        <f>SUM('3:23'!Z402)</f>
        <v>0</v>
      </c>
      <c r="AA402" s="93">
        <f>SUM('3:23'!AA402)</f>
        <v>0</v>
      </c>
      <c r="AB402" s="73"/>
      <c r="AC402" s="54"/>
      <c r="AD402" s="346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300">
        <v>30100041</v>
      </c>
      <c r="B403" s="62" t="s">
        <v>81</v>
      </c>
      <c r="C403" s="16" t="s">
        <v>65</v>
      </c>
      <c r="D403" s="17">
        <v>5.03</v>
      </c>
      <c r="E403" s="17"/>
      <c r="F403" s="6"/>
      <c r="G403" s="93">
        <f>SUM('3:23'!G403)</f>
        <v>0</v>
      </c>
      <c r="H403" s="339">
        <f t="shared" si="147"/>
        <v>0</v>
      </c>
      <c r="I403" s="93">
        <f>SUM('3:23'!I403)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152"/>
        <v>0</v>
      </c>
      <c r="N403" s="31">
        <f t="shared" si="159"/>
        <v>0</v>
      </c>
      <c r="O403" s="93">
        <f>SUM('3:23'!O403)</f>
        <v>0</v>
      </c>
      <c r="P403" s="93">
        <f>SUM('3:23'!P403)</f>
        <v>0</v>
      </c>
      <c r="Q403" s="93">
        <f>SUM('3:23'!Q403)</f>
        <v>0</v>
      </c>
      <c r="R403" s="93">
        <f>SUM('3:23'!R403)</f>
        <v>0</v>
      </c>
      <c r="S403" s="93">
        <f>SUM('3:23'!S403)</f>
        <v>0</v>
      </c>
      <c r="T403" s="93">
        <f>SUM('3:23'!T403)</f>
        <v>0</v>
      </c>
      <c r="U403" s="93">
        <f>SUM('3:23'!U403)</f>
        <v>0</v>
      </c>
      <c r="V403" s="206">
        <f t="shared" si="160"/>
        <v>0</v>
      </c>
      <c r="W403" s="33" t="str">
        <f t="shared" si="161"/>
        <v/>
      </c>
      <c r="X403" s="93">
        <f>SUM('3:23'!X403)</f>
        <v>0</v>
      </c>
      <c r="Y403" s="93">
        <f>SUM('3:23'!Y403)</f>
        <v>0</v>
      </c>
      <c r="Z403" s="93">
        <f>SUM('3:23'!Z403)</f>
        <v>0</v>
      </c>
      <c r="AA403" s="93">
        <f>SUM('3:23'!AA403)</f>
        <v>0</v>
      </c>
      <c r="AB403" s="73"/>
      <c r="AC403" s="54"/>
      <c r="AD403" s="346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300">
        <v>30100045</v>
      </c>
      <c r="B404" s="62" t="s">
        <v>83</v>
      </c>
      <c r="C404" s="16" t="s">
        <v>73</v>
      </c>
      <c r="D404" s="17">
        <v>5.03</v>
      </c>
      <c r="E404" s="17"/>
      <c r="F404" s="6"/>
      <c r="G404" s="93">
        <f>SUM('3:23'!G404)</f>
        <v>0</v>
      </c>
      <c r="H404" s="339">
        <f t="shared" si="147"/>
        <v>0</v>
      </c>
      <c r="I404" s="93">
        <f>SUM('3:23'!I404)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152"/>
        <v>0</v>
      </c>
      <c r="N404" s="31">
        <f t="shared" si="159"/>
        <v>0</v>
      </c>
      <c r="O404" s="93">
        <f>SUM('3:23'!O404)</f>
        <v>0</v>
      </c>
      <c r="P404" s="93">
        <f>SUM('3:23'!P404)</f>
        <v>0</v>
      </c>
      <c r="Q404" s="93">
        <f>SUM('3:23'!Q404)</f>
        <v>0</v>
      </c>
      <c r="R404" s="93">
        <f>SUM('3:23'!R404)</f>
        <v>0</v>
      </c>
      <c r="S404" s="93">
        <f>SUM('3:23'!S404)</f>
        <v>0</v>
      </c>
      <c r="T404" s="93">
        <f>SUM('3:23'!T404)</f>
        <v>0</v>
      </c>
      <c r="U404" s="93">
        <f>SUM('3:23'!U404)</f>
        <v>0</v>
      </c>
      <c r="V404" s="206">
        <f t="shared" si="160"/>
        <v>0</v>
      </c>
      <c r="W404" s="33" t="str">
        <f t="shared" si="161"/>
        <v/>
      </c>
      <c r="X404" s="93">
        <f>SUM('3:23'!X404)</f>
        <v>0</v>
      </c>
      <c r="Y404" s="93">
        <f>SUM('3:23'!Y404)</f>
        <v>0</v>
      </c>
      <c r="Z404" s="93">
        <f>SUM('3:23'!Z404)</f>
        <v>0</v>
      </c>
      <c r="AA404" s="93">
        <f>SUM('3:23'!AA404)</f>
        <v>0</v>
      </c>
      <c r="AB404" s="73"/>
      <c r="AC404" s="54"/>
      <c r="AD404" s="346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300">
        <v>30100044</v>
      </c>
      <c r="B405" s="62" t="s">
        <v>83</v>
      </c>
      <c r="C405" s="16" t="s">
        <v>61</v>
      </c>
      <c r="D405" s="17">
        <v>5.03</v>
      </c>
      <c r="E405" s="17"/>
      <c r="F405" s="6"/>
      <c r="G405" s="93">
        <f>SUM('3:23'!G405)</f>
        <v>0</v>
      </c>
      <c r="H405" s="339">
        <f t="shared" si="147"/>
        <v>0</v>
      </c>
      <c r="I405" s="93">
        <f>SUM('3:23'!I405)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152"/>
        <v>0</v>
      </c>
      <c r="N405" s="31">
        <f t="shared" si="159"/>
        <v>0</v>
      </c>
      <c r="O405" s="93">
        <f>SUM('3:23'!O405)</f>
        <v>0</v>
      </c>
      <c r="P405" s="93">
        <f>SUM('3:23'!P405)</f>
        <v>0</v>
      </c>
      <c r="Q405" s="93">
        <f>SUM('3:23'!Q405)</f>
        <v>0</v>
      </c>
      <c r="R405" s="93">
        <f>SUM('3:23'!R405)</f>
        <v>0</v>
      </c>
      <c r="S405" s="93">
        <f>SUM('3:23'!S405)</f>
        <v>0</v>
      </c>
      <c r="T405" s="93">
        <f>SUM('3:23'!T405)</f>
        <v>0</v>
      </c>
      <c r="U405" s="93">
        <f>SUM('3:23'!U405)</f>
        <v>0</v>
      </c>
      <c r="V405" s="206">
        <f t="shared" si="160"/>
        <v>0</v>
      </c>
      <c r="W405" s="33" t="str">
        <f t="shared" si="161"/>
        <v/>
      </c>
      <c r="X405" s="93">
        <f>SUM('3:23'!X405)</f>
        <v>0</v>
      </c>
      <c r="Y405" s="93">
        <f>SUM('3:23'!Y405)</f>
        <v>0</v>
      </c>
      <c r="Z405" s="93">
        <f>SUM('3:23'!Z405)</f>
        <v>0</v>
      </c>
      <c r="AA405" s="93">
        <f>SUM('3:23'!AA405)</f>
        <v>0</v>
      </c>
      <c r="AB405" s="73"/>
      <c r="AC405" s="54"/>
      <c r="AD405" s="346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300">
        <v>30100046</v>
      </c>
      <c r="B406" s="62" t="s">
        <v>83</v>
      </c>
      <c r="C406" s="16" t="s">
        <v>77</v>
      </c>
      <c r="D406" s="17">
        <v>5.03</v>
      </c>
      <c r="E406" s="17"/>
      <c r="F406" s="6"/>
      <c r="G406" s="93">
        <f>SUM('3:23'!G406)</f>
        <v>0</v>
      </c>
      <c r="H406" s="339">
        <f t="shared" si="147"/>
        <v>0</v>
      </c>
      <c r="I406" s="93">
        <f>SUM('3:23'!I406)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152"/>
        <v>0</v>
      </c>
      <c r="N406" s="31">
        <f t="shared" si="159"/>
        <v>0</v>
      </c>
      <c r="O406" s="93">
        <f>SUM('3:23'!O406)</f>
        <v>0</v>
      </c>
      <c r="P406" s="93">
        <f>SUM('3:23'!P406)</f>
        <v>0</v>
      </c>
      <c r="Q406" s="93">
        <f>SUM('3:23'!Q406)</f>
        <v>0</v>
      </c>
      <c r="R406" s="93">
        <f>SUM('3:23'!R406)</f>
        <v>0</v>
      </c>
      <c r="S406" s="93">
        <f>SUM('3:23'!S406)</f>
        <v>0</v>
      </c>
      <c r="T406" s="93">
        <f>SUM('3:23'!T406)</f>
        <v>0</v>
      </c>
      <c r="U406" s="93">
        <f>SUM('3:23'!U406)</f>
        <v>0</v>
      </c>
      <c r="V406" s="206">
        <f t="shared" si="160"/>
        <v>0</v>
      </c>
      <c r="W406" s="33" t="str">
        <f t="shared" si="161"/>
        <v/>
      </c>
      <c r="X406" s="93">
        <f>SUM('3:23'!X406)</f>
        <v>0</v>
      </c>
      <c r="Y406" s="93">
        <f>SUM('3:23'!Y406)</f>
        <v>0</v>
      </c>
      <c r="Z406" s="93">
        <f>SUM('3:23'!Z406)</f>
        <v>0</v>
      </c>
      <c r="AA406" s="93">
        <f>SUM('3:23'!AA406)</f>
        <v>0</v>
      </c>
      <c r="AB406" s="73"/>
      <c r="AC406" s="54"/>
      <c r="AD406" s="346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300">
        <v>30100043</v>
      </c>
      <c r="B407" s="192" t="s">
        <v>433</v>
      </c>
      <c r="C407" s="187" t="s">
        <v>427</v>
      </c>
      <c r="D407" s="17">
        <v>50.3</v>
      </c>
      <c r="E407" s="17"/>
      <c r="F407" s="6"/>
      <c r="G407" s="93">
        <f>SUM('3:23'!G407)</f>
        <v>0</v>
      </c>
      <c r="H407" s="339">
        <f t="shared" si="147"/>
        <v>0</v>
      </c>
      <c r="I407" s="93"/>
      <c r="J407" s="31"/>
      <c r="K407" s="35">
        <f t="array" ref="K407">IF(ISERROR(G407/L407),"",G407/L407)</f>
        <v>0</v>
      </c>
      <c r="L407" s="87">
        <v>50</v>
      </c>
      <c r="M407" s="36"/>
      <c r="N407" s="31"/>
      <c r="O407" s="93"/>
      <c r="P407" s="93"/>
      <c r="Q407" s="93"/>
      <c r="R407" s="93"/>
      <c r="S407" s="93"/>
      <c r="T407" s="93"/>
      <c r="U407" s="93"/>
      <c r="V407" s="206"/>
      <c r="W407" s="33"/>
      <c r="X407" s="93"/>
      <c r="Y407" s="93"/>
      <c r="Z407" s="93"/>
      <c r="AA407" s="93"/>
      <c r="AB407" s="73"/>
      <c r="AC407" s="54"/>
      <c r="AD407" s="346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300">
        <v>30100064</v>
      </c>
      <c r="B408" s="192" t="s">
        <v>401</v>
      </c>
      <c r="C408" s="187" t="s">
        <v>399</v>
      </c>
      <c r="D408" s="17">
        <v>5</v>
      </c>
      <c r="E408" s="17"/>
      <c r="F408" s="6"/>
      <c r="G408" s="93">
        <f>SUM('3:23'!G408)</f>
        <v>0</v>
      </c>
      <c r="H408" s="339">
        <f t="shared" si="147"/>
        <v>0</v>
      </c>
      <c r="I408" s="93">
        <f>SUM('3:23'!I408)</f>
        <v>0</v>
      </c>
      <c r="J408" s="31"/>
      <c r="K408" s="35"/>
      <c r="L408" s="87">
        <v>50</v>
      </c>
      <c r="M408" s="36"/>
      <c r="N408" s="31"/>
      <c r="O408" s="93">
        <f>SUM('3:23'!O408)</f>
        <v>0</v>
      </c>
      <c r="P408" s="93">
        <f>SUM('3:23'!P408)</f>
        <v>0</v>
      </c>
      <c r="Q408" s="93">
        <f>SUM('3:23'!Q408)</f>
        <v>0</v>
      </c>
      <c r="R408" s="93">
        <f>SUM('3:23'!R408)</f>
        <v>0</v>
      </c>
      <c r="S408" s="93">
        <f>SUM('3:23'!S408)</f>
        <v>0</v>
      </c>
      <c r="T408" s="93">
        <f>SUM('3:23'!T408)</f>
        <v>0</v>
      </c>
      <c r="U408" s="93">
        <f>SUM('3:23'!U408)</f>
        <v>0</v>
      </c>
      <c r="V408" s="206"/>
      <c r="W408" s="33"/>
      <c r="X408" s="93">
        <f>SUM('3:23'!X408)</f>
        <v>0</v>
      </c>
      <c r="Y408" s="93">
        <f>SUM('3:23'!Y408)</f>
        <v>0</v>
      </c>
      <c r="Z408" s="93">
        <f>SUM('3:23'!Z408)</f>
        <v>0</v>
      </c>
      <c r="AA408" s="93">
        <f>SUM('3:23'!AA408)</f>
        <v>0</v>
      </c>
      <c r="AB408" s="73"/>
      <c r="AC408" s="54"/>
      <c r="AD408" s="346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300">
        <v>30100049</v>
      </c>
      <c r="B409" s="62" t="s">
        <v>84</v>
      </c>
      <c r="C409" s="16" t="s">
        <v>64</v>
      </c>
      <c r="D409" s="17">
        <v>5.03</v>
      </c>
      <c r="E409" s="17"/>
      <c r="F409" s="6"/>
      <c r="G409" s="93">
        <f>SUM('3:23'!G409)</f>
        <v>0</v>
      </c>
      <c r="H409" s="339">
        <f t="shared" si="147"/>
        <v>0</v>
      </c>
      <c r="I409" s="93">
        <f>SUM('3:23'!I409)</f>
        <v>0</v>
      </c>
      <c r="J409" s="31" t="str">
        <f t="array" ref="J409">IF(ISERROR(G409/I409),"",G409/I409)</f>
        <v/>
      </c>
      <c r="K409" s="35">
        <f t="array" ref="K409">IF(ISERROR(G409/L409),"",G409/L409)</f>
        <v>0</v>
      </c>
      <c r="L409" s="87">
        <v>21.5</v>
      </c>
      <c r="M409" s="36">
        <f t="shared" ref="M409:M410" si="162">IF(ISERROR(I409-K409),"",I409-K409)</f>
        <v>0</v>
      </c>
      <c r="N409" s="31">
        <f t="shared" ref="N409:N410" si="163">SUM(O409:U409)</f>
        <v>0</v>
      </c>
      <c r="O409" s="93">
        <f>SUM('3:23'!O409)</f>
        <v>0</v>
      </c>
      <c r="P409" s="93">
        <f>SUM('3:23'!P409)</f>
        <v>0</v>
      </c>
      <c r="Q409" s="93">
        <f>SUM('3:23'!Q409)</f>
        <v>0</v>
      </c>
      <c r="R409" s="93">
        <f>SUM('3:23'!R409)</f>
        <v>0</v>
      </c>
      <c r="S409" s="93">
        <f>SUM('3:23'!S409)</f>
        <v>0</v>
      </c>
      <c r="T409" s="93">
        <f>SUM('3:23'!T409)</f>
        <v>0</v>
      </c>
      <c r="U409" s="93">
        <f>SUM('3:23'!U409)</f>
        <v>0</v>
      </c>
      <c r="V409" s="206">
        <f t="shared" ref="V409:V410" si="164">SUM(X409:AA409)</f>
        <v>0</v>
      </c>
      <c r="W409" s="33" t="str">
        <f t="shared" ref="W409:W410" si="165">IF(ISERROR(V409/G409),"",V409/G409)</f>
        <v/>
      </c>
      <c r="X409" s="93">
        <f>SUM('3:23'!X409)</f>
        <v>0</v>
      </c>
      <c r="Y409" s="93">
        <f>SUM('3:23'!Y409)</f>
        <v>0</v>
      </c>
      <c r="Z409" s="93">
        <f>SUM('3:23'!Z409)</f>
        <v>0</v>
      </c>
      <c r="AA409" s="93">
        <f>SUM('3:23'!AA409)</f>
        <v>0</v>
      </c>
      <c r="AB409" s="73"/>
      <c r="AC409" s="54"/>
      <c r="AD409" s="346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300">
        <v>30100050</v>
      </c>
      <c r="B410" s="62" t="s">
        <v>84</v>
      </c>
      <c r="C410" s="16" t="s">
        <v>65</v>
      </c>
      <c r="D410" s="17">
        <v>5.03</v>
      </c>
      <c r="E410" s="17"/>
      <c r="F410" s="6"/>
      <c r="G410" s="93">
        <f>SUM('3:23'!G410)</f>
        <v>0</v>
      </c>
      <c r="H410" s="339">
        <f t="shared" si="147"/>
        <v>0</v>
      </c>
      <c r="I410" s="93">
        <f>SUM('3:23'!I410)</f>
        <v>0</v>
      </c>
      <c r="J410" s="31" t="str">
        <f t="array" ref="J410">IF(ISERROR(G410/I410),"",G410/I410)</f>
        <v/>
      </c>
      <c r="K410" s="35">
        <f t="array" ref="K410">IF(ISERROR(G410/L410),"",G410/L410)</f>
        <v>0</v>
      </c>
      <c r="L410" s="87">
        <v>21.5</v>
      </c>
      <c r="M410" s="36">
        <f t="shared" si="162"/>
        <v>0</v>
      </c>
      <c r="N410" s="31">
        <f t="shared" si="163"/>
        <v>0</v>
      </c>
      <c r="O410" s="93">
        <f>SUM('3:23'!O410)</f>
        <v>0</v>
      </c>
      <c r="P410" s="93">
        <f>SUM('3:23'!P410)</f>
        <v>0</v>
      </c>
      <c r="Q410" s="93">
        <f>SUM('3:23'!Q410)</f>
        <v>0</v>
      </c>
      <c r="R410" s="93">
        <f>SUM('3:23'!R410)</f>
        <v>0</v>
      </c>
      <c r="S410" s="93">
        <f>SUM('3:23'!S410)</f>
        <v>0</v>
      </c>
      <c r="T410" s="93">
        <f>SUM('3:23'!T410)</f>
        <v>0</v>
      </c>
      <c r="U410" s="93">
        <f>SUM('3:23'!U410)</f>
        <v>0</v>
      </c>
      <c r="V410" s="206">
        <f t="shared" si="164"/>
        <v>0</v>
      </c>
      <c r="W410" s="33" t="str">
        <f t="shared" si="165"/>
        <v/>
      </c>
      <c r="X410" s="93">
        <f>SUM('3:23'!X410)</f>
        <v>0</v>
      </c>
      <c r="Y410" s="93">
        <f>SUM('3:23'!Y410)</f>
        <v>0</v>
      </c>
      <c r="Z410" s="93">
        <f>SUM('3:23'!Z410)</f>
        <v>0</v>
      </c>
      <c r="AA410" s="93">
        <f>SUM('3:23'!AA410)</f>
        <v>0</v>
      </c>
      <c r="AB410" s="73"/>
      <c r="AC410" s="54"/>
      <c r="AD410" s="346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300"/>
      <c r="B411" s="192" t="s">
        <v>360</v>
      </c>
      <c r="C411" s="187" t="s">
        <v>361</v>
      </c>
      <c r="D411" s="17"/>
      <c r="E411" s="17"/>
      <c r="F411" s="6"/>
      <c r="G411" s="93">
        <f>SUM('3:23'!G411)</f>
        <v>0</v>
      </c>
      <c r="H411" s="339">
        <f t="shared" si="147"/>
        <v>0</v>
      </c>
      <c r="I411" s="93">
        <f>SUM('3:23'!I411)</f>
        <v>0</v>
      </c>
      <c r="J411" s="31"/>
      <c r="K411" s="35"/>
      <c r="L411" s="87"/>
      <c r="M411" s="36"/>
      <c r="N411" s="31"/>
      <c r="O411" s="93">
        <f>SUM('3:23'!O411)</f>
        <v>0</v>
      </c>
      <c r="P411" s="93">
        <f>SUM('3:23'!P411)</f>
        <v>0</v>
      </c>
      <c r="Q411" s="93">
        <f>SUM('3:23'!Q411)</f>
        <v>0</v>
      </c>
      <c r="R411" s="93">
        <f>SUM('3:23'!R411)</f>
        <v>0</v>
      </c>
      <c r="S411" s="93">
        <f>SUM('3:23'!S411)</f>
        <v>0</v>
      </c>
      <c r="T411" s="93">
        <f>SUM('3:23'!T411)</f>
        <v>0</v>
      </c>
      <c r="U411" s="93">
        <f>SUM('3:23'!U411)</f>
        <v>0</v>
      </c>
      <c r="V411" s="206"/>
      <c r="W411" s="33"/>
      <c r="X411" s="93">
        <f>SUM('3:23'!X411)</f>
        <v>0</v>
      </c>
      <c r="Y411" s="93">
        <f>SUM('3:23'!Y411)</f>
        <v>0</v>
      </c>
      <c r="Z411" s="93">
        <f>SUM('3:23'!Z411)</f>
        <v>0</v>
      </c>
      <c r="AA411" s="93">
        <f>SUM('3:23'!AA411)</f>
        <v>0</v>
      </c>
      <c r="AB411" s="73"/>
      <c r="AC411" s="54"/>
      <c r="AD411" s="346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300">
        <v>30100055</v>
      </c>
      <c r="B412" s="63" t="s">
        <v>85</v>
      </c>
      <c r="C412" s="16" t="s">
        <v>60</v>
      </c>
      <c r="D412" s="17">
        <v>5.0599999999999996</v>
      </c>
      <c r="E412" s="17"/>
      <c r="F412" s="6"/>
      <c r="G412" s="93">
        <f>SUM('3:23'!G412)</f>
        <v>0</v>
      </c>
      <c r="H412" s="339">
        <f t="shared" si="147"/>
        <v>0</v>
      </c>
      <c r="I412" s="93">
        <f>SUM('3:23'!I412)</f>
        <v>0</v>
      </c>
      <c r="J412" s="31" t="str">
        <f t="array" ref="J412">IF(ISERROR(G412/I412),"",G412/I412)</f>
        <v/>
      </c>
      <c r="K412" s="35" t="str">
        <f t="array" ref="K412">IF(ISERROR(G412/L412),"",G412/L412)</f>
        <v/>
      </c>
      <c r="L412" s="87"/>
      <c r="M412" s="36" t="str">
        <f t="shared" ref="M412:M425" si="166">IF(ISERROR(I412-K412),"",I412-K412)</f>
        <v/>
      </c>
      <c r="N412" s="31">
        <f t="shared" ref="N412:N415" si="167">SUM(O412:U412)</f>
        <v>0</v>
      </c>
      <c r="O412" s="93">
        <f>SUM('3:23'!O412)</f>
        <v>0</v>
      </c>
      <c r="P412" s="93">
        <f>SUM('3:23'!P412)</f>
        <v>0</v>
      </c>
      <c r="Q412" s="93">
        <f>SUM('3:23'!Q412)</f>
        <v>0</v>
      </c>
      <c r="R412" s="93">
        <f>SUM('3:23'!R412)</f>
        <v>0</v>
      </c>
      <c r="S412" s="93">
        <f>SUM('3:23'!S412)</f>
        <v>0</v>
      </c>
      <c r="T412" s="93">
        <f>SUM('3:23'!T412)</f>
        <v>0</v>
      </c>
      <c r="U412" s="93">
        <f>SUM('3:23'!U412)</f>
        <v>0</v>
      </c>
      <c r="V412" s="206">
        <f t="shared" ref="V412:V415" si="168">SUM(X412:AA412)</f>
        <v>0</v>
      </c>
      <c r="W412" s="33" t="str">
        <f t="shared" ref="W412:W415" si="169">IF(ISERROR(V412/G412),"",V412/G412)</f>
        <v/>
      </c>
      <c r="X412" s="93">
        <f>SUM('3:23'!X412)</f>
        <v>0</v>
      </c>
      <c r="Y412" s="93">
        <f>SUM('3:23'!Y412)</f>
        <v>0</v>
      </c>
      <c r="Z412" s="93">
        <f>SUM('3:23'!Z412)</f>
        <v>0</v>
      </c>
      <c r="AA412" s="93">
        <f>SUM('3:23'!AA412)</f>
        <v>0</v>
      </c>
      <c r="AB412" s="73"/>
      <c r="AC412" s="54"/>
      <c r="AD412" s="346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300">
        <v>30100056</v>
      </c>
      <c r="B413" s="63" t="s">
        <v>85</v>
      </c>
      <c r="C413" s="16" t="s">
        <v>74</v>
      </c>
      <c r="D413" s="17">
        <v>5.0599999999999996</v>
      </c>
      <c r="E413" s="17"/>
      <c r="F413" s="6"/>
      <c r="G413" s="93">
        <f>SUM('3:23'!G413)</f>
        <v>0</v>
      </c>
      <c r="H413" s="339">
        <f t="shared" si="147"/>
        <v>0</v>
      </c>
      <c r="I413" s="93">
        <f>SUM('3:23'!I413)</f>
        <v>0</v>
      </c>
      <c r="J413" s="31" t="str">
        <f t="array" ref="J413">IF(ISERROR(G413/I413),"",G413/I413)</f>
        <v/>
      </c>
      <c r="K413" s="35" t="str">
        <f t="array" ref="K413">IF(ISERROR(G413/L413),"",G413/L413)</f>
        <v/>
      </c>
      <c r="L413" s="87"/>
      <c r="M413" s="36" t="str">
        <f t="shared" si="166"/>
        <v/>
      </c>
      <c r="N413" s="31">
        <f t="shared" si="167"/>
        <v>0</v>
      </c>
      <c r="O413" s="93">
        <f>SUM('3:23'!O413)</f>
        <v>0</v>
      </c>
      <c r="P413" s="93">
        <f>SUM('3:23'!P413)</f>
        <v>0</v>
      </c>
      <c r="Q413" s="93">
        <f>SUM('3:23'!Q413)</f>
        <v>0</v>
      </c>
      <c r="R413" s="93">
        <f>SUM('3:23'!R413)</f>
        <v>0</v>
      </c>
      <c r="S413" s="93">
        <f>SUM('3:23'!S413)</f>
        <v>0</v>
      </c>
      <c r="T413" s="93">
        <f>SUM('3:23'!T413)</f>
        <v>0</v>
      </c>
      <c r="U413" s="93">
        <f>SUM('3:23'!U413)</f>
        <v>0</v>
      </c>
      <c r="V413" s="206">
        <f t="shared" si="168"/>
        <v>0</v>
      </c>
      <c r="W413" s="33" t="str">
        <f t="shared" si="169"/>
        <v/>
      </c>
      <c r="X413" s="93">
        <f>SUM('3:23'!X413)</f>
        <v>0</v>
      </c>
      <c r="Y413" s="93">
        <f>SUM('3:23'!Y413)</f>
        <v>0</v>
      </c>
      <c r="Z413" s="93">
        <f>SUM('3:23'!Z413)</f>
        <v>0</v>
      </c>
      <c r="AA413" s="93">
        <f>SUM('3:23'!AA413)</f>
        <v>0</v>
      </c>
      <c r="AB413" s="73"/>
      <c r="AC413" s="54"/>
      <c r="AD413" s="346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300">
        <v>30100057</v>
      </c>
      <c r="B414" s="63" t="s">
        <v>85</v>
      </c>
      <c r="C414" s="16" t="s">
        <v>65</v>
      </c>
      <c r="D414" s="17">
        <v>5.0599999999999996</v>
      </c>
      <c r="E414" s="17"/>
      <c r="F414" s="6"/>
      <c r="G414" s="93">
        <f>SUM('3:23'!G414)</f>
        <v>0</v>
      </c>
      <c r="H414" s="339">
        <f t="shared" si="147"/>
        <v>0</v>
      </c>
      <c r="I414" s="93">
        <f>SUM('3:23'!I414)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si="166"/>
        <v/>
      </c>
      <c r="N414" s="31">
        <f t="shared" si="167"/>
        <v>0</v>
      </c>
      <c r="O414" s="93">
        <f>SUM('3:23'!O414)</f>
        <v>0</v>
      </c>
      <c r="P414" s="93">
        <f>SUM('3:23'!P414)</f>
        <v>0</v>
      </c>
      <c r="Q414" s="93">
        <f>SUM('3:23'!Q414)</f>
        <v>0</v>
      </c>
      <c r="R414" s="93">
        <f>SUM('3:23'!R414)</f>
        <v>0</v>
      </c>
      <c r="S414" s="93">
        <f>SUM('3:23'!S414)</f>
        <v>0</v>
      </c>
      <c r="T414" s="93">
        <f>SUM('3:23'!T414)</f>
        <v>0</v>
      </c>
      <c r="U414" s="93">
        <f>SUM('3:23'!U414)</f>
        <v>0</v>
      </c>
      <c r="V414" s="206">
        <f t="shared" si="168"/>
        <v>0</v>
      </c>
      <c r="W414" s="33" t="str">
        <f t="shared" si="169"/>
        <v/>
      </c>
      <c r="X414" s="93">
        <f>SUM('3:23'!X414)</f>
        <v>0</v>
      </c>
      <c r="Y414" s="93">
        <f>SUM('3:23'!Y414)</f>
        <v>0</v>
      </c>
      <c r="Z414" s="93">
        <f>SUM('3:23'!Z414)</f>
        <v>0</v>
      </c>
      <c r="AA414" s="93">
        <f>SUM('3:23'!AA414)</f>
        <v>0</v>
      </c>
      <c r="AB414" s="73"/>
      <c r="AC414" s="54"/>
      <c r="AD414" s="346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300">
        <v>30100058</v>
      </c>
      <c r="B415" s="63" t="s">
        <v>85</v>
      </c>
      <c r="C415" s="16" t="s">
        <v>61</v>
      </c>
      <c r="D415" s="17">
        <v>5.0599999999999996</v>
      </c>
      <c r="E415" s="17"/>
      <c r="F415" s="6"/>
      <c r="G415" s="93">
        <f>SUM('3:23'!G415)</f>
        <v>0</v>
      </c>
      <c r="H415" s="339">
        <f t="shared" si="147"/>
        <v>0</v>
      </c>
      <c r="I415" s="93">
        <f>SUM('3:23'!I415)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166"/>
        <v/>
      </c>
      <c r="N415" s="31">
        <f t="shared" si="167"/>
        <v>0</v>
      </c>
      <c r="O415" s="93">
        <f>SUM('3:23'!O415)</f>
        <v>0</v>
      </c>
      <c r="P415" s="93">
        <f>SUM('3:23'!P415)</f>
        <v>0</v>
      </c>
      <c r="Q415" s="93">
        <f>SUM('3:23'!Q415)</f>
        <v>0</v>
      </c>
      <c r="R415" s="93">
        <f>SUM('3:23'!R415)</f>
        <v>0</v>
      </c>
      <c r="S415" s="93">
        <f>SUM('3:23'!S415)</f>
        <v>0</v>
      </c>
      <c r="T415" s="93">
        <f>SUM('3:23'!T415)</f>
        <v>0</v>
      </c>
      <c r="U415" s="93">
        <f>SUM('3:23'!U415)</f>
        <v>0</v>
      </c>
      <c r="V415" s="206">
        <f t="shared" si="168"/>
        <v>0</v>
      </c>
      <c r="W415" s="33" t="str">
        <f t="shared" si="169"/>
        <v/>
      </c>
      <c r="X415" s="93">
        <f>SUM('3:23'!X415)</f>
        <v>0</v>
      </c>
      <c r="Y415" s="93">
        <f>SUM('3:23'!Y415)</f>
        <v>0</v>
      </c>
      <c r="Z415" s="93">
        <f>SUM('3:23'!Z415)</f>
        <v>0</v>
      </c>
      <c r="AA415" s="93">
        <f>SUM('3:23'!AA415)</f>
        <v>0</v>
      </c>
      <c r="AB415" s="73"/>
      <c r="AC415" s="54"/>
      <c r="AD415" s="346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5" customHeight="1">
      <c r="A416" s="302">
        <v>30600013</v>
      </c>
      <c r="B416" s="197" t="s">
        <v>368</v>
      </c>
      <c r="C416" s="187" t="s">
        <v>374</v>
      </c>
      <c r="D416" s="17"/>
      <c r="E416" s="17"/>
      <c r="F416" s="6"/>
      <c r="G416" s="93">
        <f>SUM('3:23'!G416)</f>
        <v>0</v>
      </c>
      <c r="H416" s="339">
        <f t="shared" si="147"/>
        <v>0</v>
      </c>
      <c r="I416" s="93">
        <f>SUM('3:23'!I416)</f>
        <v>0</v>
      </c>
      <c r="J416" s="31"/>
      <c r="K416" s="35">
        <f t="array" ref="K416">IF(ISERROR(G416/L416),"",G416/L416)</f>
        <v>0</v>
      </c>
      <c r="L416" s="87">
        <v>24</v>
      </c>
      <c r="M416" s="36">
        <f t="shared" si="166"/>
        <v>0</v>
      </c>
      <c r="N416" s="31"/>
      <c r="O416" s="93">
        <f>SUM('3:23'!O416)</f>
        <v>0</v>
      </c>
      <c r="P416" s="93">
        <f>SUM('3:23'!P416)</f>
        <v>0</v>
      </c>
      <c r="Q416" s="93">
        <f>SUM('3:23'!Q416)</f>
        <v>0</v>
      </c>
      <c r="R416" s="93">
        <f>SUM('3:23'!R416)</f>
        <v>0</v>
      </c>
      <c r="S416" s="93">
        <f>SUM('3:23'!S416)</f>
        <v>0</v>
      </c>
      <c r="T416" s="93">
        <f>SUM('3:23'!T416)</f>
        <v>0</v>
      </c>
      <c r="U416" s="93">
        <f>SUM('3:23'!U416)</f>
        <v>0</v>
      </c>
      <c r="V416" s="206"/>
      <c r="W416" s="33"/>
      <c r="X416" s="93">
        <f>SUM('3:23'!X416)</f>
        <v>0</v>
      </c>
      <c r="Y416" s="93">
        <f>SUM('3:23'!Y416)</f>
        <v>0</v>
      </c>
      <c r="Z416" s="93">
        <f>SUM('3:23'!Z416)</f>
        <v>0</v>
      </c>
      <c r="AA416" s="93">
        <f>SUM('3:23'!AA416)</f>
        <v>0</v>
      </c>
      <c r="AB416" s="73"/>
      <c r="AC416" s="54"/>
      <c r="AD416" s="346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5" customHeight="1">
      <c r="A417" s="302">
        <v>30600014</v>
      </c>
      <c r="B417" s="197" t="s">
        <v>368</v>
      </c>
      <c r="C417" s="187" t="s">
        <v>369</v>
      </c>
      <c r="D417" s="17"/>
      <c r="E417" s="17"/>
      <c r="F417" s="6"/>
      <c r="G417" s="93">
        <f>SUM('3:23'!G417)</f>
        <v>0</v>
      </c>
      <c r="H417" s="339">
        <f t="shared" si="147"/>
        <v>0</v>
      </c>
      <c r="I417" s="93">
        <f>SUM('3:23'!I417)</f>
        <v>0</v>
      </c>
      <c r="J417" s="31"/>
      <c r="K417" s="35">
        <f t="array" ref="K417">IF(ISERROR(G417/L417),"",G417/L417)</f>
        <v>0</v>
      </c>
      <c r="L417" s="87">
        <v>24</v>
      </c>
      <c r="M417" s="36">
        <f t="shared" si="166"/>
        <v>0</v>
      </c>
      <c r="N417" s="31"/>
      <c r="O417" s="93">
        <f>SUM('3:23'!O417)</f>
        <v>0</v>
      </c>
      <c r="P417" s="93">
        <f>SUM('3:23'!P417)</f>
        <v>0</v>
      </c>
      <c r="Q417" s="93">
        <f>SUM('3:23'!Q417)</f>
        <v>0</v>
      </c>
      <c r="R417" s="93">
        <f>SUM('3:23'!R417)</f>
        <v>0</v>
      </c>
      <c r="S417" s="93">
        <f>SUM('3:23'!S417)</f>
        <v>0</v>
      </c>
      <c r="T417" s="93">
        <f>SUM('3:23'!T417)</f>
        <v>0</v>
      </c>
      <c r="U417" s="93">
        <f>SUM('3:23'!U417)</f>
        <v>0</v>
      </c>
      <c r="V417" s="206"/>
      <c r="W417" s="33"/>
      <c r="X417" s="93">
        <f>SUM('3:23'!X417)</f>
        <v>0</v>
      </c>
      <c r="Y417" s="93">
        <f>SUM('3:23'!Y417)</f>
        <v>0</v>
      </c>
      <c r="Z417" s="93">
        <f>SUM('3:23'!Z417)</f>
        <v>0</v>
      </c>
      <c r="AA417" s="93">
        <f>SUM('3:23'!AA417)</f>
        <v>0</v>
      </c>
      <c r="AB417" s="73"/>
      <c r="AC417" s="54"/>
      <c r="AD417" s="346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02">
        <v>30600012</v>
      </c>
      <c r="B418" s="197" t="s">
        <v>368</v>
      </c>
      <c r="C418" s="187" t="s">
        <v>370</v>
      </c>
      <c r="D418" s="17"/>
      <c r="E418" s="17"/>
      <c r="F418" s="6"/>
      <c r="G418" s="93">
        <f>SUM('3:23'!G418)</f>
        <v>0</v>
      </c>
      <c r="H418" s="339">
        <f t="shared" si="147"/>
        <v>0</v>
      </c>
      <c r="I418" s="93">
        <f>SUM('3:23'!I418)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166"/>
        <v>0</v>
      </c>
      <c r="N418" s="31"/>
      <c r="O418" s="93">
        <f>SUM('3:23'!O418)</f>
        <v>0</v>
      </c>
      <c r="P418" s="93">
        <f>SUM('3:23'!P418)</f>
        <v>0</v>
      </c>
      <c r="Q418" s="93">
        <f>SUM('3:23'!Q418)</f>
        <v>0</v>
      </c>
      <c r="R418" s="93">
        <f>SUM('3:23'!R418)</f>
        <v>0</v>
      </c>
      <c r="S418" s="93">
        <f>SUM('3:23'!S418)</f>
        <v>0</v>
      </c>
      <c r="T418" s="93">
        <f>SUM('3:23'!T418)</f>
        <v>0</v>
      </c>
      <c r="U418" s="93">
        <f>SUM('3:23'!U418)</f>
        <v>0</v>
      </c>
      <c r="V418" s="206"/>
      <c r="W418" s="33"/>
      <c r="X418" s="93">
        <f>SUM('3:23'!X418)</f>
        <v>0</v>
      </c>
      <c r="Y418" s="93">
        <f>SUM('3:23'!Y418)</f>
        <v>0</v>
      </c>
      <c r="Z418" s="93">
        <f>SUM('3:23'!Z418)</f>
        <v>0</v>
      </c>
      <c r="AA418" s="93">
        <f>SUM('3:23'!AA418)</f>
        <v>0</v>
      </c>
      <c r="AB418" s="73"/>
      <c r="AC418" s="54"/>
      <c r="AD418" s="346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02">
        <v>30600011</v>
      </c>
      <c r="B419" s="197" t="s">
        <v>368</v>
      </c>
      <c r="C419" s="187" t="s">
        <v>371</v>
      </c>
      <c r="D419" s="17"/>
      <c r="E419" s="17"/>
      <c r="F419" s="6"/>
      <c r="G419" s="93">
        <f>SUM('3:23'!G419)</f>
        <v>0</v>
      </c>
      <c r="H419" s="339">
        <f t="shared" si="147"/>
        <v>0</v>
      </c>
      <c r="I419" s="93">
        <f>SUM('3:23'!I419)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166"/>
        <v>0</v>
      </c>
      <c r="N419" s="31"/>
      <c r="O419" s="93">
        <f>SUM('3:23'!O419)</f>
        <v>0</v>
      </c>
      <c r="P419" s="93">
        <f>SUM('3:23'!P419)</f>
        <v>0</v>
      </c>
      <c r="Q419" s="93">
        <f>SUM('3:23'!Q419)</f>
        <v>0</v>
      </c>
      <c r="R419" s="93">
        <f>SUM('3:23'!R419)</f>
        <v>0</v>
      </c>
      <c r="S419" s="93">
        <f>SUM('3:23'!S419)</f>
        <v>0</v>
      </c>
      <c r="T419" s="93">
        <f>SUM('3:23'!T419)</f>
        <v>0</v>
      </c>
      <c r="U419" s="93">
        <f>SUM('3:23'!U419)</f>
        <v>0</v>
      </c>
      <c r="V419" s="206"/>
      <c r="W419" s="33"/>
      <c r="X419" s="93">
        <f>SUM('3:23'!X419)</f>
        <v>0</v>
      </c>
      <c r="Y419" s="93">
        <f>SUM('3:23'!Y419)</f>
        <v>0</v>
      </c>
      <c r="Z419" s="93">
        <f>SUM('3:23'!Z419)</f>
        <v>0</v>
      </c>
      <c r="AA419" s="93">
        <f>SUM('3:23'!AA419)</f>
        <v>0</v>
      </c>
      <c r="AB419" s="73"/>
      <c r="AC419" s="54"/>
      <c r="AD419" s="346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02">
        <v>30300002</v>
      </c>
      <c r="B420" s="197" t="s">
        <v>407</v>
      </c>
      <c r="C420" s="187" t="s">
        <v>408</v>
      </c>
      <c r="D420" s="17"/>
      <c r="E420" s="17"/>
      <c r="F420" s="6"/>
      <c r="G420" s="93">
        <f>SUM('3:23'!G420)</f>
        <v>0</v>
      </c>
      <c r="H420" s="339">
        <f t="shared" si="147"/>
        <v>0</v>
      </c>
      <c r="I420" s="93">
        <f>SUM('3:23'!I420)</f>
        <v>0</v>
      </c>
      <c r="J420" s="31"/>
      <c r="K420" s="35">
        <f t="array" ref="K420">IF(ISERROR(G420/L420),"",G420/L420)</f>
        <v>0</v>
      </c>
      <c r="L420" s="87">
        <v>4</v>
      </c>
      <c r="M420" s="36">
        <f t="shared" si="166"/>
        <v>0</v>
      </c>
      <c r="N420" s="31"/>
      <c r="O420" s="93"/>
      <c r="P420" s="93"/>
      <c r="Q420" s="93"/>
      <c r="R420" s="93"/>
      <c r="S420" s="93"/>
      <c r="T420" s="93"/>
      <c r="U420" s="93"/>
      <c r="V420" s="206"/>
      <c r="W420" s="33"/>
      <c r="X420" s="93"/>
      <c r="Y420" s="93"/>
      <c r="Z420" s="93"/>
      <c r="AA420" s="93"/>
      <c r="AB420" s="73"/>
      <c r="AC420" s="54"/>
      <c r="AD420" s="346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02">
        <v>30300001</v>
      </c>
      <c r="B421" s="197" t="s">
        <v>407</v>
      </c>
      <c r="C421" s="187" t="s">
        <v>409</v>
      </c>
      <c r="D421" s="17"/>
      <c r="E421" s="17"/>
      <c r="F421" s="6"/>
      <c r="G421" s="93">
        <f>SUM('3:23'!G421)</f>
        <v>0</v>
      </c>
      <c r="H421" s="339">
        <f t="shared" si="147"/>
        <v>0</v>
      </c>
      <c r="I421" s="93">
        <f>SUM('3:23'!I421)</f>
        <v>0</v>
      </c>
      <c r="J421" s="31"/>
      <c r="K421" s="35">
        <f t="array" ref="K421">IF(ISERROR(G421/L421),"",G421/L421)</f>
        <v>0</v>
      </c>
      <c r="L421" s="87">
        <v>4</v>
      </c>
      <c r="M421" s="36">
        <f t="shared" si="166"/>
        <v>0</v>
      </c>
      <c r="N421" s="31"/>
      <c r="O421" s="93"/>
      <c r="P421" s="93"/>
      <c r="Q421" s="93"/>
      <c r="R421" s="93"/>
      <c r="S421" s="93"/>
      <c r="T421" s="93"/>
      <c r="U421" s="93"/>
      <c r="V421" s="206"/>
      <c r="W421" s="33"/>
      <c r="X421" s="93"/>
      <c r="Y421" s="93"/>
      <c r="Z421" s="93"/>
      <c r="AA421" s="93"/>
      <c r="AB421" s="73"/>
      <c r="AC421" s="54"/>
      <c r="AD421" s="346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302">
        <v>30300003</v>
      </c>
      <c r="B422" s="197" t="s">
        <v>407</v>
      </c>
      <c r="C422" s="187" t="s">
        <v>411</v>
      </c>
      <c r="D422" s="17"/>
      <c r="E422" s="17"/>
      <c r="F422" s="6"/>
      <c r="G422" s="93">
        <f>SUM('3:23'!G422)</f>
        <v>0</v>
      </c>
      <c r="H422" s="339">
        <f t="shared" si="147"/>
        <v>0</v>
      </c>
      <c r="I422" s="93">
        <f>SUM('3:23'!I422)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166"/>
        <v>0</v>
      </c>
      <c r="N422" s="31"/>
      <c r="O422" s="93"/>
      <c r="P422" s="93"/>
      <c r="Q422" s="93"/>
      <c r="R422" s="93"/>
      <c r="S422" s="93"/>
      <c r="T422" s="93"/>
      <c r="U422" s="93"/>
      <c r="V422" s="206"/>
      <c r="W422" s="33"/>
      <c r="X422" s="93"/>
      <c r="Y422" s="93"/>
      <c r="Z422" s="93"/>
      <c r="AA422" s="93"/>
      <c r="AB422" s="73"/>
      <c r="AC422" s="54"/>
      <c r="AD422" s="346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302">
        <v>30300005</v>
      </c>
      <c r="B423" s="63" t="s">
        <v>362</v>
      </c>
      <c r="C423" s="16" t="s">
        <v>349</v>
      </c>
      <c r="D423" s="17"/>
      <c r="E423" s="17"/>
      <c r="F423" s="6"/>
      <c r="G423" s="93">
        <f>SUM('3:23'!G423)</f>
        <v>0</v>
      </c>
      <c r="H423" s="339">
        <f t="shared" si="147"/>
        <v>0</v>
      </c>
      <c r="I423" s="93">
        <f>SUM('3:23'!I423)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166"/>
        <v>0</v>
      </c>
      <c r="N423" s="31"/>
      <c r="O423" s="93">
        <f>SUM('3:23'!O423)</f>
        <v>0</v>
      </c>
      <c r="P423" s="93">
        <f>SUM('3:23'!P423)</f>
        <v>0</v>
      </c>
      <c r="Q423" s="93">
        <f>SUM('3:23'!Q423)</f>
        <v>0</v>
      </c>
      <c r="R423" s="93">
        <f>SUM('3:23'!R423)</f>
        <v>0</v>
      </c>
      <c r="S423" s="93">
        <f>SUM('3:23'!S423)</f>
        <v>0</v>
      </c>
      <c r="T423" s="93">
        <f>SUM('3:23'!T423)</f>
        <v>0</v>
      </c>
      <c r="U423" s="93">
        <f>SUM('3:23'!U423)</f>
        <v>0</v>
      </c>
      <c r="V423" s="206"/>
      <c r="W423" s="33"/>
      <c r="X423" s="93">
        <f>SUM('3:23'!X423)</f>
        <v>0</v>
      </c>
      <c r="Y423" s="93">
        <f>SUM('3:23'!Y423)</f>
        <v>0</v>
      </c>
      <c r="Z423" s="93">
        <f>SUM('3:23'!Z423)</f>
        <v>0</v>
      </c>
      <c r="AA423" s="93">
        <f>SUM('3:23'!AA423)</f>
        <v>0</v>
      </c>
      <c r="AB423" s="73"/>
      <c r="AC423" s="54"/>
      <c r="AD423" s="346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302">
        <v>30300004</v>
      </c>
      <c r="B424" s="63" t="s">
        <v>362</v>
      </c>
      <c r="C424" s="16" t="s">
        <v>350</v>
      </c>
      <c r="D424" s="17"/>
      <c r="E424" s="17"/>
      <c r="F424" s="6"/>
      <c r="G424" s="93">
        <f>SUM('3:23'!G424)</f>
        <v>0</v>
      </c>
      <c r="H424" s="339">
        <f t="shared" si="147"/>
        <v>0</v>
      </c>
      <c r="I424" s="93">
        <f>SUM('3:23'!I424)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166"/>
        <v>0</v>
      </c>
      <c r="N424" s="31"/>
      <c r="O424" s="93">
        <f>SUM('3:23'!O424)</f>
        <v>0</v>
      </c>
      <c r="P424" s="93">
        <f>SUM('3:23'!P424)</f>
        <v>0</v>
      </c>
      <c r="Q424" s="93">
        <f>SUM('3:23'!Q424)</f>
        <v>0</v>
      </c>
      <c r="R424" s="93">
        <f>SUM('3:23'!R424)</f>
        <v>0</v>
      </c>
      <c r="S424" s="93">
        <f>SUM('3:23'!S424)</f>
        <v>0</v>
      </c>
      <c r="T424" s="93">
        <f>SUM('3:23'!T424)</f>
        <v>0</v>
      </c>
      <c r="U424" s="93">
        <f>SUM('3:23'!U424)</f>
        <v>0</v>
      </c>
      <c r="V424" s="206"/>
      <c r="W424" s="33"/>
      <c r="X424" s="93">
        <f>SUM('3:23'!X424)</f>
        <v>0</v>
      </c>
      <c r="Y424" s="93">
        <f>SUM('3:23'!Y424)</f>
        <v>0</v>
      </c>
      <c r="Z424" s="93">
        <f>SUM('3:23'!Z424)</f>
        <v>0</v>
      </c>
      <c r="AA424" s="93">
        <f>SUM('3:23'!AA424)</f>
        <v>0</v>
      </c>
      <c r="AB424" s="73"/>
      <c r="AC424" s="54"/>
      <c r="AD424" s="346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302">
        <v>30300006</v>
      </c>
      <c r="B425" s="63" t="s">
        <v>362</v>
      </c>
      <c r="C425" s="16" t="s">
        <v>356</v>
      </c>
      <c r="D425" s="17"/>
      <c r="E425" s="17"/>
      <c r="F425" s="6"/>
      <c r="G425" s="93">
        <f>SUM('3:23'!G425)</f>
        <v>0</v>
      </c>
      <c r="H425" s="339">
        <f t="shared" si="147"/>
        <v>0</v>
      </c>
      <c r="I425" s="93">
        <f>SUM('3:23'!I425)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166"/>
        <v>0</v>
      </c>
      <c r="N425" s="31"/>
      <c r="O425" s="93">
        <f>SUM('3:23'!O425)</f>
        <v>0</v>
      </c>
      <c r="P425" s="93">
        <f>SUM('3:23'!P425)</f>
        <v>0</v>
      </c>
      <c r="Q425" s="93">
        <f>SUM('3:23'!Q425)</f>
        <v>0</v>
      </c>
      <c r="R425" s="93">
        <f>SUM('3:23'!R425)</f>
        <v>0</v>
      </c>
      <c r="S425" s="93">
        <f>SUM('3:23'!S425)</f>
        <v>0</v>
      </c>
      <c r="T425" s="93">
        <f>SUM('3:23'!T425)</f>
        <v>0</v>
      </c>
      <c r="U425" s="93">
        <f>SUM('3:23'!U425)</f>
        <v>0</v>
      </c>
      <c r="V425" s="206"/>
      <c r="W425" s="33"/>
      <c r="X425" s="93">
        <f>SUM('3:23'!X425)</f>
        <v>0</v>
      </c>
      <c r="Y425" s="93">
        <f>SUM('3:23'!Y425)</f>
        <v>0</v>
      </c>
      <c r="Z425" s="93">
        <f>SUM('3:23'!Z425)</f>
        <v>0</v>
      </c>
      <c r="AA425" s="93">
        <f>SUM('3:23'!AA425)</f>
        <v>0</v>
      </c>
      <c r="AB425" s="73"/>
      <c r="AC425" s="54"/>
      <c r="AD425" s="346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>
      <c r="A426" s="724" t="s">
        <v>86</v>
      </c>
      <c r="B426" s="724"/>
      <c r="C426" s="342" t="s">
        <v>71</v>
      </c>
      <c r="D426" s="20"/>
      <c r="E426" s="20"/>
      <c r="F426" s="32"/>
      <c r="G426" s="94">
        <f>SUM(G369:G425)</f>
        <v>0</v>
      </c>
      <c r="H426" s="30">
        <f>SUM(H369:H425)</f>
        <v>0</v>
      </c>
      <c r="I426" s="30">
        <f>SUM(I369:I425)</f>
        <v>0</v>
      </c>
      <c r="J426" s="31" t="str">
        <f t="array" ref="J426">IF(ISERROR(G426/I426),"",G426/I426)</f>
        <v/>
      </c>
      <c r="K426" s="30">
        <f>SUM(K369:K425)</f>
        <v>0</v>
      </c>
      <c r="L426" s="87"/>
      <c r="M426" s="89">
        <f t="shared" ref="M426:V426" si="170">SUM(M369:M425)</f>
        <v>0</v>
      </c>
      <c r="N426" s="30">
        <f t="shared" si="170"/>
        <v>0</v>
      </c>
      <c r="O426" s="91">
        <f t="shared" si="170"/>
        <v>0</v>
      </c>
      <c r="P426" s="91">
        <f t="shared" si="170"/>
        <v>0</v>
      </c>
      <c r="Q426" s="91">
        <f t="shared" si="170"/>
        <v>0</v>
      </c>
      <c r="R426" s="91">
        <f t="shared" si="170"/>
        <v>0</v>
      </c>
      <c r="S426" s="92">
        <f t="shared" si="170"/>
        <v>0</v>
      </c>
      <c r="T426" s="91">
        <f t="shared" si="170"/>
        <v>0</v>
      </c>
      <c r="U426" s="91">
        <f t="shared" si="170"/>
        <v>0</v>
      </c>
      <c r="V426" s="206">
        <f t="shared" si="170"/>
        <v>0</v>
      </c>
      <c r="W426" s="33" t="str">
        <f t="shared" ref="W426:W433" si="171">IF(ISERROR(V426/G426),"",V426/G426)</f>
        <v/>
      </c>
      <c r="X426" s="92">
        <f>SUM(X369:X425)</f>
        <v>0</v>
      </c>
      <c r="Y426" s="92">
        <f>SUM(Y369:Y425)</f>
        <v>0</v>
      </c>
      <c r="Z426" s="92">
        <f>SUM(Z369:Z425)</f>
        <v>0</v>
      </c>
      <c r="AA426" s="92">
        <f>SUM(AA369:AA425)</f>
        <v>0</v>
      </c>
      <c r="AB426" s="75"/>
      <c r="AC426" s="70"/>
      <c r="AD426" s="346"/>
      <c r="AE426" s="74"/>
      <c r="AF426" s="74"/>
      <c r="AG426" s="74"/>
      <c r="AH426" s="7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>
      <c r="A427" s="299">
        <v>30400012</v>
      </c>
      <c r="B427" s="61" t="s">
        <v>87</v>
      </c>
      <c r="C427" s="16" t="s">
        <v>53</v>
      </c>
      <c r="D427" s="17">
        <v>5.03</v>
      </c>
      <c r="E427" s="17"/>
      <c r="F427" s="6"/>
      <c r="G427" s="93">
        <f>SUM('3:23'!G427)</f>
        <v>1543</v>
      </c>
      <c r="H427" s="339">
        <f>D427*G427</f>
        <v>7761.29</v>
      </c>
      <c r="I427" s="93">
        <f>SUM('3:23'!I427)</f>
        <v>136.5</v>
      </c>
      <c r="J427" s="31">
        <f t="array" ref="J427">IF(ISERROR(G427/I427),"",G427/I427)</f>
        <v>11.304029304029305</v>
      </c>
      <c r="K427" s="35">
        <f t="array" ref="K427">IF(ISERROR(G427/L427),"",G427/L427)</f>
        <v>175.34090909090907</v>
      </c>
      <c r="L427" s="87">
        <v>8.8000000000000007</v>
      </c>
      <c r="M427" s="36">
        <f t="shared" ref="M427:M434" si="172">IF(ISERROR(I427-K427),"",I427-K427)</f>
        <v>-38.840909090909065</v>
      </c>
      <c r="N427" s="31">
        <f t="shared" ref="N427:N434" si="173">SUM(O427:U427)</f>
        <v>0</v>
      </c>
      <c r="O427" s="93">
        <f>SUM('3:23'!O427)</f>
        <v>0</v>
      </c>
      <c r="P427" s="93">
        <f>SUM('3:23'!P427)</f>
        <v>0</v>
      </c>
      <c r="Q427" s="93">
        <f>SUM('3:23'!Q427)</f>
        <v>0</v>
      </c>
      <c r="R427" s="93">
        <f>SUM('3:23'!R427)</f>
        <v>0</v>
      </c>
      <c r="S427" s="93">
        <f>SUM('3:23'!S427)</f>
        <v>0</v>
      </c>
      <c r="T427" s="93">
        <f>SUM('3:23'!T427)</f>
        <v>0</v>
      </c>
      <c r="U427" s="93">
        <f>SUM('3:23'!U427)</f>
        <v>0</v>
      </c>
      <c r="V427" s="206">
        <f t="shared" ref="V427:V433" si="174">SUM(X427:AA427)</f>
        <v>0</v>
      </c>
      <c r="W427" s="33">
        <f t="shared" si="171"/>
        <v>0</v>
      </c>
      <c r="X427" s="93">
        <f>SUM('3:23'!X427)</f>
        <v>0</v>
      </c>
      <c r="Y427" s="93">
        <f>SUM('3:23'!Y427)</f>
        <v>0</v>
      </c>
      <c r="Z427" s="93">
        <f>SUM('3:23'!Z427)</f>
        <v>0</v>
      </c>
      <c r="AA427" s="93">
        <f>SUM('3:23'!AA427)</f>
        <v>0</v>
      </c>
      <c r="AB427" s="73"/>
      <c r="AC427" s="54"/>
      <c r="AD427" s="346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299">
        <v>30400010</v>
      </c>
      <c r="B428" s="61" t="s">
        <v>87</v>
      </c>
      <c r="C428" s="16" t="s">
        <v>60</v>
      </c>
      <c r="D428" s="17">
        <v>5.03</v>
      </c>
      <c r="E428" s="17"/>
      <c r="F428" s="6"/>
      <c r="G428" s="93">
        <f>SUM('3:23'!G428)</f>
        <v>1938</v>
      </c>
      <c r="H428" s="339">
        <f t="shared" ref="H428:H460" si="175">D428*G428</f>
        <v>9748.1400000000012</v>
      </c>
      <c r="I428" s="93">
        <f>SUM('3:23'!I428)</f>
        <v>188</v>
      </c>
      <c r="J428" s="31">
        <f t="array" ref="J428">IF(ISERROR(G428/I428),"",G428/I428)</f>
        <v>10.308510638297872</v>
      </c>
      <c r="K428" s="35">
        <f t="array" ref="K428">IF(ISERROR(G428/L428),"",G428/L428)</f>
        <v>220.22727272727272</v>
      </c>
      <c r="L428" s="87">
        <v>8.8000000000000007</v>
      </c>
      <c r="M428" s="36">
        <f t="shared" si="172"/>
        <v>-32.22727272727272</v>
      </c>
      <c r="N428" s="31">
        <f t="shared" si="173"/>
        <v>0</v>
      </c>
      <c r="O428" s="93">
        <f>SUM('3:23'!O428)</f>
        <v>0</v>
      </c>
      <c r="P428" s="93">
        <f>SUM('3:23'!P428)</f>
        <v>0</v>
      </c>
      <c r="Q428" s="93">
        <f>SUM('3:23'!Q428)</f>
        <v>0</v>
      </c>
      <c r="R428" s="93">
        <f>SUM('3:23'!R428)</f>
        <v>0</v>
      </c>
      <c r="S428" s="93">
        <f>SUM('3:23'!S428)</f>
        <v>0</v>
      </c>
      <c r="T428" s="93">
        <f>SUM('3:23'!T428)</f>
        <v>0</v>
      </c>
      <c r="U428" s="93">
        <f>SUM('3:23'!U428)</f>
        <v>0</v>
      </c>
      <c r="V428" s="206">
        <f t="shared" si="174"/>
        <v>0</v>
      </c>
      <c r="W428" s="33">
        <f t="shared" si="171"/>
        <v>0</v>
      </c>
      <c r="X428" s="93">
        <f>SUM('3:23'!X428)</f>
        <v>0</v>
      </c>
      <c r="Y428" s="93">
        <f>SUM('3:23'!Y428)</f>
        <v>0</v>
      </c>
      <c r="Z428" s="93">
        <f>SUM('3:23'!Z428)</f>
        <v>0</v>
      </c>
      <c r="AA428" s="93">
        <f>SUM('3:23'!AA428)</f>
        <v>0</v>
      </c>
      <c r="AB428" s="73"/>
      <c r="AC428" s="54"/>
      <c r="AD428" s="346"/>
      <c r="AE428" s="54"/>
      <c r="AF428" s="54"/>
      <c r="AG428" s="54"/>
      <c r="AH428" s="5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99">
        <v>30400011</v>
      </c>
      <c r="B429" s="61" t="s">
        <v>87</v>
      </c>
      <c r="C429" s="16" t="s">
        <v>74</v>
      </c>
      <c r="D429" s="17">
        <v>5.03</v>
      </c>
      <c r="E429" s="17"/>
      <c r="F429" s="6"/>
      <c r="G429" s="93">
        <f>SUM('3:23'!G429)</f>
        <v>1631</v>
      </c>
      <c r="H429" s="339">
        <f t="shared" si="175"/>
        <v>8203.93</v>
      </c>
      <c r="I429" s="93">
        <f>SUM('3:23'!I429)</f>
        <v>143</v>
      </c>
      <c r="J429" s="31">
        <f t="array" ref="J429">IF(ISERROR(G429/I429),"",G429/I429)</f>
        <v>11.405594405594405</v>
      </c>
      <c r="K429" s="35">
        <f t="array" ref="K429">IF(ISERROR(G429/L429),"",G429/L429)</f>
        <v>185.34090909090907</v>
      </c>
      <c r="L429" s="87">
        <v>8.8000000000000007</v>
      </c>
      <c r="M429" s="36">
        <f t="shared" si="172"/>
        <v>-42.340909090909065</v>
      </c>
      <c r="N429" s="31">
        <f t="shared" si="173"/>
        <v>0</v>
      </c>
      <c r="O429" s="93">
        <f>SUM('3:23'!O429)</f>
        <v>0</v>
      </c>
      <c r="P429" s="93">
        <f>SUM('3:23'!P429)</f>
        <v>0</v>
      </c>
      <c r="Q429" s="93">
        <f>SUM('3:23'!Q429)</f>
        <v>0</v>
      </c>
      <c r="R429" s="93">
        <f>SUM('3:23'!R429)</f>
        <v>0</v>
      </c>
      <c r="S429" s="93">
        <f>SUM('3:23'!S429)</f>
        <v>0</v>
      </c>
      <c r="T429" s="93">
        <f>SUM('3:23'!T429)</f>
        <v>0</v>
      </c>
      <c r="U429" s="93">
        <f>SUM('3:23'!U429)</f>
        <v>0</v>
      </c>
      <c r="V429" s="206">
        <f t="shared" si="174"/>
        <v>0</v>
      </c>
      <c r="W429" s="33">
        <f t="shared" si="171"/>
        <v>0</v>
      </c>
      <c r="X429" s="93">
        <f>SUM('3:23'!X429)</f>
        <v>0</v>
      </c>
      <c r="Y429" s="93">
        <f>SUM('3:23'!Y429)</f>
        <v>0</v>
      </c>
      <c r="Z429" s="93">
        <f>SUM('3:23'!Z429)</f>
        <v>0</v>
      </c>
      <c r="AA429" s="93">
        <f>SUM('3:23'!AA429)</f>
        <v>0</v>
      </c>
      <c r="AB429" s="73"/>
      <c r="AC429" s="54"/>
      <c r="AD429" s="346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99">
        <v>30400014</v>
      </c>
      <c r="B430" s="215" t="s">
        <v>513</v>
      </c>
      <c r="C430" s="16" t="s">
        <v>53</v>
      </c>
      <c r="D430" s="17">
        <v>5.03</v>
      </c>
      <c r="E430" s="17"/>
      <c r="F430" s="6"/>
      <c r="G430" s="93">
        <f>SUM('3:23'!G430)</f>
        <v>1074</v>
      </c>
      <c r="H430" s="339">
        <f t="shared" si="175"/>
        <v>5402.22</v>
      </c>
      <c r="I430" s="93">
        <f>SUM('3:23'!I430)</f>
        <v>103</v>
      </c>
      <c r="J430" s="31">
        <f t="array" ref="J430">IF(ISERROR(G430/I430),"",G430/I430)</f>
        <v>10.427184466019417</v>
      </c>
      <c r="K430" s="35">
        <f t="array" ref="K430">IF(ISERROR(G430/L430),"",G430/L430)</f>
        <v>115.48387096774192</v>
      </c>
      <c r="L430" s="87">
        <v>9.3000000000000007</v>
      </c>
      <c r="M430" s="36">
        <f t="shared" si="172"/>
        <v>-12.483870967741922</v>
      </c>
      <c r="N430" s="31">
        <f t="shared" si="173"/>
        <v>0</v>
      </c>
      <c r="O430" s="93">
        <f>SUM('3:23'!O430)</f>
        <v>0</v>
      </c>
      <c r="P430" s="93">
        <f>SUM('3:23'!P430)</f>
        <v>0</v>
      </c>
      <c r="Q430" s="93">
        <f>SUM('3:23'!Q430)</f>
        <v>0</v>
      </c>
      <c r="R430" s="93">
        <f>SUM('3:23'!R430)</f>
        <v>0</v>
      </c>
      <c r="S430" s="93">
        <f>SUM('3:23'!S430)</f>
        <v>0</v>
      </c>
      <c r="T430" s="93">
        <f>SUM('3:23'!T430)</f>
        <v>0</v>
      </c>
      <c r="U430" s="93">
        <f>SUM('3:23'!U430)</f>
        <v>0</v>
      </c>
      <c r="V430" s="206">
        <f t="shared" si="174"/>
        <v>0</v>
      </c>
      <c r="W430" s="33">
        <f t="shared" si="171"/>
        <v>0</v>
      </c>
      <c r="X430" s="93">
        <f>SUM('3:23'!X430)</f>
        <v>0</v>
      </c>
      <c r="Y430" s="93">
        <f>SUM('3:23'!Y430)</f>
        <v>0</v>
      </c>
      <c r="Z430" s="93">
        <f>SUM('3:23'!Z430)</f>
        <v>0</v>
      </c>
      <c r="AA430" s="93">
        <f>SUM('3:23'!AA430)</f>
        <v>0</v>
      </c>
      <c r="AB430" s="73"/>
      <c r="AC430" s="54"/>
      <c r="AD430" s="346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99">
        <v>30400013</v>
      </c>
      <c r="B431" s="215" t="s">
        <v>473</v>
      </c>
      <c r="C431" s="16" t="s">
        <v>72</v>
      </c>
      <c r="D431" s="17">
        <v>5.03</v>
      </c>
      <c r="E431" s="17"/>
      <c r="F431" s="6"/>
      <c r="G431" s="93">
        <f>SUM('3:23'!G431)</f>
        <v>1267</v>
      </c>
      <c r="H431" s="339">
        <f t="shared" si="175"/>
        <v>6373.01</v>
      </c>
      <c r="I431" s="93">
        <f>SUM('3:23'!I431)</f>
        <v>112</v>
      </c>
      <c r="J431" s="31">
        <f t="array" ref="J431">IF(ISERROR(G431/I431),"",G431/I431)</f>
        <v>11.3125</v>
      </c>
      <c r="K431" s="35">
        <f t="array" ref="K431">IF(ISERROR(G431/L431),"",G431/L431)</f>
        <v>136.23655913978493</v>
      </c>
      <c r="L431" s="87">
        <v>9.3000000000000007</v>
      </c>
      <c r="M431" s="36">
        <f t="shared" si="172"/>
        <v>-24.23655913978493</v>
      </c>
      <c r="N431" s="31">
        <f t="shared" si="173"/>
        <v>0</v>
      </c>
      <c r="O431" s="93">
        <f>SUM('3:23'!O431)</f>
        <v>0</v>
      </c>
      <c r="P431" s="93">
        <f>SUM('3:23'!P431)</f>
        <v>0</v>
      </c>
      <c r="Q431" s="93">
        <f>SUM('3:23'!Q431)</f>
        <v>0</v>
      </c>
      <c r="R431" s="93">
        <f>SUM('3:23'!R431)</f>
        <v>0</v>
      </c>
      <c r="S431" s="93">
        <f>SUM('3:23'!S431)</f>
        <v>0</v>
      </c>
      <c r="T431" s="93">
        <f>SUM('3:23'!T431)</f>
        <v>0</v>
      </c>
      <c r="U431" s="93">
        <f>SUM('3:23'!U431)</f>
        <v>0</v>
      </c>
      <c r="V431" s="206">
        <f t="shared" si="174"/>
        <v>0</v>
      </c>
      <c r="W431" s="33">
        <f t="shared" si="171"/>
        <v>0</v>
      </c>
      <c r="X431" s="93">
        <f>SUM('3:23'!X431)</f>
        <v>0</v>
      </c>
      <c r="Y431" s="93">
        <f>SUM('3:23'!Y431)</f>
        <v>0</v>
      </c>
      <c r="Z431" s="93">
        <f>SUM('3:23'!Z431)</f>
        <v>0</v>
      </c>
      <c r="AA431" s="93">
        <f>SUM('3:23'!AA431)</f>
        <v>0</v>
      </c>
      <c r="AB431" s="73"/>
      <c r="AC431" s="54"/>
      <c r="AD431" s="346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99">
        <v>30400016</v>
      </c>
      <c r="B432" s="215" t="s">
        <v>513</v>
      </c>
      <c r="C432" s="16" t="s">
        <v>60</v>
      </c>
      <c r="D432" s="17">
        <v>5.03</v>
      </c>
      <c r="E432" s="17"/>
      <c r="F432" s="6"/>
      <c r="G432" s="93">
        <f>SUM('3:23'!G432)</f>
        <v>2042</v>
      </c>
      <c r="H432" s="339">
        <f t="shared" si="175"/>
        <v>10271.26</v>
      </c>
      <c r="I432" s="93">
        <f>SUM('3:23'!I432)</f>
        <v>174.5</v>
      </c>
      <c r="J432" s="31">
        <f t="array" ref="J432">IF(ISERROR(G432/I432),"",G432/I432)</f>
        <v>11.702005730659026</v>
      </c>
      <c r="K432" s="35">
        <f t="array" ref="K432">IF(ISERROR(G432/L432),"",G432/L432)</f>
        <v>219.56989247311827</v>
      </c>
      <c r="L432" s="87">
        <v>9.3000000000000007</v>
      </c>
      <c r="M432" s="36">
        <f t="shared" si="172"/>
        <v>-45.069892473118273</v>
      </c>
      <c r="N432" s="31">
        <f t="shared" si="173"/>
        <v>0</v>
      </c>
      <c r="O432" s="93">
        <f>SUM('3:23'!O432)</f>
        <v>0</v>
      </c>
      <c r="P432" s="93">
        <f>SUM('3:23'!P432)</f>
        <v>0</v>
      </c>
      <c r="Q432" s="93">
        <f>SUM('3:23'!Q432)</f>
        <v>0</v>
      </c>
      <c r="R432" s="93">
        <f>SUM('3:23'!R432)</f>
        <v>0</v>
      </c>
      <c r="S432" s="93">
        <f>SUM('3:23'!S432)</f>
        <v>0</v>
      </c>
      <c r="T432" s="93">
        <f>SUM('3:23'!T432)</f>
        <v>0</v>
      </c>
      <c r="U432" s="93">
        <f>SUM('3:23'!U432)</f>
        <v>0</v>
      </c>
      <c r="V432" s="206">
        <f t="shared" si="174"/>
        <v>0</v>
      </c>
      <c r="W432" s="33">
        <f t="shared" si="171"/>
        <v>0</v>
      </c>
      <c r="X432" s="93">
        <f>SUM('3:23'!X432)</f>
        <v>0</v>
      </c>
      <c r="Y432" s="93">
        <f>SUM('3:23'!Y432)</f>
        <v>0</v>
      </c>
      <c r="Z432" s="93">
        <f>SUM('3:23'!Z432)</f>
        <v>0</v>
      </c>
      <c r="AA432" s="93">
        <f>SUM('3:23'!AA432)</f>
        <v>0</v>
      </c>
      <c r="AB432" s="73"/>
      <c r="AC432" s="54"/>
      <c r="AD432" s="346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99">
        <v>30400017</v>
      </c>
      <c r="B433" s="215" t="s">
        <v>513</v>
      </c>
      <c r="C433" s="16" t="s">
        <v>66</v>
      </c>
      <c r="D433" s="17">
        <v>5.03</v>
      </c>
      <c r="E433" s="17"/>
      <c r="F433" s="6"/>
      <c r="G433" s="93">
        <f>SUM('3:23'!G433)</f>
        <v>1327</v>
      </c>
      <c r="H433" s="339">
        <f t="shared" si="175"/>
        <v>6674.81</v>
      </c>
      <c r="I433" s="93">
        <f>SUM('3:23'!I433)</f>
        <v>99.5</v>
      </c>
      <c r="J433" s="31">
        <f t="array" ref="J433">IF(ISERROR(G433/I433),"",G433/I433)</f>
        <v>13.336683417085426</v>
      </c>
      <c r="K433" s="35">
        <f t="array" ref="K433">IF(ISERROR(G433/L433),"",G433/L433)</f>
        <v>142.68817204301075</v>
      </c>
      <c r="L433" s="87">
        <v>9.3000000000000007</v>
      </c>
      <c r="M433" s="36">
        <f t="shared" si="172"/>
        <v>-43.188172043010752</v>
      </c>
      <c r="N433" s="31">
        <f t="shared" si="173"/>
        <v>0</v>
      </c>
      <c r="O433" s="93">
        <f>SUM('3:23'!O433)</f>
        <v>0</v>
      </c>
      <c r="P433" s="93">
        <f>SUM('3:23'!P433)</f>
        <v>0</v>
      </c>
      <c r="Q433" s="93">
        <f>SUM('3:23'!Q433)</f>
        <v>0</v>
      </c>
      <c r="R433" s="93">
        <f>SUM('3:23'!R433)</f>
        <v>0</v>
      </c>
      <c r="S433" s="93">
        <f>SUM('3:23'!S433)</f>
        <v>0</v>
      </c>
      <c r="T433" s="93">
        <f>SUM('3:23'!T433)</f>
        <v>0</v>
      </c>
      <c r="U433" s="93">
        <f>SUM('3:23'!U433)</f>
        <v>0</v>
      </c>
      <c r="V433" s="206">
        <f t="shared" si="174"/>
        <v>0</v>
      </c>
      <c r="W433" s="33">
        <f t="shared" si="171"/>
        <v>0</v>
      </c>
      <c r="X433" s="93">
        <f>SUM('3:23'!X433)</f>
        <v>0</v>
      </c>
      <c r="Y433" s="93">
        <f>SUM('3:23'!Y433)</f>
        <v>0</v>
      </c>
      <c r="Z433" s="93">
        <f>SUM('3:23'!Z433)</f>
        <v>0</v>
      </c>
      <c r="AA433" s="93">
        <f>SUM('3:23'!AA433)</f>
        <v>0</v>
      </c>
      <c r="AB433" s="73"/>
      <c r="AC433" s="54"/>
      <c r="AD433" s="346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99">
        <v>30400015</v>
      </c>
      <c r="B434" s="65" t="s">
        <v>512</v>
      </c>
      <c r="C434" s="16" t="s">
        <v>177</v>
      </c>
      <c r="D434" s="17">
        <v>5.03</v>
      </c>
      <c r="E434" s="17"/>
      <c r="F434" s="6"/>
      <c r="G434" s="93">
        <f>SUM('3:23'!G434)</f>
        <v>366</v>
      </c>
      <c r="H434" s="339">
        <f t="shared" si="175"/>
        <v>1840.98</v>
      </c>
      <c r="I434" s="93">
        <f>SUM('3:23'!I434)</f>
        <v>33</v>
      </c>
      <c r="J434" s="31"/>
      <c r="K434" s="35">
        <f t="array" ref="K434">IF(ISERROR(G434/L434),"",G434/L434)</f>
        <v>39.354838709677416</v>
      </c>
      <c r="L434" s="87">
        <v>9.3000000000000007</v>
      </c>
      <c r="M434" s="36">
        <f t="shared" si="172"/>
        <v>-6.3548387096774164</v>
      </c>
      <c r="N434" s="31">
        <f t="shared" si="173"/>
        <v>0</v>
      </c>
      <c r="O434" s="93">
        <f>SUM('3:23'!O434)</f>
        <v>0</v>
      </c>
      <c r="P434" s="93">
        <f>SUM('3:23'!P434)</f>
        <v>0</v>
      </c>
      <c r="Q434" s="93">
        <f>SUM('3:23'!Q434)</f>
        <v>0</v>
      </c>
      <c r="R434" s="93">
        <f>SUM('3:23'!R434)</f>
        <v>0</v>
      </c>
      <c r="S434" s="93">
        <f>SUM('3:23'!S434)</f>
        <v>0</v>
      </c>
      <c r="T434" s="93">
        <f>SUM('3:23'!T434)</f>
        <v>0</v>
      </c>
      <c r="U434" s="93">
        <f>SUM('3:23'!U434)</f>
        <v>0</v>
      </c>
      <c r="V434" s="207"/>
      <c r="W434" s="33"/>
      <c r="X434" s="93">
        <f>SUM('3:23'!X434)</f>
        <v>0</v>
      </c>
      <c r="Y434" s="93">
        <f>SUM('3:23'!Y434)</f>
        <v>0</v>
      </c>
      <c r="Z434" s="93">
        <f>SUM('3:23'!Z434)</f>
        <v>0</v>
      </c>
      <c r="AA434" s="93">
        <f>SUM('3:23'!AA434)</f>
        <v>0</v>
      </c>
      <c r="AD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</row>
    <row r="435" spans="1:53">
      <c r="A435" s="304">
        <v>30600004</v>
      </c>
      <c r="B435" s="65" t="s">
        <v>162</v>
      </c>
      <c r="C435" s="16" t="s">
        <v>53</v>
      </c>
      <c r="D435" s="17">
        <v>5.03</v>
      </c>
      <c r="E435" s="17"/>
      <c r="F435" s="6"/>
      <c r="G435" s="93">
        <f>SUM('3:23'!G435)</f>
        <v>0</v>
      </c>
      <c r="H435" s="339">
        <f t="shared" si="175"/>
        <v>0</v>
      </c>
      <c r="I435" s="93">
        <f>SUM('3:23'!I435)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8</v>
      </c>
      <c r="M435" s="36">
        <f>IF(ISERROR(I435-K435),"",I435-K435)</f>
        <v>0</v>
      </c>
      <c r="N435" s="31">
        <f>SUM(O435:U435)</f>
        <v>0</v>
      </c>
      <c r="O435" s="93">
        <f>SUM('3:23'!O435)</f>
        <v>0</v>
      </c>
      <c r="P435" s="93">
        <f>SUM('3:23'!P435)</f>
        <v>0</v>
      </c>
      <c r="Q435" s="93">
        <f>SUM('3:23'!Q435)</f>
        <v>0</v>
      </c>
      <c r="R435" s="93">
        <f>SUM('3:23'!R435)</f>
        <v>0</v>
      </c>
      <c r="S435" s="93">
        <f>SUM('3:23'!S435)</f>
        <v>0</v>
      </c>
      <c r="T435" s="93">
        <f>SUM('3:23'!T435)</f>
        <v>0</v>
      </c>
      <c r="U435" s="93">
        <f>SUM('3:23'!U435)</f>
        <v>0</v>
      </c>
      <c r="V435" s="207">
        <f>SUM(X435:AA435)</f>
        <v>0</v>
      </c>
      <c r="W435" s="33" t="str">
        <f>IF(ISERROR(V435/G435),"",V435/G435)</f>
        <v/>
      </c>
      <c r="X435" s="93">
        <f>SUM('3:23'!X435)</f>
        <v>0</v>
      </c>
      <c r="Y435" s="93">
        <f>SUM('3:23'!Y435)</f>
        <v>0</v>
      </c>
      <c r="Z435" s="93">
        <f>SUM('3:23'!Z435)</f>
        <v>0</v>
      </c>
      <c r="AA435" s="93">
        <f>SUM('3:23'!AA435)</f>
        <v>0</v>
      </c>
      <c r="AD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</row>
    <row r="436" spans="1:53">
      <c r="A436" s="304">
        <v>30600001</v>
      </c>
      <c r="B436" s="65" t="s">
        <v>162</v>
      </c>
      <c r="C436" s="16" t="s">
        <v>55</v>
      </c>
      <c r="D436" s="17">
        <v>5.03</v>
      </c>
      <c r="E436" s="17"/>
      <c r="F436" s="6"/>
      <c r="G436" s="93">
        <f>SUM('3:23'!G436)</f>
        <v>0</v>
      </c>
      <c r="H436" s="339">
        <f t="shared" si="175"/>
        <v>0</v>
      </c>
      <c r="I436" s="93">
        <f>SUM('3:23'!I436)</f>
        <v>0</v>
      </c>
      <c r="J436" s="31" t="str">
        <f t="array" ref="J436">IF(ISERROR(G436/I436),"",G436/I436)</f>
        <v/>
      </c>
      <c r="K436" s="35">
        <f t="array" ref="K436">IF(ISERROR(G436/L436),"",G436/L436)</f>
        <v>0</v>
      </c>
      <c r="L436" s="87">
        <v>8</v>
      </c>
      <c r="M436" s="36">
        <f>IF(ISERROR(I436-K436),"",I436-K436)</f>
        <v>0</v>
      </c>
      <c r="N436" s="31">
        <f>SUM(O436:U436)</f>
        <v>0</v>
      </c>
      <c r="O436" s="93">
        <f>SUM('3:23'!O436)</f>
        <v>0</v>
      </c>
      <c r="P436" s="93">
        <f>SUM('3:23'!P436)</f>
        <v>0</v>
      </c>
      <c r="Q436" s="93">
        <f>SUM('3:23'!Q436)</f>
        <v>0</v>
      </c>
      <c r="R436" s="93">
        <f>SUM('3:23'!R436)</f>
        <v>0</v>
      </c>
      <c r="S436" s="93">
        <f>SUM('3:23'!S436)</f>
        <v>0</v>
      </c>
      <c r="T436" s="93">
        <f>SUM('3:23'!T436)</f>
        <v>0</v>
      </c>
      <c r="U436" s="93">
        <f>SUM('3:23'!U436)</f>
        <v>0</v>
      </c>
      <c r="V436" s="207">
        <f>SUM(X436:AA436)</f>
        <v>0</v>
      </c>
      <c r="W436" s="33" t="str">
        <f>IF(ISERROR(V436/G436),"",V436/G436)</f>
        <v/>
      </c>
      <c r="X436" s="93">
        <f>SUM('3:23'!X436)</f>
        <v>0</v>
      </c>
      <c r="Y436" s="93">
        <f>SUM('3:23'!Y436)</f>
        <v>0</v>
      </c>
      <c r="Z436" s="93">
        <f>SUM('3:23'!Z436)</f>
        <v>0</v>
      </c>
      <c r="AA436" s="93">
        <f>SUM('3:23'!AA436)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304">
        <v>30600002</v>
      </c>
      <c r="B437" s="65" t="s">
        <v>162</v>
      </c>
      <c r="C437" s="16" t="s">
        <v>60</v>
      </c>
      <c r="D437" s="17">
        <v>5.03</v>
      </c>
      <c r="E437" s="17"/>
      <c r="F437" s="6"/>
      <c r="G437" s="93">
        <f>SUM('3:23'!G437)</f>
        <v>0</v>
      </c>
      <c r="H437" s="339">
        <f t="shared" si="175"/>
        <v>0</v>
      </c>
      <c r="I437" s="93">
        <f>SUM('3:23'!I437)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SUM('3:23'!O437)</f>
        <v>0</v>
      </c>
      <c r="P437" s="93">
        <f>SUM('3:23'!P437)</f>
        <v>0</v>
      </c>
      <c r="Q437" s="93">
        <f>SUM('3:23'!Q437)</f>
        <v>0</v>
      </c>
      <c r="R437" s="93">
        <f>SUM('3:23'!R437)</f>
        <v>0</v>
      </c>
      <c r="S437" s="93">
        <f>SUM('3:23'!S437)</f>
        <v>0</v>
      </c>
      <c r="T437" s="93">
        <f>SUM('3:23'!T437)</f>
        <v>0</v>
      </c>
      <c r="U437" s="93">
        <f>SUM('3:23'!U437)</f>
        <v>0</v>
      </c>
      <c r="V437" s="207">
        <f>SUM(X437:AA437)</f>
        <v>0</v>
      </c>
      <c r="W437" s="33" t="str">
        <f>IF(ISERROR(V437/G437),"",V437/G437)</f>
        <v/>
      </c>
      <c r="X437" s="93">
        <f>SUM('3:23'!X437)</f>
        <v>0</v>
      </c>
      <c r="Y437" s="93">
        <f>SUM('3:23'!Y437)</f>
        <v>0</v>
      </c>
      <c r="Z437" s="93">
        <f>SUM('3:23'!Z437)</f>
        <v>0</v>
      </c>
      <c r="AA437" s="93">
        <f>SUM('3:23'!AA437)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304">
        <v>30600003</v>
      </c>
      <c r="B438" s="65" t="s">
        <v>162</v>
      </c>
      <c r="C438" s="195" t="s">
        <v>89</v>
      </c>
      <c r="D438" s="17">
        <v>5.03</v>
      </c>
      <c r="E438" s="17"/>
      <c r="F438" s="6"/>
      <c r="G438" s="93">
        <f>SUM('3:23'!G438)</f>
        <v>0</v>
      </c>
      <c r="H438" s="339">
        <f t="shared" si="175"/>
        <v>0</v>
      </c>
      <c r="I438" s="93">
        <f>SUM('3:23'!I438)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SUM('3:23'!O438)</f>
        <v>0</v>
      </c>
      <c r="P438" s="93">
        <f>SUM('3:23'!P438)</f>
        <v>0</v>
      </c>
      <c r="Q438" s="93">
        <f>SUM('3:23'!Q438)</f>
        <v>0</v>
      </c>
      <c r="R438" s="93">
        <f>SUM('3:23'!R438)</f>
        <v>0</v>
      </c>
      <c r="S438" s="93">
        <f>SUM('3:23'!S438)</f>
        <v>0</v>
      </c>
      <c r="T438" s="93">
        <f>SUM('3:23'!T438)</f>
        <v>0</v>
      </c>
      <c r="U438" s="93">
        <f>SUM('3:23'!U438)</f>
        <v>0</v>
      </c>
      <c r="V438" s="207">
        <f>SUM(X438:AA438)</f>
        <v>0</v>
      </c>
      <c r="W438" s="33" t="str">
        <f>IF(ISERROR(V438/G438),"",V438/G438)</f>
        <v/>
      </c>
      <c r="X438" s="93">
        <f>SUM('3:23'!X438)</f>
        <v>0</v>
      </c>
      <c r="Y438" s="93">
        <f>SUM('3:23'!Y438)</f>
        <v>0</v>
      </c>
      <c r="Z438" s="93">
        <f>SUM('3:23'!Z438)</f>
        <v>0</v>
      </c>
      <c r="AA438" s="93">
        <f>SUM('3:23'!AA438)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304">
        <v>30400030</v>
      </c>
      <c r="B439" s="65" t="s">
        <v>88</v>
      </c>
      <c r="C439" s="16" t="s">
        <v>53</v>
      </c>
      <c r="D439" s="17">
        <v>5.03</v>
      </c>
      <c r="E439" s="17"/>
      <c r="F439" s="6"/>
      <c r="G439" s="93">
        <f>SUM('3:23'!G439)</f>
        <v>0</v>
      </c>
      <c r="H439" s="339">
        <f t="shared" si="175"/>
        <v>0</v>
      </c>
      <c r="I439" s="93">
        <f>SUM('3:23'!I439)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10</v>
      </c>
      <c r="M439" s="36">
        <f t="shared" ref="M439:M460" si="176">IF(ISERROR(I439-K439),"",I439-K439)</f>
        <v>0</v>
      </c>
      <c r="N439" s="31">
        <f t="shared" ref="N439:N454" si="177">SUM(O439:U439)</f>
        <v>0</v>
      </c>
      <c r="O439" s="93">
        <f>SUM('3:23'!O439)</f>
        <v>0</v>
      </c>
      <c r="P439" s="93">
        <f>SUM('3:23'!P439)</f>
        <v>0</v>
      </c>
      <c r="Q439" s="93">
        <f>SUM('3:23'!Q439)</f>
        <v>0</v>
      </c>
      <c r="R439" s="93">
        <f>SUM('3:23'!R439)</f>
        <v>0</v>
      </c>
      <c r="S439" s="93">
        <f>SUM('3:23'!S439)</f>
        <v>0</v>
      </c>
      <c r="T439" s="93">
        <f>SUM('3:23'!T439)</f>
        <v>0</v>
      </c>
      <c r="U439" s="93">
        <f>SUM('3:23'!U439)</f>
        <v>0</v>
      </c>
      <c r="V439" s="206">
        <f t="shared" ref="V439:V446" si="178">SUM(X439:AA439)</f>
        <v>0</v>
      </c>
      <c r="W439" s="33" t="str">
        <f t="shared" ref="W439:W446" si="179">IF(ISERROR(V439/G439),"",V439/G439)</f>
        <v/>
      </c>
      <c r="X439" s="93">
        <f>SUM('3:23'!X439)</f>
        <v>0</v>
      </c>
      <c r="Y439" s="93">
        <f>SUM('3:23'!Y439)</f>
        <v>0</v>
      </c>
      <c r="Z439" s="93">
        <f>SUM('3:23'!Z439)</f>
        <v>0</v>
      </c>
      <c r="AA439" s="93">
        <f>SUM('3:23'!AA439)</f>
        <v>0</v>
      </c>
      <c r="AB439" s="73"/>
      <c r="AC439" s="54"/>
      <c r="AD439" s="346"/>
      <c r="AE439" s="54"/>
      <c r="AF439" s="54"/>
      <c r="AG439" s="54"/>
      <c r="AH439" s="54"/>
      <c r="AI439" s="57"/>
      <c r="AJ439" s="57"/>
      <c r="AK439" s="57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</row>
    <row r="440" spans="1:53">
      <c r="A440" s="304"/>
      <c r="B440" s="65" t="s">
        <v>88</v>
      </c>
      <c r="C440" s="16" t="s">
        <v>72</v>
      </c>
      <c r="D440" s="17">
        <v>5.03</v>
      </c>
      <c r="E440" s="17"/>
      <c r="F440" s="6"/>
      <c r="G440" s="93">
        <f>SUM('3:23'!G440)</f>
        <v>0</v>
      </c>
      <c r="H440" s="339">
        <f t="shared" si="175"/>
        <v>0</v>
      </c>
      <c r="I440" s="93">
        <f>SUM('3:23'!I440)</f>
        <v>0</v>
      </c>
      <c r="J440" s="31" t="str">
        <f t="array" ref="J440">IF(ISERROR(G440/I440),"",G440/I440)</f>
        <v/>
      </c>
      <c r="K440" s="35" t="str">
        <f t="array" ref="K440">IF(ISERROR(G440/L440),"",G440/L440)</f>
        <v/>
      </c>
      <c r="L440" s="87"/>
      <c r="M440" s="36" t="str">
        <f t="shared" si="176"/>
        <v/>
      </c>
      <c r="N440" s="31">
        <f t="shared" si="177"/>
        <v>0</v>
      </c>
      <c r="O440" s="93">
        <f>SUM('3:23'!O440)</f>
        <v>0</v>
      </c>
      <c r="P440" s="93">
        <f>SUM('3:23'!P440)</f>
        <v>0</v>
      </c>
      <c r="Q440" s="93">
        <f>SUM('3:23'!Q440)</f>
        <v>0</v>
      </c>
      <c r="R440" s="93">
        <f>SUM('3:23'!R440)</f>
        <v>0</v>
      </c>
      <c r="S440" s="93">
        <f>SUM('3:23'!S440)</f>
        <v>0</v>
      </c>
      <c r="T440" s="93">
        <f>SUM('3:23'!T440)</f>
        <v>0</v>
      </c>
      <c r="U440" s="93">
        <f>SUM('3:23'!U440)</f>
        <v>0</v>
      </c>
      <c r="V440" s="206">
        <f t="shared" si="178"/>
        <v>0</v>
      </c>
      <c r="W440" s="33" t="str">
        <f t="shared" si="179"/>
        <v/>
      </c>
      <c r="X440" s="93">
        <f>SUM('3:23'!X440)</f>
        <v>0</v>
      </c>
      <c r="Y440" s="93">
        <f>SUM('3:23'!Y440)</f>
        <v>0</v>
      </c>
      <c r="Z440" s="93">
        <f>SUM('3:23'!Z440)</f>
        <v>0</v>
      </c>
      <c r="AA440" s="93">
        <f>SUM('3:23'!AA440)</f>
        <v>0</v>
      </c>
      <c r="AB440" s="73"/>
      <c r="AC440" s="54"/>
      <c r="AD440" s="346"/>
      <c r="AE440" s="54"/>
      <c r="AF440" s="54"/>
      <c r="AG440" s="54"/>
      <c r="AH440" s="54"/>
      <c r="AI440" s="57"/>
      <c r="AJ440" s="57"/>
      <c r="AK440" s="57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</row>
    <row r="441" spans="1:53">
      <c r="A441" s="304"/>
      <c r="B441" s="65" t="s">
        <v>88</v>
      </c>
      <c r="C441" s="16" t="s">
        <v>60</v>
      </c>
      <c r="D441" s="17">
        <v>5.03</v>
      </c>
      <c r="E441" s="17"/>
      <c r="F441" s="6"/>
      <c r="G441" s="93">
        <f>SUM('3:23'!G441)</f>
        <v>0</v>
      </c>
      <c r="H441" s="339">
        <f t="shared" si="175"/>
        <v>0</v>
      </c>
      <c r="I441" s="93">
        <f>SUM('3:23'!I441)</f>
        <v>0</v>
      </c>
      <c r="J441" s="31" t="str">
        <f t="array" ref="J441">IF(ISERROR(G441/I441),"",G441/I441)</f>
        <v/>
      </c>
      <c r="K441" s="35" t="str">
        <f t="array" ref="K441">IF(ISERROR(G441/L441),"",G441/L441)</f>
        <v/>
      </c>
      <c r="L441" s="87"/>
      <c r="M441" s="36" t="str">
        <f t="shared" si="176"/>
        <v/>
      </c>
      <c r="N441" s="31">
        <f t="shared" si="177"/>
        <v>0</v>
      </c>
      <c r="O441" s="93">
        <f>SUM('3:23'!O441)</f>
        <v>0</v>
      </c>
      <c r="P441" s="93">
        <f>SUM('3:23'!P441)</f>
        <v>0</v>
      </c>
      <c r="Q441" s="93">
        <f>SUM('3:23'!Q441)</f>
        <v>0</v>
      </c>
      <c r="R441" s="93">
        <f>SUM('3:23'!R441)</f>
        <v>0</v>
      </c>
      <c r="S441" s="93">
        <f>SUM('3:23'!S441)</f>
        <v>0</v>
      </c>
      <c r="T441" s="93">
        <f>SUM('3:23'!T441)</f>
        <v>0</v>
      </c>
      <c r="U441" s="93">
        <f>SUM('3:23'!U441)</f>
        <v>0</v>
      </c>
      <c r="V441" s="206">
        <f t="shared" si="178"/>
        <v>0</v>
      </c>
      <c r="W441" s="33" t="str">
        <f t="shared" si="179"/>
        <v/>
      </c>
      <c r="X441" s="93">
        <f>SUM('3:23'!X441)</f>
        <v>0</v>
      </c>
      <c r="Y441" s="93">
        <f>SUM('3:23'!Y441)</f>
        <v>0</v>
      </c>
      <c r="Z441" s="93">
        <f>SUM('3:23'!Z441)</f>
        <v>0</v>
      </c>
      <c r="AA441" s="93">
        <f>SUM('3:23'!AA441)</f>
        <v>0</v>
      </c>
      <c r="AB441" s="73"/>
      <c r="AC441" s="54"/>
      <c r="AD441" s="346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304">
        <v>30401031</v>
      </c>
      <c r="B442" s="65" t="s">
        <v>88</v>
      </c>
      <c r="C442" s="16" t="s">
        <v>66</v>
      </c>
      <c r="D442" s="17">
        <v>5.03</v>
      </c>
      <c r="E442" s="17"/>
      <c r="F442" s="6"/>
      <c r="G442" s="93">
        <f>SUM('3:23'!G442)</f>
        <v>0</v>
      </c>
      <c r="H442" s="339">
        <f t="shared" si="175"/>
        <v>0</v>
      </c>
      <c r="I442" s="93">
        <f>SUM('3:23'!I442)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176"/>
        <v/>
      </c>
      <c r="N442" s="31">
        <f t="shared" si="177"/>
        <v>0</v>
      </c>
      <c r="O442" s="93">
        <f>SUM('3:23'!O442)</f>
        <v>0</v>
      </c>
      <c r="P442" s="93">
        <f>SUM('3:23'!P442)</f>
        <v>0</v>
      </c>
      <c r="Q442" s="93">
        <f>SUM('3:23'!Q442)</f>
        <v>0</v>
      </c>
      <c r="R442" s="93">
        <f>SUM('3:23'!R442)</f>
        <v>0</v>
      </c>
      <c r="S442" s="93">
        <f>SUM('3:23'!S442)</f>
        <v>0</v>
      </c>
      <c r="T442" s="93">
        <f>SUM('3:23'!T442)</f>
        <v>0</v>
      </c>
      <c r="U442" s="93">
        <f>SUM('3:23'!U442)</f>
        <v>0</v>
      </c>
      <c r="V442" s="206">
        <f t="shared" si="178"/>
        <v>0</v>
      </c>
      <c r="W442" s="33" t="str">
        <f t="shared" si="179"/>
        <v/>
      </c>
      <c r="X442" s="93">
        <f>SUM('3:23'!X442)</f>
        <v>0</v>
      </c>
      <c r="Y442" s="93">
        <f>SUM('3:23'!Y442)</f>
        <v>0</v>
      </c>
      <c r="Z442" s="93">
        <f>SUM('3:23'!Z442)</f>
        <v>0</v>
      </c>
      <c r="AA442" s="93">
        <f>SUM('3:23'!AA442)</f>
        <v>0</v>
      </c>
      <c r="AB442" s="73"/>
      <c r="AC442" s="54"/>
      <c r="AD442" s="346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304">
        <v>30600005</v>
      </c>
      <c r="B443" s="61" t="s">
        <v>90</v>
      </c>
      <c r="C443" s="16" t="s">
        <v>55</v>
      </c>
      <c r="D443" s="17">
        <v>9.36</v>
      </c>
      <c r="E443" s="17"/>
      <c r="F443" s="6"/>
      <c r="G443" s="93">
        <f>SUM('3:23'!G443)</f>
        <v>0</v>
      </c>
      <c r="H443" s="339">
        <f t="shared" si="175"/>
        <v>0</v>
      </c>
      <c r="I443" s="93">
        <f>SUM('3:23'!I443)</f>
        <v>0</v>
      </c>
      <c r="J443" s="31" t="str">
        <f t="array" ref="J443">IF(ISERROR(G443/I443),"",G443/I443)</f>
        <v/>
      </c>
      <c r="K443" s="35">
        <f t="array" ref="K443">IF(ISERROR(G443/L443),"",G443/L443)</f>
        <v>0</v>
      </c>
      <c r="L443" s="87">
        <v>6</v>
      </c>
      <c r="M443" s="36">
        <f t="shared" si="176"/>
        <v>0</v>
      </c>
      <c r="N443" s="31">
        <f t="shared" si="177"/>
        <v>0</v>
      </c>
      <c r="O443" s="93">
        <f>SUM('3:23'!O443)</f>
        <v>0</v>
      </c>
      <c r="P443" s="93">
        <f>SUM('3:23'!P443)</f>
        <v>0</v>
      </c>
      <c r="Q443" s="93">
        <f>SUM('3:23'!Q443)</f>
        <v>0</v>
      </c>
      <c r="R443" s="93">
        <f>SUM('3:23'!R443)</f>
        <v>0</v>
      </c>
      <c r="S443" s="93">
        <f>SUM('3:23'!S443)</f>
        <v>0</v>
      </c>
      <c r="T443" s="93">
        <f>SUM('3:23'!T443)</f>
        <v>0</v>
      </c>
      <c r="U443" s="93">
        <f>SUM('3:23'!U443)</f>
        <v>0</v>
      </c>
      <c r="V443" s="206">
        <f t="shared" si="178"/>
        <v>0</v>
      </c>
      <c r="W443" s="33" t="str">
        <f t="shared" si="179"/>
        <v/>
      </c>
      <c r="X443" s="93">
        <f>SUM('3:23'!X443)</f>
        <v>0</v>
      </c>
      <c r="Y443" s="93">
        <f>SUM('3:23'!Y443)</f>
        <v>0</v>
      </c>
      <c r="Z443" s="93">
        <f>SUM('3:23'!Z443)</f>
        <v>0</v>
      </c>
      <c r="AA443" s="93">
        <f>SUM('3:23'!AA443)</f>
        <v>0</v>
      </c>
      <c r="AB443" s="73"/>
      <c r="AC443" s="54"/>
      <c r="AD443" s="346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304">
        <v>30600008</v>
      </c>
      <c r="B444" s="61" t="s">
        <v>90</v>
      </c>
      <c r="C444" s="16" t="s">
        <v>53</v>
      </c>
      <c r="D444" s="17">
        <v>9.36</v>
      </c>
      <c r="E444" s="17"/>
      <c r="F444" s="6"/>
      <c r="G444" s="93">
        <f>SUM('3:23'!G444)</f>
        <v>0</v>
      </c>
      <c r="H444" s="339">
        <f t="shared" si="175"/>
        <v>0</v>
      </c>
      <c r="I444" s="93">
        <f>SUM('3:23'!I444)</f>
        <v>0</v>
      </c>
      <c r="J444" s="31" t="str">
        <f t="array" ref="J444">IF(ISERROR(G444/I444),"",G444/I444)</f>
        <v/>
      </c>
      <c r="K444" s="35">
        <f t="array" ref="K444">IF(ISERROR(G444/L444),"",G444/L444)</f>
        <v>0</v>
      </c>
      <c r="L444" s="87">
        <v>6</v>
      </c>
      <c r="M444" s="36">
        <f t="shared" si="176"/>
        <v>0</v>
      </c>
      <c r="N444" s="31">
        <f t="shared" si="177"/>
        <v>0</v>
      </c>
      <c r="O444" s="93">
        <f>SUM('3:23'!O444)</f>
        <v>0</v>
      </c>
      <c r="P444" s="93">
        <f>SUM('3:23'!P444)</f>
        <v>0</v>
      </c>
      <c r="Q444" s="93">
        <f>SUM('3:23'!Q444)</f>
        <v>0</v>
      </c>
      <c r="R444" s="93">
        <f>SUM('3:23'!R444)</f>
        <v>0</v>
      </c>
      <c r="S444" s="93">
        <f>SUM('3:23'!S444)</f>
        <v>0</v>
      </c>
      <c r="T444" s="93">
        <f>SUM('3:23'!T444)</f>
        <v>0</v>
      </c>
      <c r="U444" s="93">
        <f>SUM('3:23'!U444)</f>
        <v>0</v>
      </c>
      <c r="V444" s="206">
        <f t="shared" si="178"/>
        <v>0</v>
      </c>
      <c r="W444" s="33" t="str">
        <f t="shared" si="179"/>
        <v/>
      </c>
      <c r="X444" s="93">
        <f>SUM('3:23'!X444)</f>
        <v>0</v>
      </c>
      <c r="Y444" s="93">
        <f>SUM('3:23'!Y444)</f>
        <v>0</v>
      </c>
      <c r="Z444" s="93">
        <f>SUM('3:23'!Z444)</f>
        <v>0</v>
      </c>
      <c r="AA444" s="93">
        <f>SUM('3:23'!AA444)</f>
        <v>0</v>
      </c>
      <c r="AB444" s="73"/>
      <c r="AC444" s="54"/>
      <c r="AD444" s="346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304">
        <v>30600007</v>
      </c>
      <c r="B445" s="61" t="s">
        <v>90</v>
      </c>
      <c r="C445" s="16" t="s">
        <v>89</v>
      </c>
      <c r="D445" s="17">
        <v>9.36</v>
      </c>
      <c r="E445" s="17"/>
      <c r="F445" s="6"/>
      <c r="G445" s="93">
        <f>SUM('3:23'!G445)</f>
        <v>0</v>
      </c>
      <c r="H445" s="339">
        <f t="shared" si="175"/>
        <v>0</v>
      </c>
      <c r="I445" s="93">
        <f>SUM('3:23'!I445)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176"/>
        <v>0</v>
      </c>
      <c r="N445" s="31">
        <f t="shared" si="177"/>
        <v>0</v>
      </c>
      <c r="O445" s="93">
        <f>SUM('3:23'!O445)</f>
        <v>0</v>
      </c>
      <c r="P445" s="93">
        <f>SUM('3:23'!P445)</f>
        <v>0</v>
      </c>
      <c r="Q445" s="93">
        <f>SUM('3:23'!Q445)</f>
        <v>0</v>
      </c>
      <c r="R445" s="93">
        <f>SUM('3:23'!R445)</f>
        <v>0</v>
      </c>
      <c r="S445" s="93">
        <f>SUM('3:23'!S445)</f>
        <v>0</v>
      </c>
      <c r="T445" s="93">
        <f>SUM('3:23'!T445)</f>
        <v>0</v>
      </c>
      <c r="U445" s="93">
        <f>SUM('3:23'!U445)</f>
        <v>0</v>
      </c>
      <c r="V445" s="206">
        <f t="shared" si="178"/>
        <v>0</v>
      </c>
      <c r="W445" s="33" t="str">
        <f t="shared" si="179"/>
        <v/>
      </c>
      <c r="X445" s="93">
        <f>SUM('3:23'!X445)</f>
        <v>0</v>
      </c>
      <c r="Y445" s="93">
        <f>SUM('3:23'!Y445)</f>
        <v>0</v>
      </c>
      <c r="Z445" s="93">
        <f>SUM('3:23'!Z445)</f>
        <v>0</v>
      </c>
      <c r="AA445" s="93">
        <f>SUM('3:23'!AA445)</f>
        <v>0</v>
      </c>
      <c r="AB445" s="73"/>
      <c r="AC445" s="54"/>
      <c r="AD445" s="346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304">
        <v>30600006</v>
      </c>
      <c r="B446" s="61" t="s">
        <v>90</v>
      </c>
      <c r="C446" s="16" t="s">
        <v>60</v>
      </c>
      <c r="D446" s="17">
        <v>9.36</v>
      </c>
      <c r="E446" s="17"/>
      <c r="F446" s="6"/>
      <c r="G446" s="93">
        <f>SUM('3:23'!G446)</f>
        <v>0</v>
      </c>
      <c r="H446" s="339">
        <f t="shared" si="175"/>
        <v>0</v>
      </c>
      <c r="I446" s="93">
        <f>SUM('3:23'!I446)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176"/>
        <v>0</v>
      </c>
      <c r="N446" s="31">
        <f t="shared" si="177"/>
        <v>0</v>
      </c>
      <c r="O446" s="93">
        <f>SUM('3:23'!O446)</f>
        <v>0</v>
      </c>
      <c r="P446" s="93">
        <f>SUM('3:23'!P446)</f>
        <v>0</v>
      </c>
      <c r="Q446" s="93">
        <f>SUM('3:23'!Q446)</f>
        <v>0</v>
      </c>
      <c r="R446" s="93">
        <f>SUM('3:23'!R446)</f>
        <v>0</v>
      </c>
      <c r="S446" s="93">
        <f>SUM('3:23'!S446)</f>
        <v>0</v>
      </c>
      <c r="T446" s="93">
        <f>SUM('3:23'!T446)</f>
        <v>0</v>
      </c>
      <c r="U446" s="93">
        <f>SUM('3:23'!U446)</f>
        <v>0</v>
      </c>
      <c r="V446" s="206">
        <f t="shared" si="178"/>
        <v>0</v>
      </c>
      <c r="W446" s="33" t="str">
        <f t="shared" si="179"/>
        <v/>
      </c>
      <c r="X446" s="93">
        <f>SUM('3:23'!X446)</f>
        <v>0</v>
      </c>
      <c r="Y446" s="93">
        <f>SUM('3:23'!Y446)</f>
        <v>0</v>
      </c>
      <c r="Z446" s="93">
        <f>SUM('3:23'!Z446)</f>
        <v>0</v>
      </c>
      <c r="AA446" s="93">
        <f>SUM('3:23'!AA446)</f>
        <v>0</v>
      </c>
      <c r="AB446" s="73"/>
      <c r="AC446" s="54"/>
      <c r="AD446" s="346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299">
        <v>30400026</v>
      </c>
      <c r="B447" s="190" t="s">
        <v>394</v>
      </c>
      <c r="C447" s="187" t="s">
        <v>396</v>
      </c>
      <c r="D447" s="17">
        <v>5</v>
      </c>
      <c r="E447" s="17"/>
      <c r="F447" s="6"/>
      <c r="G447" s="93">
        <f>SUM('3:23'!G447)</f>
        <v>0</v>
      </c>
      <c r="H447" s="339">
        <f t="shared" si="175"/>
        <v>0</v>
      </c>
      <c r="I447" s="93">
        <f>SUM('3:23'!I447)</f>
        <v>0</v>
      </c>
      <c r="J447" s="31"/>
      <c r="K447" s="35">
        <f t="array" ref="K447">IF(ISERROR(G447/L447),"",G447/L447)</f>
        <v>0</v>
      </c>
      <c r="L447" s="87">
        <v>5</v>
      </c>
      <c r="M447" s="36">
        <f t="shared" si="176"/>
        <v>0</v>
      </c>
      <c r="N447" s="31">
        <f t="shared" si="177"/>
        <v>0</v>
      </c>
      <c r="O447" s="93">
        <f>SUM('3:23'!O447)</f>
        <v>0</v>
      </c>
      <c r="P447" s="93">
        <f>SUM('3:23'!P447)</f>
        <v>0</v>
      </c>
      <c r="Q447" s="93">
        <f>SUM('3:23'!Q447)</f>
        <v>0</v>
      </c>
      <c r="R447" s="93">
        <f>SUM('3:23'!R447)</f>
        <v>0</v>
      </c>
      <c r="S447" s="93">
        <f>SUM('3:23'!S447)</f>
        <v>0</v>
      </c>
      <c r="T447" s="93">
        <f>SUM('3:23'!T447)</f>
        <v>0</v>
      </c>
      <c r="U447" s="93">
        <f>SUM('3:23'!U447)</f>
        <v>0</v>
      </c>
      <c r="V447" s="206"/>
      <c r="W447" s="33"/>
      <c r="X447" s="93">
        <f>SUM('3:23'!X447)</f>
        <v>0</v>
      </c>
      <c r="Y447" s="93">
        <f>SUM('3:23'!Y447)</f>
        <v>0</v>
      </c>
      <c r="Z447" s="93">
        <f>SUM('3:23'!Z447)</f>
        <v>0</v>
      </c>
      <c r="AA447" s="93">
        <f>SUM('3:23'!AA447)</f>
        <v>0</v>
      </c>
      <c r="AB447" s="73"/>
      <c r="AC447" s="54"/>
      <c r="AD447" s="346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299">
        <v>30400028</v>
      </c>
      <c r="B448" s="190" t="s">
        <v>393</v>
      </c>
      <c r="C448" s="187" t="s">
        <v>403</v>
      </c>
      <c r="D448" s="17">
        <v>5</v>
      </c>
      <c r="E448" s="17"/>
      <c r="F448" s="6"/>
      <c r="G448" s="93">
        <f>SUM('3:23'!G448)</f>
        <v>0</v>
      </c>
      <c r="H448" s="339">
        <f t="shared" si="175"/>
        <v>0</v>
      </c>
      <c r="I448" s="93">
        <f>SUM('3:23'!I448)</f>
        <v>0</v>
      </c>
      <c r="J448" s="31"/>
      <c r="K448" s="35">
        <f t="array" ref="K448">IF(ISERROR(G448/L448),"",G448/L448)</f>
        <v>0</v>
      </c>
      <c r="L448" s="87">
        <v>5</v>
      </c>
      <c r="M448" s="36">
        <f t="shared" si="176"/>
        <v>0</v>
      </c>
      <c r="N448" s="31">
        <f t="shared" si="177"/>
        <v>0</v>
      </c>
      <c r="O448" s="93">
        <f>SUM('3:23'!O448)</f>
        <v>0</v>
      </c>
      <c r="P448" s="93">
        <f>SUM('3:23'!P448)</f>
        <v>0</v>
      </c>
      <c r="Q448" s="93">
        <f>SUM('3:23'!Q448)</f>
        <v>0</v>
      </c>
      <c r="R448" s="93">
        <f>SUM('3:23'!R448)</f>
        <v>0</v>
      </c>
      <c r="S448" s="93">
        <f>SUM('3:23'!S448)</f>
        <v>0</v>
      </c>
      <c r="T448" s="93">
        <f>SUM('3:23'!T448)</f>
        <v>0</v>
      </c>
      <c r="U448" s="93">
        <f>SUM('3:23'!U448)</f>
        <v>0</v>
      </c>
      <c r="V448" s="206"/>
      <c r="W448" s="33"/>
      <c r="X448" s="93">
        <f>SUM('3:23'!X448)</f>
        <v>0</v>
      </c>
      <c r="Y448" s="93">
        <f>SUM('3:23'!Y448)</f>
        <v>0</v>
      </c>
      <c r="Z448" s="93">
        <f>SUM('3:23'!Z448)</f>
        <v>0</v>
      </c>
      <c r="AA448" s="93">
        <f>SUM('3:23'!AA448)</f>
        <v>0</v>
      </c>
      <c r="AB448" s="73"/>
      <c r="AC448" s="54"/>
      <c r="AD448" s="346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99">
        <v>30400027</v>
      </c>
      <c r="B449" s="190" t="s">
        <v>404</v>
      </c>
      <c r="C449" s="187" t="s">
        <v>406</v>
      </c>
      <c r="D449" s="17">
        <v>5</v>
      </c>
      <c r="E449" s="17"/>
      <c r="F449" s="6"/>
      <c r="G449" s="93">
        <f>SUM('3:23'!G449)</f>
        <v>0</v>
      </c>
      <c r="H449" s="339">
        <f t="shared" si="175"/>
        <v>0</v>
      </c>
      <c r="I449" s="93">
        <f>SUM('3:23'!I449)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176"/>
        <v>0</v>
      </c>
      <c r="N449" s="31">
        <f t="shared" si="177"/>
        <v>0</v>
      </c>
      <c r="O449" s="93">
        <f>SUM('3:23'!O449)</f>
        <v>0</v>
      </c>
      <c r="P449" s="93">
        <f>SUM('3:23'!P449)</f>
        <v>0</v>
      </c>
      <c r="Q449" s="93">
        <f>SUM('3:23'!Q449)</f>
        <v>0</v>
      </c>
      <c r="R449" s="93">
        <f>SUM('3:23'!R449)</f>
        <v>0</v>
      </c>
      <c r="S449" s="93">
        <f>SUM('3:23'!S449)</f>
        <v>0</v>
      </c>
      <c r="T449" s="93">
        <f>SUM('3:23'!T449)</f>
        <v>0</v>
      </c>
      <c r="U449" s="93">
        <f>SUM('3:23'!U449)</f>
        <v>0</v>
      </c>
      <c r="V449" s="206"/>
      <c r="W449" s="33"/>
      <c r="X449" s="93">
        <f>SUM('3:23'!X449)</f>
        <v>0</v>
      </c>
      <c r="Y449" s="93">
        <f>SUM('3:23'!Y449)</f>
        <v>0</v>
      </c>
      <c r="Z449" s="93">
        <f>SUM('3:23'!Z449)</f>
        <v>0</v>
      </c>
      <c r="AA449" s="93">
        <f>SUM('3:23'!AA449)</f>
        <v>0</v>
      </c>
      <c r="AB449" s="73"/>
      <c r="AC449" s="54"/>
      <c r="AD449" s="346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99"/>
      <c r="B450" s="61" t="s">
        <v>352</v>
      </c>
      <c r="C450" s="187" t="s">
        <v>373</v>
      </c>
      <c r="D450" s="17">
        <v>5</v>
      </c>
      <c r="E450" s="17"/>
      <c r="F450" s="6"/>
      <c r="G450" s="93">
        <f>SUM('3:23'!G450)</f>
        <v>0</v>
      </c>
      <c r="H450" s="339">
        <f t="shared" si="175"/>
        <v>0</v>
      </c>
      <c r="I450" s="93">
        <f>SUM('3:23'!I450)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176"/>
        <v>0</v>
      </c>
      <c r="N450" s="31">
        <f t="shared" si="177"/>
        <v>0</v>
      </c>
      <c r="O450" s="93">
        <f>SUM('3:23'!O450)</f>
        <v>0</v>
      </c>
      <c r="P450" s="93">
        <f>SUM('3:23'!P450)</f>
        <v>0</v>
      </c>
      <c r="Q450" s="93">
        <f>SUM('3:23'!Q450)</f>
        <v>0</v>
      </c>
      <c r="R450" s="93">
        <f>SUM('3:23'!R450)</f>
        <v>0</v>
      </c>
      <c r="S450" s="93">
        <f>SUM('3:23'!S450)</f>
        <v>0</v>
      </c>
      <c r="T450" s="93">
        <f>SUM('3:23'!T450)</f>
        <v>0</v>
      </c>
      <c r="U450" s="93">
        <f>SUM('3:23'!U450)</f>
        <v>0</v>
      </c>
      <c r="V450" s="206"/>
      <c r="W450" s="33"/>
      <c r="X450" s="93">
        <f>SUM('3:23'!X450)</f>
        <v>0</v>
      </c>
      <c r="Y450" s="93">
        <f>SUM('3:23'!Y450)</f>
        <v>0</v>
      </c>
      <c r="Z450" s="93">
        <f>SUM('3:23'!Z450)</f>
        <v>0</v>
      </c>
      <c r="AA450" s="93">
        <f>SUM('3:23'!AA450)</f>
        <v>0</v>
      </c>
      <c r="AB450" s="73"/>
      <c r="AC450" s="54"/>
      <c r="AD450" s="346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99">
        <v>30600009</v>
      </c>
      <c r="B451" s="61" t="s">
        <v>353</v>
      </c>
      <c r="C451" s="16" t="s">
        <v>354</v>
      </c>
      <c r="D451" s="17">
        <v>5</v>
      </c>
      <c r="E451" s="17"/>
      <c r="F451" s="6"/>
      <c r="G451" s="93">
        <f>SUM('3:23'!G451)</f>
        <v>0</v>
      </c>
      <c r="H451" s="339">
        <f t="shared" si="175"/>
        <v>0</v>
      </c>
      <c r="I451" s="93">
        <f>SUM('3:23'!I451)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176"/>
        <v>0</v>
      </c>
      <c r="N451" s="31">
        <f t="shared" si="177"/>
        <v>0</v>
      </c>
      <c r="O451" s="93">
        <f>SUM('3:23'!O451)</f>
        <v>0</v>
      </c>
      <c r="P451" s="93">
        <f>SUM('3:23'!P451)</f>
        <v>0</v>
      </c>
      <c r="Q451" s="93">
        <f>SUM('3:23'!Q451)</f>
        <v>0</v>
      </c>
      <c r="R451" s="93">
        <f>SUM('3:23'!R451)</f>
        <v>0</v>
      </c>
      <c r="S451" s="93">
        <f>SUM('3:23'!S451)</f>
        <v>0</v>
      </c>
      <c r="T451" s="93">
        <f>SUM('3:23'!T451)</f>
        <v>0</v>
      </c>
      <c r="U451" s="93">
        <f>SUM('3:23'!U451)</f>
        <v>0</v>
      </c>
      <c r="V451" s="206"/>
      <c r="W451" s="33"/>
      <c r="X451" s="93">
        <f>SUM('3:23'!X451)</f>
        <v>0</v>
      </c>
      <c r="Y451" s="93">
        <f>SUM('3:23'!Y451)</f>
        <v>0</v>
      </c>
      <c r="Z451" s="93">
        <f>SUM('3:23'!Z451)</f>
        <v>0</v>
      </c>
      <c r="AA451" s="93">
        <f>SUM('3:23'!AA451)</f>
        <v>0</v>
      </c>
      <c r="AB451" s="73"/>
      <c r="AC451" s="54"/>
      <c r="AD451" s="346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99">
        <v>30600010</v>
      </c>
      <c r="B452" s="61" t="s">
        <v>353</v>
      </c>
      <c r="C452" s="16" t="s">
        <v>357</v>
      </c>
      <c r="D452" s="17">
        <v>5</v>
      </c>
      <c r="E452" s="17"/>
      <c r="F452" s="6"/>
      <c r="G452" s="93">
        <f>SUM('3:23'!G452)</f>
        <v>0</v>
      </c>
      <c r="H452" s="339">
        <f t="shared" si="175"/>
        <v>0</v>
      </c>
      <c r="I452" s="93">
        <f>SUM('3:23'!I452)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176"/>
        <v>0</v>
      </c>
      <c r="N452" s="31">
        <f t="shared" si="177"/>
        <v>0</v>
      </c>
      <c r="O452" s="93">
        <f>SUM('3:23'!O452)</f>
        <v>0</v>
      </c>
      <c r="P452" s="93">
        <f>SUM('3:23'!P452)</f>
        <v>0</v>
      </c>
      <c r="Q452" s="93">
        <f>SUM('3:23'!Q452)</f>
        <v>0</v>
      </c>
      <c r="R452" s="93">
        <f>SUM('3:23'!R452)</f>
        <v>0</v>
      </c>
      <c r="S452" s="93">
        <f>SUM('3:23'!S452)</f>
        <v>0</v>
      </c>
      <c r="T452" s="93">
        <f>SUM('3:23'!T452)</f>
        <v>0</v>
      </c>
      <c r="U452" s="93">
        <f>SUM('3:23'!U452)</f>
        <v>0</v>
      </c>
      <c r="V452" s="206"/>
      <c r="W452" s="33"/>
      <c r="X452" s="93">
        <f>SUM('3:23'!X452)</f>
        <v>0</v>
      </c>
      <c r="Y452" s="93">
        <f>SUM('3:23'!Y452)</f>
        <v>0</v>
      </c>
      <c r="Z452" s="93">
        <f>SUM('3:23'!Z452)</f>
        <v>0</v>
      </c>
      <c r="AA452" s="93">
        <f>SUM('3:23'!AA452)</f>
        <v>0</v>
      </c>
      <c r="AB452" s="73"/>
      <c r="AC452" s="54"/>
      <c r="AD452" s="346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99">
        <v>30400001</v>
      </c>
      <c r="B453" s="65" t="s">
        <v>514</v>
      </c>
      <c r="C453" s="16" t="s">
        <v>61</v>
      </c>
      <c r="D453" s="17">
        <v>5.0599999999999996</v>
      </c>
      <c r="E453" s="17"/>
      <c r="F453" s="6"/>
      <c r="G453" s="93">
        <f>SUM('3:23'!G453)</f>
        <v>1266</v>
      </c>
      <c r="H453" s="339">
        <f t="shared" si="175"/>
        <v>6405.9599999999991</v>
      </c>
      <c r="I453" s="93">
        <f>SUM('3:23'!I453)</f>
        <v>39.5</v>
      </c>
      <c r="J453" s="31">
        <f t="array" ref="J453">IF(ISERROR(G453/I453),"",G453/I453)</f>
        <v>32.050632911392405</v>
      </c>
      <c r="K453" s="35">
        <f t="array" ref="K453">IF(ISERROR(G453/L453),"",G453/L453)</f>
        <v>81.677419354838705</v>
      </c>
      <c r="L453" s="87">
        <v>15.5</v>
      </c>
      <c r="M453" s="36">
        <f t="shared" si="176"/>
        <v>-42.177419354838705</v>
      </c>
      <c r="N453" s="31">
        <f t="shared" si="177"/>
        <v>0</v>
      </c>
      <c r="O453" s="93">
        <f>SUM('3:23'!O453)</f>
        <v>0</v>
      </c>
      <c r="P453" s="93">
        <f>SUM('3:23'!P453)</f>
        <v>0</v>
      </c>
      <c r="Q453" s="93">
        <f>SUM('3:23'!Q453)</f>
        <v>0</v>
      </c>
      <c r="R453" s="93">
        <f>SUM('3:23'!R453)</f>
        <v>0</v>
      </c>
      <c r="S453" s="93">
        <f>SUM('3:23'!S453)</f>
        <v>0</v>
      </c>
      <c r="T453" s="93">
        <f>SUM('3:23'!T453)</f>
        <v>0</v>
      </c>
      <c r="U453" s="93">
        <f>SUM('3:23'!U453)</f>
        <v>0</v>
      </c>
      <c r="V453" s="206">
        <f t="shared" ref="V453:V454" si="180">SUM(X453:AA453)</f>
        <v>0</v>
      </c>
      <c r="W453" s="33">
        <f t="shared" ref="W453:W454" si="181">IF(ISERROR(V453/G453),"",V453/G453)</f>
        <v>0</v>
      </c>
      <c r="X453" s="93">
        <f>SUM('3:23'!X453)</f>
        <v>0</v>
      </c>
      <c r="Y453" s="93">
        <f>SUM('3:23'!Y453)</f>
        <v>0</v>
      </c>
      <c r="Z453" s="93">
        <f>SUM('3:23'!Z453)</f>
        <v>0</v>
      </c>
      <c r="AA453" s="93">
        <f>SUM('3:23'!AA453)</f>
        <v>0</v>
      </c>
      <c r="AB453" s="73"/>
      <c r="AC453" s="54"/>
      <c r="AD453" s="346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99">
        <v>30400002</v>
      </c>
      <c r="B454" s="65" t="s">
        <v>514</v>
      </c>
      <c r="C454" s="16" t="s">
        <v>72</v>
      </c>
      <c r="D454" s="17">
        <v>5.0599999999999996</v>
      </c>
      <c r="E454" s="17"/>
      <c r="F454" s="6"/>
      <c r="G454" s="93">
        <f>SUM('3:23'!G454)</f>
        <v>1136</v>
      </c>
      <c r="H454" s="339">
        <f t="shared" si="175"/>
        <v>5748.16</v>
      </c>
      <c r="I454" s="93">
        <f>SUM('3:23'!I454)</f>
        <v>40.5</v>
      </c>
      <c r="J454" s="31">
        <f t="array" ref="J454">IF(ISERROR(G454/I454),"",G454/I454)</f>
        <v>28.049382716049383</v>
      </c>
      <c r="K454" s="35">
        <f t="array" ref="K454">IF(ISERROR(G454/L454),"",G454/L454)</f>
        <v>73.290322580645167</v>
      </c>
      <c r="L454" s="87">
        <v>15.5</v>
      </c>
      <c r="M454" s="36">
        <f t="shared" si="176"/>
        <v>-32.790322580645167</v>
      </c>
      <c r="N454" s="31">
        <f t="shared" si="177"/>
        <v>0</v>
      </c>
      <c r="O454" s="93">
        <f>SUM('3:23'!O454)</f>
        <v>0</v>
      </c>
      <c r="P454" s="93">
        <f>SUM('3:23'!P454)</f>
        <v>0</v>
      </c>
      <c r="Q454" s="93">
        <f>SUM('3:23'!Q454)</f>
        <v>0</v>
      </c>
      <c r="R454" s="93">
        <f>SUM('3:23'!R454)</f>
        <v>0</v>
      </c>
      <c r="S454" s="93">
        <f>SUM('3:23'!S454)</f>
        <v>0</v>
      </c>
      <c r="T454" s="93">
        <f>SUM('3:23'!T454)</f>
        <v>0</v>
      </c>
      <c r="U454" s="93">
        <f>SUM('3:23'!U454)</f>
        <v>0</v>
      </c>
      <c r="V454" s="206">
        <f t="shared" si="180"/>
        <v>0</v>
      </c>
      <c r="W454" s="33">
        <f t="shared" si="181"/>
        <v>0</v>
      </c>
      <c r="X454" s="93">
        <f>SUM('3:23'!X454)</f>
        <v>0</v>
      </c>
      <c r="Y454" s="93">
        <f>SUM('3:23'!Y454)</f>
        <v>0</v>
      </c>
      <c r="Z454" s="93">
        <f>SUM('3:23'!Z454)</f>
        <v>0</v>
      </c>
      <c r="AA454" s="93">
        <f>SUM('3:23'!AA454)</f>
        <v>0</v>
      </c>
      <c r="AB454" s="73"/>
      <c r="AC454" s="54"/>
      <c r="AD454" s="346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99">
        <v>30400004</v>
      </c>
      <c r="B455" s="215" t="s">
        <v>419</v>
      </c>
      <c r="C455" s="187" t="s">
        <v>420</v>
      </c>
      <c r="D455" s="17"/>
      <c r="E455" s="17"/>
      <c r="F455" s="6"/>
      <c r="G455" s="93">
        <f>SUM('3:23'!G455)</f>
        <v>0</v>
      </c>
      <c r="H455" s="339">
        <f t="shared" si="175"/>
        <v>0</v>
      </c>
      <c r="I455" s="93">
        <f>SUM('3:23'!I455)</f>
        <v>0</v>
      </c>
      <c r="J455" s="31"/>
      <c r="K455" s="35">
        <f t="array" ref="K455">IF(ISERROR(G455/L455),"",G455/L455)</f>
        <v>0</v>
      </c>
      <c r="L455" s="87">
        <v>24</v>
      </c>
      <c r="M455" s="36">
        <f t="shared" si="176"/>
        <v>0</v>
      </c>
      <c r="N455" s="31"/>
      <c r="O455" s="93"/>
      <c r="P455" s="93"/>
      <c r="Q455" s="93"/>
      <c r="R455" s="93"/>
      <c r="S455" s="93"/>
      <c r="T455" s="93"/>
      <c r="U455" s="93"/>
      <c r="V455" s="206"/>
      <c r="W455" s="33"/>
      <c r="X455" s="93"/>
      <c r="Y455" s="93"/>
      <c r="Z455" s="93"/>
      <c r="AA455" s="93"/>
      <c r="AB455" s="73"/>
      <c r="AC455" s="54"/>
      <c r="AD455" s="346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99">
        <v>30400003</v>
      </c>
      <c r="B456" s="215" t="s">
        <v>419</v>
      </c>
      <c r="C456" s="187" t="s">
        <v>421</v>
      </c>
      <c r="D456" s="17"/>
      <c r="E456" s="17"/>
      <c r="F456" s="6"/>
      <c r="G456" s="93">
        <f>SUM('3:23'!G456)</f>
        <v>0</v>
      </c>
      <c r="H456" s="339">
        <f t="shared" si="175"/>
        <v>0</v>
      </c>
      <c r="I456" s="93">
        <f>SUM('3:23'!I456)</f>
        <v>0</v>
      </c>
      <c r="J456" s="31"/>
      <c r="K456" s="35">
        <f t="array" ref="K456">IF(ISERROR(G456/L456),"",G456/L456)</f>
        <v>0</v>
      </c>
      <c r="L456" s="87">
        <v>24</v>
      </c>
      <c r="M456" s="36">
        <f t="shared" si="176"/>
        <v>0</v>
      </c>
      <c r="N456" s="31"/>
      <c r="O456" s="93"/>
      <c r="P456" s="93"/>
      <c r="Q456" s="93"/>
      <c r="R456" s="93"/>
      <c r="S456" s="93"/>
      <c r="T456" s="93"/>
      <c r="U456" s="93"/>
      <c r="V456" s="206"/>
      <c r="W456" s="33"/>
      <c r="X456" s="93"/>
      <c r="Y456" s="93"/>
      <c r="Z456" s="93"/>
      <c r="AA456" s="93"/>
      <c r="AB456" s="73"/>
      <c r="AC456" s="54"/>
      <c r="AD456" s="346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99">
        <v>30400005</v>
      </c>
      <c r="B457" s="215" t="s">
        <v>419</v>
      </c>
      <c r="C457" s="187" t="s">
        <v>422</v>
      </c>
      <c r="D457" s="17"/>
      <c r="E457" s="17"/>
      <c r="F457" s="6"/>
      <c r="G457" s="93">
        <f>SUM('3:23'!G457)</f>
        <v>0</v>
      </c>
      <c r="H457" s="339">
        <f t="shared" si="175"/>
        <v>0</v>
      </c>
      <c r="I457" s="93">
        <f>SUM('3:23'!I457)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176"/>
        <v>0</v>
      </c>
      <c r="N457" s="31"/>
      <c r="O457" s="93"/>
      <c r="P457" s="93"/>
      <c r="Q457" s="93"/>
      <c r="R457" s="93"/>
      <c r="S457" s="93"/>
      <c r="T457" s="93"/>
      <c r="U457" s="93"/>
      <c r="V457" s="206"/>
      <c r="W457" s="33"/>
      <c r="X457" s="93"/>
      <c r="Y457" s="93"/>
      <c r="Z457" s="93"/>
      <c r="AA457" s="93"/>
      <c r="AB457" s="73"/>
      <c r="AC457" s="54"/>
      <c r="AD457" s="346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99">
        <v>30400007</v>
      </c>
      <c r="B458" s="65" t="s">
        <v>91</v>
      </c>
      <c r="C458" s="16" t="s">
        <v>74</v>
      </c>
      <c r="D458" s="17">
        <v>5.07</v>
      </c>
      <c r="E458" s="17"/>
      <c r="F458" s="6"/>
      <c r="G458" s="93">
        <f>SUM('3:23'!G458)</f>
        <v>0</v>
      </c>
      <c r="H458" s="339">
        <f t="shared" si="175"/>
        <v>0</v>
      </c>
      <c r="I458" s="93">
        <f>SUM('3:23'!I458)</f>
        <v>0</v>
      </c>
      <c r="J458" s="31" t="str">
        <f t="array" ref="J458">IF(ISERROR(G458/I458),"",G458/I458)</f>
        <v/>
      </c>
      <c r="K458" s="35">
        <f t="array" ref="K458">IF(ISERROR(G458/L458),"",G458/L458)</f>
        <v>0</v>
      </c>
      <c r="L458" s="87">
        <v>9</v>
      </c>
      <c r="M458" s="36">
        <f t="shared" si="176"/>
        <v>0</v>
      </c>
      <c r="N458" s="31">
        <f t="shared" ref="N458:N460" si="182">SUM(O458:U458)</f>
        <v>0</v>
      </c>
      <c r="O458" s="93">
        <f>SUM('3:23'!O458)</f>
        <v>0</v>
      </c>
      <c r="P458" s="93">
        <f>SUM('3:23'!P458)</f>
        <v>0</v>
      </c>
      <c r="Q458" s="93">
        <f>SUM('3:23'!Q458)</f>
        <v>0</v>
      </c>
      <c r="R458" s="93">
        <f>SUM('3:23'!R458)</f>
        <v>0</v>
      </c>
      <c r="S458" s="93">
        <f>SUM('3:23'!S458)</f>
        <v>0</v>
      </c>
      <c r="T458" s="93">
        <f>SUM('3:23'!T458)</f>
        <v>0</v>
      </c>
      <c r="U458" s="93">
        <f>SUM('3:23'!U458)</f>
        <v>0</v>
      </c>
      <c r="V458" s="206">
        <f t="shared" ref="V458:V460" si="183">SUM(X458:AA458)</f>
        <v>0</v>
      </c>
      <c r="W458" s="33" t="str">
        <f t="shared" ref="W458:W482" si="184">IF(ISERROR(V458/G458),"",V458/G458)</f>
        <v/>
      </c>
      <c r="X458" s="93">
        <f>SUM('3:23'!X458)</f>
        <v>0</v>
      </c>
      <c r="Y458" s="93">
        <f>SUM('3:23'!Y458)</f>
        <v>0</v>
      </c>
      <c r="Z458" s="93">
        <f>SUM('3:23'!Z458)</f>
        <v>0</v>
      </c>
      <c r="AA458" s="93">
        <f>SUM('3:23'!AA458)</f>
        <v>0</v>
      </c>
      <c r="AB458" s="73"/>
      <c r="AC458" s="54"/>
      <c r="AD458" s="346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99">
        <v>30400006</v>
      </c>
      <c r="B459" s="65" t="s">
        <v>91</v>
      </c>
      <c r="C459" s="16" t="s">
        <v>53</v>
      </c>
      <c r="D459" s="17">
        <v>5.07</v>
      </c>
      <c r="E459" s="17"/>
      <c r="F459" s="6"/>
      <c r="G459" s="93">
        <f>SUM('3:23'!G459)</f>
        <v>0</v>
      </c>
      <c r="H459" s="339">
        <f t="shared" si="175"/>
        <v>0</v>
      </c>
      <c r="I459" s="93">
        <f>SUM('3:23'!I459)</f>
        <v>0</v>
      </c>
      <c r="J459" s="31" t="str">
        <f t="array" ref="J459">IF(ISERROR(G459/I459),"",G459/I459)</f>
        <v/>
      </c>
      <c r="K459" s="35">
        <f t="array" ref="K459">IF(ISERROR(G459/L459),"",G459/L459)</f>
        <v>0</v>
      </c>
      <c r="L459" s="87">
        <v>9</v>
      </c>
      <c r="M459" s="36">
        <f t="shared" si="176"/>
        <v>0</v>
      </c>
      <c r="N459" s="31">
        <f t="shared" si="182"/>
        <v>0</v>
      </c>
      <c r="O459" s="93">
        <f>SUM('3:23'!O459)</f>
        <v>0</v>
      </c>
      <c r="P459" s="93">
        <f>SUM('3:23'!P459)</f>
        <v>0</v>
      </c>
      <c r="Q459" s="93">
        <f>SUM('3:23'!Q459)</f>
        <v>0</v>
      </c>
      <c r="R459" s="93">
        <f>SUM('3:23'!R459)</f>
        <v>0</v>
      </c>
      <c r="S459" s="93">
        <f>SUM('3:23'!S459)</f>
        <v>0</v>
      </c>
      <c r="T459" s="93">
        <f>SUM('3:23'!T459)</f>
        <v>0</v>
      </c>
      <c r="U459" s="93">
        <f>SUM('3:23'!U459)</f>
        <v>0</v>
      </c>
      <c r="V459" s="206">
        <f t="shared" si="183"/>
        <v>0</v>
      </c>
      <c r="W459" s="33" t="str">
        <f t="shared" si="184"/>
        <v/>
      </c>
      <c r="X459" s="93">
        <f>SUM('3:23'!X459)</f>
        <v>0</v>
      </c>
      <c r="Y459" s="93">
        <f>SUM('3:23'!Y459)</f>
        <v>0</v>
      </c>
      <c r="Z459" s="93">
        <f>SUM('3:23'!Z459)</f>
        <v>0</v>
      </c>
      <c r="AA459" s="93">
        <f>SUM('3:23'!AA459)</f>
        <v>0</v>
      </c>
      <c r="AB459" s="73"/>
      <c r="AC459" s="54"/>
      <c r="AD459" s="346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99">
        <v>30400006</v>
      </c>
      <c r="B460" s="65" t="s">
        <v>91</v>
      </c>
      <c r="C460" s="16" t="s">
        <v>60</v>
      </c>
      <c r="D460" s="17">
        <v>5.0599999999999996</v>
      </c>
      <c r="E460" s="17"/>
      <c r="F460" s="53"/>
      <c r="G460" s="93">
        <f>SUM('3:23'!G460)</f>
        <v>0</v>
      </c>
      <c r="H460" s="339">
        <f t="shared" si="175"/>
        <v>0</v>
      </c>
      <c r="I460" s="93">
        <f>SUM('3:23'!I460)</f>
        <v>0</v>
      </c>
      <c r="J460" s="31" t="str">
        <f t="array" ref="J460">IF(ISERROR(G460/I460),"",G460/I460)</f>
        <v/>
      </c>
      <c r="K460" s="339">
        <f t="array" ref="K460">IF(ISERROR(G460/L460),"",G460/L460)</f>
        <v>0</v>
      </c>
      <c r="L460" s="87">
        <v>9</v>
      </c>
      <c r="M460" s="36">
        <f t="shared" si="176"/>
        <v>0</v>
      </c>
      <c r="N460" s="31">
        <f t="shared" si="182"/>
        <v>0</v>
      </c>
      <c r="O460" s="93">
        <f>SUM('3:23'!O460)</f>
        <v>0</v>
      </c>
      <c r="P460" s="93">
        <f>SUM('3:23'!P460)</f>
        <v>0</v>
      </c>
      <c r="Q460" s="93">
        <f>SUM('3:23'!Q460)</f>
        <v>0</v>
      </c>
      <c r="R460" s="93">
        <f>SUM('3:23'!R460)</f>
        <v>0</v>
      </c>
      <c r="S460" s="93">
        <f>SUM('3:23'!S460)</f>
        <v>0</v>
      </c>
      <c r="T460" s="93">
        <f>SUM('3:23'!T460)</f>
        <v>0</v>
      </c>
      <c r="U460" s="93">
        <f>SUM('3:23'!U460)</f>
        <v>0</v>
      </c>
      <c r="V460" s="206">
        <f t="shared" si="183"/>
        <v>0</v>
      </c>
      <c r="W460" s="33" t="str">
        <f t="shared" si="184"/>
        <v/>
      </c>
      <c r="X460" s="93">
        <f>SUM('3:23'!X460)</f>
        <v>0</v>
      </c>
      <c r="Y460" s="93">
        <f>SUM('3:23'!Y460)</f>
        <v>0</v>
      </c>
      <c r="Z460" s="93">
        <f>SUM('3:23'!Z460)</f>
        <v>0</v>
      </c>
      <c r="AA460" s="93">
        <f>SUM('3:23'!AA460)</f>
        <v>0</v>
      </c>
      <c r="AB460" s="73"/>
      <c r="AC460" s="54"/>
      <c r="AD460" s="346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725" t="s">
        <v>92</v>
      </c>
      <c r="B461" s="726"/>
      <c r="C461" s="342" t="s">
        <v>71</v>
      </c>
      <c r="D461" s="20"/>
      <c r="E461" s="20"/>
      <c r="F461" s="32"/>
      <c r="G461" s="99">
        <f>SUM(G427:G460)</f>
        <v>13590</v>
      </c>
      <c r="H461" s="30">
        <f>SUM(H427:H460)</f>
        <v>68429.760000000009</v>
      </c>
      <c r="I461" s="30">
        <f>SUM(I427:I460)</f>
        <v>1069.5</v>
      </c>
      <c r="J461" s="31">
        <f t="array" ref="J461">IF(ISERROR(G461/I461),"",G461/I461)</f>
        <v>12.706872370266479</v>
      </c>
      <c r="K461" s="30">
        <f>SUM(K427:K460)</f>
        <v>1389.2101661779079</v>
      </c>
      <c r="L461" s="98"/>
      <c r="M461" s="89">
        <f t="shared" ref="M461:V461" si="185">SUM(M427:M460)</f>
        <v>-319.71016617790804</v>
      </c>
      <c r="N461" s="30">
        <f t="shared" si="185"/>
        <v>0</v>
      </c>
      <c r="O461" s="91">
        <f t="shared" si="185"/>
        <v>0</v>
      </c>
      <c r="P461" s="91">
        <f t="shared" si="185"/>
        <v>0</v>
      </c>
      <c r="Q461" s="91">
        <f t="shared" si="185"/>
        <v>0</v>
      </c>
      <c r="R461" s="91">
        <f t="shared" si="185"/>
        <v>0</v>
      </c>
      <c r="S461" s="92">
        <f t="shared" si="185"/>
        <v>0</v>
      </c>
      <c r="T461" s="91">
        <f t="shared" si="185"/>
        <v>0</v>
      </c>
      <c r="U461" s="91">
        <f t="shared" si="185"/>
        <v>0</v>
      </c>
      <c r="V461" s="206">
        <f t="shared" si="185"/>
        <v>0</v>
      </c>
      <c r="W461" s="33">
        <f t="shared" si="184"/>
        <v>0</v>
      </c>
      <c r="X461" s="92">
        <f>SUM(X427:X460)</f>
        <v>0</v>
      </c>
      <c r="Y461" s="92">
        <f>SUM(Y427:Y460)</f>
        <v>0</v>
      </c>
      <c r="Z461" s="92">
        <f>SUM(Z427:Z460)</f>
        <v>0</v>
      </c>
      <c r="AA461" s="92">
        <f>SUM(AA427:AA460)</f>
        <v>0</v>
      </c>
      <c r="AB461" s="75"/>
      <c r="AC461" s="70"/>
      <c r="AD461" s="346"/>
      <c r="AE461" s="74"/>
      <c r="AF461" s="74"/>
      <c r="AG461" s="74"/>
      <c r="AH461" s="7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99">
        <v>30100038</v>
      </c>
      <c r="B462" s="62" t="s">
        <v>93</v>
      </c>
      <c r="C462" s="16" t="s">
        <v>94</v>
      </c>
      <c r="D462" s="17">
        <v>5.03</v>
      </c>
      <c r="E462" s="17"/>
      <c r="F462" s="6"/>
      <c r="G462" s="93">
        <f>SUM('3:23'!G462)</f>
        <v>0</v>
      </c>
      <c r="H462" s="339">
        <f>D462*G462</f>
        <v>0</v>
      </c>
      <c r="I462" s="93">
        <f>SUM('3:23'!I462)</f>
        <v>0</v>
      </c>
      <c r="J462" s="31" t="str">
        <f t="array" ref="J462">IF(ISERROR(G462/I462),"",G462/I462)</f>
        <v/>
      </c>
      <c r="K462" s="35">
        <f t="array" ref="K462">IF(ISERROR(G462/L462),"",G462/L462)</f>
        <v>0</v>
      </c>
      <c r="L462" s="87">
        <v>25</v>
      </c>
      <c r="M462" s="36">
        <f t="shared" ref="M462:M476" si="186">IF(ISERROR(I462-K462),"",I462-K462)</f>
        <v>0</v>
      </c>
      <c r="N462" s="31">
        <f t="shared" ref="N462:N476" si="187">SUM(O462:U462)</f>
        <v>0</v>
      </c>
      <c r="O462" s="93">
        <f>SUM('3:23'!O462)</f>
        <v>0</v>
      </c>
      <c r="P462" s="93">
        <f>SUM('3:23'!P462)</f>
        <v>0</v>
      </c>
      <c r="Q462" s="93">
        <f>SUM('3:23'!Q462)</f>
        <v>0</v>
      </c>
      <c r="R462" s="93">
        <f>SUM('3:23'!R462)</f>
        <v>0</v>
      </c>
      <c r="S462" s="93">
        <f>SUM('3:23'!S462)</f>
        <v>0</v>
      </c>
      <c r="T462" s="93">
        <f>SUM('3:23'!T462)</f>
        <v>0</v>
      </c>
      <c r="U462" s="93">
        <f>SUM('3:23'!U462)</f>
        <v>0</v>
      </c>
      <c r="V462" s="206">
        <f t="shared" ref="V462:V476" si="188">SUM(X462:AA462)</f>
        <v>0</v>
      </c>
      <c r="W462" s="33" t="str">
        <f t="shared" si="184"/>
        <v/>
      </c>
      <c r="X462" s="93">
        <f>SUM('3:23'!X462)</f>
        <v>0</v>
      </c>
      <c r="Y462" s="93">
        <f>SUM('3:23'!Y462)</f>
        <v>0</v>
      </c>
      <c r="Z462" s="93">
        <f>SUM('3:23'!Z462)</f>
        <v>0</v>
      </c>
      <c r="AA462" s="93">
        <f>SUM('3:23'!AA462)</f>
        <v>0</v>
      </c>
      <c r="AB462" s="73"/>
      <c r="AC462" s="54"/>
      <c r="AD462" s="346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299">
        <v>30100037</v>
      </c>
      <c r="B463" s="62" t="s">
        <v>93</v>
      </c>
      <c r="C463" s="16" t="s">
        <v>74</v>
      </c>
      <c r="D463" s="17">
        <v>5.03</v>
      </c>
      <c r="E463" s="17"/>
      <c r="F463" s="6"/>
      <c r="G463" s="93">
        <f>SUM('3:23'!G463)</f>
        <v>0</v>
      </c>
      <c r="H463" s="339">
        <f t="shared" ref="H463:H476" si="189">D463*G463</f>
        <v>0</v>
      </c>
      <c r="I463" s="93">
        <f>SUM('3:23'!I463)</f>
        <v>0</v>
      </c>
      <c r="J463" s="31" t="str">
        <f t="array" ref="J463">IF(ISERROR(G463/I463),"",G463/I463)</f>
        <v/>
      </c>
      <c r="K463" s="35">
        <f t="array" ref="K463">IF(ISERROR(G463/L463),"",G463/L463)</f>
        <v>0</v>
      </c>
      <c r="L463" s="87">
        <v>25</v>
      </c>
      <c r="M463" s="36">
        <f t="shared" si="186"/>
        <v>0</v>
      </c>
      <c r="N463" s="31">
        <f t="shared" si="187"/>
        <v>0</v>
      </c>
      <c r="O463" s="93">
        <f>SUM('3:23'!O463)</f>
        <v>0</v>
      </c>
      <c r="P463" s="93">
        <f>SUM('3:23'!P463)</f>
        <v>0</v>
      </c>
      <c r="Q463" s="93">
        <f>SUM('3:23'!Q463)</f>
        <v>0</v>
      </c>
      <c r="R463" s="93">
        <f>SUM('3:23'!R463)</f>
        <v>0</v>
      </c>
      <c r="S463" s="93">
        <f>SUM('3:23'!S463)</f>
        <v>0</v>
      </c>
      <c r="T463" s="93">
        <f>SUM('3:23'!T463)</f>
        <v>0</v>
      </c>
      <c r="U463" s="93">
        <f>SUM('3:23'!U463)</f>
        <v>0</v>
      </c>
      <c r="V463" s="206">
        <f t="shared" si="188"/>
        <v>0</v>
      </c>
      <c r="W463" s="33" t="str">
        <f t="shared" si="184"/>
        <v/>
      </c>
      <c r="X463" s="93">
        <f>SUM('3:23'!X463)</f>
        <v>0</v>
      </c>
      <c r="Y463" s="93">
        <f>SUM('3:23'!Y463)</f>
        <v>0</v>
      </c>
      <c r="Z463" s="93">
        <f>SUM('3:23'!Z463)</f>
        <v>0</v>
      </c>
      <c r="AA463" s="93">
        <f>SUM('3:23'!AA463)</f>
        <v>0</v>
      </c>
      <c r="AB463" s="73"/>
      <c r="AC463" s="54"/>
      <c r="AD463" s="346"/>
      <c r="AE463" s="54"/>
      <c r="AF463" s="54"/>
      <c r="AG463" s="54"/>
      <c r="AH463" s="5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99">
        <v>30100051</v>
      </c>
      <c r="B464" s="62" t="s">
        <v>58</v>
      </c>
      <c r="C464" s="16" t="s">
        <v>65</v>
      </c>
      <c r="D464" s="17">
        <v>5.04</v>
      </c>
      <c r="E464" s="17"/>
      <c r="F464" s="6"/>
      <c r="G464" s="93">
        <f>SUM('3:23'!G464)</f>
        <v>0</v>
      </c>
      <c r="H464" s="339">
        <f t="shared" si="189"/>
        <v>0</v>
      </c>
      <c r="I464" s="93">
        <f>SUM('3:23'!I464)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20</v>
      </c>
      <c r="M464" s="36">
        <f t="shared" si="186"/>
        <v>0</v>
      </c>
      <c r="N464" s="31">
        <f t="shared" si="187"/>
        <v>0</v>
      </c>
      <c r="O464" s="93">
        <f>SUM('3:23'!O464)</f>
        <v>0</v>
      </c>
      <c r="P464" s="93">
        <f>SUM('3:23'!P464)</f>
        <v>0</v>
      </c>
      <c r="Q464" s="93">
        <f>SUM('3:23'!Q464)</f>
        <v>0</v>
      </c>
      <c r="R464" s="93">
        <f>SUM('3:23'!R464)</f>
        <v>0</v>
      </c>
      <c r="S464" s="93">
        <f>SUM('3:23'!S464)</f>
        <v>0</v>
      </c>
      <c r="T464" s="93">
        <f>SUM('3:23'!T464)</f>
        <v>0</v>
      </c>
      <c r="U464" s="93">
        <f>SUM('3:23'!U464)</f>
        <v>0</v>
      </c>
      <c r="V464" s="206">
        <f t="shared" si="188"/>
        <v>0</v>
      </c>
      <c r="W464" s="33" t="str">
        <f t="shared" si="184"/>
        <v/>
      </c>
      <c r="X464" s="93">
        <f>SUM('3:23'!X464)</f>
        <v>0</v>
      </c>
      <c r="Y464" s="93">
        <f>SUM('3:23'!Y464)</f>
        <v>0</v>
      </c>
      <c r="Z464" s="93">
        <f>SUM('3:23'!Z464)</f>
        <v>0</v>
      </c>
      <c r="AA464" s="93">
        <f>SUM('3:23'!AA464)</f>
        <v>0</v>
      </c>
      <c r="AB464" s="73"/>
      <c r="AC464" s="54"/>
      <c r="AD464" s="346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99"/>
      <c r="B465" s="63" t="s">
        <v>95</v>
      </c>
      <c r="C465" s="16" t="s">
        <v>82</v>
      </c>
      <c r="D465" s="17">
        <v>5.03</v>
      </c>
      <c r="E465" s="17"/>
      <c r="F465" s="6"/>
      <c r="G465" s="93">
        <f>SUM('3:23'!G465)</f>
        <v>0</v>
      </c>
      <c r="H465" s="339">
        <f t="shared" si="189"/>
        <v>0</v>
      </c>
      <c r="I465" s="93">
        <f>SUM('3:23'!I465)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4</v>
      </c>
      <c r="M465" s="36">
        <f t="shared" si="186"/>
        <v>0</v>
      </c>
      <c r="N465" s="31">
        <f t="shared" si="187"/>
        <v>0</v>
      </c>
      <c r="O465" s="93">
        <f>SUM('3:23'!O465)</f>
        <v>0</v>
      </c>
      <c r="P465" s="93">
        <f>SUM('3:23'!P465)</f>
        <v>0</v>
      </c>
      <c r="Q465" s="93">
        <f>SUM('3:23'!Q465)</f>
        <v>0</v>
      </c>
      <c r="R465" s="93">
        <f>SUM('3:23'!R465)</f>
        <v>0</v>
      </c>
      <c r="S465" s="93">
        <f>SUM('3:23'!S465)</f>
        <v>0</v>
      </c>
      <c r="T465" s="93">
        <f>SUM('3:23'!T465)</f>
        <v>0</v>
      </c>
      <c r="U465" s="93">
        <f>SUM('3:23'!U465)</f>
        <v>0</v>
      </c>
      <c r="V465" s="206">
        <f t="shared" si="188"/>
        <v>0</v>
      </c>
      <c r="W465" s="33" t="str">
        <f t="shared" si="184"/>
        <v/>
      </c>
      <c r="X465" s="93">
        <f>SUM('3:23'!X465)</f>
        <v>0</v>
      </c>
      <c r="Y465" s="93">
        <f>SUM('3:23'!Y465)</f>
        <v>0</v>
      </c>
      <c r="Z465" s="93">
        <f>SUM('3:23'!Z465)</f>
        <v>0</v>
      </c>
      <c r="AA465" s="93">
        <f>SUM('3:23'!AA465)</f>
        <v>0</v>
      </c>
      <c r="AB465" s="73"/>
      <c r="AC465" s="54"/>
      <c r="AD465" s="346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99">
        <v>30100054</v>
      </c>
      <c r="B466" s="63" t="s">
        <v>95</v>
      </c>
      <c r="C466" s="340" t="s">
        <v>72</v>
      </c>
      <c r="D466" s="17">
        <v>5.03</v>
      </c>
      <c r="E466" s="17"/>
      <c r="F466" s="6"/>
      <c r="G466" s="93">
        <f>SUM('3:23'!G466)</f>
        <v>0</v>
      </c>
      <c r="H466" s="339">
        <f t="shared" si="189"/>
        <v>0</v>
      </c>
      <c r="I466" s="93">
        <f>SUM('3:23'!I466)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4</v>
      </c>
      <c r="M466" s="36">
        <f t="shared" si="186"/>
        <v>0</v>
      </c>
      <c r="N466" s="31">
        <f t="shared" si="187"/>
        <v>0</v>
      </c>
      <c r="O466" s="93">
        <f>SUM('3:23'!O466)</f>
        <v>0</v>
      </c>
      <c r="P466" s="93">
        <f>SUM('3:23'!P466)</f>
        <v>0</v>
      </c>
      <c r="Q466" s="93">
        <f>SUM('3:23'!Q466)</f>
        <v>0</v>
      </c>
      <c r="R466" s="93">
        <f>SUM('3:23'!R466)</f>
        <v>0</v>
      </c>
      <c r="S466" s="93">
        <f>SUM('3:23'!S466)</f>
        <v>0</v>
      </c>
      <c r="T466" s="93">
        <f>SUM('3:23'!T466)</f>
        <v>0</v>
      </c>
      <c r="U466" s="93">
        <f>SUM('3:23'!U466)</f>
        <v>0</v>
      </c>
      <c r="V466" s="206">
        <f t="shared" si="188"/>
        <v>0</v>
      </c>
      <c r="W466" s="33" t="str">
        <f t="shared" si="184"/>
        <v/>
      </c>
      <c r="X466" s="93">
        <f>SUM('3:23'!X466)</f>
        <v>0</v>
      </c>
      <c r="Y466" s="93">
        <f>SUM('3:23'!Y466)</f>
        <v>0</v>
      </c>
      <c r="Z466" s="93">
        <f>SUM('3:23'!Z466)</f>
        <v>0</v>
      </c>
      <c r="AA466" s="93">
        <f>SUM('3:23'!AA466)</f>
        <v>0</v>
      </c>
      <c r="AB466" s="73"/>
      <c r="AC466" s="54"/>
      <c r="AD466" s="346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99">
        <v>30100053</v>
      </c>
      <c r="B467" s="63" t="s">
        <v>95</v>
      </c>
      <c r="C467" s="16" t="s">
        <v>73</v>
      </c>
      <c r="D467" s="17">
        <v>5.03</v>
      </c>
      <c r="E467" s="17"/>
      <c r="F467" s="6"/>
      <c r="G467" s="93">
        <f>SUM('3:23'!G467)</f>
        <v>0</v>
      </c>
      <c r="H467" s="339">
        <f t="shared" si="189"/>
        <v>0</v>
      </c>
      <c r="I467" s="93">
        <f>SUM('3:23'!I467)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86"/>
        <v>0</v>
      </c>
      <c r="N467" s="31">
        <f t="shared" si="187"/>
        <v>0</v>
      </c>
      <c r="O467" s="93">
        <f>SUM('3:23'!O467)</f>
        <v>0</v>
      </c>
      <c r="P467" s="93">
        <f>SUM('3:23'!P467)</f>
        <v>0</v>
      </c>
      <c r="Q467" s="93">
        <f>SUM('3:23'!Q467)</f>
        <v>0</v>
      </c>
      <c r="R467" s="93">
        <f>SUM('3:23'!R467)</f>
        <v>0</v>
      </c>
      <c r="S467" s="93">
        <f>SUM('3:23'!S467)</f>
        <v>0</v>
      </c>
      <c r="T467" s="93">
        <f>SUM('3:23'!T467)</f>
        <v>0</v>
      </c>
      <c r="U467" s="93">
        <f>SUM('3:23'!U467)</f>
        <v>0</v>
      </c>
      <c r="V467" s="206">
        <f t="shared" si="188"/>
        <v>0</v>
      </c>
      <c r="W467" s="33" t="str">
        <f t="shared" si="184"/>
        <v/>
      </c>
      <c r="X467" s="93">
        <f>SUM('3:23'!X467)</f>
        <v>0</v>
      </c>
      <c r="Y467" s="93">
        <f>SUM('3:23'!Y467)</f>
        <v>0</v>
      </c>
      <c r="Z467" s="93">
        <f>SUM('3:23'!Z467)</f>
        <v>0</v>
      </c>
      <c r="AA467" s="93">
        <f>SUM('3:23'!AA467)</f>
        <v>0</v>
      </c>
      <c r="AB467" s="73"/>
      <c r="AC467" s="54"/>
      <c r="AD467" s="346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99"/>
      <c r="B468" s="63" t="s">
        <v>95</v>
      </c>
      <c r="C468" s="16" t="s">
        <v>60</v>
      </c>
      <c r="D468" s="17">
        <v>5.03</v>
      </c>
      <c r="E468" s="17"/>
      <c r="F468" s="6"/>
      <c r="G468" s="93">
        <f>SUM('3:23'!G468)</f>
        <v>0</v>
      </c>
      <c r="H468" s="339">
        <f t="shared" si="189"/>
        <v>0</v>
      </c>
      <c r="I468" s="93">
        <f>SUM('3:23'!I468)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86"/>
        <v>0</v>
      </c>
      <c r="N468" s="31">
        <f t="shared" si="187"/>
        <v>0</v>
      </c>
      <c r="O468" s="93">
        <f>SUM('3:23'!O468)</f>
        <v>0</v>
      </c>
      <c r="P468" s="93">
        <f>SUM('3:23'!P468)</f>
        <v>0</v>
      </c>
      <c r="Q468" s="93">
        <f>SUM('3:23'!Q468)</f>
        <v>0</v>
      </c>
      <c r="R468" s="93">
        <f>SUM('3:23'!R468)</f>
        <v>0</v>
      </c>
      <c r="S468" s="93">
        <f>SUM('3:23'!S468)</f>
        <v>0</v>
      </c>
      <c r="T468" s="93">
        <f>SUM('3:23'!T468)</f>
        <v>0</v>
      </c>
      <c r="U468" s="93">
        <f>SUM('3:23'!U468)</f>
        <v>0</v>
      </c>
      <c r="V468" s="206">
        <f t="shared" si="188"/>
        <v>0</v>
      </c>
      <c r="W468" s="33" t="str">
        <f t="shared" si="184"/>
        <v/>
      </c>
      <c r="X468" s="93">
        <f>SUM('3:23'!X468)</f>
        <v>0</v>
      </c>
      <c r="Y468" s="93">
        <f>SUM('3:23'!Y468)</f>
        <v>0</v>
      </c>
      <c r="Z468" s="93">
        <f>SUM('3:23'!Z468)</f>
        <v>0</v>
      </c>
      <c r="AA468" s="93">
        <f>SUM('3:23'!AA468)</f>
        <v>0</v>
      </c>
      <c r="AB468" s="73"/>
      <c r="AC468" s="54"/>
      <c r="AD468" s="346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99"/>
      <c r="B469" s="63" t="s">
        <v>95</v>
      </c>
      <c r="C469" s="340" t="s">
        <v>96</v>
      </c>
      <c r="D469" s="17">
        <v>5.03</v>
      </c>
      <c r="E469" s="17"/>
      <c r="F469" s="6"/>
      <c r="G469" s="93">
        <f>SUM('3:23'!G469)</f>
        <v>0</v>
      </c>
      <c r="H469" s="339">
        <f t="shared" si="189"/>
        <v>0</v>
      </c>
      <c r="I469" s="93">
        <f>SUM('3:23'!I469)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86"/>
        <v>0</v>
      </c>
      <c r="N469" s="31">
        <f t="shared" si="187"/>
        <v>0</v>
      </c>
      <c r="O469" s="93">
        <f>SUM('3:23'!O469)</f>
        <v>0</v>
      </c>
      <c r="P469" s="93">
        <f>SUM('3:23'!P469)</f>
        <v>0</v>
      </c>
      <c r="Q469" s="93">
        <f>SUM('3:23'!Q469)</f>
        <v>0</v>
      </c>
      <c r="R469" s="93">
        <f>SUM('3:23'!R469)</f>
        <v>0</v>
      </c>
      <c r="S469" s="93">
        <f>SUM('3:23'!S469)</f>
        <v>0</v>
      </c>
      <c r="T469" s="93">
        <f>SUM('3:23'!T469)</f>
        <v>0</v>
      </c>
      <c r="U469" s="93">
        <f>SUM('3:23'!U469)</f>
        <v>0</v>
      </c>
      <c r="V469" s="206">
        <f t="shared" si="188"/>
        <v>0</v>
      </c>
      <c r="W469" s="33" t="str">
        <f t="shared" si="184"/>
        <v/>
      </c>
      <c r="X469" s="93">
        <f>SUM('3:23'!X469)</f>
        <v>0</v>
      </c>
      <c r="Y469" s="93">
        <f>SUM('3:23'!Y469)</f>
        <v>0</v>
      </c>
      <c r="Z469" s="93">
        <f>SUM('3:23'!Z469)</f>
        <v>0</v>
      </c>
      <c r="AA469" s="93">
        <f>SUM('3:23'!AA469)</f>
        <v>0</v>
      </c>
      <c r="AB469" s="73"/>
      <c r="AC469" s="54"/>
      <c r="AD469" s="346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99">
        <v>30101067</v>
      </c>
      <c r="B470" s="63" t="s">
        <v>97</v>
      </c>
      <c r="C470" s="340" t="s">
        <v>82</v>
      </c>
      <c r="D470" s="17">
        <v>5.03</v>
      </c>
      <c r="E470" s="17"/>
      <c r="F470" s="6"/>
      <c r="G470" s="93">
        <f>SUM('3:23'!G470)</f>
        <v>0</v>
      </c>
      <c r="H470" s="339">
        <f t="shared" si="189"/>
        <v>0</v>
      </c>
      <c r="I470" s="93">
        <f>SUM('3:23'!I470)</f>
        <v>0</v>
      </c>
      <c r="J470" s="31" t="str">
        <f t="array" ref="J470">IF(ISERROR(G470/I470),"",G470/I470)</f>
        <v/>
      </c>
      <c r="K470" s="35" t="str">
        <f t="array" ref="K470">IF(ISERROR(G470/L470),"",G470/L470)</f>
        <v/>
      </c>
      <c r="L470" s="87"/>
      <c r="M470" s="36" t="str">
        <f t="shared" si="186"/>
        <v/>
      </c>
      <c r="N470" s="31">
        <f t="shared" si="187"/>
        <v>0</v>
      </c>
      <c r="O470" s="93">
        <f>SUM('3:23'!O470)</f>
        <v>0</v>
      </c>
      <c r="P470" s="93">
        <f>SUM('3:23'!P470)</f>
        <v>0</v>
      </c>
      <c r="Q470" s="93">
        <f>SUM('3:23'!Q470)</f>
        <v>0</v>
      </c>
      <c r="R470" s="93">
        <f>SUM('3:23'!R470)</f>
        <v>0</v>
      </c>
      <c r="S470" s="93">
        <f>SUM('3:23'!S470)</f>
        <v>0</v>
      </c>
      <c r="T470" s="93">
        <f>SUM('3:23'!T470)</f>
        <v>0</v>
      </c>
      <c r="U470" s="93">
        <f>SUM('3:23'!U470)</f>
        <v>0</v>
      </c>
      <c r="V470" s="206">
        <f t="shared" si="188"/>
        <v>0</v>
      </c>
      <c r="W470" s="33" t="str">
        <f t="shared" si="184"/>
        <v/>
      </c>
      <c r="X470" s="93">
        <f>SUM('3:23'!X470)</f>
        <v>0</v>
      </c>
      <c r="Y470" s="93">
        <f>SUM('3:23'!Y470)</f>
        <v>0</v>
      </c>
      <c r="Z470" s="93">
        <f>SUM('3:23'!Z470)</f>
        <v>0</v>
      </c>
      <c r="AA470" s="93">
        <f>SUM('3:23'!AA470)</f>
        <v>0</v>
      </c>
      <c r="AB470" s="73"/>
      <c r="AC470" s="54"/>
      <c r="AD470" s="346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99">
        <v>30101068</v>
      </c>
      <c r="B471" s="63" t="s">
        <v>97</v>
      </c>
      <c r="C471" s="340" t="s">
        <v>72</v>
      </c>
      <c r="D471" s="17">
        <v>5.03</v>
      </c>
      <c r="E471" s="17"/>
      <c r="F471" s="6"/>
      <c r="G471" s="93">
        <f>SUM('3:23'!G471)</f>
        <v>0</v>
      </c>
      <c r="H471" s="339">
        <f t="shared" si="189"/>
        <v>0</v>
      </c>
      <c r="I471" s="93">
        <f>SUM('3:23'!I471)</f>
        <v>0</v>
      </c>
      <c r="J471" s="31" t="str">
        <f t="array" ref="J471">IF(ISERROR(G471/I471),"",G471/I471)</f>
        <v/>
      </c>
      <c r="K471" s="35" t="str">
        <f t="array" ref="K471">IF(ISERROR(G471/L471),"",G471/L471)</f>
        <v/>
      </c>
      <c r="L471" s="87"/>
      <c r="M471" s="36" t="str">
        <f t="shared" si="186"/>
        <v/>
      </c>
      <c r="N471" s="31">
        <f t="shared" si="187"/>
        <v>0</v>
      </c>
      <c r="O471" s="93">
        <f>SUM('3:23'!O471)</f>
        <v>0</v>
      </c>
      <c r="P471" s="93">
        <f>SUM('3:23'!P471)</f>
        <v>0</v>
      </c>
      <c r="Q471" s="93">
        <f>SUM('3:23'!Q471)</f>
        <v>0</v>
      </c>
      <c r="R471" s="93">
        <f>SUM('3:23'!R471)</f>
        <v>0</v>
      </c>
      <c r="S471" s="93">
        <f>SUM('3:23'!S471)</f>
        <v>0</v>
      </c>
      <c r="T471" s="93">
        <f>SUM('3:23'!T471)</f>
        <v>0</v>
      </c>
      <c r="U471" s="93">
        <f>SUM('3:23'!U471)</f>
        <v>0</v>
      </c>
      <c r="V471" s="206">
        <f t="shared" si="188"/>
        <v>0</v>
      </c>
      <c r="W471" s="33" t="str">
        <f t="shared" si="184"/>
        <v/>
      </c>
      <c r="X471" s="93">
        <f>SUM('3:23'!X471)</f>
        <v>0</v>
      </c>
      <c r="Y471" s="93">
        <f>SUM('3:23'!Y471)</f>
        <v>0</v>
      </c>
      <c r="Z471" s="93">
        <f>SUM('3:23'!Z471)</f>
        <v>0</v>
      </c>
      <c r="AA471" s="93">
        <f>SUM('3:23'!AA471)</f>
        <v>0</v>
      </c>
      <c r="AB471" s="73"/>
      <c r="AC471" s="54"/>
      <c r="AD471" s="346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99">
        <v>30101069</v>
      </c>
      <c r="B472" s="63" t="s">
        <v>97</v>
      </c>
      <c r="C472" s="340" t="s">
        <v>60</v>
      </c>
      <c r="D472" s="17">
        <v>5.03</v>
      </c>
      <c r="E472" s="17"/>
      <c r="F472" s="6"/>
      <c r="G472" s="93">
        <f>SUM('3:23'!G472)</f>
        <v>0</v>
      </c>
      <c r="H472" s="339">
        <f t="shared" si="189"/>
        <v>0</v>
      </c>
      <c r="I472" s="93">
        <f>SUM('3:23'!I472)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86"/>
        <v/>
      </c>
      <c r="N472" s="31">
        <f t="shared" si="187"/>
        <v>0</v>
      </c>
      <c r="O472" s="93">
        <f>SUM('3:23'!O472)</f>
        <v>0</v>
      </c>
      <c r="P472" s="93">
        <f>SUM('3:23'!P472)</f>
        <v>0</v>
      </c>
      <c r="Q472" s="93">
        <f>SUM('3:23'!Q472)</f>
        <v>0</v>
      </c>
      <c r="R472" s="93">
        <f>SUM('3:23'!R472)</f>
        <v>0</v>
      </c>
      <c r="S472" s="93">
        <f>SUM('3:23'!S472)</f>
        <v>0</v>
      </c>
      <c r="T472" s="93">
        <f>SUM('3:23'!T472)</f>
        <v>0</v>
      </c>
      <c r="U472" s="93">
        <f>SUM('3:23'!U472)</f>
        <v>0</v>
      </c>
      <c r="V472" s="206">
        <f t="shared" si="188"/>
        <v>0</v>
      </c>
      <c r="W472" s="33" t="str">
        <f t="shared" si="184"/>
        <v/>
      </c>
      <c r="X472" s="93">
        <f>SUM('3:23'!X472)</f>
        <v>0</v>
      </c>
      <c r="Y472" s="93">
        <f>SUM('3:23'!Y472)</f>
        <v>0</v>
      </c>
      <c r="Z472" s="93">
        <f>SUM('3:23'!Z472)</f>
        <v>0</v>
      </c>
      <c r="AA472" s="93">
        <f>SUM('3:23'!AA472)</f>
        <v>0</v>
      </c>
      <c r="AB472" s="73"/>
      <c r="AC472" s="54"/>
      <c r="AD472" s="346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99">
        <v>30101070</v>
      </c>
      <c r="B473" s="63" t="s">
        <v>97</v>
      </c>
      <c r="C473" s="340" t="s">
        <v>96</v>
      </c>
      <c r="D473" s="17">
        <v>5.03</v>
      </c>
      <c r="E473" s="17"/>
      <c r="F473" s="6"/>
      <c r="G473" s="93">
        <f>SUM('3:23'!G473)</f>
        <v>0</v>
      </c>
      <c r="H473" s="339">
        <f t="shared" si="189"/>
        <v>0</v>
      </c>
      <c r="I473" s="93">
        <f>SUM('3:23'!I473)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86"/>
        <v/>
      </c>
      <c r="N473" s="31">
        <f t="shared" si="187"/>
        <v>0</v>
      </c>
      <c r="O473" s="93">
        <f>SUM('3:23'!O473)</f>
        <v>0</v>
      </c>
      <c r="P473" s="93">
        <f>SUM('3:23'!P473)</f>
        <v>0</v>
      </c>
      <c r="Q473" s="93">
        <f>SUM('3:23'!Q473)</f>
        <v>0</v>
      </c>
      <c r="R473" s="93">
        <f>SUM('3:23'!R473)</f>
        <v>0</v>
      </c>
      <c r="S473" s="93">
        <f>SUM('3:23'!S473)</f>
        <v>0</v>
      </c>
      <c r="T473" s="93">
        <f>SUM('3:23'!T473)</f>
        <v>0</v>
      </c>
      <c r="U473" s="93">
        <f>SUM('3:23'!U473)</f>
        <v>0</v>
      </c>
      <c r="V473" s="206">
        <f t="shared" si="188"/>
        <v>0</v>
      </c>
      <c r="W473" s="33" t="str">
        <f t="shared" si="184"/>
        <v/>
      </c>
      <c r="X473" s="93">
        <f>SUM('3:23'!X473)</f>
        <v>0</v>
      </c>
      <c r="Y473" s="93">
        <f>SUM('3:23'!Y473)</f>
        <v>0</v>
      </c>
      <c r="Z473" s="93">
        <f>SUM('3:23'!Z473)</f>
        <v>0</v>
      </c>
      <c r="AA473" s="93">
        <f>SUM('3:23'!AA473)</f>
        <v>0</v>
      </c>
      <c r="AB473" s="73"/>
      <c r="AC473" s="54"/>
      <c r="AD473" s="346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99">
        <v>30101071</v>
      </c>
      <c r="B474" s="63" t="s">
        <v>97</v>
      </c>
      <c r="C474" s="340" t="s">
        <v>73</v>
      </c>
      <c r="D474" s="17">
        <v>5.03</v>
      </c>
      <c r="E474" s="17"/>
      <c r="F474" s="6"/>
      <c r="G474" s="93">
        <f>SUM('3:23'!G474)</f>
        <v>0</v>
      </c>
      <c r="H474" s="339">
        <f t="shared" si="189"/>
        <v>0</v>
      </c>
      <c r="I474" s="93">
        <f>SUM('3:23'!I474)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86"/>
        <v/>
      </c>
      <c r="N474" s="31">
        <f t="shared" si="187"/>
        <v>0</v>
      </c>
      <c r="O474" s="93">
        <f>SUM('3:23'!O474)</f>
        <v>0</v>
      </c>
      <c r="P474" s="93">
        <f>SUM('3:23'!P474)</f>
        <v>0</v>
      </c>
      <c r="Q474" s="93">
        <f>SUM('3:23'!Q474)</f>
        <v>0</v>
      </c>
      <c r="R474" s="93">
        <f>SUM('3:23'!R474)</f>
        <v>0</v>
      </c>
      <c r="S474" s="93">
        <f>SUM('3:23'!S474)</f>
        <v>0</v>
      </c>
      <c r="T474" s="93">
        <f>SUM('3:23'!T474)</f>
        <v>0</v>
      </c>
      <c r="U474" s="93">
        <f>SUM('3:23'!U474)</f>
        <v>0</v>
      </c>
      <c r="V474" s="206">
        <f t="shared" si="188"/>
        <v>0</v>
      </c>
      <c r="W474" s="33" t="str">
        <f t="shared" si="184"/>
        <v/>
      </c>
      <c r="X474" s="93">
        <f>SUM('3:23'!X474)</f>
        <v>0</v>
      </c>
      <c r="Y474" s="93">
        <f>SUM('3:23'!Y474)</f>
        <v>0</v>
      </c>
      <c r="Z474" s="93">
        <f>SUM('3:23'!Z474)</f>
        <v>0</v>
      </c>
      <c r="AA474" s="93">
        <f>SUM('3:23'!AA474)</f>
        <v>0</v>
      </c>
      <c r="AB474" s="73"/>
      <c r="AC474" s="54"/>
      <c r="AD474" s="346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300">
        <v>30100001</v>
      </c>
      <c r="B475" s="62" t="s">
        <v>98</v>
      </c>
      <c r="C475" s="16" t="s">
        <v>74</v>
      </c>
      <c r="D475" s="17">
        <v>5.0599999999999996</v>
      </c>
      <c r="E475" s="17"/>
      <c r="F475" s="6"/>
      <c r="G475" s="93">
        <f>SUM('3:23'!G475)</f>
        <v>0</v>
      </c>
      <c r="H475" s="339">
        <f t="shared" si="189"/>
        <v>0</v>
      </c>
      <c r="I475" s="93">
        <f>SUM('3:23'!I475)</f>
        <v>0</v>
      </c>
      <c r="J475" s="31" t="str">
        <f t="array" ref="J475">IF(ISERROR(G475/I475),"",G475/I475)</f>
        <v/>
      </c>
      <c r="K475" s="35">
        <f t="array" ref="K475">IF(ISERROR(G475/L475),"",G475/L475)</f>
        <v>0</v>
      </c>
      <c r="L475" s="87">
        <v>25</v>
      </c>
      <c r="M475" s="36">
        <f t="shared" si="186"/>
        <v>0</v>
      </c>
      <c r="N475" s="31">
        <f t="shared" si="187"/>
        <v>0</v>
      </c>
      <c r="O475" s="93">
        <f>SUM('3:23'!O475)</f>
        <v>0</v>
      </c>
      <c r="P475" s="93">
        <f>SUM('3:23'!P475)</f>
        <v>0</v>
      </c>
      <c r="Q475" s="93">
        <f>SUM('3:23'!Q475)</f>
        <v>0</v>
      </c>
      <c r="R475" s="93">
        <f>SUM('3:23'!R475)</f>
        <v>0</v>
      </c>
      <c r="S475" s="93">
        <f>SUM('3:23'!S475)</f>
        <v>0</v>
      </c>
      <c r="T475" s="93">
        <f>SUM('3:23'!T475)</f>
        <v>0</v>
      </c>
      <c r="U475" s="93">
        <f>SUM('3:23'!U475)</f>
        <v>0</v>
      </c>
      <c r="V475" s="206">
        <f t="shared" si="188"/>
        <v>0</v>
      </c>
      <c r="W475" s="33" t="str">
        <f t="shared" si="184"/>
        <v/>
      </c>
      <c r="X475" s="93">
        <f>SUM('3:23'!X475)</f>
        <v>0</v>
      </c>
      <c r="Y475" s="93">
        <f>SUM('3:23'!Y475)</f>
        <v>0</v>
      </c>
      <c r="Z475" s="93">
        <f>SUM('3:23'!Z475)</f>
        <v>0</v>
      </c>
      <c r="AA475" s="93">
        <f>SUM('3:23'!AA475)</f>
        <v>0</v>
      </c>
      <c r="AB475" s="73"/>
      <c r="AC475" s="54"/>
      <c r="AD475" s="346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300">
        <v>30100002</v>
      </c>
      <c r="B476" s="62" t="s">
        <v>98</v>
      </c>
      <c r="C476" s="16" t="s">
        <v>94</v>
      </c>
      <c r="D476" s="17">
        <v>5.0599999999999996</v>
      </c>
      <c r="E476" s="17"/>
      <c r="F476" s="6"/>
      <c r="G476" s="93">
        <f>SUM('3:23'!G476)</f>
        <v>0</v>
      </c>
      <c r="H476" s="339">
        <f t="shared" si="189"/>
        <v>0</v>
      </c>
      <c r="I476" s="93">
        <f>SUM('3:23'!I476)</f>
        <v>0</v>
      </c>
      <c r="J476" s="31" t="str">
        <f t="array" ref="J476">IF(ISERROR(G476/I476),"",G476/I476)</f>
        <v/>
      </c>
      <c r="K476" s="35">
        <f t="array" ref="K476">IF(ISERROR(G476/L476),"",G476/L476)</f>
        <v>0</v>
      </c>
      <c r="L476" s="87">
        <v>25</v>
      </c>
      <c r="M476" s="36">
        <f t="shared" si="186"/>
        <v>0</v>
      </c>
      <c r="N476" s="31">
        <f t="shared" si="187"/>
        <v>0</v>
      </c>
      <c r="O476" s="93">
        <f>SUM('3:23'!O476)</f>
        <v>0</v>
      </c>
      <c r="P476" s="93">
        <f>SUM('3:23'!P476)</f>
        <v>0</v>
      </c>
      <c r="Q476" s="93">
        <f>SUM('3:23'!Q476)</f>
        <v>0</v>
      </c>
      <c r="R476" s="93">
        <f>SUM('3:23'!R476)</f>
        <v>0</v>
      </c>
      <c r="S476" s="93">
        <f>SUM('3:23'!S476)</f>
        <v>0</v>
      </c>
      <c r="T476" s="93">
        <f>SUM('3:23'!T476)</f>
        <v>0</v>
      </c>
      <c r="U476" s="93">
        <f>SUM('3:23'!U476)</f>
        <v>0</v>
      </c>
      <c r="V476" s="206">
        <f t="shared" si="188"/>
        <v>0</v>
      </c>
      <c r="W476" s="33" t="str">
        <f t="shared" si="184"/>
        <v/>
      </c>
      <c r="X476" s="93">
        <f>SUM('3:23'!X476)</f>
        <v>0</v>
      </c>
      <c r="Y476" s="93">
        <f>SUM('3:23'!Y476)</f>
        <v>0</v>
      </c>
      <c r="Z476" s="93">
        <f>SUM('3:23'!Z476)</f>
        <v>0</v>
      </c>
      <c r="AA476" s="93">
        <f>SUM('3:23'!AA476)</f>
        <v>0</v>
      </c>
      <c r="AB476" s="73"/>
      <c r="AC476" s="54"/>
      <c r="AD476" s="346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725" t="s">
        <v>99</v>
      </c>
      <c r="B477" s="726"/>
      <c r="C477" s="342" t="s">
        <v>71</v>
      </c>
      <c r="D477" s="20"/>
      <c r="E477" s="20"/>
      <c r="F477" s="32"/>
      <c r="G477" s="99">
        <f>SUM(G462:G476)</f>
        <v>0</v>
      </c>
      <c r="H477" s="30">
        <f>SUM(H462:H476)</f>
        <v>0</v>
      </c>
      <c r="I477" s="30">
        <f>SUM(I462:I476)</f>
        <v>0</v>
      </c>
      <c r="J477" s="31" t="str">
        <f t="array" ref="J477">IF(ISERROR(G477/I477),"",G477/I477)</f>
        <v/>
      </c>
      <c r="K477" s="30">
        <f>SUM(K462:K476)</f>
        <v>0</v>
      </c>
      <c r="L477" s="98"/>
      <c r="M477" s="89">
        <f t="shared" ref="M477:V477" si="190">SUM(M462:M476)</f>
        <v>0</v>
      </c>
      <c r="N477" s="30">
        <f t="shared" si="190"/>
        <v>0</v>
      </c>
      <c r="O477" s="30">
        <f t="shared" si="190"/>
        <v>0</v>
      </c>
      <c r="P477" s="30">
        <f t="shared" si="190"/>
        <v>0</v>
      </c>
      <c r="Q477" s="30">
        <f t="shared" si="190"/>
        <v>0</v>
      </c>
      <c r="R477" s="30">
        <f t="shared" si="190"/>
        <v>0</v>
      </c>
      <c r="S477" s="30">
        <f t="shared" si="190"/>
        <v>0</v>
      </c>
      <c r="T477" s="30">
        <f t="shared" si="190"/>
        <v>0</v>
      </c>
      <c r="U477" s="30">
        <f t="shared" si="190"/>
        <v>0</v>
      </c>
      <c r="V477" s="208">
        <f t="shared" si="190"/>
        <v>0</v>
      </c>
      <c r="W477" s="33" t="str">
        <f t="shared" si="184"/>
        <v/>
      </c>
      <c r="X477" s="94">
        <f>SUM(X462:X476)</f>
        <v>0</v>
      </c>
      <c r="Y477" s="94">
        <f>SUM(Y462:Y476)</f>
        <v>0</v>
      </c>
      <c r="Z477" s="94">
        <f>SUM(Z462:Z476)</f>
        <v>0</v>
      </c>
      <c r="AA477" s="94">
        <f>SUM(AA462:AA476)</f>
        <v>0</v>
      </c>
      <c r="AB477" s="75"/>
      <c r="AC477" s="70"/>
      <c r="AD477" s="346"/>
      <c r="AE477" s="74"/>
      <c r="AF477" s="74"/>
      <c r="AG477" s="74"/>
      <c r="AH477" s="7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300">
        <v>30400025</v>
      </c>
      <c r="B478" s="192" t="s">
        <v>423</v>
      </c>
      <c r="C478" s="16" t="s">
        <v>53</v>
      </c>
      <c r="D478" s="17">
        <v>5.04</v>
      </c>
      <c r="E478" s="17"/>
      <c r="F478" s="6"/>
      <c r="G478" s="93">
        <f>SUM('3:23'!G478)</f>
        <v>0</v>
      </c>
      <c r="H478" s="339">
        <f t="shared" ref="H478:H486" si="191">D478*G478</f>
        <v>0</v>
      </c>
      <c r="I478" s="93">
        <f>SUM('3:23'!I478)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22</v>
      </c>
      <c r="M478" s="36">
        <f t="shared" ref="M478:M482" si="192">IF(ISERROR(I478-K478),"",I478-K478)</f>
        <v>0</v>
      </c>
      <c r="N478" s="31">
        <f t="shared" ref="N478:N482" si="193">SUM(O478:U478)</f>
        <v>0</v>
      </c>
      <c r="O478" s="93">
        <f>SUM('3:23'!O478)</f>
        <v>0</v>
      </c>
      <c r="P478" s="93">
        <f>SUM('3:23'!P478)</f>
        <v>0</v>
      </c>
      <c r="Q478" s="93">
        <f>SUM('3:23'!Q478)</f>
        <v>0</v>
      </c>
      <c r="R478" s="93">
        <f>SUM('3:23'!R478)</f>
        <v>0</v>
      </c>
      <c r="S478" s="93">
        <f>SUM('3:23'!S478)</f>
        <v>0</v>
      </c>
      <c r="T478" s="93">
        <f>SUM('3:23'!T478)</f>
        <v>0</v>
      </c>
      <c r="U478" s="93">
        <f>SUM('3:23'!U478)</f>
        <v>0</v>
      </c>
      <c r="V478" s="206">
        <f t="shared" ref="V478:V482" si="194">SUM(X478:AA478)</f>
        <v>0</v>
      </c>
      <c r="W478" s="33" t="str">
        <f t="shared" si="184"/>
        <v/>
      </c>
      <c r="X478" s="93">
        <f>SUM('3:23'!X478)</f>
        <v>0</v>
      </c>
      <c r="Y478" s="93">
        <f>SUM('3:23'!Y478)</f>
        <v>0</v>
      </c>
      <c r="Z478" s="93">
        <f>SUM('3:23'!Z478)</f>
        <v>0</v>
      </c>
      <c r="AA478" s="93">
        <f>SUM('3:23'!AA478)</f>
        <v>0</v>
      </c>
      <c r="AB478" s="73"/>
      <c r="AC478" s="54"/>
      <c r="AD478" s="346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300">
        <v>30400023</v>
      </c>
      <c r="B479" s="192" t="s">
        <v>423</v>
      </c>
      <c r="C479" s="16" t="s">
        <v>60</v>
      </c>
      <c r="D479" s="17">
        <v>5.04</v>
      </c>
      <c r="E479" s="17"/>
      <c r="F479" s="6"/>
      <c r="G479" s="93">
        <f>SUM('3:23'!G479)</f>
        <v>0</v>
      </c>
      <c r="H479" s="339">
        <f t="shared" si="191"/>
        <v>0</v>
      </c>
      <c r="I479" s="93">
        <f>SUM('3:23'!I479)</f>
        <v>0</v>
      </c>
      <c r="J479" s="31" t="str">
        <f t="array" ref="J479">IF(ISERROR(G479/I479),"",G479/I479)</f>
        <v/>
      </c>
      <c r="K479" s="35">
        <f t="array" ref="K479">IF(ISERROR(G479/L479),"",G479/L479)</f>
        <v>0</v>
      </c>
      <c r="L479" s="87">
        <v>22</v>
      </c>
      <c r="M479" s="36">
        <f t="shared" si="192"/>
        <v>0</v>
      </c>
      <c r="N479" s="31">
        <f t="shared" si="193"/>
        <v>0</v>
      </c>
      <c r="O479" s="93">
        <f>SUM('3:23'!O479)</f>
        <v>0</v>
      </c>
      <c r="P479" s="93">
        <f>SUM('3:23'!P479)</f>
        <v>0</v>
      </c>
      <c r="Q479" s="93">
        <f>SUM('3:23'!Q479)</f>
        <v>0</v>
      </c>
      <c r="R479" s="93">
        <f>SUM('3:23'!R479)</f>
        <v>0</v>
      </c>
      <c r="S479" s="93">
        <f>SUM('3:23'!S479)</f>
        <v>0</v>
      </c>
      <c r="T479" s="93">
        <f>SUM('3:23'!T479)</f>
        <v>0</v>
      </c>
      <c r="U479" s="93">
        <f>SUM('3:23'!U479)</f>
        <v>0</v>
      </c>
      <c r="V479" s="206">
        <f t="shared" si="194"/>
        <v>0</v>
      </c>
      <c r="W479" s="33" t="str">
        <f t="shared" si="184"/>
        <v/>
      </c>
      <c r="X479" s="93">
        <f>SUM('3:23'!X479)</f>
        <v>0</v>
      </c>
      <c r="Y479" s="93">
        <f>SUM('3:23'!Y479)</f>
        <v>0</v>
      </c>
      <c r="Z479" s="93">
        <f>SUM('3:23'!Z479)</f>
        <v>0</v>
      </c>
      <c r="AA479" s="93">
        <f>SUM('3:23'!AA479)</f>
        <v>0</v>
      </c>
      <c r="AB479" s="73"/>
      <c r="AC479" s="54"/>
      <c r="AD479" s="346"/>
      <c r="AE479" s="54"/>
      <c r="AF479" s="54"/>
      <c r="AG479" s="54"/>
      <c r="AH479" s="5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300">
        <v>30400024</v>
      </c>
      <c r="B480" s="192" t="s">
        <v>423</v>
      </c>
      <c r="C480" s="16" t="s">
        <v>74</v>
      </c>
      <c r="D480" s="17">
        <v>5.04</v>
      </c>
      <c r="E480" s="17"/>
      <c r="F480" s="6"/>
      <c r="G480" s="93">
        <f>SUM('3:23'!G480)</f>
        <v>0</v>
      </c>
      <c r="H480" s="339">
        <f t="shared" si="191"/>
        <v>0</v>
      </c>
      <c r="I480" s="93">
        <f>SUM('3:23'!I480)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si="192"/>
        <v>0</v>
      </c>
      <c r="N480" s="31">
        <f t="shared" si="193"/>
        <v>0</v>
      </c>
      <c r="O480" s="93">
        <f>SUM('3:23'!O480)</f>
        <v>0</v>
      </c>
      <c r="P480" s="93">
        <f>SUM('3:23'!P480)</f>
        <v>0</v>
      </c>
      <c r="Q480" s="93">
        <f>SUM('3:23'!Q480)</f>
        <v>0</v>
      </c>
      <c r="R480" s="93">
        <f>SUM('3:23'!R480)</f>
        <v>0</v>
      </c>
      <c r="S480" s="93">
        <f>SUM('3:23'!S480)</f>
        <v>0</v>
      </c>
      <c r="T480" s="93">
        <f>SUM('3:23'!T480)</f>
        <v>0</v>
      </c>
      <c r="U480" s="93">
        <f>SUM('3:23'!U480)</f>
        <v>0</v>
      </c>
      <c r="V480" s="206">
        <f t="shared" si="194"/>
        <v>0</v>
      </c>
      <c r="W480" s="33" t="str">
        <f t="shared" si="184"/>
        <v/>
      </c>
      <c r="X480" s="93">
        <f>SUM('3:23'!X480)</f>
        <v>0</v>
      </c>
      <c r="Y480" s="93">
        <f>SUM('3:23'!Y480)</f>
        <v>0</v>
      </c>
      <c r="Z480" s="93">
        <f>SUM('3:23'!Z480)</f>
        <v>0</v>
      </c>
      <c r="AA480" s="93">
        <f>SUM('3:23'!AA480)</f>
        <v>0</v>
      </c>
      <c r="AB480" s="73"/>
      <c r="AC480" s="54"/>
      <c r="AD480" s="346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300"/>
      <c r="B481" s="192" t="s">
        <v>423</v>
      </c>
      <c r="C481" s="16" t="s">
        <v>66</v>
      </c>
      <c r="D481" s="17">
        <v>5.04</v>
      </c>
      <c r="E481" s="17"/>
      <c r="F481" s="6"/>
      <c r="G481" s="93">
        <f>SUM('3:23'!G481)</f>
        <v>0</v>
      </c>
      <c r="H481" s="339">
        <f t="shared" si="191"/>
        <v>0</v>
      </c>
      <c r="I481" s="93">
        <f>SUM('3:23'!I481)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92"/>
        <v>0</v>
      </c>
      <c r="N481" s="31">
        <f t="shared" si="193"/>
        <v>0</v>
      </c>
      <c r="O481" s="93">
        <f>SUM('3:23'!O481)</f>
        <v>0</v>
      </c>
      <c r="P481" s="93">
        <f>SUM('3:23'!P481)</f>
        <v>0</v>
      </c>
      <c r="Q481" s="93">
        <f>SUM('3:23'!Q481)</f>
        <v>0</v>
      </c>
      <c r="R481" s="93">
        <f>SUM('3:23'!R481)</f>
        <v>0</v>
      </c>
      <c r="S481" s="93">
        <f>SUM('3:23'!S481)</f>
        <v>0</v>
      </c>
      <c r="T481" s="93">
        <f>SUM('3:23'!T481)</f>
        <v>0</v>
      </c>
      <c r="U481" s="93">
        <f>SUM('3:23'!U481)</f>
        <v>0</v>
      </c>
      <c r="V481" s="206">
        <f t="shared" si="194"/>
        <v>0</v>
      </c>
      <c r="W481" s="33" t="str">
        <f t="shared" si="184"/>
        <v/>
      </c>
      <c r="X481" s="93">
        <f>SUM('3:23'!X481)</f>
        <v>0</v>
      </c>
      <c r="Y481" s="93">
        <f>SUM('3:23'!Y481)</f>
        <v>0</v>
      </c>
      <c r="Z481" s="93">
        <f>SUM('3:23'!Z481)</f>
        <v>0</v>
      </c>
      <c r="AA481" s="93">
        <f>SUM('3:23'!AA481)</f>
        <v>0</v>
      </c>
      <c r="AB481" s="73"/>
      <c r="AC481" s="54"/>
      <c r="AD481" s="346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300"/>
      <c r="B482" s="192" t="s">
        <v>423</v>
      </c>
      <c r="C482" s="16" t="s">
        <v>101</v>
      </c>
      <c r="D482" s="17">
        <v>5.04</v>
      </c>
      <c r="E482" s="17"/>
      <c r="F482" s="6"/>
      <c r="G482" s="93">
        <f>SUM('3:23'!G482)</f>
        <v>0</v>
      </c>
      <c r="H482" s="339">
        <f t="shared" si="191"/>
        <v>0</v>
      </c>
      <c r="I482" s="93">
        <f>SUM('3:23'!I482)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92"/>
        <v>0</v>
      </c>
      <c r="N482" s="31">
        <f t="shared" si="193"/>
        <v>0</v>
      </c>
      <c r="O482" s="93">
        <f>SUM('3:23'!O482)</f>
        <v>0</v>
      </c>
      <c r="P482" s="93">
        <f>SUM('3:23'!P482)</f>
        <v>0</v>
      </c>
      <c r="Q482" s="93">
        <f>SUM('3:23'!Q482)</f>
        <v>0</v>
      </c>
      <c r="R482" s="93">
        <f>SUM('3:23'!R482)</f>
        <v>0</v>
      </c>
      <c r="S482" s="93">
        <f>SUM('3:23'!S482)</f>
        <v>0</v>
      </c>
      <c r="T482" s="93">
        <f>SUM('3:23'!T482)</f>
        <v>0</v>
      </c>
      <c r="U482" s="93">
        <f>SUM('3:23'!U482)</f>
        <v>0</v>
      </c>
      <c r="V482" s="206">
        <f t="shared" si="194"/>
        <v>0</v>
      </c>
      <c r="W482" s="33" t="str">
        <f t="shared" si="184"/>
        <v/>
      </c>
      <c r="X482" s="93">
        <f>SUM('3:23'!X482)</f>
        <v>0</v>
      </c>
      <c r="Y482" s="93">
        <f>SUM('3:23'!Y482)</f>
        <v>0</v>
      </c>
      <c r="Z482" s="93">
        <f>SUM('3:23'!Z482)</f>
        <v>0</v>
      </c>
      <c r="AA482" s="93">
        <f>SUM('3:23'!AA482)</f>
        <v>0</v>
      </c>
      <c r="AB482" s="73"/>
      <c r="AC482" s="54"/>
      <c r="AD482" s="346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300">
        <v>30400019</v>
      </c>
      <c r="B483" s="192" t="s">
        <v>440</v>
      </c>
      <c r="C483" s="187" t="s">
        <v>442</v>
      </c>
      <c r="D483" s="17">
        <v>5.04</v>
      </c>
      <c r="E483" s="17"/>
      <c r="F483" s="6"/>
      <c r="G483" s="93">
        <f>SUM('3:23'!G483)</f>
        <v>0</v>
      </c>
      <c r="H483" s="339">
        <f t="shared" si="191"/>
        <v>0</v>
      </c>
      <c r="I483" s="93">
        <f>SUM('3:23'!I483)</f>
        <v>0</v>
      </c>
      <c r="J483" s="31"/>
      <c r="K483" s="35"/>
      <c r="L483" s="87">
        <v>13.5</v>
      </c>
      <c r="M483" s="36"/>
      <c r="N483" s="31"/>
      <c r="O483" s="93"/>
      <c r="P483" s="93"/>
      <c r="Q483" s="93"/>
      <c r="R483" s="93"/>
      <c r="S483" s="93"/>
      <c r="T483" s="93"/>
      <c r="U483" s="93"/>
      <c r="V483" s="206"/>
      <c r="W483" s="33"/>
      <c r="X483" s="93"/>
      <c r="Y483" s="93"/>
      <c r="Z483" s="93"/>
      <c r="AA483" s="93"/>
      <c r="AB483" s="73"/>
      <c r="AC483" s="54"/>
      <c r="AD483" s="346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300">
        <v>30400020</v>
      </c>
      <c r="B484" s="192" t="s">
        <v>439</v>
      </c>
      <c r="C484" s="187" t="s">
        <v>523</v>
      </c>
      <c r="D484" s="17">
        <v>5.04</v>
      </c>
      <c r="E484" s="17"/>
      <c r="F484" s="6"/>
      <c r="G484" s="93">
        <f>SUM('3:23'!G484)</f>
        <v>0</v>
      </c>
      <c r="H484" s="508">
        <f t="shared" si="191"/>
        <v>0</v>
      </c>
      <c r="I484" s="93">
        <f>SUM('3:23'!I484)</f>
        <v>0</v>
      </c>
      <c r="J484" s="31"/>
      <c r="K484" s="35"/>
      <c r="L484" s="87">
        <v>13.5</v>
      </c>
      <c r="M484" s="36"/>
      <c r="N484" s="31"/>
      <c r="O484" s="93"/>
      <c r="P484" s="93"/>
      <c r="Q484" s="93"/>
      <c r="R484" s="93"/>
      <c r="S484" s="93"/>
      <c r="T484" s="93"/>
      <c r="U484" s="93"/>
      <c r="V484" s="206"/>
      <c r="W484" s="33"/>
      <c r="X484" s="93"/>
      <c r="Y484" s="93"/>
      <c r="Z484" s="93"/>
      <c r="AA484" s="93"/>
      <c r="AB484" s="73"/>
      <c r="AC484" s="54"/>
      <c r="AD484" s="482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300">
        <v>30400021</v>
      </c>
      <c r="B485" s="192" t="s">
        <v>439</v>
      </c>
      <c r="C485" s="187" t="s">
        <v>525</v>
      </c>
      <c r="D485" s="17">
        <v>5.04</v>
      </c>
      <c r="E485" s="17"/>
      <c r="F485" s="6"/>
      <c r="G485" s="93">
        <f>SUM('3:23'!G485)</f>
        <v>0</v>
      </c>
      <c r="H485" s="508">
        <f t="shared" si="191"/>
        <v>0</v>
      </c>
      <c r="I485" s="93"/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6"/>
      <c r="W485" s="33"/>
      <c r="X485" s="93"/>
      <c r="Y485" s="93"/>
      <c r="Z485" s="93"/>
      <c r="AA485" s="93"/>
      <c r="AB485" s="73"/>
      <c r="AC485" s="54"/>
      <c r="AD485" s="509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300">
        <v>30400022</v>
      </c>
      <c r="B486" s="192" t="s">
        <v>423</v>
      </c>
      <c r="C486" s="16" t="s">
        <v>55</v>
      </c>
      <c r="D486" s="17">
        <v>5.04</v>
      </c>
      <c r="E486" s="17"/>
      <c r="F486" s="6"/>
      <c r="G486" s="93">
        <f>SUM('3:23'!G486)</f>
        <v>0</v>
      </c>
      <c r="H486" s="339">
        <f t="shared" si="191"/>
        <v>0</v>
      </c>
      <c r="I486" s="93">
        <f>SUM('3:23'!I486)</f>
        <v>0</v>
      </c>
      <c r="J486" s="31" t="str">
        <f t="array" ref="J486">IF(ISERROR(G486/I486),"",G486/I486)</f>
        <v/>
      </c>
      <c r="K486" s="35">
        <f t="array" ref="K486">IF(ISERROR(G486/L486),"",G486/L486)</f>
        <v>0</v>
      </c>
      <c r="L486" s="87">
        <v>22</v>
      </c>
      <c r="M486" s="36">
        <f t="shared" ref="M486" si="195">IF(ISERROR(I486-K486),"",I486-K486)</f>
        <v>0</v>
      </c>
      <c r="N486" s="31">
        <f t="shared" ref="N486" si="196">SUM(O486:U486)</f>
        <v>0</v>
      </c>
      <c r="O486" s="93">
        <f>SUM('3:23'!O486)</f>
        <v>0</v>
      </c>
      <c r="P486" s="93">
        <f>SUM('3:23'!P486)</f>
        <v>0</v>
      </c>
      <c r="Q486" s="93">
        <f>SUM('3:23'!Q486)</f>
        <v>0</v>
      </c>
      <c r="R486" s="93">
        <f>SUM('3:23'!R486)</f>
        <v>0</v>
      </c>
      <c r="S486" s="93">
        <f>SUM('3:23'!S486)</f>
        <v>0</v>
      </c>
      <c r="T486" s="93">
        <f>SUM('3:23'!T486)</f>
        <v>0</v>
      </c>
      <c r="U486" s="93">
        <f>SUM('3:23'!U486)</f>
        <v>0</v>
      </c>
      <c r="V486" s="206">
        <f t="shared" ref="V486" si="197">SUM(X486:AA486)</f>
        <v>0</v>
      </c>
      <c r="W486" s="33" t="str">
        <f t="shared" ref="W486:W491" si="198">IF(ISERROR(V486/G486),"",V486/G486)</f>
        <v/>
      </c>
      <c r="X486" s="93">
        <f>SUM('3:23'!X486)</f>
        <v>0</v>
      </c>
      <c r="Y486" s="93">
        <f>SUM('3:23'!Y486)</f>
        <v>0</v>
      </c>
      <c r="Z486" s="93">
        <f>SUM('3:23'!Z486)</f>
        <v>0</v>
      </c>
      <c r="AA486" s="93">
        <f>SUM('3:23'!AA486)</f>
        <v>0</v>
      </c>
      <c r="AB486" s="73"/>
      <c r="AC486" s="54"/>
      <c r="AD486" s="346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725" t="s">
        <v>102</v>
      </c>
      <c r="B487" s="726"/>
      <c r="C487" s="342" t="s">
        <v>71</v>
      </c>
      <c r="D487" s="20"/>
      <c r="E487" s="20"/>
      <c r="F487" s="32"/>
      <c r="G487" s="99">
        <f>SUM(G478:G486)</f>
        <v>0</v>
      </c>
      <c r="H487" s="30">
        <f>SUM(H478:H486)</f>
        <v>0</v>
      </c>
      <c r="I487" s="30">
        <f>SUM(I478:I486)</f>
        <v>0</v>
      </c>
      <c r="J487" s="31" t="str">
        <f t="array" ref="J487">IF(ISERROR(G487/I487),"",G487/I487)</f>
        <v/>
      </c>
      <c r="K487" s="30">
        <f>SUM(K478:K486)</f>
        <v>0</v>
      </c>
      <c r="L487" s="98"/>
      <c r="M487" s="89">
        <f>SUM(M478:M486)</f>
        <v>0</v>
      </c>
      <c r="N487" s="30">
        <f>SUM(N478:N486)</f>
        <v>0</v>
      </c>
      <c r="O487" s="91">
        <f>SUM(O478:O486)</f>
        <v>0</v>
      </c>
      <c r="P487" s="91">
        <f>SUM(P478:P486)</f>
        <v>0</v>
      </c>
      <c r="Q487" s="91">
        <f>SUM(Q478:Q486)</f>
        <v>0</v>
      </c>
      <c r="R487" s="91"/>
      <c r="S487" s="92">
        <f>SUM(S478:S486)</f>
        <v>0</v>
      </c>
      <c r="T487" s="91">
        <f>SUM(T478:T486)</f>
        <v>0</v>
      </c>
      <c r="U487" s="91">
        <f>SUM(U478:U486)</f>
        <v>0</v>
      </c>
      <c r="V487" s="206">
        <f>SUM(V478:V486)</f>
        <v>0</v>
      </c>
      <c r="W487" s="33" t="str">
        <f t="shared" si="198"/>
        <v/>
      </c>
      <c r="X487" s="92">
        <f>SUM(X478:X486)</f>
        <v>0</v>
      </c>
      <c r="Y487" s="92">
        <f>SUM(Y478:Y486)</f>
        <v>0</v>
      </c>
      <c r="Z487" s="92">
        <f>SUM(Z478:Z486)</f>
        <v>0</v>
      </c>
      <c r="AA487" s="92">
        <f>SUM(AA478:AA486)</f>
        <v>0</v>
      </c>
      <c r="AB487" s="75"/>
      <c r="AC487" s="70"/>
      <c r="AD487" s="346"/>
      <c r="AE487" s="74"/>
      <c r="AF487" s="74"/>
      <c r="AG487" s="74"/>
      <c r="AH487" s="7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299">
        <v>30700013</v>
      </c>
      <c r="B488" s="64" t="s">
        <v>103</v>
      </c>
      <c r="C488" s="335"/>
      <c r="D488" s="17">
        <v>3.65</v>
      </c>
      <c r="E488" s="17"/>
      <c r="F488" s="53"/>
      <c r="G488" s="93">
        <f>SUM('3:23'!G488)</f>
        <v>0</v>
      </c>
      <c r="H488" s="339">
        <f>D488*G488</f>
        <v>0</v>
      </c>
      <c r="I488" s="93">
        <f>SUM('3:23'!I488)</f>
        <v>0</v>
      </c>
      <c r="J488" s="31" t="str">
        <f t="array" ref="J488">IF(ISERROR(G488/I488),"",G488/I488)</f>
        <v/>
      </c>
      <c r="K488" s="339">
        <f t="array" ref="K488">IF(ISERROR(G488/L488),"",G488/L488)</f>
        <v>0</v>
      </c>
      <c r="L488" s="87">
        <v>5</v>
      </c>
      <c r="M488" s="36">
        <f t="shared" ref="M488:M491" si="199">IF(ISERROR(I488-K488),"",I488-K488)</f>
        <v>0</v>
      </c>
      <c r="N488" s="31">
        <f t="shared" ref="N488:N491" si="200">SUM(O488:U488)</f>
        <v>0</v>
      </c>
      <c r="O488" s="93">
        <f>SUM('3:23'!O488)</f>
        <v>0</v>
      </c>
      <c r="P488" s="93">
        <f>SUM('3:23'!P488)</f>
        <v>0</v>
      </c>
      <c r="Q488" s="93">
        <f>SUM('3:23'!Q488)</f>
        <v>0</v>
      </c>
      <c r="R488" s="93">
        <f>SUM('3:23'!R488)</f>
        <v>0</v>
      </c>
      <c r="S488" s="93">
        <f>SUM('3:23'!S488)</f>
        <v>0</v>
      </c>
      <c r="T488" s="93">
        <f>SUM('3:23'!T488)</f>
        <v>0</v>
      </c>
      <c r="U488" s="93">
        <f>SUM('3:23'!U488)</f>
        <v>0</v>
      </c>
      <c r="V488" s="206">
        <f t="shared" ref="V488:V491" si="201">SUM(X488:AA488)</f>
        <v>0</v>
      </c>
      <c r="W488" s="33" t="str">
        <f t="shared" si="198"/>
        <v/>
      </c>
      <c r="X488" s="93">
        <f>SUM('3:23'!X488)</f>
        <v>0</v>
      </c>
      <c r="Y488" s="93">
        <f>SUM('3:23'!Y488)</f>
        <v>0</v>
      </c>
      <c r="Z488" s="93">
        <f>SUM('3:23'!Z488)</f>
        <v>0</v>
      </c>
      <c r="AA488" s="93">
        <f>SUM('3:23'!AA488)</f>
        <v>0</v>
      </c>
      <c r="AB488" s="73"/>
      <c r="AC488" s="54"/>
      <c r="AD488" s="346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299">
        <v>30700014</v>
      </c>
      <c r="B489" s="64" t="s">
        <v>0</v>
      </c>
      <c r="C489" s="335"/>
      <c r="D489" s="17">
        <v>6.58</v>
      </c>
      <c r="E489" s="17"/>
      <c r="F489" s="6"/>
      <c r="G489" s="93">
        <f>SUM('3:23'!G489)</f>
        <v>0</v>
      </c>
      <c r="H489" s="339">
        <f t="shared" ref="H489:H502" si="202">D489*G489</f>
        <v>0</v>
      </c>
      <c r="I489" s="93">
        <f>SUM('3:23'!I489)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5</v>
      </c>
      <c r="M489" s="36">
        <f t="shared" si="199"/>
        <v>0</v>
      </c>
      <c r="N489" s="31">
        <f t="shared" si="200"/>
        <v>0</v>
      </c>
      <c r="O489" s="93">
        <f>SUM('3:23'!O489)</f>
        <v>0</v>
      </c>
      <c r="P489" s="93">
        <f>SUM('3:23'!P489)</f>
        <v>0</v>
      </c>
      <c r="Q489" s="93">
        <f>SUM('3:23'!Q489)</f>
        <v>0</v>
      </c>
      <c r="R489" s="93">
        <f>SUM('3:23'!R489)</f>
        <v>0</v>
      </c>
      <c r="S489" s="93">
        <f>SUM('3:23'!S489)</f>
        <v>0</v>
      </c>
      <c r="T489" s="93">
        <f>SUM('3:23'!T489)</f>
        <v>0</v>
      </c>
      <c r="U489" s="93">
        <f>SUM('3:23'!U489)</f>
        <v>0</v>
      </c>
      <c r="V489" s="206">
        <f t="shared" si="201"/>
        <v>0</v>
      </c>
      <c r="W489" s="33" t="str">
        <f t="shared" si="198"/>
        <v/>
      </c>
      <c r="X489" s="93">
        <f>SUM('3:23'!X489)</f>
        <v>0</v>
      </c>
      <c r="Y489" s="93">
        <f>SUM('3:23'!Y489)</f>
        <v>0</v>
      </c>
      <c r="Z489" s="93">
        <f>SUM('3:23'!Z489)</f>
        <v>0</v>
      </c>
      <c r="AA489" s="93">
        <f>SUM('3:23'!AA489)</f>
        <v>0</v>
      </c>
      <c r="AB489" s="73"/>
      <c r="AC489" s="54"/>
      <c r="AD489" s="346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299">
        <v>30700016</v>
      </c>
      <c r="B490" s="64" t="s">
        <v>1</v>
      </c>
      <c r="C490" s="335"/>
      <c r="D490" s="17">
        <v>7.8</v>
      </c>
      <c r="E490" s="17"/>
      <c r="F490" s="6"/>
      <c r="G490" s="93">
        <f>SUM('3:23'!G490)</f>
        <v>0</v>
      </c>
      <c r="H490" s="339">
        <f t="shared" si="202"/>
        <v>0</v>
      </c>
      <c r="I490" s="93">
        <f>SUM('3:23'!I490)</f>
        <v>0</v>
      </c>
      <c r="J490" s="31" t="str">
        <f t="array" ref="J490">IF(ISERROR(G490/I490),"",G490/I490)</f>
        <v/>
      </c>
      <c r="K490" s="35">
        <f t="array" ref="K490">IF(ISERROR(G490/L490),"",G490/L490)</f>
        <v>0</v>
      </c>
      <c r="L490" s="87">
        <v>4.5999999999999996</v>
      </c>
      <c r="M490" s="36">
        <f t="shared" si="199"/>
        <v>0</v>
      </c>
      <c r="N490" s="31">
        <f t="shared" si="200"/>
        <v>0</v>
      </c>
      <c r="O490" s="93">
        <f>SUM('3:23'!O490)</f>
        <v>0</v>
      </c>
      <c r="P490" s="93">
        <f>SUM('3:23'!P490)</f>
        <v>0</v>
      </c>
      <c r="Q490" s="93">
        <f>SUM('3:23'!Q490)</f>
        <v>0</v>
      </c>
      <c r="R490" s="93">
        <f>SUM('3:23'!R490)</f>
        <v>0</v>
      </c>
      <c r="S490" s="93">
        <f>SUM('3:23'!S490)</f>
        <v>0</v>
      </c>
      <c r="T490" s="93">
        <f>SUM('3:23'!T490)</f>
        <v>0</v>
      </c>
      <c r="U490" s="93">
        <f>SUM('3:23'!U490)</f>
        <v>0</v>
      </c>
      <c r="V490" s="206">
        <f t="shared" si="201"/>
        <v>0</v>
      </c>
      <c r="W490" s="33" t="str">
        <f t="shared" si="198"/>
        <v/>
      </c>
      <c r="X490" s="93">
        <f>SUM('3:23'!X490)</f>
        <v>0</v>
      </c>
      <c r="Y490" s="93">
        <f>SUM('3:23'!Y490)</f>
        <v>0</v>
      </c>
      <c r="Z490" s="93">
        <f>SUM('3:23'!Z490)</f>
        <v>0</v>
      </c>
      <c r="AA490" s="93">
        <f>SUM('3:23'!AA490)</f>
        <v>0</v>
      </c>
      <c r="AB490" s="73"/>
      <c r="AC490" s="54"/>
      <c r="AD490" s="346"/>
      <c r="AE490" s="54"/>
      <c r="AF490" s="54"/>
      <c r="AG490" s="54"/>
      <c r="AH490" s="5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99">
        <v>30700017</v>
      </c>
      <c r="B491" s="64" t="s">
        <v>2</v>
      </c>
      <c r="C491" s="335"/>
      <c r="D491" s="17">
        <v>4.4000000000000004</v>
      </c>
      <c r="E491" s="17"/>
      <c r="F491" s="6"/>
      <c r="G491" s="93">
        <f>SUM('3:23'!G491)</f>
        <v>0</v>
      </c>
      <c r="H491" s="339">
        <f t="shared" si="202"/>
        <v>0</v>
      </c>
      <c r="I491" s="93">
        <f>SUM('3:23'!I491)</f>
        <v>0</v>
      </c>
      <c r="J491" s="31" t="str">
        <f t="array" ref="J491">IF(ISERROR(G491/I491),"",G491/I491)</f>
        <v/>
      </c>
      <c r="K491" s="35">
        <f t="array" ref="K491">IF(ISERROR(G491/L491),"",G491/L491)</f>
        <v>0</v>
      </c>
      <c r="L491" s="87">
        <v>5.8</v>
      </c>
      <c r="M491" s="36">
        <f t="shared" si="199"/>
        <v>0</v>
      </c>
      <c r="N491" s="31">
        <f t="shared" si="200"/>
        <v>0</v>
      </c>
      <c r="O491" s="93">
        <f>SUM('3:23'!O491)</f>
        <v>0</v>
      </c>
      <c r="P491" s="93">
        <f>SUM('3:23'!P491)</f>
        <v>0</v>
      </c>
      <c r="Q491" s="93">
        <f>SUM('3:23'!Q491)</f>
        <v>0</v>
      </c>
      <c r="R491" s="93">
        <f>SUM('3:23'!R491)</f>
        <v>0</v>
      </c>
      <c r="S491" s="93">
        <f>SUM('3:23'!S491)</f>
        <v>0</v>
      </c>
      <c r="T491" s="93">
        <f>SUM('3:23'!T491)</f>
        <v>0</v>
      </c>
      <c r="U491" s="93">
        <f>SUM('3:23'!U491)</f>
        <v>0</v>
      </c>
      <c r="V491" s="206">
        <f t="shared" si="201"/>
        <v>0</v>
      </c>
      <c r="W491" s="33" t="str">
        <f t="shared" si="198"/>
        <v/>
      </c>
      <c r="X491" s="93">
        <f>SUM('3:23'!X491)</f>
        <v>0</v>
      </c>
      <c r="Y491" s="93">
        <f>SUM('3:23'!Y491)</f>
        <v>0</v>
      </c>
      <c r="Z491" s="93">
        <f>SUM('3:23'!Z491)</f>
        <v>0</v>
      </c>
      <c r="AA491" s="93">
        <f>SUM('3:23'!AA491)</f>
        <v>0</v>
      </c>
      <c r="AB491" s="73"/>
      <c r="AC491" s="54"/>
      <c r="AD491" s="346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99"/>
      <c r="B492" s="64" t="s">
        <v>358</v>
      </c>
      <c r="C492" s="188" t="s">
        <v>376</v>
      </c>
      <c r="D492" s="17"/>
      <c r="E492" s="17"/>
      <c r="F492" s="6"/>
      <c r="G492" s="93">
        <f>SUM('3:23'!G492)</f>
        <v>0</v>
      </c>
      <c r="H492" s="339">
        <f t="shared" si="202"/>
        <v>0</v>
      </c>
      <c r="I492" s="93">
        <f>SUM('3:23'!I492)</f>
        <v>0</v>
      </c>
      <c r="J492" s="31"/>
      <c r="K492" s="35"/>
      <c r="L492" s="87"/>
      <c r="M492" s="36"/>
      <c r="N492" s="31"/>
      <c r="O492" s="93">
        <f>SUM('3:23'!O492)</f>
        <v>0</v>
      </c>
      <c r="P492" s="93">
        <f>SUM('3:23'!P492)</f>
        <v>0</v>
      </c>
      <c r="Q492" s="93">
        <f>SUM('3:23'!Q492)</f>
        <v>0</v>
      </c>
      <c r="R492" s="93">
        <f>SUM('3:23'!R492)</f>
        <v>0</v>
      </c>
      <c r="S492" s="93">
        <f>SUM('3:23'!S492)</f>
        <v>0</v>
      </c>
      <c r="T492" s="93">
        <f>SUM('3:23'!T492)</f>
        <v>0</v>
      </c>
      <c r="U492" s="93">
        <f>SUM('3:23'!U492)</f>
        <v>0</v>
      </c>
      <c r="V492" s="206"/>
      <c r="W492" s="33"/>
      <c r="X492" s="93">
        <f>SUM('3:23'!X492)</f>
        <v>0</v>
      </c>
      <c r="Y492" s="93">
        <f>SUM('3:23'!Y492)</f>
        <v>0</v>
      </c>
      <c r="Z492" s="93">
        <f>SUM('3:23'!Z492)</f>
        <v>0</v>
      </c>
      <c r="AA492" s="93">
        <f>SUM('3:23'!AA492)</f>
        <v>0</v>
      </c>
      <c r="AB492" s="73"/>
      <c r="AC492" s="54"/>
      <c r="AD492" s="346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99">
        <v>30700001</v>
      </c>
      <c r="B493" s="191" t="s">
        <v>359</v>
      </c>
      <c r="C493" s="335"/>
      <c r="D493" s="17"/>
      <c r="E493" s="17"/>
      <c r="F493" s="6"/>
      <c r="G493" s="93">
        <f>SUM('3:23'!G493)</f>
        <v>0</v>
      </c>
      <c r="H493" s="339">
        <f t="shared" si="202"/>
        <v>0</v>
      </c>
      <c r="I493" s="93">
        <f>SUM('3:23'!I493)</f>
        <v>0</v>
      </c>
      <c r="J493" s="31"/>
      <c r="K493" s="35"/>
      <c r="L493" s="87">
        <v>6</v>
      </c>
      <c r="M493" s="36"/>
      <c r="N493" s="31"/>
      <c r="O493" s="93">
        <f>SUM('3:23'!O493)</f>
        <v>0</v>
      </c>
      <c r="P493" s="93">
        <f>SUM('3:23'!P493)</f>
        <v>0</v>
      </c>
      <c r="Q493" s="93">
        <f>SUM('3:23'!Q493)</f>
        <v>0</v>
      </c>
      <c r="R493" s="93">
        <f>SUM('3:23'!R493)</f>
        <v>0</v>
      </c>
      <c r="S493" s="93">
        <f>SUM('3:23'!S493)</f>
        <v>0</v>
      </c>
      <c r="T493" s="93">
        <f>SUM('3:23'!T493)</f>
        <v>0</v>
      </c>
      <c r="U493" s="93">
        <f>SUM('3:23'!U493)</f>
        <v>0</v>
      </c>
      <c r="V493" s="206"/>
      <c r="W493" s="33"/>
      <c r="X493" s="93">
        <f>SUM('3:23'!X493)</f>
        <v>0</v>
      </c>
      <c r="Y493" s="93">
        <f>SUM('3:23'!Y493)</f>
        <v>0</v>
      </c>
      <c r="Z493" s="93">
        <f>SUM('3:23'!Z493)</f>
        <v>0</v>
      </c>
      <c r="AA493" s="93">
        <f>SUM('3:23'!AA493)</f>
        <v>0</v>
      </c>
      <c r="AB493" s="73"/>
      <c r="AC493" s="54"/>
      <c r="AD493" s="346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305"/>
      <c r="B494" s="66" t="s">
        <v>104</v>
      </c>
      <c r="C494" s="335" t="s">
        <v>53</v>
      </c>
      <c r="D494" s="17">
        <v>6.04</v>
      </c>
      <c r="E494" s="17"/>
      <c r="F494" s="6"/>
      <c r="G494" s="93">
        <f>SUM('3:23'!G494)</f>
        <v>0</v>
      </c>
      <c r="H494" s="339">
        <f t="shared" si="202"/>
        <v>0</v>
      </c>
      <c r="I494" s="93">
        <f>SUM('3:23'!I494)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6</v>
      </c>
      <c r="M494" s="36">
        <f t="shared" ref="M494:M495" si="203">IF(ISERROR(I494-K494),"",I494-K494)</f>
        <v>0</v>
      </c>
      <c r="N494" s="31">
        <f t="shared" ref="N494:N495" si="204">SUM(O494:U494)</f>
        <v>0</v>
      </c>
      <c r="O494" s="93">
        <f>SUM('3:23'!O494)</f>
        <v>0</v>
      </c>
      <c r="P494" s="93">
        <f>SUM('3:23'!P494)</f>
        <v>0</v>
      </c>
      <c r="Q494" s="93">
        <f>SUM('3:23'!Q494)</f>
        <v>0</v>
      </c>
      <c r="R494" s="93">
        <f>SUM('3:23'!R494)</f>
        <v>0</v>
      </c>
      <c r="S494" s="93">
        <f>SUM('3:23'!S494)</f>
        <v>0</v>
      </c>
      <c r="T494" s="93">
        <f>SUM('3:23'!T494)</f>
        <v>0</v>
      </c>
      <c r="U494" s="93">
        <f>SUM('3:23'!U494)</f>
        <v>0</v>
      </c>
      <c r="V494" s="206">
        <f t="shared" ref="V494:V495" si="205">SUM(X494:AA494)</f>
        <v>0</v>
      </c>
      <c r="W494" s="33" t="str">
        <f t="shared" ref="W494:W495" si="206">IF(ISERROR(V494/G494),"",V494/G494)</f>
        <v/>
      </c>
      <c r="X494" s="93">
        <f>SUM('3:23'!X494)</f>
        <v>0</v>
      </c>
      <c r="Y494" s="93">
        <f>SUM('3:23'!Y494)</f>
        <v>0</v>
      </c>
      <c r="Z494" s="93">
        <f>SUM('3:23'!Z494)</f>
        <v>0</v>
      </c>
      <c r="AA494" s="93">
        <f>SUM('3:23'!AA494)</f>
        <v>0</v>
      </c>
      <c r="AB494" s="73"/>
      <c r="AC494" s="54"/>
      <c r="AD494" s="346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305">
        <v>30700019</v>
      </c>
      <c r="B495" s="66" t="s">
        <v>104</v>
      </c>
      <c r="C495" s="335" t="s">
        <v>60</v>
      </c>
      <c r="D495" s="17">
        <v>6.04</v>
      </c>
      <c r="E495" s="17"/>
      <c r="F495" s="6"/>
      <c r="G495" s="93">
        <f>SUM('3:23'!G495)</f>
        <v>0</v>
      </c>
      <c r="H495" s="339">
        <f t="shared" si="202"/>
        <v>0</v>
      </c>
      <c r="I495" s="93">
        <f>SUM('3:23'!I495)</f>
        <v>0</v>
      </c>
      <c r="J495" s="31" t="str">
        <f t="array" ref="J495">IF(ISERROR(G495/I495),"",G495/I495)</f>
        <v/>
      </c>
      <c r="K495" s="35">
        <f t="array" ref="K495">IF(ISERROR(G495/L495),"",G495/L495)</f>
        <v>0</v>
      </c>
      <c r="L495" s="87">
        <v>6</v>
      </c>
      <c r="M495" s="36">
        <f t="shared" si="203"/>
        <v>0</v>
      </c>
      <c r="N495" s="31">
        <f t="shared" si="204"/>
        <v>0</v>
      </c>
      <c r="O495" s="93">
        <f>SUM('3:23'!O495)</f>
        <v>0</v>
      </c>
      <c r="P495" s="93">
        <f>SUM('3:23'!P495)</f>
        <v>0</v>
      </c>
      <c r="Q495" s="93">
        <f>SUM('3:23'!Q495)</f>
        <v>0</v>
      </c>
      <c r="R495" s="93">
        <f>SUM('3:23'!R495)</f>
        <v>0</v>
      </c>
      <c r="S495" s="93">
        <f>SUM('3:23'!S495)</f>
        <v>0</v>
      </c>
      <c r="T495" s="93">
        <f>SUM('3:23'!T495)</f>
        <v>0</v>
      </c>
      <c r="U495" s="93">
        <f>SUM('3:23'!U495)</f>
        <v>0</v>
      </c>
      <c r="V495" s="206">
        <f t="shared" si="205"/>
        <v>0</v>
      </c>
      <c r="W495" s="33" t="str">
        <f t="shared" si="206"/>
        <v/>
      </c>
      <c r="X495" s="93">
        <f>SUM('3:23'!X495)</f>
        <v>0</v>
      </c>
      <c r="Y495" s="93">
        <f>SUM('3:23'!Y495)</f>
        <v>0</v>
      </c>
      <c r="Z495" s="93">
        <f>SUM('3:23'!Z495)</f>
        <v>0</v>
      </c>
      <c r="AA495" s="93">
        <f>SUM('3:23'!AA495)</f>
        <v>0</v>
      </c>
      <c r="AB495" s="73"/>
      <c r="AC495" s="54"/>
      <c r="AD495" s="346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305">
        <v>30601015</v>
      </c>
      <c r="B496" s="281" t="s">
        <v>443</v>
      </c>
      <c r="C496" s="335" t="s">
        <v>53</v>
      </c>
      <c r="D496" s="17"/>
      <c r="E496" s="17"/>
      <c r="F496" s="6"/>
      <c r="G496" s="93">
        <f>SUM('3:23'!G496)</f>
        <v>0</v>
      </c>
      <c r="H496" s="339">
        <f t="shared" si="202"/>
        <v>0</v>
      </c>
      <c r="I496" s="93"/>
      <c r="J496" s="31"/>
      <c r="K496" s="35"/>
      <c r="L496" s="87"/>
      <c r="M496" s="36"/>
      <c r="N496" s="31"/>
      <c r="O496" s="93"/>
      <c r="P496" s="93"/>
      <c r="Q496" s="93"/>
      <c r="R496" s="93"/>
      <c r="S496" s="93"/>
      <c r="T496" s="93"/>
      <c r="U496" s="93"/>
      <c r="V496" s="206"/>
      <c r="W496" s="33"/>
      <c r="X496" s="93"/>
      <c r="Y496" s="93"/>
      <c r="Z496" s="93"/>
      <c r="AA496" s="93"/>
      <c r="AB496" s="73"/>
      <c r="AC496" s="54"/>
      <c r="AD496" s="346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305">
        <v>30101016</v>
      </c>
      <c r="B497" s="281" t="s">
        <v>443</v>
      </c>
      <c r="C497" s="335" t="s">
        <v>60</v>
      </c>
      <c r="D497" s="17"/>
      <c r="E497" s="17"/>
      <c r="F497" s="6"/>
      <c r="G497" s="93">
        <f>SUM('3:23'!G497)</f>
        <v>0</v>
      </c>
      <c r="H497" s="339">
        <f t="shared" si="202"/>
        <v>0</v>
      </c>
      <c r="I497" s="93"/>
      <c r="J497" s="31"/>
      <c r="K497" s="35"/>
      <c r="L497" s="87"/>
      <c r="M497" s="36"/>
      <c r="N497" s="31"/>
      <c r="O497" s="93"/>
      <c r="P497" s="93"/>
      <c r="Q497" s="93"/>
      <c r="R497" s="93"/>
      <c r="S497" s="93"/>
      <c r="T497" s="93"/>
      <c r="U497" s="93"/>
      <c r="V497" s="206"/>
      <c r="W497" s="33"/>
      <c r="X497" s="93"/>
      <c r="Y497" s="93"/>
      <c r="Z497" s="93"/>
      <c r="AA497" s="93"/>
      <c r="AB497" s="73"/>
      <c r="AC497" s="54"/>
      <c r="AD497" s="346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299">
        <v>30700018</v>
      </c>
      <c r="B498" s="61" t="s">
        <v>159</v>
      </c>
      <c r="C498" s="16"/>
      <c r="D498" s="17">
        <v>7.3</v>
      </c>
      <c r="E498" s="17"/>
      <c r="F498" s="6"/>
      <c r="G498" s="93">
        <f>SUM('3:23'!G498)</f>
        <v>0</v>
      </c>
      <c r="H498" s="339">
        <f t="shared" si="202"/>
        <v>0</v>
      </c>
      <c r="I498" s="93">
        <f>SUM('3:23'!I498)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7.5</v>
      </c>
      <c r="M498" s="36">
        <f t="shared" ref="M498" si="207">IF(ISERROR(I498-K498),"",I498-K498)</f>
        <v>0</v>
      </c>
      <c r="N498" s="31">
        <f t="shared" ref="N498" si="208">SUM(O498:U498)</f>
        <v>0</v>
      </c>
      <c r="O498" s="93">
        <f>SUM('3:23'!O498)</f>
        <v>0</v>
      </c>
      <c r="P498" s="93">
        <f>SUM('3:23'!P498)</f>
        <v>0</v>
      </c>
      <c r="Q498" s="93">
        <f>SUM('3:23'!Q498)</f>
        <v>0</v>
      </c>
      <c r="R498" s="93">
        <f>SUM('3:23'!R498)</f>
        <v>0</v>
      </c>
      <c r="S498" s="93">
        <f>SUM('3:23'!S498)</f>
        <v>0</v>
      </c>
      <c r="T498" s="93">
        <f>SUM('3:23'!T498)</f>
        <v>0</v>
      </c>
      <c r="U498" s="93">
        <f>SUM('3:23'!U498)</f>
        <v>0</v>
      </c>
      <c r="V498" s="206">
        <f t="shared" ref="V498" si="209">SUM(X498:AA498)</f>
        <v>0</v>
      </c>
      <c r="W498" s="33" t="str">
        <f t="shared" ref="W498" si="210">IF(ISERROR(V498/G498),"",V498/G498)</f>
        <v/>
      </c>
      <c r="X498" s="93">
        <f>SUM('3:23'!X498)</f>
        <v>0</v>
      </c>
      <c r="Y498" s="93">
        <f>SUM('3:23'!Y498)</f>
        <v>0</v>
      </c>
      <c r="Z498" s="93">
        <f>SUM('3:23'!Z498)</f>
        <v>0</v>
      </c>
      <c r="AA498" s="93">
        <f>SUM('3:23'!AA498)</f>
        <v>0</v>
      </c>
      <c r="AB498" s="73"/>
      <c r="AC498" s="54"/>
      <c r="AD498" s="346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299">
        <v>30700010</v>
      </c>
      <c r="B499" s="61" t="s">
        <v>105</v>
      </c>
      <c r="C499" s="16"/>
      <c r="D499" s="17">
        <f>78*120/1000</f>
        <v>9.36</v>
      </c>
      <c r="E499" s="17"/>
      <c r="F499" s="6"/>
      <c r="G499" s="93">
        <f>SUM('3:23'!G499)</f>
        <v>0</v>
      </c>
      <c r="H499" s="339">
        <f t="shared" si="202"/>
        <v>0</v>
      </c>
      <c r="I499" s="93">
        <f>SUM('3:23'!I499)</f>
        <v>0</v>
      </c>
      <c r="J499" s="31"/>
      <c r="K499" s="35"/>
      <c r="L499" s="87"/>
      <c r="M499" s="36"/>
      <c r="N499" s="31"/>
      <c r="O499" s="93">
        <f>SUM('3:23'!O499)</f>
        <v>0</v>
      </c>
      <c r="P499" s="93">
        <f>SUM('3:23'!P499)</f>
        <v>0</v>
      </c>
      <c r="Q499" s="93">
        <f>SUM('3:23'!Q499)</f>
        <v>0</v>
      </c>
      <c r="R499" s="93">
        <f>SUM('3:23'!R499)</f>
        <v>0</v>
      </c>
      <c r="S499" s="93">
        <f>SUM('3:23'!S499)</f>
        <v>0</v>
      </c>
      <c r="T499" s="93">
        <f>SUM('3:23'!T499)</f>
        <v>0</v>
      </c>
      <c r="U499" s="93">
        <f>SUM('3:23'!U499)</f>
        <v>0</v>
      </c>
      <c r="V499" s="206"/>
      <c r="W499" s="33"/>
      <c r="X499" s="93">
        <f>SUM('3:23'!X499)</f>
        <v>0</v>
      </c>
      <c r="Y499" s="93">
        <f>SUM('3:23'!Y499)</f>
        <v>0</v>
      </c>
      <c r="Z499" s="93">
        <f>SUM('3:23'!Z499)</f>
        <v>0</v>
      </c>
      <c r="AA499" s="93">
        <f>SUM('3:23'!AA499)</f>
        <v>0</v>
      </c>
      <c r="AB499" s="73"/>
      <c r="AC499" s="54"/>
      <c r="AD499" s="346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299">
        <v>30700015</v>
      </c>
      <c r="B500" s="336" t="s">
        <v>159</v>
      </c>
      <c r="C500" s="16"/>
      <c r="D500" s="17">
        <v>4.5</v>
      </c>
      <c r="E500" s="17"/>
      <c r="F500" s="6"/>
      <c r="G500" s="93">
        <f>SUM('3:23'!G500)</f>
        <v>0</v>
      </c>
      <c r="H500" s="339">
        <f t="shared" si="202"/>
        <v>0</v>
      </c>
      <c r="I500" s="93">
        <f>SUM('3:23'!I500)</f>
        <v>0</v>
      </c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6"/>
      <c r="W500" s="33"/>
      <c r="X500" s="93"/>
      <c r="Y500" s="93"/>
      <c r="Z500" s="93"/>
      <c r="AA500" s="93"/>
      <c r="AB500" s="73"/>
      <c r="AC500" s="54"/>
      <c r="AD500" s="346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99">
        <v>30700012</v>
      </c>
      <c r="B501" s="336" t="s">
        <v>160</v>
      </c>
      <c r="C501" s="16"/>
      <c r="D501" s="17">
        <v>4.5</v>
      </c>
      <c r="E501" s="17"/>
      <c r="F501" s="6"/>
      <c r="G501" s="93">
        <f>SUM('3:23'!G501)</f>
        <v>0</v>
      </c>
      <c r="H501" s="339">
        <f t="shared" si="202"/>
        <v>0</v>
      </c>
      <c r="I501" s="93">
        <f>SUM('3:23'!I501)</f>
        <v>0</v>
      </c>
      <c r="J501" s="31"/>
      <c r="K501" s="35"/>
      <c r="L501" s="87"/>
      <c r="M501" s="36"/>
      <c r="N501" s="31"/>
      <c r="O501" s="93">
        <f>SUM('3:23'!O501)</f>
        <v>0</v>
      </c>
      <c r="P501" s="93">
        <f>SUM('3:23'!P501)</f>
        <v>0</v>
      </c>
      <c r="Q501" s="93">
        <f>SUM('3:23'!Q501)</f>
        <v>0</v>
      </c>
      <c r="R501" s="93">
        <f>SUM('3:23'!R501)</f>
        <v>0</v>
      </c>
      <c r="S501" s="93">
        <f>SUM('3:23'!S501)</f>
        <v>0</v>
      </c>
      <c r="T501" s="93">
        <f>SUM('3:23'!T501)</f>
        <v>0</v>
      </c>
      <c r="U501" s="93">
        <f>SUM('3:23'!U501)</f>
        <v>0</v>
      </c>
      <c r="V501" s="206"/>
      <c r="W501" s="33"/>
      <c r="X501" s="93">
        <f>SUM('3:23'!X501)</f>
        <v>0</v>
      </c>
      <c r="Y501" s="93">
        <f>SUM('3:23'!Y501)</f>
        <v>0</v>
      </c>
      <c r="Z501" s="93">
        <f>SUM('3:23'!Z501)</f>
        <v>0</v>
      </c>
      <c r="AA501" s="93">
        <f>SUM('3:23'!AA501)</f>
        <v>0</v>
      </c>
      <c r="AB501" s="73"/>
      <c r="AC501" s="54"/>
      <c r="AD501" s="346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99"/>
      <c r="B502" s="336"/>
      <c r="C502" s="16"/>
      <c r="D502" s="17"/>
      <c r="E502" s="17"/>
      <c r="F502" s="6"/>
      <c r="G502" s="93">
        <f>SUM('3:23'!G502)</f>
        <v>0</v>
      </c>
      <c r="H502" s="339">
        <f t="shared" si="202"/>
        <v>0</v>
      </c>
      <c r="I502" s="93">
        <f>SUM('3:23'!I502)</f>
        <v>0</v>
      </c>
      <c r="J502" s="31"/>
      <c r="K502" s="35"/>
      <c r="L502" s="87"/>
      <c r="M502" s="36"/>
      <c r="N502" s="31"/>
      <c r="O502" s="93">
        <f>SUM('3:23'!O502)</f>
        <v>0</v>
      </c>
      <c r="P502" s="93">
        <f>SUM('3:23'!P502)</f>
        <v>0</v>
      </c>
      <c r="Q502" s="93">
        <f>SUM('3:23'!Q502)</f>
        <v>0</v>
      </c>
      <c r="R502" s="93">
        <f>SUM('3:23'!R502)</f>
        <v>0</v>
      </c>
      <c r="S502" s="93">
        <f>SUM('3:23'!S502)</f>
        <v>0</v>
      </c>
      <c r="T502" s="93">
        <f>SUM('3:23'!T502)</f>
        <v>0</v>
      </c>
      <c r="U502" s="93">
        <f>SUM('3:23'!U502)</f>
        <v>0</v>
      </c>
      <c r="V502" s="206"/>
      <c r="W502" s="33"/>
      <c r="X502" s="93">
        <f>SUM('3:23'!X502)</f>
        <v>0</v>
      </c>
      <c r="Y502" s="93">
        <f>SUM('3:23'!Y502)</f>
        <v>0</v>
      </c>
      <c r="Z502" s="93">
        <f>SUM('3:23'!Z502)</f>
        <v>0</v>
      </c>
      <c r="AA502" s="93">
        <f>SUM('3:23'!AA502)</f>
        <v>0</v>
      </c>
      <c r="AB502" s="73"/>
      <c r="AC502" s="54"/>
      <c r="AD502" s="346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725" t="s">
        <v>106</v>
      </c>
      <c r="B503" s="726"/>
      <c r="C503" s="342" t="s">
        <v>71</v>
      </c>
      <c r="D503" s="20"/>
      <c r="E503" s="20"/>
      <c r="F503" s="32"/>
      <c r="G503" s="94">
        <f>SUM(G488:G502)</f>
        <v>0</v>
      </c>
      <c r="H503" s="30">
        <f>SUM(H488:H502)</f>
        <v>0</v>
      </c>
      <c r="I503" s="30">
        <f>SUM(I488:I502)</f>
        <v>0</v>
      </c>
      <c r="J503" s="31" t="str">
        <f t="array" ref="J503">IF(ISERROR(G503/I503),"",G503/I503)</f>
        <v/>
      </c>
      <c r="K503" s="30">
        <f>SUM(K488:K498)</f>
        <v>0</v>
      </c>
      <c r="L503" s="98"/>
      <c r="M503" s="89">
        <f t="shared" ref="M503:V503" si="211">SUM(M488:M498)</f>
        <v>0</v>
      </c>
      <c r="N503" s="20">
        <f t="shared" si="211"/>
        <v>0</v>
      </c>
      <c r="O503" s="91">
        <f t="shared" si="211"/>
        <v>0</v>
      </c>
      <c r="P503" s="91">
        <f t="shared" si="211"/>
        <v>0</v>
      </c>
      <c r="Q503" s="91">
        <f t="shared" si="211"/>
        <v>0</v>
      </c>
      <c r="R503" s="91">
        <f t="shared" si="211"/>
        <v>0</v>
      </c>
      <c r="S503" s="92">
        <f t="shared" si="211"/>
        <v>0</v>
      </c>
      <c r="T503" s="91">
        <f t="shared" si="211"/>
        <v>0</v>
      </c>
      <c r="U503" s="91">
        <f t="shared" si="211"/>
        <v>0</v>
      </c>
      <c r="V503" s="206">
        <f t="shared" si="211"/>
        <v>0</v>
      </c>
      <c r="W503" s="33" t="str">
        <f t="shared" ref="W503:W504" si="212">IF(ISERROR(V503/G503),"",V503/G503)</f>
        <v/>
      </c>
      <c r="X503" s="92">
        <f>SUM(X488:X498)</f>
        <v>0</v>
      </c>
      <c r="Y503" s="92">
        <f>SUM(Y488:Y498)</f>
        <v>0</v>
      </c>
      <c r="Z503" s="92">
        <f>SUM(Z488:Z498)</f>
        <v>0</v>
      </c>
      <c r="AA503" s="92">
        <f>SUM(AA488:AA498)</f>
        <v>0</v>
      </c>
      <c r="AB503" s="70"/>
      <c r="AC503" s="70"/>
      <c r="AD503" s="58"/>
      <c r="AE503" s="70"/>
      <c r="AF503" s="70"/>
      <c r="AG503" s="70"/>
      <c r="AH503" s="70"/>
      <c r="AI503" s="58"/>
      <c r="AJ503" s="58"/>
      <c r="AK503" s="58"/>
      <c r="AL503" s="58"/>
      <c r="AM503" s="58"/>
      <c r="AN503" s="58"/>
      <c r="AO503" s="58"/>
      <c r="AP503" s="58"/>
      <c r="AQ503" s="58"/>
      <c r="AR503" s="58"/>
      <c r="AS503" s="58"/>
      <c r="AT503" s="58"/>
      <c r="AU503" s="58"/>
      <c r="AV503" s="58"/>
      <c r="AW503" s="58"/>
      <c r="AX503" s="58"/>
      <c r="AY503" s="58"/>
      <c r="AZ503" s="58"/>
      <c r="BA503" s="58"/>
    </row>
    <row r="504" spans="1:53">
      <c r="A504" s="736" t="s">
        <v>108</v>
      </c>
      <c r="B504" s="737"/>
      <c r="C504" s="737"/>
      <c r="D504" s="737"/>
      <c r="E504" s="737"/>
      <c r="F504" s="738"/>
      <c r="G504" s="193">
        <f>SUM(G368,G426,G461,G477,G487,G503)</f>
        <v>13590</v>
      </c>
      <c r="H504" s="193">
        <f>SUM(H368,H426,H461,H477,H487,H503)</f>
        <v>68429.760000000009</v>
      </c>
      <c r="I504" s="193">
        <f>SUM(I368,I426,I461,I477,I487,I503)</f>
        <v>1069.5</v>
      </c>
      <c r="J504" s="52">
        <f t="array" ref="J504">IF(ISERROR(G504/I504),"",G504/I504)</f>
        <v>12.706872370266479</v>
      </c>
      <c r="K504" s="193">
        <f>SUM(K368,K426,K461,K477,K487,K503)</f>
        <v>1389.2101661779079</v>
      </c>
      <c r="L504" s="52">
        <f>IF(ISERROR(G504/K504),"",G504/K504)</f>
        <v>9.7825371069589551</v>
      </c>
      <c r="M504" s="193">
        <f t="shared" ref="M504:V504" si="213">SUM(M368,M426,M461,M477,M487,M503)</f>
        <v>-319.71016617790804</v>
      </c>
      <c r="N504" s="193">
        <f t="shared" si="213"/>
        <v>0</v>
      </c>
      <c r="O504" s="193">
        <f t="shared" si="213"/>
        <v>0</v>
      </c>
      <c r="P504" s="193">
        <f t="shared" si="213"/>
        <v>0</v>
      </c>
      <c r="Q504" s="193">
        <f t="shared" si="213"/>
        <v>0</v>
      </c>
      <c r="R504" s="193">
        <f t="shared" si="213"/>
        <v>0</v>
      </c>
      <c r="S504" s="193">
        <f t="shared" si="213"/>
        <v>0</v>
      </c>
      <c r="T504" s="193">
        <f t="shared" si="213"/>
        <v>0</v>
      </c>
      <c r="U504" s="193">
        <f t="shared" si="213"/>
        <v>0</v>
      </c>
      <c r="V504" s="193">
        <f t="shared" si="213"/>
        <v>0</v>
      </c>
      <c r="W504" s="78">
        <f t="shared" si="212"/>
        <v>0</v>
      </c>
      <c r="X504" s="193">
        <f>SUM(X368,X426,X461,X477,X487,X503)</f>
        <v>0</v>
      </c>
      <c r="Y504" s="193">
        <f>SUM(Y368,Y426,Y461,Y477,Y487,Y503)</f>
        <v>0</v>
      </c>
      <c r="Z504" s="193">
        <f>SUM(Z368,Z426,Z461,Z477,Z487,Z503)</f>
        <v>0</v>
      </c>
      <c r="AA504" s="193">
        <f>SUM(AA368,AA426,AA461,AA477,AA487,AA503)</f>
        <v>0</v>
      </c>
      <c r="AB504" s="76"/>
      <c r="AC504" s="71"/>
      <c r="AD504" s="346"/>
      <c r="AE504" s="77"/>
      <c r="AF504" s="77"/>
      <c r="AG504" s="77"/>
      <c r="AH504" s="77"/>
      <c r="AI504" s="57"/>
      <c r="AJ504" s="57"/>
      <c r="AK504" s="57"/>
      <c r="AL504" s="753"/>
      <c r="AM504" s="753"/>
      <c r="AN504" s="753"/>
      <c r="AO504" s="753"/>
      <c r="AP504" s="753"/>
      <c r="AQ504" s="753"/>
      <c r="AR504" s="753"/>
      <c r="AS504" s="753"/>
      <c r="AT504" s="753"/>
      <c r="AU504" s="753"/>
      <c r="AV504" s="753"/>
      <c r="AW504" s="753"/>
      <c r="AX504" s="753"/>
      <c r="AY504" s="753"/>
      <c r="AZ504" s="753"/>
      <c r="BA504" s="753"/>
    </row>
    <row r="505" spans="1:53" ht="15.75" customHeight="1">
      <c r="A505" s="635" t="s">
        <v>503</v>
      </c>
      <c r="B505" s="337" t="s">
        <v>110</v>
      </c>
      <c r="C505" s="739" t="s">
        <v>111</v>
      </c>
      <c r="D505" s="739"/>
      <c r="E505" s="718" t="s">
        <v>112</v>
      </c>
      <c r="F505" s="718"/>
      <c r="G505" s="729" t="s">
        <v>113</v>
      </c>
      <c r="H505" s="729"/>
      <c r="I505" s="718" t="s">
        <v>114</v>
      </c>
      <c r="J505" s="718"/>
      <c r="K505" s="718" t="s">
        <v>36</v>
      </c>
      <c r="L505" s="718"/>
      <c r="M505" s="718" t="s">
        <v>115</v>
      </c>
      <c r="N505" s="718"/>
      <c r="O505" s="718" t="s">
        <v>116</v>
      </c>
      <c r="P505" s="729" t="s">
        <v>117</v>
      </c>
      <c r="Q505" s="729"/>
      <c r="R505" s="729" t="s">
        <v>36</v>
      </c>
      <c r="S505" s="729"/>
      <c r="T505" s="729" t="s">
        <v>118</v>
      </c>
      <c r="U505" s="729"/>
      <c r="V505" s="729" t="s">
        <v>119</v>
      </c>
      <c r="W505" s="729"/>
      <c r="X505" s="729" t="s">
        <v>36</v>
      </c>
      <c r="Y505" s="729"/>
      <c r="Z505" s="729" t="s">
        <v>118</v>
      </c>
      <c r="AA505" s="729"/>
      <c r="AB505" s="12"/>
      <c r="AC505" s="12"/>
      <c r="AD505" s="12"/>
      <c r="AE505" s="3"/>
      <c r="AF505" s="3"/>
      <c r="AG505" s="3"/>
      <c r="AH505" s="34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21"/>
      <c r="AV505" s="21"/>
      <c r="AW505" s="21"/>
      <c r="AX505" s="21"/>
      <c r="AY505" s="21"/>
      <c r="AZ505" s="21"/>
      <c r="BA505" s="21"/>
    </row>
    <row r="506" spans="1:53">
      <c r="A506" s="636"/>
      <c r="B506" s="337" t="s">
        <v>120</v>
      </c>
      <c r="C506" s="740">
        <f>SUM('3:23'!C506)</f>
        <v>0</v>
      </c>
      <c r="D506" s="741"/>
      <c r="E506" s="742">
        <f>D506*11</f>
        <v>0</v>
      </c>
      <c r="F506" s="742"/>
      <c r="G506" s="653">
        <v>0</v>
      </c>
      <c r="H506" s="654"/>
      <c r="I506" s="718">
        <f>G506*11</f>
        <v>0</v>
      </c>
      <c r="J506" s="718"/>
      <c r="K506" s="718">
        <f>E506-I506</f>
        <v>0</v>
      </c>
      <c r="L506" s="718"/>
      <c r="M506" s="743" t="str">
        <f>IF(ISERROR(K506/E506),"",K506/E506)</f>
        <v/>
      </c>
      <c r="N506" s="743"/>
      <c r="O506" s="718"/>
      <c r="P506" s="729" t="s">
        <v>70</v>
      </c>
      <c r="Q506" s="729"/>
      <c r="R506" s="744">
        <f>SUM(O368:U368)</f>
        <v>0</v>
      </c>
      <c r="S506" s="744"/>
      <c r="T506" s="745" t="str">
        <f t="array" ref="T506">IF(ISERROR(R506/R513),"",R506/R513)</f>
        <v/>
      </c>
      <c r="U506" s="745"/>
      <c r="V506" s="729" t="s">
        <v>41</v>
      </c>
      <c r="W506" s="729"/>
      <c r="X506" s="744">
        <f>SUM(O368,O426,O461,O477,O487,O503)</f>
        <v>0</v>
      </c>
      <c r="Y506" s="744"/>
      <c r="Z506" s="745" t="str">
        <f t="array" ref="Z506">IF(ISERROR(X506/X513),"",X506/X513)</f>
        <v/>
      </c>
      <c r="AA506" s="745"/>
      <c r="AB506" s="12"/>
      <c r="AC506" s="22"/>
      <c r="AD506" s="22"/>
      <c r="AE506" s="3"/>
      <c r="AF506" s="3"/>
      <c r="AG506" s="3"/>
      <c r="AH506" s="346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21"/>
      <c r="AV506" s="21"/>
      <c r="AW506" s="21"/>
      <c r="AX506" s="21"/>
      <c r="AY506" s="21"/>
      <c r="AZ506" s="21"/>
      <c r="BA506" s="21"/>
    </row>
    <row r="507" spans="1:53" ht="15.75" customHeight="1">
      <c r="A507" s="636"/>
      <c r="B507" s="337" t="s">
        <v>121</v>
      </c>
      <c r="C507" s="740">
        <f>SUM('3:23'!C507)</f>
        <v>0</v>
      </c>
      <c r="D507" s="741"/>
      <c r="E507" s="742">
        <f>D507*11</f>
        <v>0</v>
      </c>
      <c r="F507" s="742"/>
      <c r="G507" s="653">
        <v>0</v>
      </c>
      <c r="H507" s="654"/>
      <c r="I507" s="718">
        <f>G507*11</f>
        <v>0</v>
      </c>
      <c r="J507" s="718"/>
      <c r="K507" s="718">
        <f>E507-I507</f>
        <v>0</v>
      </c>
      <c r="L507" s="718"/>
      <c r="M507" s="743" t="str">
        <f>IF(ISERROR(K507/E507),"",K507/E507)</f>
        <v/>
      </c>
      <c r="N507" s="743"/>
      <c r="O507" s="718"/>
      <c r="P507" s="729" t="s">
        <v>86</v>
      </c>
      <c r="Q507" s="729"/>
      <c r="R507" s="744">
        <f>SUM(O426:U426)</f>
        <v>0</v>
      </c>
      <c r="S507" s="744"/>
      <c r="T507" s="745" t="str">
        <f>IF(ISERROR(R507/R513),"",R507/R513)</f>
        <v/>
      </c>
      <c r="U507" s="745"/>
      <c r="V507" s="729" t="s">
        <v>42</v>
      </c>
      <c r="W507" s="729"/>
      <c r="X507" s="744">
        <f>SUM(O369,O427,O462,O478,O488,O504)</f>
        <v>0</v>
      </c>
      <c r="Y507" s="744"/>
      <c r="Z507" s="745" t="str">
        <f>IF(ISERROR(X507/X513),"",X507/X513)</f>
        <v/>
      </c>
      <c r="AA507" s="745"/>
      <c r="AB507" s="12"/>
      <c r="AC507" s="22"/>
      <c r="AD507" s="22"/>
      <c r="AE507" s="3"/>
      <c r="AF507" s="3"/>
      <c r="AG507" s="3"/>
      <c r="AH507" s="346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21"/>
      <c r="AV507" s="21"/>
      <c r="AW507" s="21"/>
      <c r="AX507" s="21"/>
      <c r="AY507" s="21"/>
      <c r="AZ507" s="21"/>
      <c r="BA507" s="21"/>
    </row>
    <row r="508" spans="1:53">
      <c r="A508" s="636"/>
      <c r="B508" s="337" t="s">
        <v>122</v>
      </c>
      <c r="C508" s="740">
        <f>SUM('3:23'!C508)</f>
        <v>0</v>
      </c>
      <c r="D508" s="741"/>
      <c r="E508" s="742">
        <f>D508*11</f>
        <v>0</v>
      </c>
      <c r="F508" s="742"/>
      <c r="G508" s="653">
        <v>0</v>
      </c>
      <c r="H508" s="654"/>
      <c r="I508" s="718">
        <f>G508*11</f>
        <v>0</v>
      </c>
      <c r="J508" s="718"/>
      <c r="K508" s="718">
        <f>E508-I508</f>
        <v>0</v>
      </c>
      <c r="L508" s="718"/>
      <c r="M508" s="743" t="str">
        <f>IF(ISERROR(K508/E508),"",K508/E508)</f>
        <v/>
      </c>
      <c r="N508" s="743"/>
      <c r="O508" s="718"/>
      <c r="P508" s="729" t="s">
        <v>92</v>
      </c>
      <c r="Q508" s="729"/>
      <c r="R508" s="744">
        <f>SUM(O461:U461)</f>
        <v>0</v>
      </c>
      <c r="S508" s="744"/>
      <c r="T508" s="745" t="str">
        <f>IF(ISERROR(R508/R513),"",R508/R513)</f>
        <v/>
      </c>
      <c r="U508" s="745"/>
      <c r="V508" s="729" t="s">
        <v>43</v>
      </c>
      <c r="W508" s="729"/>
      <c r="X508" s="744">
        <f>SUM(O371,O428,O463,O479,O489,O505)</f>
        <v>0</v>
      </c>
      <c r="Y508" s="744"/>
      <c r="Z508" s="745" t="str">
        <f>IF(ISERROR(X508/X513),"",X508/X513)</f>
        <v/>
      </c>
      <c r="AA508" s="745"/>
      <c r="AB508" s="12"/>
      <c r="AC508" s="22"/>
      <c r="AD508" s="22"/>
      <c r="AE508" s="3"/>
      <c r="AF508" s="3"/>
      <c r="AG508" s="346"/>
      <c r="AH508" s="346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636"/>
      <c r="B509" s="337" t="s">
        <v>47</v>
      </c>
      <c r="C509" s="638">
        <v>1</v>
      </c>
      <c r="D509" s="639"/>
      <c r="E509" s="742">
        <f>D509*11</f>
        <v>0</v>
      </c>
      <c r="F509" s="742"/>
      <c r="G509" s="653">
        <v>1</v>
      </c>
      <c r="H509" s="654"/>
      <c r="I509" s="718">
        <f>G509*11</f>
        <v>11</v>
      </c>
      <c r="J509" s="718"/>
      <c r="K509" s="718">
        <f>E509-I509</f>
        <v>-11</v>
      </c>
      <c r="L509" s="718"/>
      <c r="M509" s="743" t="str">
        <f>IF(ISERROR(K509/E509),"",K509/E509)</f>
        <v/>
      </c>
      <c r="N509" s="743"/>
      <c r="O509" s="718"/>
      <c r="P509" s="729" t="s">
        <v>99</v>
      </c>
      <c r="Q509" s="729"/>
      <c r="R509" s="744">
        <f>SUM(O477:U477)</f>
        <v>0</v>
      </c>
      <c r="S509" s="744"/>
      <c r="T509" s="745" t="str">
        <f>IF(ISERROR(R509/R513),"",R509/R513)</f>
        <v/>
      </c>
      <c r="U509" s="745"/>
      <c r="V509" s="729" t="s">
        <v>44</v>
      </c>
      <c r="W509" s="729"/>
      <c r="X509" s="744">
        <f>SUM(O372,O429,O464,O480,O490,O506)</f>
        <v>0</v>
      </c>
      <c r="Y509" s="744"/>
      <c r="Z509" s="745" t="str">
        <f>IF(ISERROR(X509/X513),"",X509/X513)</f>
        <v/>
      </c>
      <c r="AA509" s="745"/>
      <c r="AB509" s="12"/>
      <c r="AC509" s="22"/>
      <c r="AD509" s="22"/>
      <c r="AE509" s="3"/>
      <c r="AF509" s="3"/>
      <c r="AG509" s="346"/>
      <c r="AH509" s="346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>
      <c r="A510" s="637"/>
      <c r="B510" s="337" t="s">
        <v>123</v>
      </c>
      <c r="C510" s="747">
        <f>SUM(C506:D509)</f>
        <v>1</v>
      </c>
      <c r="D510" s="718"/>
      <c r="E510" s="718">
        <f>SUM(F506:F509)</f>
        <v>0</v>
      </c>
      <c r="F510" s="718"/>
      <c r="G510" s="747">
        <f>SUM(G506:H509)</f>
        <v>1</v>
      </c>
      <c r="H510" s="718"/>
      <c r="I510" s="718">
        <f>SUM(I506:J509)</f>
        <v>11</v>
      </c>
      <c r="J510" s="718"/>
      <c r="K510" s="718">
        <f>SUM(K506:L509)</f>
        <v>-11</v>
      </c>
      <c r="L510" s="718"/>
      <c r="M510" s="743" t="str">
        <f>IF(ISERROR(K510/E510),"",K510/E510)</f>
        <v/>
      </c>
      <c r="N510" s="743"/>
      <c r="O510" s="718"/>
      <c r="P510" s="729" t="s">
        <v>102</v>
      </c>
      <c r="Q510" s="729"/>
      <c r="R510" s="744">
        <f>SUM(O487:U487)</f>
        <v>0</v>
      </c>
      <c r="S510" s="744"/>
      <c r="T510" s="745" t="str">
        <f>IF(ISERROR(R510/R513),"",R510/R513)</f>
        <v/>
      </c>
      <c r="U510" s="745"/>
      <c r="V510" s="729" t="s">
        <v>45</v>
      </c>
      <c r="W510" s="729"/>
      <c r="X510" s="744">
        <f>SUM(O373,O430,O465,O481,O491,O507)</f>
        <v>0</v>
      </c>
      <c r="Y510" s="744"/>
      <c r="Z510" s="745" t="str">
        <f>IF(ISERROR(X510/X513),"",X510/X513)</f>
        <v/>
      </c>
      <c r="AA510" s="745"/>
      <c r="AB510" s="12"/>
      <c r="AC510" s="22"/>
      <c r="AD510" s="22"/>
      <c r="AE510" s="3"/>
      <c r="AF510" s="3"/>
      <c r="AG510" s="346"/>
      <c r="AH510" s="346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343"/>
      <c r="AV510" s="343"/>
      <c r="AW510" s="343"/>
      <c r="AX510" s="343"/>
      <c r="AY510" s="343"/>
      <c r="AZ510" s="343"/>
      <c r="BA510" s="343"/>
    </row>
    <row r="511" spans="1:53" ht="17.25">
      <c r="A511" s="309" t="s">
        <v>504</v>
      </c>
      <c r="B511" s="337">
        <f>G504</f>
        <v>13590</v>
      </c>
      <c r="C511" s="744" t="s">
        <v>155</v>
      </c>
      <c r="D511" s="744"/>
      <c r="E511" s="729">
        <f>H504</f>
        <v>68429.760000000009</v>
      </c>
      <c r="F511" s="729"/>
      <c r="G511" s="729" t="s">
        <v>34</v>
      </c>
      <c r="H511" s="729"/>
      <c r="I511" s="746">
        <f>L504</f>
        <v>9.7825371069589551</v>
      </c>
      <c r="J511" s="746"/>
      <c r="K511" s="718" t="s">
        <v>32</v>
      </c>
      <c r="L511" s="718"/>
      <c r="M511" s="746">
        <f>J504</f>
        <v>12.706872370266479</v>
      </c>
      <c r="N511" s="746"/>
      <c r="O511" s="718"/>
      <c r="P511" s="729" t="s">
        <v>106</v>
      </c>
      <c r="Q511" s="729"/>
      <c r="R511" s="744">
        <f>SUM(O503:U503)</f>
        <v>0</v>
      </c>
      <c r="S511" s="744"/>
      <c r="T511" s="745" t="str">
        <f>IF(ISERROR(R511/R513),"",R511/R513)</f>
        <v/>
      </c>
      <c r="U511" s="745"/>
      <c r="V511" s="729" t="s">
        <v>46</v>
      </c>
      <c r="W511" s="729"/>
      <c r="X511" s="744">
        <f>SUM(O374,O431,O466,O482,O492,O508)</f>
        <v>0</v>
      </c>
      <c r="Y511" s="744"/>
      <c r="Z511" s="745" t="str">
        <f>IF(ISERROR(X511/X513),"",X511/X513)</f>
        <v/>
      </c>
      <c r="AA511" s="745"/>
      <c r="AB511" s="12"/>
      <c r="AC511" s="22"/>
      <c r="AD511" s="22"/>
      <c r="AE511" s="3"/>
      <c r="AF511" s="3"/>
      <c r="AG511" s="346"/>
      <c r="AH511" s="346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343"/>
      <c r="AV511" s="343"/>
      <c r="AW511" s="343"/>
      <c r="AX511" s="343"/>
      <c r="AY511" s="343"/>
      <c r="AZ511" s="343"/>
      <c r="BA511" s="343"/>
    </row>
    <row r="512" spans="1:53" ht="15.75" customHeight="1">
      <c r="A512" s="310" t="s">
        <v>505</v>
      </c>
      <c r="B512" s="337">
        <f>I504+C510</f>
        <v>1070.5</v>
      </c>
      <c r="C512" s="729" t="s">
        <v>114</v>
      </c>
      <c r="D512" s="729"/>
      <c r="E512" s="739">
        <f>K504+I510</f>
        <v>1400.2101661779079</v>
      </c>
      <c r="F512" s="739"/>
      <c r="G512" s="729" t="s">
        <v>150</v>
      </c>
      <c r="H512" s="729"/>
      <c r="I512" s="746">
        <f>B512-E512</f>
        <v>-329.71016617790792</v>
      </c>
      <c r="J512" s="746"/>
      <c r="K512" s="718" t="s">
        <v>151</v>
      </c>
      <c r="L512" s="718"/>
      <c r="M512" s="743">
        <f>IF(ISERROR(I512/B512),"",I512/B512)</f>
        <v>-0.30799641866222133</v>
      </c>
      <c r="N512" s="743"/>
      <c r="O512" s="718"/>
      <c r="P512" s="729" t="s">
        <v>107</v>
      </c>
      <c r="Q512" s="729"/>
      <c r="R512" s="744"/>
      <c r="S512" s="744"/>
      <c r="T512" s="745" t="str">
        <f>IF(ISERROR(R512/R513),"",R512/R513)</f>
        <v/>
      </c>
      <c r="U512" s="745"/>
      <c r="V512" s="729" t="s">
        <v>47</v>
      </c>
      <c r="W512" s="729"/>
      <c r="X512" s="744">
        <f>SUM(O375,O432,O467,O486,O493,O509)</f>
        <v>0</v>
      </c>
      <c r="Y512" s="744"/>
      <c r="Z512" s="745" t="str">
        <f>IF(ISERROR(X512/X513),"",X512/X513)</f>
        <v/>
      </c>
      <c r="AA512" s="745"/>
      <c r="AB512" s="12"/>
      <c r="AC512" s="22"/>
      <c r="AD512" s="22"/>
      <c r="AE512" s="3"/>
      <c r="AF512" s="3"/>
      <c r="AG512" s="346"/>
      <c r="AH512" s="346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343"/>
      <c r="AV512" s="343"/>
      <c r="AW512" s="343"/>
      <c r="AX512" s="343"/>
      <c r="AY512" s="343"/>
      <c r="AZ512" s="343"/>
      <c r="BA512" s="343"/>
    </row>
    <row r="513" spans="1:53" ht="15.75" customHeight="1">
      <c r="A513" s="310" t="s">
        <v>507</v>
      </c>
      <c r="B513" s="337">
        <f>N504</f>
        <v>0</v>
      </c>
      <c r="C513" s="729" t="s">
        <v>149</v>
      </c>
      <c r="D513" s="729"/>
      <c r="E513" s="745">
        <f>IF(ISERROR(B513/B512),"",B513/B512)</f>
        <v>0</v>
      </c>
      <c r="F513" s="745"/>
      <c r="G513" s="729" t="s">
        <v>158</v>
      </c>
      <c r="H513" s="729"/>
      <c r="I513" s="718">
        <f>V504</f>
        <v>0</v>
      </c>
      <c r="J513" s="718"/>
      <c r="K513" s="718" t="s">
        <v>156</v>
      </c>
      <c r="L513" s="718"/>
      <c r="M513" s="743">
        <f t="array" ref="M513">IF(ISERROR(I513/B511),"",I513/B511)</f>
        <v>0</v>
      </c>
      <c r="N513" s="743"/>
      <c r="O513" s="718"/>
      <c r="P513" s="729" t="s">
        <v>123</v>
      </c>
      <c r="Q513" s="729"/>
      <c r="R513" s="744">
        <f>SUM(R506:S512)</f>
        <v>0</v>
      </c>
      <c r="S513" s="744"/>
      <c r="T513" s="745">
        <f>SUM(T506:U512)</f>
        <v>0</v>
      </c>
      <c r="U513" s="745"/>
      <c r="V513" s="729" t="s">
        <v>123</v>
      </c>
      <c r="W513" s="729"/>
      <c r="X513" s="744">
        <f>SUM(X506:Y512)</f>
        <v>0</v>
      </c>
      <c r="Y513" s="744"/>
      <c r="Z513" s="745">
        <f>SUM(Z506:AA512)</f>
        <v>0</v>
      </c>
      <c r="AA513" s="745"/>
      <c r="AB513" s="12"/>
      <c r="AC513" s="22"/>
      <c r="AD513" s="22"/>
      <c r="AE513" s="3"/>
      <c r="AF513" s="3"/>
      <c r="AG513" s="346"/>
      <c r="AH513" s="346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43"/>
      <c r="AV513" s="343"/>
      <c r="AW513" s="343"/>
      <c r="AX513" s="343"/>
      <c r="AY513" s="343"/>
      <c r="AZ513" s="343"/>
      <c r="BA513" s="343"/>
    </row>
    <row r="514" spans="1:53" ht="17.25">
      <c r="A514" s="329" t="s">
        <v>508</v>
      </c>
      <c r="B514" s="341"/>
      <c r="C514" s="7"/>
      <c r="D514" s="7"/>
      <c r="E514" s="15"/>
      <c r="F514" s="15"/>
      <c r="G514" s="756" t="str">
        <f>IF(ISERROR(#REF!/#REF!),"",#REF!/#REF!)</f>
        <v/>
      </c>
      <c r="H514" s="756"/>
      <c r="I514" s="756"/>
      <c r="J514" s="8"/>
      <c r="K514" s="47"/>
      <c r="L514" s="12"/>
      <c r="M514" s="12"/>
      <c r="N514" s="756" t="str">
        <f>IF(ISERROR(G514/#REF!),"",G514/#REF!)</f>
        <v/>
      </c>
      <c r="O514" s="756"/>
      <c r="P514" s="756"/>
      <c r="Q514" s="756"/>
      <c r="R514" s="756"/>
      <c r="S514" s="346"/>
      <c r="T514" s="15"/>
      <c r="U514" s="15"/>
      <c r="V514" s="209"/>
      <c r="W514" s="8"/>
      <c r="X514" s="9"/>
      <c r="Y514" s="9"/>
      <c r="Z514" s="9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9"/>
      <c r="AN514" s="9"/>
      <c r="AO514" s="9"/>
      <c r="AP514" s="9"/>
      <c r="AQ514" s="9"/>
      <c r="AR514" s="9"/>
      <c r="AS514" s="12"/>
      <c r="AT514" s="12"/>
      <c r="AU514" s="12"/>
      <c r="AV514" s="12"/>
      <c r="AW514" s="12"/>
      <c r="AX514" s="12"/>
      <c r="AY514" s="12"/>
      <c r="AZ514" s="12"/>
      <c r="BA514" s="12"/>
    </row>
    <row r="515" spans="1:53" ht="15.75" customHeight="1">
      <c r="A515" s="311" t="s">
        <v>509</v>
      </c>
      <c r="B515" s="341"/>
      <c r="C515" s="7"/>
      <c r="D515" s="7"/>
      <c r="E515" s="7"/>
      <c r="F515" s="7"/>
      <c r="G515" s="11"/>
      <c r="H515" s="7"/>
      <c r="I515" s="11"/>
      <c r="J515" s="44"/>
      <c r="K515" s="48"/>
      <c r="L515" s="7"/>
      <c r="M515" s="7"/>
      <c r="N515" s="7"/>
      <c r="O515" s="7"/>
      <c r="P515" s="7"/>
      <c r="Q515" s="7"/>
      <c r="R515" s="7"/>
      <c r="S515" s="7"/>
      <c r="T515" s="7"/>
      <c r="U515" s="18"/>
      <c r="V515" s="210"/>
      <c r="W515" s="18"/>
      <c r="X515" s="7"/>
      <c r="Y515" s="7"/>
      <c r="Z515" s="7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7"/>
      <c r="AN515" s="7"/>
      <c r="AO515" s="7"/>
      <c r="AP515" s="7"/>
      <c r="AQ515" s="7"/>
      <c r="AR515" s="7"/>
      <c r="AS515" s="15"/>
      <c r="AT515" s="15"/>
      <c r="AU515" s="15"/>
      <c r="AV515" s="15"/>
      <c r="AW515" s="15"/>
      <c r="AX515" s="15"/>
      <c r="AY515" s="15"/>
      <c r="AZ515" s="15"/>
      <c r="BA515" s="15"/>
    </row>
    <row r="516" spans="1:53">
      <c r="A516" s="744" t="s">
        <v>157</v>
      </c>
      <c r="B516" s="744"/>
      <c r="C516" s="739">
        <f>SUM(B170,B340,B511)</f>
        <v>133372</v>
      </c>
      <c r="D516" s="739"/>
      <c r="E516" s="744" t="s">
        <v>124</v>
      </c>
      <c r="F516" s="744"/>
      <c r="G516" s="739">
        <f>SUM(E170,E340,E511)</f>
        <v>656306.09000000008</v>
      </c>
      <c r="H516" s="739"/>
      <c r="I516" s="729" t="s">
        <v>34</v>
      </c>
      <c r="J516" s="744"/>
      <c r="K516" s="757">
        <f>IF(ISERROR(C516/G517),"",C516/G517)</f>
        <v>14.505791049795469</v>
      </c>
      <c r="L516" s="758"/>
      <c r="M516" s="729" t="s">
        <v>32</v>
      </c>
      <c r="N516" s="729"/>
      <c r="O516" s="759">
        <f t="array" ref="O516">IF(ISERROR(C516/C517),"",C516/C517)</f>
        <v>15.685435121111336</v>
      </c>
      <c r="P516" s="760"/>
      <c r="Q516" s="7"/>
      <c r="R516" s="7"/>
      <c r="S516" s="7"/>
      <c r="T516" s="7"/>
      <c r="U516" s="18"/>
      <c r="V516" s="210"/>
      <c r="W516" s="18"/>
      <c r="X516" s="7"/>
      <c r="Y516" s="7"/>
      <c r="Z516" s="7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7"/>
      <c r="AN516" s="7"/>
      <c r="AO516" s="7"/>
      <c r="AP516" s="7"/>
      <c r="AQ516" s="7"/>
      <c r="AR516" s="7"/>
      <c r="AS516" s="15"/>
      <c r="AT516" s="15"/>
      <c r="AU516" s="15"/>
      <c r="AV516" s="15"/>
      <c r="AW516" s="15"/>
      <c r="AX516" s="15"/>
      <c r="AY516" s="15"/>
      <c r="AZ516" s="15"/>
      <c r="BA516" s="15"/>
    </row>
    <row r="517" spans="1:53">
      <c r="A517" s="729" t="s">
        <v>125</v>
      </c>
      <c r="B517" s="729"/>
      <c r="C517" s="739">
        <f>SUM(B171,B341,B512)</f>
        <v>8502.92</v>
      </c>
      <c r="D517" s="739"/>
      <c r="E517" s="729" t="s">
        <v>114</v>
      </c>
      <c r="F517" s="729"/>
      <c r="G517" s="739">
        <f>SUM(E171,E341,E512)</f>
        <v>9194.3968820563241</v>
      </c>
      <c r="H517" s="739"/>
      <c r="I517" s="761" t="s">
        <v>150</v>
      </c>
      <c r="J517" s="762"/>
      <c r="K517" s="754">
        <f>C517-G517</f>
        <v>-691.47688205632403</v>
      </c>
      <c r="L517" s="755"/>
      <c r="M517" s="754" t="s">
        <v>151</v>
      </c>
      <c r="N517" s="755"/>
      <c r="O517" s="763">
        <f>IF(ISERROR(K517/C517),"",K517/C517)</f>
        <v>-8.1322284821722893E-2</v>
      </c>
      <c r="P517" s="764"/>
      <c r="Q517" s="7"/>
      <c r="R517" s="7"/>
      <c r="S517" s="7"/>
      <c r="T517" s="7"/>
      <c r="U517" s="18"/>
      <c r="V517" s="210"/>
      <c r="W517" s="18"/>
      <c r="X517" s="7"/>
      <c r="Y517" s="7"/>
      <c r="Z517" s="7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7"/>
      <c r="AN517" s="7"/>
      <c r="AO517" s="7"/>
      <c r="AP517" s="7"/>
      <c r="AQ517" s="7"/>
      <c r="AR517" s="7"/>
      <c r="AS517" s="15"/>
      <c r="AT517" s="15"/>
      <c r="AU517" s="15"/>
      <c r="AV517" s="15"/>
      <c r="AW517" s="15"/>
      <c r="AX517" s="15"/>
      <c r="AY517" s="15"/>
      <c r="AZ517" s="15"/>
      <c r="BA517" s="15"/>
    </row>
    <row r="518" spans="1:53">
      <c r="A518" s="761" t="s">
        <v>148</v>
      </c>
      <c r="B518" s="762"/>
      <c r="C518" s="739">
        <f>SUM(B172,B342,B513)</f>
        <v>0</v>
      </c>
      <c r="D518" s="739"/>
      <c r="E518" s="761" t="s">
        <v>149</v>
      </c>
      <c r="F518" s="762"/>
      <c r="G518" s="763">
        <f>IF(ISERROR(C518/C517),"",C518/C517)</f>
        <v>0</v>
      </c>
      <c r="H518" s="764"/>
      <c r="I518" s="729" t="s">
        <v>126</v>
      </c>
      <c r="J518" s="744"/>
      <c r="K518" s="739">
        <f>SUM(I172,I342,I513)</f>
        <v>0</v>
      </c>
      <c r="L518" s="739"/>
      <c r="M518" s="744" t="s">
        <v>127</v>
      </c>
      <c r="N518" s="744"/>
      <c r="O518" s="763">
        <f t="array" ref="O518">IF(ISERROR(K518/C516),"",K518/C516)</f>
        <v>0</v>
      </c>
      <c r="P518" s="764"/>
      <c r="Q518" s="7"/>
      <c r="R518" s="7"/>
      <c r="S518" s="7"/>
      <c r="T518" s="7"/>
      <c r="U518" s="18"/>
      <c r="V518" s="210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 ht="17.25">
      <c r="A519" s="311" t="s">
        <v>510</v>
      </c>
      <c r="B519" s="19"/>
      <c r="C519" s="26"/>
      <c r="D519" s="26"/>
      <c r="E519" s="25"/>
      <c r="F519" s="25"/>
      <c r="G519" s="346"/>
      <c r="H519" s="22"/>
      <c r="I519" s="346"/>
      <c r="J519" s="8"/>
      <c r="K519" s="54"/>
      <c r="L519" s="344"/>
      <c r="M519" s="344"/>
      <c r="N519" s="15"/>
      <c r="O519" s="15"/>
      <c r="P519" s="15"/>
      <c r="Q519" s="15"/>
      <c r="R519" s="15"/>
      <c r="S519" s="15"/>
      <c r="T519" s="344"/>
      <c r="U519" s="344"/>
      <c r="V519" s="211"/>
      <c r="W519" s="344"/>
      <c r="X519" s="12"/>
      <c r="Y519" s="12"/>
      <c r="Z519" s="12"/>
      <c r="AA519" s="4"/>
      <c r="AB519" s="4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761" t="s">
        <v>130</v>
      </c>
      <c r="B520" s="762"/>
      <c r="C520" s="761" t="s">
        <v>131</v>
      </c>
      <c r="D520" s="762"/>
      <c r="E520" s="761" t="s">
        <v>118</v>
      </c>
      <c r="F520" s="762"/>
      <c r="G520" s="771" t="s">
        <v>116</v>
      </c>
      <c r="H520" s="772"/>
      <c r="I520" s="761" t="s">
        <v>117</v>
      </c>
      <c r="J520" s="755"/>
      <c r="K520" s="761" t="s">
        <v>14</v>
      </c>
      <c r="L520" s="762"/>
      <c r="M520" s="761" t="s">
        <v>118</v>
      </c>
      <c r="N520" s="762"/>
      <c r="O520" s="729" t="s">
        <v>119</v>
      </c>
      <c r="P520" s="729"/>
      <c r="Q520" s="761" t="s">
        <v>14</v>
      </c>
      <c r="R520" s="762"/>
      <c r="S520" s="761" t="s">
        <v>118</v>
      </c>
      <c r="T520" s="762"/>
      <c r="U520" s="14"/>
      <c r="V520" s="203"/>
      <c r="W520" s="12"/>
      <c r="X520" s="3"/>
      <c r="Y520" s="14"/>
      <c r="Z520" s="15"/>
      <c r="AA520" s="15"/>
      <c r="AB520" s="15"/>
      <c r="AC520" s="15"/>
      <c r="AD520" s="15"/>
      <c r="AE520" s="15"/>
      <c r="AF520" s="15"/>
      <c r="AG520" s="15"/>
      <c r="AH520" s="11"/>
      <c r="AI520" s="11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 ht="23.25" customHeight="1">
      <c r="A521" s="765" t="s">
        <v>70</v>
      </c>
      <c r="B521" s="762"/>
      <c r="C521" s="766">
        <f>SUM(G28,G198,G368)</f>
        <v>27562</v>
      </c>
      <c r="D521" s="762"/>
      <c r="E521" s="767">
        <f>IF(ISERROR(C521/C527),"",C521/C527)</f>
        <v>0.20665507002969138</v>
      </c>
      <c r="F521" s="768"/>
      <c r="G521" s="773"/>
      <c r="H521" s="774"/>
      <c r="I521" s="769" t="s">
        <v>15</v>
      </c>
      <c r="J521" s="770"/>
      <c r="K521" s="754">
        <f t="shared" ref="K521:K526" si="214">SUM(R165,U335,U506)</f>
        <v>0</v>
      </c>
      <c r="L521" s="755"/>
      <c r="M521" s="767" t="str">
        <f t="array" ref="M521">IF(ISERROR(K521/K527),"",K521/K527)</f>
        <v/>
      </c>
      <c r="N521" s="768"/>
      <c r="O521" s="729" t="s">
        <v>41</v>
      </c>
      <c r="P521" s="729"/>
      <c r="Q521" s="777">
        <f t="shared" ref="Q521:Q526" si="215">SUM(X165,AA335,AA506)</f>
        <v>0</v>
      </c>
      <c r="R521" s="778"/>
      <c r="S521" s="767" t="str">
        <f t="array" ref="S521">IF(ISERROR(Q521/Q527),"",Q521/Q527)</f>
        <v/>
      </c>
      <c r="T521" s="768"/>
      <c r="U521" s="14"/>
      <c r="V521" s="203"/>
      <c r="W521" s="22"/>
      <c r="X521" s="3"/>
      <c r="Y521" s="14"/>
      <c r="Z521" s="15"/>
      <c r="AA521" s="15"/>
      <c r="AB521" s="15"/>
      <c r="AC521" s="15"/>
      <c r="AD521" s="15"/>
      <c r="AE521" s="15"/>
      <c r="AF521" s="15"/>
      <c r="AG521" s="15"/>
      <c r="AH521" s="11"/>
      <c r="AI521" s="11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>
      <c r="A522" s="765" t="s">
        <v>86</v>
      </c>
      <c r="B522" s="762"/>
      <c r="C522" s="761">
        <f>SUM(G86,G256,G426)</f>
        <v>50279</v>
      </c>
      <c r="D522" s="762"/>
      <c r="E522" s="767">
        <f>IF(ISERROR(C522/C527),"",C522/C527)</f>
        <v>0.37698317487928501</v>
      </c>
      <c r="F522" s="768"/>
      <c r="G522" s="773"/>
      <c r="H522" s="774"/>
      <c r="I522" s="769" t="s">
        <v>16</v>
      </c>
      <c r="J522" s="770"/>
      <c r="K522" s="754">
        <f t="shared" si="214"/>
        <v>0</v>
      </c>
      <c r="L522" s="755"/>
      <c r="M522" s="767" t="str">
        <f>IF(ISERROR(K522/K527),"",K522/K527)</f>
        <v/>
      </c>
      <c r="N522" s="768"/>
      <c r="O522" s="729" t="s">
        <v>42</v>
      </c>
      <c r="P522" s="729"/>
      <c r="Q522" s="761">
        <f t="shared" si="215"/>
        <v>0</v>
      </c>
      <c r="R522" s="762"/>
      <c r="S522" s="767" t="str">
        <f>IF(ISERROR(Q522/Q527),"",Q522/Q527)</f>
        <v/>
      </c>
      <c r="T522" s="768"/>
      <c r="U522" s="14"/>
      <c r="V522" s="203"/>
      <c r="W522" s="22"/>
      <c r="X522" s="3"/>
      <c r="Y522" s="14"/>
      <c r="Z522" s="15"/>
      <c r="AA522" s="15"/>
      <c r="AB522" s="15"/>
      <c r="AC522" s="15"/>
      <c r="AD522" s="15"/>
      <c r="AE522" s="15"/>
      <c r="AF522" s="15"/>
      <c r="AG522" s="15"/>
      <c r="AH522" s="11"/>
      <c r="AI522" s="11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765" t="s">
        <v>92</v>
      </c>
      <c r="B523" s="762"/>
      <c r="C523" s="761">
        <f>SUM(G121,G291,G461)</f>
        <v>38525</v>
      </c>
      <c r="D523" s="762"/>
      <c r="E523" s="767">
        <f>IF(ISERROR(C523/C527),"",C523/C527)</f>
        <v>0.28885373241759887</v>
      </c>
      <c r="F523" s="768"/>
      <c r="G523" s="773"/>
      <c r="H523" s="774"/>
      <c r="I523" s="769" t="s">
        <v>17</v>
      </c>
      <c r="J523" s="770"/>
      <c r="K523" s="754">
        <f t="shared" si="214"/>
        <v>0</v>
      </c>
      <c r="L523" s="755"/>
      <c r="M523" s="767" t="str">
        <f>IF(ISERROR(K523/K527),"",K523/K527)</f>
        <v/>
      </c>
      <c r="N523" s="768"/>
      <c r="O523" s="729" t="s">
        <v>43</v>
      </c>
      <c r="P523" s="729"/>
      <c r="Q523" s="761">
        <f t="shared" si="215"/>
        <v>0</v>
      </c>
      <c r="R523" s="762"/>
      <c r="S523" s="767" t="str">
        <f>IF(ISERROR(Q523/Q527),"",Q523/Q527)</f>
        <v/>
      </c>
      <c r="T523" s="768"/>
      <c r="U523" s="14"/>
      <c r="V523" s="203"/>
      <c r="W523" s="2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7"/>
      <c r="AI523" s="7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15.75" customHeight="1">
      <c r="A524" s="765" t="s">
        <v>99</v>
      </c>
      <c r="B524" s="762"/>
      <c r="C524" s="761">
        <f>SUM(G137,G307,G477)</f>
        <v>8336</v>
      </c>
      <c r="D524" s="762"/>
      <c r="E524" s="767">
        <f>IF(ISERROR(C524/C527),"",C524/C527)</f>
        <v>6.2501874456407647E-2</v>
      </c>
      <c r="F524" s="768"/>
      <c r="G524" s="773"/>
      <c r="H524" s="774"/>
      <c r="I524" s="769" t="s">
        <v>18</v>
      </c>
      <c r="J524" s="770"/>
      <c r="K524" s="754">
        <f t="shared" si="214"/>
        <v>0</v>
      </c>
      <c r="L524" s="755"/>
      <c r="M524" s="767" t="str">
        <f>IF(ISERROR(K524/K527),"",K524/K527)</f>
        <v/>
      </c>
      <c r="N524" s="768"/>
      <c r="O524" s="729" t="s">
        <v>21</v>
      </c>
      <c r="P524" s="729"/>
      <c r="Q524" s="761">
        <f t="shared" si="215"/>
        <v>0</v>
      </c>
      <c r="R524" s="762"/>
      <c r="S524" s="767" t="str">
        <f>IF(ISERROR(Q524/Q527),"",Q524/Q527)</f>
        <v/>
      </c>
      <c r="T524" s="768"/>
      <c r="U524" s="14"/>
      <c r="V524" s="203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7"/>
      <c r="AI524" s="7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 ht="15.75" customHeight="1">
      <c r="A525" s="765" t="s">
        <v>102</v>
      </c>
      <c r="B525" s="762"/>
      <c r="C525" s="761">
        <f>SUM(G147,G317,G487)</f>
        <v>6875</v>
      </c>
      <c r="D525" s="762"/>
      <c r="E525" s="767">
        <f>IF(ISERROR(C525/C527),"",C525/C527)</f>
        <v>5.1547551210149055E-2</v>
      </c>
      <c r="F525" s="768"/>
      <c r="G525" s="773"/>
      <c r="H525" s="774"/>
      <c r="I525" s="769" t="s">
        <v>19</v>
      </c>
      <c r="J525" s="770"/>
      <c r="K525" s="754">
        <f t="shared" si="214"/>
        <v>0</v>
      </c>
      <c r="L525" s="755"/>
      <c r="M525" s="767" t="str">
        <f>IF(ISERROR(K525/K527),"",K525/K527)</f>
        <v/>
      </c>
      <c r="N525" s="768"/>
      <c r="O525" s="729" t="s">
        <v>45</v>
      </c>
      <c r="P525" s="729"/>
      <c r="Q525" s="761">
        <f t="shared" si="215"/>
        <v>0</v>
      </c>
      <c r="R525" s="762"/>
      <c r="S525" s="767" t="str">
        <f>IF(ISERROR(Q525/Q527),"",Q525/Q527)</f>
        <v/>
      </c>
      <c r="T525" s="768"/>
      <c r="U525" s="14"/>
      <c r="V525" s="203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7"/>
      <c r="AI525" s="7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 ht="15.75" customHeight="1">
      <c r="A526" s="765" t="s">
        <v>106</v>
      </c>
      <c r="B526" s="762"/>
      <c r="C526" s="761">
        <f>SUM(G162,G332,G503)</f>
        <v>1795</v>
      </c>
      <c r="D526" s="762"/>
      <c r="E526" s="767">
        <f>IF(ISERROR(C526/C527),"",C526/C527)</f>
        <v>1.3458597006868009E-2</v>
      </c>
      <c r="F526" s="768"/>
      <c r="G526" s="773"/>
      <c r="H526" s="774"/>
      <c r="I526" s="769" t="s">
        <v>20</v>
      </c>
      <c r="J526" s="770"/>
      <c r="K526" s="754">
        <f t="shared" si="214"/>
        <v>0</v>
      </c>
      <c r="L526" s="755"/>
      <c r="M526" s="767" t="str">
        <f>IF(ISERROR(K526/K527),"",K526/K527)</f>
        <v/>
      </c>
      <c r="N526" s="768"/>
      <c r="O526" s="729" t="s">
        <v>46</v>
      </c>
      <c r="P526" s="729"/>
      <c r="Q526" s="761">
        <f t="shared" si="215"/>
        <v>0</v>
      </c>
      <c r="R526" s="762"/>
      <c r="S526" s="767" t="str">
        <f>IF(ISERROR(Q526/Q527),"",Q526/Q527)</f>
        <v/>
      </c>
      <c r="T526" s="768"/>
      <c r="U526" s="14"/>
      <c r="V526" s="203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761" t="s">
        <v>123</v>
      </c>
      <c r="B527" s="762"/>
      <c r="C527" s="766">
        <f>SUM(C521:C526)</f>
        <v>133372</v>
      </c>
      <c r="D527" s="762"/>
      <c r="E527" s="767">
        <f>SUM(E521:F526)</f>
        <v>1</v>
      </c>
      <c r="F527" s="762"/>
      <c r="G527" s="775"/>
      <c r="H527" s="776"/>
      <c r="I527" s="761" t="s">
        <v>123</v>
      </c>
      <c r="J527" s="755"/>
      <c r="K527" s="754">
        <f>SUM(R172,U342,U513)</f>
        <v>0</v>
      </c>
      <c r="L527" s="755"/>
      <c r="M527" s="767">
        <f>SUM(M521:N526)</f>
        <v>0</v>
      </c>
      <c r="N527" s="768"/>
      <c r="O527" s="729" t="s">
        <v>123</v>
      </c>
      <c r="P527" s="729"/>
      <c r="Q527" s="777">
        <f>SUM(X172,AA342,AA513)</f>
        <v>0</v>
      </c>
      <c r="R527" s="778"/>
      <c r="S527" s="767">
        <f>SUM(S521:T526)</f>
        <v>0</v>
      </c>
      <c r="T527" s="768"/>
      <c r="U527" s="14"/>
      <c r="V527" s="203"/>
      <c r="W527" s="1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330" t="s">
        <v>511</v>
      </c>
      <c r="B528" s="67"/>
      <c r="C528" s="1"/>
      <c r="D528" s="1"/>
      <c r="E528" s="1"/>
      <c r="F528" s="1"/>
      <c r="G528" s="27"/>
      <c r="H528" s="2"/>
      <c r="I528" s="27"/>
      <c r="J528" s="2"/>
      <c r="K528" s="49"/>
      <c r="L528" s="2"/>
      <c r="M528" s="2"/>
      <c r="N528" s="2"/>
      <c r="O528" s="2"/>
      <c r="P528" s="2"/>
      <c r="Q528" s="2"/>
      <c r="R528" s="2"/>
      <c r="S528" s="2"/>
      <c r="T528" s="2"/>
      <c r="U528" s="24"/>
      <c r="V528" s="212"/>
      <c r="W528" s="24"/>
      <c r="X528" s="5"/>
      <c r="Y528" s="5"/>
      <c r="Z528" s="24"/>
      <c r="AA528" s="3"/>
      <c r="AB528" s="344"/>
      <c r="AC528" s="344"/>
      <c r="AD528" s="344"/>
      <c r="AE528" s="344"/>
      <c r="AF528" s="344"/>
      <c r="AG528" s="344"/>
      <c r="AH528" s="344"/>
      <c r="AI528" s="344"/>
      <c r="AJ528" s="344"/>
      <c r="AK528" s="344"/>
      <c r="AL528" s="344"/>
      <c r="AM528" s="12"/>
      <c r="AN528" s="12"/>
      <c r="AO528" s="12"/>
      <c r="AP528" s="12"/>
      <c r="AQ528" s="12"/>
      <c r="AR528" s="12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8.75" customHeight="1">
      <c r="A529" s="769" t="s">
        <v>132</v>
      </c>
      <c r="B529" s="783"/>
      <c r="C529" s="335" t="s">
        <v>133</v>
      </c>
      <c r="D529" s="335" t="s">
        <v>134</v>
      </c>
      <c r="E529" s="335" t="s">
        <v>3</v>
      </c>
      <c r="F529" s="335" t="s">
        <v>4</v>
      </c>
      <c r="G529" s="335" t="s">
        <v>5</v>
      </c>
      <c r="H529" s="87" t="s">
        <v>6</v>
      </c>
      <c r="I529" s="87" t="s">
        <v>7</v>
      </c>
      <c r="J529" s="87" t="s">
        <v>135</v>
      </c>
      <c r="K529" s="338" t="s">
        <v>8</v>
      </c>
      <c r="L529" s="87" t="s">
        <v>9</v>
      </c>
      <c r="M529" s="87" t="s">
        <v>136</v>
      </c>
      <c r="N529" s="87" t="s">
        <v>10</v>
      </c>
      <c r="O529" s="87" t="s">
        <v>137</v>
      </c>
      <c r="P529" s="339" t="s">
        <v>138</v>
      </c>
      <c r="Q529" s="87" t="s">
        <v>139</v>
      </c>
      <c r="R529" s="36" t="s">
        <v>140</v>
      </c>
      <c r="S529" s="335" t="s">
        <v>141</v>
      </c>
      <c r="T529" s="335" t="s">
        <v>142</v>
      </c>
      <c r="U529" s="51"/>
      <c r="V529" s="213"/>
      <c r="X529" s="14"/>
      <c r="Y529" s="14"/>
      <c r="Z529" s="15"/>
      <c r="AA529" s="15"/>
      <c r="AB529" s="15"/>
      <c r="AC529" s="344"/>
      <c r="AD529" s="344"/>
      <c r="AE529" s="344"/>
      <c r="AF529" s="344"/>
      <c r="AG529" s="344"/>
      <c r="AH529" s="344"/>
      <c r="AI529" s="344"/>
      <c r="AJ529" s="344"/>
      <c r="AK529" s="344"/>
      <c r="AL529" s="344"/>
      <c r="AM529" s="344"/>
      <c r="AN529" s="15"/>
      <c r="AO529" s="344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779" t="s">
        <v>143</v>
      </c>
      <c r="B530" s="780"/>
      <c r="C530" s="93">
        <f>SUM('3:23'!C530)</f>
        <v>710</v>
      </c>
      <c r="D530" s="93">
        <f>SUM('3:23'!D530)</f>
        <v>703</v>
      </c>
      <c r="E530" s="93">
        <f>SUM('3:23'!E530)</f>
        <v>7</v>
      </c>
      <c r="F530" s="93">
        <f>SUM('3:23'!F530)</f>
        <v>0</v>
      </c>
      <c r="G530" s="93">
        <f>SUM('3:23'!G530)</f>
        <v>0</v>
      </c>
      <c r="H530" s="93">
        <f>SUM('3:23'!H530)</f>
        <v>4</v>
      </c>
      <c r="I530" s="93">
        <f>SUM('3:23'!I530)</f>
        <v>0</v>
      </c>
      <c r="J530" s="93">
        <f>+C530-H530-I530</f>
        <v>706</v>
      </c>
      <c r="K530" s="93">
        <f>SUM('3:23'!K530)</f>
        <v>14</v>
      </c>
      <c r="L530" s="93">
        <f>SUM('3:23'!L530)</f>
        <v>0</v>
      </c>
      <c r="M530" s="93">
        <f>SUM('3:23'!M530)</f>
        <v>0</v>
      </c>
      <c r="N530" s="93">
        <f>SUM('3:23'!N530)</f>
        <v>0</v>
      </c>
      <c r="O530" s="93">
        <f>SUM('3:23'!O530)</f>
        <v>0</v>
      </c>
      <c r="P530" s="93">
        <f>SUM('3:23'!P530)</f>
        <v>0</v>
      </c>
      <c r="Q530" s="93">
        <f>J530-K530-L530</f>
        <v>692</v>
      </c>
      <c r="R530" s="93">
        <f>Q530*11-M530-N530</f>
        <v>7612</v>
      </c>
      <c r="S530" s="200">
        <f>IF(ISERROR(Q530/J530),"",Q530/J530)</f>
        <v>0.98016997167138808</v>
      </c>
      <c r="T530" s="194">
        <f t="array" ref="T530">IF(ISERROR((O530:P530)/C530),"",SUM(O530:P530)/C530)</f>
        <v>0</v>
      </c>
      <c r="X530" s="14"/>
      <c r="Y530" s="14"/>
      <c r="Z530" s="15"/>
      <c r="AA530" s="15"/>
      <c r="AB530" s="15"/>
      <c r="AC530" s="344"/>
      <c r="AD530" s="344"/>
      <c r="AE530" s="344"/>
      <c r="AF530" s="344"/>
      <c r="AG530" s="344"/>
      <c r="AH530" s="344"/>
      <c r="AI530" s="344"/>
      <c r="AJ530" s="344"/>
      <c r="AK530" s="344"/>
      <c r="AL530" s="344"/>
      <c r="AM530" s="344"/>
      <c r="AN530" s="15"/>
      <c r="AO530" s="344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>
      <c r="A531" s="779" t="s">
        <v>144</v>
      </c>
      <c r="B531" s="780"/>
      <c r="C531" s="93">
        <f>SUM('3:23'!C531)</f>
        <v>645</v>
      </c>
      <c r="D531" s="93">
        <f>SUM('3:23'!D531)</f>
        <v>640</v>
      </c>
      <c r="E531" s="93">
        <f>SUM('3:23'!E531)</f>
        <v>4</v>
      </c>
      <c r="F531" s="93">
        <f>SUM('3:23'!F531)</f>
        <v>1</v>
      </c>
      <c r="G531" s="93">
        <f>SUM('3:23'!G531)</f>
        <v>0</v>
      </c>
      <c r="H531" s="93">
        <f>SUM('3:23'!H531)</f>
        <v>2</v>
      </c>
      <c r="I531" s="93">
        <f>SUM('3:23'!I531)</f>
        <v>0</v>
      </c>
      <c r="J531" s="93">
        <f t="shared" ref="J531:J532" si="216">C531-G531-H531-I531</f>
        <v>643</v>
      </c>
      <c r="K531" s="93">
        <f>SUM('3:23'!K531)</f>
        <v>5</v>
      </c>
      <c r="L531" s="93">
        <f>SUM('3:23'!L531)</f>
        <v>0</v>
      </c>
      <c r="M531" s="93">
        <f>SUM('3:23'!M531)</f>
        <v>0</v>
      </c>
      <c r="N531" s="93">
        <f>SUM('3:23'!N531)</f>
        <v>0</v>
      </c>
      <c r="O531" s="93">
        <f>SUM('3:23'!O531)</f>
        <v>0</v>
      </c>
      <c r="P531" s="93">
        <f>SUM('3:23'!P531)</f>
        <v>0</v>
      </c>
      <c r="Q531" s="93">
        <f t="shared" ref="Q531:Q532" si="217">J531-K531-L531</f>
        <v>638</v>
      </c>
      <c r="R531" s="93">
        <f t="shared" ref="R531:R532" si="218">Q531*11-M531-N531</f>
        <v>7018</v>
      </c>
      <c r="S531" s="194">
        <f t="array" ref="S531">IF(ISERROR(Q531/J531),"",Q531/J531)</f>
        <v>0.99222395023328147</v>
      </c>
      <c r="T531" s="194">
        <f t="array" ref="T531">IF(ISERROR((O531:P531)/C531),"",SUM(O531:P531)/C531)</f>
        <v>0</v>
      </c>
      <c r="X531" s="14"/>
      <c r="Y531" s="14"/>
      <c r="Z531" s="15"/>
      <c r="AA531" s="15"/>
      <c r="AB531" s="15"/>
      <c r="AC531" s="344"/>
      <c r="AD531" s="344"/>
      <c r="AE531" s="344"/>
      <c r="AF531" s="344"/>
      <c r="AG531" s="344"/>
      <c r="AH531" s="344"/>
      <c r="AI531" s="344"/>
      <c r="AJ531" s="344"/>
      <c r="AK531" s="344"/>
      <c r="AL531" s="344"/>
      <c r="AM531" s="344"/>
      <c r="AN531" s="15"/>
      <c r="AO531" s="344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>
      <c r="A532" s="779" t="s">
        <v>145</v>
      </c>
      <c r="B532" s="780"/>
      <c r="C532" s="93">
        <f>SUM('3:23'!C532)</f>
        <v>210</v>
      </c>
      <c r="D532" s="93">
        <f>SUM('3:23'!D532)</f>
        <v>210</v>
      </c>
      <c r="E532" s="93">
        <f>SUM('3:23'!E532)</f>
        <v>0</v>
      </c>
      <c r="F532" s="93">
        <f>SUM('3:23'!F532)</f>
        <v>0</v>
      </c>
      <c r="G532" s="93">
        <f>SUM('3:23'!G532)</f>
        <v>0</v>
      </c>
      <c r="H532" s="93">
        <f>SUM('3:23'!H532)</f>
        <v>21</v>
      </c>
      <c r="I532" s="93">
        <f>SUM('3:23'!I532)</f>
        <v>0</v>
      </c>
      <c r="J532" s="93">
        <f t="shared" si="216"/>
        <v>189</v>
      </c>
      <c r="K532" s="93">
        <f>SUM('3:23'!K532)</f>
        <v>4</v>
      </c>
      <c r="L532" s="93">
        <f>SUM('3:23'!L532)</f>
        <v>0</v>
      </c>
      <c r="M532" s="93">
        <f>SUM('3:23'!M532)</f>
        <v>0</v>
      </c>
      <c r="N532" s="93">
        <f>SUM('3:23'!N532)</f>
        <v>0</v>
      </c>
      <c r="O532" s="93">
        <f>SUM('3:23'!O532)</f>
        <v>0</v>
      </c>
      <c r="P532" s="93">
        <f>SUM('3:23'!P532)</f>
        <v>0</v>
      </c>
      <c r="Q532" s="93">
        <f t="shared" si="217"/>
        <v>185</v>
      </c>
      <c r="R532" s="93">
        <f t="shared" si="218"/>
        <v>2035</v>
      </c>
      <c r="S532" s="194">
        <f t="array" ref="S532">IF(ISERROR(Q532/J532),"",Q532/J532)</f>
        <v>0.97883597883597884</v>
      </c>
      <c r="T532" s="194">
        <f t="array" ref="T532">IF(ISERROR((O532:P532)/C532),"",SUM(O532:P532)/C532)</f>
        <v>0</v>
      </c>
      <c r="V532" s="213"/>
      <c r="X532" s="14"/>
      <c r="Y532" s="14"/>
      <c r="Z532" s="15"/>
      <c r="AA532" s="15"/>
      <c r="AB532" s="15"/>
      <c r="AC532" s="344"/>
      <c r="AD532" s="344"/>
      <c r="AE532" s="344"/>
      <c r="AF532" s="344"/>
      <c r="AG532" s="344"/>
      <c r="AH532" s="344"/>
      <c r="AI532" s="344"/>
      <c r="AJ532" s="344"/>
      <c r="AK532" s="344"/>
      <c r="AL532" s="344"/>
      <c r="AM532" s="344"/>
      <c r="AN532" s="15"/>
      <c r="AO532" s="344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s="42" customFormat="1">
      <c r="A533" s="781" t="s">
        <v>11</v>
      </c>
      <c r="B533" s="782"/>
      <c r="C533" s="37">
        <f>SUM(C530:C532)</f>
        <v>1565</v>
      </c>
      <c r="D533" s="37">
        <f>SUM(D530:D532)</f>
        <v>1553</v>
      </c>
      <c r="E533" s="37">
        <f t="shared" ref="E533:N533" si="219">SUM(E530:E532)</f>
        <v>11</v>
      </c>
      <c r="F533" s="37">
        <f t="shared" si="219"/>
        <v>1</v>
      </c>
      <c r="G533" s="37">
        <f t="shared" si="219"/>
        <v>0</v>
      </c>
      <c r="H533" s="37">
        <f t="shared" si="219"/>
        <v>27</v>
      </c>
      <c r="I533" s="37">
        <f t="shared" si="219"/>
        <v>0</v>
      </c>
      <c r="J533" s="45">
        <f t="shared" si="219"/>
        <v>1538</v>
      </c>
      <c r="K533" s="88">
        <f t="shared" si="219"/>
        <v>23</v>
      </c>
      <c r="L533" s="37">
        <f t="shared" si="219"/>
        <v>0</v>
      </c>
      <c r="M533" s="37">
        <f t="shared" si="219"/>
        <v>0</v>
      </c>
      <c r="N533" s="37">
        <f t="shared" si="219"/>
        <v>0</v>
      </c>
      <c r="O533" s="37">
        <f>SUM(O530:O532)</f>
        <v>0</v>
      </c>
      <c r="P533" s="37">
        <f>SUM(P530:P532)</f>
        <v>0</v>
      </c>
      <c r="Q533" s="37">
        <f>SUM(Q530:Q532)</f>
        <v>1515</v>
      </c>
      <c r="R533" s="37">
        <f>SUM(R530:R532)</f>
        <v>16665</v>
      </c>
      <c r="S533" s="38">
        <f t="array" ref="S533">IF(ISERROR(Q533/J533),"",Q533/J533)</f>
        <v>0.98504551365409621</v>
      </c>
      <c r="T533" s="39">
        <f t="array" ref="T533">IF(ISERROR((O533:P533)/C533),"",SUM(O533:P533)/C533)</f>
        <v>0</v>
      </c>
      <c r="V533" s="214"/>
      <c r="X533" s="29"/>
      <c r="Y533" s="29"/>
      <c r="Z533" s="40"/>
      <c r="AA533" s="40"/>
      <c r="AB533" s="40"/>
      <c r="AC533" s="41"/>
      <c r="AD533" s="4"/>
      <c r="AE533" s="41"/>
      <c r="AF533" s="41"/>
      <c r="AG533" s="41"/>
      <c r="AH533" s="41"/>
      <c r="AI533" s="4"/>
      <c r="AJ533" s="4"/>
      <c r="AK533" s="4"/>
      <c r="AL533" s="4"/>
      <c r="AM533" s="4"/>
      <c r="AN533" s="15"/>
      <c r="AO533" s="4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313"/>
      <c r="B534" s="68"/>
      <c r="C534" s="14"/>
      <c r="D534" s="14"/>
      <c r="E534" s="14"/>
      <c r="F534" s="14"/>
      <c r="G534" s="4"/>
      <c r="H534" s="14"/>
      <c r="I534" s="4"/>
      <c r="J534" s="43"/>
      <c r="K534" s="28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203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</row>
    <row r="535" spans="1:53">
      <c r="A535" s="313"/>
      <c r="B535" s="68" t="s">
        <v>146</v>
      </c>
      <c r="C535" s="14"/>
      <c r="D535" s="14"/>
      <c r="E535" s="14"/>
      <c r="F535" s="14"/>
      <c r="G535" s="4"/>
      <c r="H535" s="14"/>
      <c r="I535" s="4" t="s">
        <v>147</v>
      </c>
      <c r="J535" s="43" t="s">
        <v>449</v>
      </c>
      <c r="K535" s="28"/>
      <c r="L535" s="14"/>
      <c r="M535" s="14"/>
      <c r="N535" s="14"/>
      <c r="O535" s="14"/>
      <c r="P535" s="14"/>
      <c r="Q535" s="14"/>
      <c r="R535" s="14"/>
      <c r="S535" s="14"/>
      <c r="T535" s="14"/>
      <c r="V535" s="203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</row>
    <row r="536" spans="1:53">
      <c r="A536" s="179"/>
      <c r="B536" s="257"/>
      <c r="C536" s="257"/>
      <c r="D536" s="51"/>
      <c r="E536" s="257"/>
    </row>
    <row r="537" spans="1:53">
      <c r="A537" s="327"/>
      <c r="B537" s="258"/>
      <c r="C537" s="257"/>
      <c r="D537" s="51"/>
      <c r="E537" s="257"/>
    </row>
    <row r="538" spans="1:53">
      <c r="A538" s="327"/>
      <c r="B538" s="260"/>
      <c r="C538" s="257"/>
      <c r="D538" s="51"/>
      <c r="E538" s="257"/>
    </row>
    <row r="539" spans="1:53">
      <c r="A539" s="331"/>
      <c r="B539" s="257"/>
      <c r="C539" s="257"/>
      <c r="D539" s="51"/>
      <c r="E539" s="257"/>
    </row>
    <row r="540" spans="1:53">
      <c r="A540" s="331"/>
      <c r="B540" s="257"/>
      <c r="C540" s="257"/>
      <c r="D540" s="51"/>
      <c r="E540" s="257"/>
      <c r="J540" s="46" t="s">
        <v>174</v>
      </c>
      <c r="K540" s="50" t="s">
        <v>176</v>
      </c>
      <c r="L540" t="s">
        <v>175</v>
      </c>
    </row>
    <row r="541" spans="1:53">
      <c r="A541" s="331"/>
      <c r="B541" s="257"/>
      <c r="C541" s="257"/>
      <c r="D541" s="259"/>
      <c r="E541" s="257"/>
      <c r="H541" s="100" t="s">
        <v>163</v>
      </c>
      <c r="J541" s="101">
        <f>+G28+G198+G368</f>
        <v>27562</v>
      </c>
      <c r="K541" s="101">
        <f>+H28+H198+H368</f>
        <v>135696.25</v>
      </c>
      <c r="L541" s="101">
        <f>+I28+I198+I368</f>
        <v>1899</v>
      </c>
      <c r="M541" s="50">
        <f>+J541/L541</f>
        <v>14.513954713006846</v>
      </c>
    </row>
    <row r="542" spans="1:53">
      <c r="A542" s="331"/>
      <c r="B542" s="257"/>
      <c r="C542" s="257"/>
      <c r="D542" s="259"/>
      <c r="E542" s="257"/>
      <c r="H542" s="100" t="s">
        <v>164</v>
      </c>
      <c r="J542" s="101">
        <f>+G426+G256+G86</f>
        <v>50279</v>
      </c>
      <c r="K542" s="101">
        <f>+H426+H256+H86</f>
        <v>249827.87000000005</v>
      </c>
      <c r="L542" s="101">
        <f>+I426+I256+I86</f>
        <v>1134.1500000000001</v>
      </c>
      <c r="M542" s="50">
        <f>+J542/L542</f>
        <v>44.331878499316666</v>
      </c>
    </row>
    <row r="543" spans="1:53">
      <c r="A543" s="331"/>
      <c r="B543" s="257"/>
      <c r="C543" s="257"/>
      <c r="D543" s="259"/>
      <c r="E543" s="257"/>
      <c r="H543" s="100" t="s">
        <v>165</v>
      </c>
      <c r="J543" s="101">
        <f>+G461+G291+G121</f>
        <v>38525</v>
      </c>
      <c r="K543" s="101">
        <f>+H461+H291+H121</f>
        <v>183709.68000000002</v>
      </c>
      <c r="L543" s="101">
        <f>+I461+I291+I121</f>
        <v>4011.7000000000003</v>
      </c>
      <c r="M543" s="50">
        <f>+J543/L543</f>
        <v>9.6031607547922313</v>
      </c>
    </row>
    <row r="544" spans="1:53">
      <c r="A544" s="331"/>
      <c r="B544" s="257"/>
      <c r="C544" s="257"/>
      <c r="D544" s="259"/>
      <c r="E544" s="257"/>
      <c r="H544" s="100" t="s">
        <v>166</v>
      </c>
      <c r="J544" s="101">
        <f>+G477+G307+G137</f>
        <v>8336</v>
      </c>
      <c r="K544" s="101">
        <f>+H477+H307+H137</f>
        <v>42069.149999999994</v>
      </c>
      <c r="L544" s="101">
        <f>+I477+I307+I137</f>
        <v>385.5</v>
      </c>
      <c r="M544" s="50">
        <f t="shared" ref="M544:M545" si="220">+J544/L544</f>
        <v>21.623865110246435</v>
      </c>
    </row>
    <row r="545" spans="1:13">
      <c r="A545" s="331"/>
      <c r="B545" s="257"/>
      <c r="C545" s="257"/>
      <c r="D545" s="259"/>
      <c r="E545" s="257"/>
      <c r="H545" s="100" t="s">
        <v>167</v>
      </c>
      <c r="J545" s="101">
        <f>+G503+G332+G162</f>
        <v>1795</v>
      </c>
      <c r="K545" s="101">
        <f>+H503+H332+H162</f>
        <v>10370.400000000001</v>
      </c>
      <c r="L545" s="101">
        <f>+I503+I332+I162</f>
        <v>481</v>
      </c>
      <c r="M545" s="50">
        <f t="shared" si="220"/>
        <v>3.7318087318087318</v>
      </c>
    </row>
    <row r="546" spans="1:13">
      <c r="A546" s="331"/>
      <c r="B546" s="257"/>
      <c r="C546" s="257"/>
      <c r="D546" s="259"/>
      <c r="E546" s="257"/>
      <c r="J546" s="101">
        <f>SUM(J541:J545)</f>
        <v>126497</v>
      </c>
      <c r="K546" s="101"/>
      <c r="L546" s="101"/>
      <c r="M546" s="50"/>
    </row>
    <row r="547" spans="1:13">
      <c r="A547" s="331"/>
      <c r="B547" s="257"/>
      <c r="C547" s="257"/>
      <c r="D547" s="259"/>
      <c r="E547" s="257"/>
    </row>
    <row r="548" spans="1:13">
      <c r="A548" s="331"/>
      <c r="B548" s="257"/>
      <c r="C548" s="257"/>
      <c r="D548" s="259"/>
      <c r="E548" s="257"/>
      <c r="G548" t="s">
        <v>168</v>
      </c>
    </row>
    <row r="549" spans="1:13">
      <c r="A549" s="331"/>
      <c r="B549" s="257"/>
      <c r="C549" s="257"/>
      <c r="D549" s="259"/>
      <c r="E549" s="257"/>
      <c r="H549" s="100" t="s">
        <v>163</v>
      </c>
      <c r="J549" s="46">
        <f>+G28</f>
        <v>12290</v>
      </c>
      <c r="K549" s="101">
        <f>+H28</f>
        <v>59543.66</v>
      </c>
      <c r="L549" s="101">
        <f>+I28</f>
        <v>837.5</v>
      </c>
      <c r="M549" s="102">
        <f>+J549/L549</f>
        <v>14.674626865671641</v>
      </c>
    </row>
    <row r="550" spans="1:13">
      <c r="A550" s="331"/>
      <c r="B550" s="257"/>
      <c r="C550" s="257"/>
      <c r="D550" s="259"/>
      <c r="E550" s="257"/>
      <c r="H550" s="100" t="s">
        <v>164</v>
      </c>
      <c r="J550" s="46">
        <f>G86</f>
        <v>25010</v>
      </c>
      <c r="K550" s="101">
        <f>H86</f>
        <v>122531.30000000003</v>
      </c>
      <c r="L550" s="101">
        <f>I86</f>
        <v>487.5</v>
      </c>
      <c r="M550" s="102">
        <f>+J550/L550</f>
        <v>51.302564102564105</v>
      </c>
    </row>
    <row r="551" spans="1:13">
      <c r="E551" s="252"/>
      <c r="H551" s="100" t="s">
        <v>165</v>
      </c>
      <c r="J551" s="46">
        <f>+G121</f>
        <v>14026</v>
      </c>
      <c r="K551" s="101">
        <f>+H121</f>
        <v>70621.760000000009</v>
      </c>
      <c r="L551" s="101">
        <f>+I121</f>
        <v>1235.4000000000001</v>
      </c>
      <c r="M551" s="102">
        <f>+J551/L551</f>
        <v>11.353407803140682</v>
      </c>
    </row>
    <row r="552" spans="1:13">
      <c r="H552" s="100" t="s">
        <v>166</v>
      </c>
      <c r="J552" s="46">
        <f>+G137</f>
        <v>4680</v>
      </c>
      <c r="K552" s="101">
        <f>+H137</f>
        <v>23623.309999999998</v>
      </c>
      <c r="L552" s="101">
        <f>+I137</f>
        <v>202.5</v>
      </c>
      <c r="M552" s="102">
        <f>+J552/L552</f>
        <v>23.111111111111111</v>
      </c>
    </row>
    <row r="553" spans="1:13">
      <c r="H553" s="100" t="s">
        <v>167</v>
      </c>
      <c r="J553" s="46">
        <f>+G162</f>
        <v>789</v>
      </c>
      <c r="K553" s="101">
        <f>+H162</f>
        <v>4222.8</v>
      </c>
      <c r="L553" s="101">
        <f>+I162</f>
        <v>125.5</v>
      </c>
      <c r="M553" s="102">
        <f>+J553/L553</f>
        <v>6.286852589641434</v>
      </c>
    </row>
    <row r="554" spans="1:13">
      <c r="J554" s="46">
        <f>+B170</f>
        <v>60125</v>
      </c>
      <c r="M554" s="102"/>
    </row>
    <row r="555" spans="1:13">
      <c r="G555" t="s">
        <v>169</v>
      </c>
      <c r="M555" s="102"/>
    </row>
    <row r="556" spans="1:13">
      <c r="H556" s="100" t="s">
        <v>163</v>
      </c>
      <c r="J556" s="46">
        <f>+G198</f>
        <v>15272</v>
      </c>
      <c r="K556" s="101">
        <f>+H198</f>
        <v>76152.59</v>
      </c>
      <c r="L556" s="101">
        <f>+I198</f>
        <v>1061.5</v>
      </c>
      <c r="M556" s="102">
        <f>+J556/L556</f>
        <v>14.387187941592087</v>
      </c>
    </row>
    <row r="557" spans="1:13">
      <c r="H557" s="100" t="s">
        <v>164</v>
      </c>
      <c r="J557" s="46">
        <f>+G256</f>
        <v>25269</v>
      </c>
      <c r="K557" s="101">
        <f>+H256</f>
        <v>127296.57</v>
      </c>
      <c r="L557" s="101">
        <f>+I256</f>
        <v>646.65</v>
      </c>
      <c r="M557" s="102">
        <f>+J557/L557</f>
        <v>39.076780329389933</v>
      </c>
    </row>
    <row r="558" spans="1:13">
      <c r="H558" s="100" t="s">
        <v>165</v>
      </c>
      <c r="J558" s="46">
        <f>+G291</f>
        <v>10909</v>
      </c>
      <c r="K558" s="101">
        <f>+H291</f>
        <v>44658.16</v>
      </c>
      <c r="L558" s="101">
        <f>+I291</f>
        <v>1706.8</v>
      </c>
      <c r="M558" s="102">
        <f>+J558/L558</f>
        <v>6.391492852120928</v>
      </c>
    </row>
    <row r="559" spans="1:13">
      <c r="H559" s="100" t="s">
        <v>166</v>
      </c>
      <c r="J559" s="46">
        <f>+G307</f>
        <v>3656</v>
      </c>
      <c r="K559" s="101">
        <f>+H307</f>
        <v>18445.84</v>
      </c>
      <c r="L559" s="101">
        <f>+I307</f>
        <v>183</v>
      </c>
      <c r="M559" s="102">
        <f>+J559/L559</f>
        <v>19.978142076502731</v>
      </c>
    </row>
    <row r="560" spans="1:13">
      <c r="H560" s="100" t="s">
        <v>167</v>
      </c>
      <c r="J560" s="46">
        <f>+G332</f>
        <v>1006</v>
      </c>
      <c r="K560" s="101">
        <f>+H332</f>
        <v>6147.6</v>
      </c>
      <c r="L560" s="101">
        <f>+I332</f>
        <v>355.5</v>
      </c>
      <c r="M560" s="102">
        <f>+J560/L560</f>
        <v>2.8298171589310828</v>
      </c>
    </row>
    <row r="561" spans="7:13">
      <c r="G561" t="s">
        <v>170</v>
      </c>
      <c r="J561" s="46">
        <f>+B340</f>
        <v>59657</v>
      </c>
      <c r="K561" s="101"/>
      <c r="L561" s="101"/>
      <c r="M561" s="102"/>
    </row>
    <row r="562" spans="7:13">
      <c r="H562" s="100" t="s">
        <v>163</v>
      </c>
      <c r="J562" s="46">
        <f>+G368</f>
        <v>0</v>
      </c>
      <c r="K562" s="101">
        <f>+H368</f>
        <v>0</v>
      </c>
      <c r="L562" s="101">
        <f>+I368</f>
        <v>0</v>
      </c>
      <c r="M562" s="102" t="e">
        <f>+J562/L562</f>
        <v>#DIV/0!</v>
      </c>
    </row>
    <row r="563" spans="7:13">
      <c r="H563" s="100" t="s">
        <v>164</v>
      </c>
      <c r="J563" s="46">
        <f>+G426</f>
        <v>0</v>
      </c>
      <c r="K563" s="101">
        <f>+H426</f>
        <v>0</v>
      </c>
      <c r="L563" s="101">
        <f>+I426</f>
        <v>0</v>
      </c>
      <c r="M563" s="102" t="e">
        <f>+J563/L563</f>
        <v>#DIV/0!</v>
      </c>
    </row>
    <row r="564" spans="7:13">
      <c r="H564" s="100" t="s">
        <v>165</v>
      </c>
      <c r="J564" s="46">
        <f>+G461</f>
        <v>13590</v>
      </c>
      <c r="K564" s="101">
        <f>+H461</f>
        <v>68429.760000000009</v>
      </c>
      <c r="L564" s="101">
        <f>+I461</f>
        <v>1069.5</v>
      </c>
      <c r="M564" s="102">
        <f>+J564/L564</f>
        <v>12.706872370266479</v>
      </c>
    </row>
    <row r="565" spans="7:13">
      <c r="H565" s="100" t="s">
        <v>166</v>
      </c>
      <c r="J565" s="46">
        <f>+G477</f>
        <v>0</v>
      </c>
      <c r="K565" s="101">
        <f>+H477</f>
        <v>0</v>
      </c>
      <c r="L565" s="101">
        <f>+I477</f>
        <v>0</v>
      </c>
      <c r="M565" s="102" t="e">
        <f>+J565/L565</f>
        <v>#DIV/0!</v>
      </c>
    </row>
    <row r="566" spans="7:13">
      <c r="H566" s="100" t="s">
        <v>167</v>
      </c>
      <c r="J566" s="46">
        <f>+G503</f>
        <v>0</v>
      </c>
      <c r="K566" s="101">
        <f>+H503</f>
        <v>0</v>
      </c>
      <c r="L566" s="101">
        <f>+I503</f>
        <v>0</v>
      </c>
      <c r="M566" s="102" t="e">
        <f>+J566/L566</f>
        <v>#DIV/0!</v>
      </c>
    </row>
    <row r="567" spans="7:13">
      <c r="J567" s="46">
        <f>+B511</f>
        <v>13590</v>
      </c>
    </row>
  </sheetData>
  <mergeCells count="558"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7:B147"/>
    <mergeCell ref="A162:B162"/>
    <mergeCell ref="A163:F163"/>
    <mergeCell ref="A164:A169"/>
    <mergeCell ref="C164:D164"/>
    <mergeCell ref="E164:F164"/>
    <mergeCell ref="Y5:Y6"/>
    <mergeCell ref="Z5:Z6"/>
    <mergeCell ref="R164:S164"/>
    <mergeCell ref="T164:U164"/>
    <mergeCell ref="V164:W164"/>
    <mergeCell ref="X164:Y164"/>
    <mergeCell ref="Z164:AA164"/>
    <mergeCell ref="C165:D165"/>
    <mergeCell ref="E165:F165"/>
    <mergeCell ref="G165:H165"/>
    <mergeCell ref="I165:J165"/>
    <mergeCell ref="K165:L165"/>
    <mergeCell ref="G164:H164"/>
    <mergeCell ref="I164:J164"/>
    <mergeCell ref="K164:L164"/>
    <mergeCell ref="M164:N164"/>
    <mergeCell ref="O164:O172"/>
    <mergeCell ref="P164:Q164"/>
    <mergeCell ref="M165:N165"/>
    <mergeCell ref="P165:Q165"/>
    <mergeCell ref="M166:N166"/>
    <mergeCell ref="P166:Q166"/>
    <mergeCell ref="R165:S165"/>
    <mergeCell ref="T165:U165"/>
    <mergeCell ref="V165:W165"/>
    <mergeCell ref="X165:Y165"/>
    <mergeCell ref="Z168:AA168"/>
    <mergeCell ref="Z165:AA165"/>
    <mergeCell ref="C166:D166"/>
    <mergeCell ref="E166:F166"/>
    <mergeCell ref="G166:H166"/>
    <mergeCell ref="I166:J166"/>
    <mergeCell ref="K166:L166"/>
    <mergeCell ref="R166:S166"/>
    <mergeCell ref="T166:U166"/>
    <mergeCell ref="V166:W166"/>
    <mergeCell ref="X166:Y166"/>
    <mergeCell ref="Z166:AA166"/>
    <mergeCell ref="T169:U169"/>
    <mergeCell ref="C167:D167"/>
    <mergeCell ref="E167:F167"/>
    <mergeCell ref="G167:H167"/>
    <mergeCell ref="I167:J167"/>
    <mergeCell ref="K167:L167"/>
    <mergeCell ref="Z167:AA167"/>
    <mergeCell ref="C168:D168"/>
    <mergeCell ref="E168:F168"/>
    <mergeCell ref="G168:H168"/>
    <mergeCell ref="I168:J168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7:W167"/>
    <mergeCell ref="X167:Y167"/>
    <mergeCell ref="V168:W168"/>
    <mergeCell ref="X168:Y168"/>
    <mergeCell ref="T171:U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Z170:AA170"/>
    <mergeCell ref="M170:N170"/>
    <mergeCell ref="P170:Q170"/>
    <mergeCell ref="R170:S170"/>
    <mergeCell ref="T170:U170"/>
    <mergeCell ref="V170:W170"/>
    <mergeCell ref="X170:Y170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R172:S172"/>
    <mergeCell ref="T172:U172"/>
    <mergeCell ref="V172:W172"/>
    <mergeCell ref="X172:Y172"/>
    <mergeCell ref="Z172:AA172"/>
    <mergeCell ref="A173:BA173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Z175:Z176"/>
    <mergeCell ref="AA175:AA176"/>
    <mergeCell ref="G174:H175"/>
    <mergeCell ref="I174:I176"/>
    <mergeCell ref="J174:J176"/>
    <mergeCell ref="K174:K176"/>
    <mergeCell ref="L174:L176"/>
    <mergeCell ref="M174:M176"/>
    <mergeCell ref="A174:A176"/>
    <mergeCell ref="B174:B176"/>
    <mergeCell ref="C174:C176"/>
    <mergeCell ref="D174:D176"/>
    <mergeCell ref="E174:E176"/>
    <mergeCell ref="F174:F176"/>
    <mergeCell ref="AL175:AR175"/>
    <mergeCell ref="AS175:BA175"/>
    <mergeCell ref="A198:B198"/>
    <mergeCell ref="A256:B256"/>
    <mergeCell ref="A291:B291"/>
    <mergeCell ref="A307:B307"/>
    <mergeCell ref="AJ174:AJ176"/>
    <mergeCell ref="AK174:AK176"/>
    <mergeCell ref="AL174:BA174"/>
    <mergeCell ref="O175:O176"/>
    <mergeCell ref="P175:P176"/>
    <mergeCell ref="Q175:Q176"/>
    <mergeCell ref="R175:R176"/>
    <mergeCell ref="S175:S176"/>
    <mergeCell ref="T175:T176"/>
    <mergeCell ref="U175:U176"/>
    <mergeCell ref="N174:N176"/>
    <mergeCell ref="O174:U174"/>
    <mergeCell ref="V174:V176"/>
    <mergeCell ref="W174:W176"/>
    <mergeCell ref="X174:AA174"/>
    <mergeCell ref="AI174:AI176"/>
    <mergeCell ref="X175:X176"/>
    <mergeCell ref="Y175:Y176"/>
    <mergeCell ref="A317:B317"/>
    <mergeCell ref="A332:B332"/>
    <mergeCell ref="A333:F333"/>
    <mergeCell ref="AL333:AR333"/>
    <mergeCell ref="AS333:BA333"/>
    <mergeCell ref="A334:A339"/>
    <mergeCell ref="C334:D334"/>
    <mergeCell ref="E334:F334"/>
    <mergeCell ref="G334:H334"/>
    <mergeCell ref="I334:J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K334:L334"/>
    <mergeCell ref="M334:N334"/>
    <mergeCell ref="O334:O342"/>
    <mergeCell ref="P334:Q334"/>
    <mergeCell ref="R334:S334"/>
    <mergeCell ref="T334:U334"/>
    <mergeCell ref="R335:S335"/>
    <mergeCell ref="T335:U335"/>
    <mergeCell ref="R336:S336"/>
    <mergeCell ref="T336:U336"/>
    <mergeCell ref="V335:W335"/>
    <mergeCell ref="X335:Y335"/>
    <mergeCell ref="Z335:AA335"/>
    <mergeCell ref="Z336:AA336"/>
    <mergeCell ref="C336:D336"/>
    <mergeCell ref="E336:F336"/>
    <mergeCell ref="G336:H336"/>
    <mergeCell ref="I336:J336"/>
    <mergeCell ref="K336:L336"/>
    <mergeCell ref="M336:N336"/>
    <mergeCell ref="P336:Q336"/>
    <mergeCell ref="V336:W336"/>
    <mergeCell ref="X336:Y336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Z338:AA338"/>
    <mergeCell ref="M338:N338"/>
    <mergeCell ref="P338:Q338"/>
    <mergeCell ref="R338:S338"/>
    <mergeCell ref="T338:U338"/>
    <mergeCell ref="V338:W338"/>
    <mergeCell ref="X338:Y338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M340:N340"/>
    <mergeCell ref="P340:Q340"/>
    <mergeCell ref="R340:S340"/>
    <mergeCell ref="T340:U340"/>
    <mergeCell ref="V340:W340"/>
    <mergeCell ref="X340:Y340"/>
    <mergeCell ref="Z340:AA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C341:D341"/>
    <mergeCell ref="E341:F341"/>
    <mergeCell ref="G341:H341"/>
    <mergeCell ref="I341:J341"/>
    <mergeCell ref="K341:L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M341:N341"/>
    <mergeCell ref="P341:Q341"/>
    <mergeCell ref="R341:S341"/>
    <mergeCell ref="T341:U341"/>
    <mergeCell ref="V341:W341"/>
    <mergeCell ref="X341:Y341"/>
    <mergeCell ref="G344:H345"/>
    <mergeCell ref="I344:I346"/>
    <mergeCell ref="J344:J346"/>
    <mergeCell ref="K344:K346"/>
    <mergeCell ref="L344:L346"/>
    <mergeCell ref="M344:M346"/>
    <mergeCell ref="V342:W342"/>
    <mergeCell ref="X342:Y342"/>
    <mergeCell ref="Z342:AA342"/>
    <mergeCell ref="A343:BA343"/>
    <mergeCell ref="A344:A346"/>
    <mergeCell ref="B344:B346"/>
    <mergeCell ref="C344:C346"/>
    <mergeCell ref="D344:D346"/>
    <mergeCell ref="E344:E346"/>
    <mergeCell ref="F344:F346"/>
    <mergeCell ref="AL345:AR345"/>
    <mergeCell ref="AS345:BA345"/>
    <mergeCell ref="A368:B368"/>
    <mergeCell ref="A426:B426"/>
    <mergeCell ref="A461:B461"/>
    <mergeCell ref="A477:B477"/>
    <mergeCell ref="AJ344:AJ346"/>
    <mergeCell ref="AK344:AK346"/>
    <mergeCell ref="AL344:BA344"/>
    <mergeCell ref="O345:O346"/>
    <mergeCell ref="P345:P346"/>
    <mergeCell ref="Q345:Q346"/>
    <mergeCell ref="R345:R346"/>
    <mergeCell ref="S345:S346"/>
    <mergeCell ref="T345:T346"/>
    <mergeCell ref="U345:U346"/>
    <mergeCell ref="N344:N346"/>
    <mergeCell ref="O344:U344"/>
    <mergeCell ref="V344:V346"/>
    <mergeCell ref="W344:W346"/>
    <mergeCell ref="X344:AA344"/>
    <mergeCell ref="AI344:AI346"/>
    <mergeCell ref="X345:X346"/>
    <mergeCell ref="Y345:Y346"/>
    <mergeCell ref="Z345:Z346"/>
    <mergeCell ref="AA345:AA346"/>
    <mergeCell ref="A487:B487"/>
    <mergeCell ref="A503:B503"/>
    <mergeCell ref="A504:F504"/>
    <mergeCell ref="AL504:AR504"/>
    <mergeCell ref="AS504:BA504"/>
    <mergeCell ref="A505:A510"/>
    <mergeCell ref="C505:D505"/>
    <mergeCell ref="E505:F505"/>
    <mergeCell ref="G505:H505"/>
    <mergeCell ref="I505:J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K505:L505"/>
    <mergeCell ref="M505:N505"/>
    <mergeCell ref="O505:O513"/>
    <mergeCell ref="P505:Q505"/>
    <mergeCell ref="R505:S505"/>
    <mergeCell ref="T505:U505"/>
    <mergeCell ref="R506:S506"/>
    <mergeCell ref="T506:U506"/>
    <mergeCell ref="R507:S507"/>
    <mergeCell ref="T507:U507"/>
    <mergeCell ref="V506:W506"/>
    <mergeCell ref="X506:Y506"/>
    <mergeCell ref="Z506:AA506"/>
    <mergeCell ref="Z507:AA507"/>
    <mergeCell ref="C507:D507"/>
    <mergeCell ref="E507:F507"/>
    <mergeCell ref="G507:H507"/>
    <mergeCell ref="I507:J507"/>
    <mergeCell ref="K507:L507"/>
    <mergeCell ref="M507:N507"/>
    <mergeCell ref="P507:Q507"/>
    <mergeCell ref="V507:W507"/>
    <mergeCell ref="X507:Y507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Z509:AA509"/>
    <mergeCell ref="M509:N509"/>
    <mergeCell ref="P509:Q509"/>
    <mergeCell ref="R509:S509"/>
    <mergeCell ref="T509:U509"/>
    <mergeCell ref="V509:W509"/>
    <mergeCell ref="X509:Y509"/>
    <mergeCell ref="C508:D508"/>
    <mergeCell ref="E508:F508"/>
    <mergeCell ref="G508:H508"/>
    <mergeCell ref="I508:J508"/>
    <mergeCell ref="K508:L508"/>
    <mergeCell ref="M508:N508"/>
    <mergeCell ref="P508:Q508"/>
    <mergeCell ref="R508:S508"/>
    <mergeCell ref="T508:U508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V511:W511"/>
    <mergeCell ref="X511:Y511"/>
    <mergeCell ref="Z511:AA511"/>
    <mergeCell ref="C510:D510"/>
    <mergeCell ref="E510:F510"/>
    <mergeCell ref="G510:H510"/>
    <mergeCell ref="I510:J510"/>
    <mergeCell ref="K510:L510"/>
    <mergeCell ref="M510:N510"/>
    <mergeCell ref="P510:Q510"/>
    <mergeCell ref="R510:S510"/>
    <mergeCell ref="T510:U510"/>
    <mergeCell ref="C512:D512"/>
    <mergeCell ref="E512:F512"/>
    <mergeCell ref="G512:H512"/>
    <mergeCell ref="I512:J512"/>
    <mergeCell ref="K512:L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M512:N512"/>
    <mergeCell ref="P512:Q512"/>
    <mergeCell ref="R512:S512"/>
    <mergeCell ref="T512:U512"/>
    <mergeCell ref="V512:W512"/>
    <mergeCell ref="X512:Y512"/>
    <mergeCell ref="V513:W513"/>
    <mergeCell ref="X513:Y513"/>
    <mergeCell ref="Z513:AA513"/>
    <mergeCell ref="G514:I514"/>
    <mergeCell ref="N514:R514"/>
    <mergeCell ref="A516:B516"/>
    <mergeCell ref="C516:D516"/>
    <mergeCell ref="E516:F516"/>
    <mergeCell ref="G516:H516"/>
    <mergeCell ref="I516:J516"/>
    <mergeCell ref="K516:L516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8:B518"/>
    <mergeCell ref="C518:D518"/>
    <mergeCell ref="E518:F518"/>
    <mergeCell ref="G518:H518"/>
    <mergeCell ref="I518:J518"/>
    <mergeCell ref="K518:L518"/>
    <mergeCell ref="M518:N518"/>
    <mergeCell ref="O518:P518"/>
    <mergeCell ref="M520:N520"/>
    <mergeCell ref="O520:P520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A520:B520"/>
    <mergeCell ref="C520:D520"/>
    <mergeCell ref="E520:F520"/>
    <mergeCell ref="G520:H527"/>
    <mergeCell ref="I520:J520"/>
    <mergeCell ref="K520:L520"/>
    <mergeCell ref="A525:B525"/>
    <mergeCell ref="C525:D525"/>
    <mergeCell ref="E525:F525"/>
    <mergeCell ref="I525:J525"/>
    <mergeCell ref="O521:P521"/>
    <mergeCell ref="Q521:R521"/>
    <mergeCell ref="S521:T521"/>
    <mergeCell ref="A522:B522"/>
    <mergeCell ref="C522:D522"/>
    <mergeCell ref="E522:F522"/>
    <mergeCell ref="I522:J522"/>
    <mergeCell ref="K522:L522"/>
    <mergeCell ref="M522:N522"/>
    <mergeCell ref="O522:P522"/>
    <mergeCell ref="Q522:R522"/>
    <mergeCell ref="S522:T522"/>
    <mergeCell ref="A523:B523"/>
    <mergeCell ref="C523:D523"/>
    <mergeCell ref="E523:F523"/>
    <mergeCell ref="I523:J523"/>
    <mergeCell ref="K523:L523"/>
    <mergeCell ref="M523:N523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M526:N526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29"/>
  <sheetViews>
    <sheetView topLeftCell="CF387" zoomScaleNormal="100" workbookViewId="0">
      <selection activeCell="F484" sqref="F484"/>
    </sheetView>
  </sheetViews>
  <sheetFormatPr defaultRowHeight="14.25"/>
  <cols>
    <col min="1" max="1" width="12.875" style="274" customWidth="1"/>
    <col min="2" max="2" width="26.75" style="69" customWidth="1"/>
    <col min="3" max="3" width="9.375" customWidth="1"/>
    <col min="5" max="5" width="13.25" hidden="1" customWidth="1"/>
    <col min="6" max="6" width="14" hidden="1" customWidth="1"/>
    <col min="7" max="7" width="14" customWidth="1"/>
    <col min="8" max="8" width="12.125" hidden="1" customWidth="1"/>
    <col min="9" max="9" width="9.75" hidden="1" customWidth="1"/>
    <col min="10" max="10" width="11.125" style="46" hidden="1" customWidth="1"/>
    <col min="11" max="11" width="10.5" style="50" hidden="1" customWidth="1"/>
    <col min="12" max="12" width="9.125" hidden="1" customWidth="1"/>
    <col min="13" max="13" width="9.5" hidden="1" customWidth="1"/>
    <col min="14" max="14" width="11.125" hidden="1" customWidth="1"/>
    <col min="15" max="17" width="9.125" hidden="1" customWidth="1"/>
    <col min="18" max="18" width="13.25" hidden="1" customWidth="1"/>
    <col min="19" max="19" width="10.5" hidden="1" customWidth="1"/>
    <col min="20" max="20" width="11.625" hidden="1" customWidth="1"/>
    <col min="21" max="21" width="9.125" hidden="1" customWidth="1"/>
    <col min="22" max="22" width="9.875" style="214" hidden="1" customWidth="1"/>
    <col min="23" max="27" width="9.125" hidden="1" customWidth="1"/>
    <col min="28" max="28" width="9" style="252"/>
    <col min="29" max="29" width="10.5" style="272" bestFit="1" customWidth="1"/>
    <col min="30" max="30" width="9" style="59"/>
    <col min="35" max="53" width="9" style="59"/>
  </cols>
  <sheetData>
    <row r="1" spans="1:106" ht="17.25">
      <c r="A1" s="23" t="s">
        <v>22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03"/>
      <c r="W1" s="14"/>
      <c r="X1" s="14"/>
      <c r="Y1" s="14"/>
      <c r="Z1" s="14"/>
      <c r="AA1" s="14"/>
      <c r="AB1" s="14"/>
      <c r="AC1" s="266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708" t="s">
        <v>23</v>
      </c>
      <c r="B2" s="708"/>
      <c r="C2" s="708"/>
      <c r="D2" s="708"/>
      <c r="E2" s="708"/>
      <c r="F2" s="708"/>
      <c r="G2" s="708"/>
      <c r="H2" s="708"/>
      <c r="I2" s="708"/>
      <c r="J2" s="708"/>
      <c r="K2" s="708"/>
      <c r="L2" s="708"/>
      <c r="M2" s="708"/>
      <c r="N2" s="708"/>
      <c r="O2" s="708"/>
      <c r="P2" s="708"/>
      <c r="Q2" s="708"/>
      <c r="R2" s="708"/>
      <c r="S2" s="708"/>
      <c r="T2" s="708"/>
      <c r="U2" s="708"/>
      <c r="V2" s="708"/>
      <c r="W2" s="708"/>
      <c r="X2" s="708"/>
      <c r="Y2" s="708"/>
      <c r="Z2" s="708"/>
      <c r="AA2" s="708"/>
      <c r="AB2" s="357"/>
      <c r="AC2" s="267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14" t="s">
        <v>24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4"/>
      <c r="W3" s="7"/>
      <c r="X3" s="7"/>
      <c r="Y3" s="7"/>
      <c r="Z3" s="7"/>
      <c r="AA3" s="7"/>
      <c r="AB3" s="11"/>
      <c r="AC3" s="268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787" t="s">
        <v>12</v>
      </c>
      <c r="B4" s="709" t="s">
        <v>25</v>
      </c>
      <c r="C4" s="709" t="s">
        <v>26</v>
      </c>
      <c r="D4" s="709" t="s">
        <v>27</v>
      </c>
      <c r="E4" s="712" t="s">
        <v>28</v>
      </c>
      <c r="F4" s="715" t="s">
        <v>29</v>
      </c>
      <c r="G4" s="718" t="s">
        <v>30</v>
      </c>
      <c r="H4" s="718"/>
      <c r="I4" s="709" t="s">
        <v>31</v>
      </c>
      <c r="J4" s="719" t="s">
        <v>32</v>
      </c>
      <c r="K4" s="730" t="s">
        <v>33</v>
      </c>
      <c r="L4" s="709" t="s">
        <v>34</v>
      </c>
      <c r="M4" s="733" t="s">
        <v>35</v>
      </c>
      <c r="N4" s="727" t="s">
        <v>36</v>
      </c>
      <c r="O4" s="718" t="s">
        <v>37</v>
      </c>
      <c r="P4" s="718"/>
      <c r="Q4" s="718"/>
      <c r="R4" s="718"/>
      <c r="S4" s="718"/>
      <c r="T4" s="718"/>
      <c r="U4" s="718"/>
      <c r="V4" s="735" t="s">
        <v>38</v>
      </c>
      <c r="W4" s="727" t="s">
        <v>39</v>
      </c>
      <c r="X4" s="718" t="s">
        <v>40</v>
      </c>
      <c r="Y4" s="718"/>
      <c r="Z4" s="718"/>
      <c r="AA4" s="718"/>
      <c r="AB4" s="784" t="s">
        <v>434</v>
      </c>
      <c r="AC4" s="786" t="s">
        <v>435</v>
      </c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788"/>
      <c r="B5" s="710"/>
      <c r="C5" s="710"/>
      <c r="D5" s="710"/>
      <c r="E5" s="713"/>
      <c r="F5" s="716"/>
      <c r="G5" s="718"/>
      <c r="H5" s="718"/>
      <c r="I5" s="710"/>
      <c r="J5" s="720"/>
      <c r="K5" s="731"/>
      <c r="L5" s="710"/>
      <c r="M5" s="734"/>
      <c r="N5" s="727"/>
      <c r="O5" s="718" t="s">
        <v>41</v>
      </c>
      <c r="P5" s="718" t="s">
        <v>42</v>
      </c>
      <c r="Q5" s="718" t="s">
        <v>43</v>
      </c>
      <c r="R5" s="728" t="s">
        <v>44</v>
      </c>
      <c r="S5" s="729" t="s">
        <v>45</v>
      </c>
      <c r="T5" s="718" t="s">
        <v>46</v>
      </c>
      <c r="U5" s="718" t="s">
        <v>47</v>
      </c>
      <c r="V5" s="735"/>
      <c r="W5" s="727"/>
      <c r="X5" s="718" t="s">
        <v>13</v>
      </c>
      <c r="Y5" s="718" t="s">
        <v>48</v>
      </c>
      <c r="Z5" s="718" t="s">
        <v>49</v>
      </c>
      <c r="AA5" s="718" t="s">
        <v>47</v>
      </c>
      <c r="AB5" s="785"/>
      <c r="AC5" s="786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 ht="15.75">
      <c r="A6" s="789"/>
      <c r="B6" s="711"/>
      <c r="C6" s="711"/>
      <c r="D6" s="711"/>
      <c r="E6" s="714"/>
      <c r="F6" s="717"/>
      <c r="G6" s="242" t="s">
        <v>50</v>
      </c>
      <c r="H6" s="242" t="s">
        <v>51</v>
      </c>
      <c r="I6" s="711"/>
      <c r="J6" s="721"/>
      <c r="K6" s="732"/>
      <c r="L6" s="711"/>
      <c r="M6" s="734"/>
      <c r="N6" s="727"/>
      <c r="O6" s="718"/>
      <c r="P6" s="718"/>
      <c r="Q6" s="718"/>
      <c r="R6" s="728"/>
      <c r="S6" s="729"/>
      <c r="T6" s="718"/>
      <c r="U6" s="718"/>
      <c r="V6" s="735"/>
      <c r="W6" s="727"/>
      <c r="X6" s="718"/>
      <c r="Y6" s="718"/>
      <c r="Z6" s="718"/>
      <c r="AA6" s="718"/>
      <c r="AB6" s="785"/>
      <c r="AC6" s="786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 ht="15.75">
      <c r="A7" s="31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SUM('3:4'!G7)</f>
        <v>0</v>
      </c>
      <c r="H7" s="95">
        <f t="shared" ref="H7:H24" si="0">D7*G7</f>
        <v>0</v>
      </c>
      <c r="I7" s="93">
        <f>SUM('3:4'!I7)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SUM('3:4'!N7)</f>
        <v>0</v>
      </c>
      <c r="O7" s="93">
        <f>SUM('3:4'!O7)</f>
        <v>0</v>
      </c>
      <c r="P7" s="93">
        <f>SUM('3:4'!P7)</f>
        <v>0</v>
      </c>
      <c r="Q7" s="93">
        <f>SUM('3:4'!Q7)</f>
        <v>0</v>
      </c>
      <c r="R7" s="93">
        <f>SUM('3:4'!R7)</f>
        <v>0</v>
      </c>
      <c r="S7" s="93">
        <f>SUM('3:4'!S7)</f>
        <v>0</v>
      </c>
      <c r="T7" s="93">
        <f>SUM('3:4'!T7)</f>
        <v>0</v>
      </c>
      <c r="U7" s="93">
        <f>SUM('3:4'!U7)</f>
        <v>0</v>
      </c>
      <c r="V7" s="205">
        <f t="shared" ref="V7:V27" si="2">SUM(X7:AA7)</f>
        <v>0</v>
      </c>
      <c r="W7" s="33" t="str">
        <f t="shared" ref="W7:W16" si="3">IF(ISERROR(V7/G7),"",V7/G7)</f>
        <v/>
      </c>
      <c r="X7" s="93">
        <f>SUM('3:4'!X7)</f>
        <v>0</v>
      </c>
      <c r="Y7" s="93">
        <f>SUM('3:4'!Y7)</f>
        <v>0</v>
      </c>
      <c r="Z7" s="93">
        <f>SUM('3:4'!Z7)</f>
        <v>0</v>
      </c>
      <c r="AA7" s="93">
        <f>SUM('3:4'!AA7)</f>
        <v>0</v>
      </c>
      <c r="AB7" s="371">
        <v>0.65</v>
      </c>
      <c r="AC7" s="269">
        <f>AB7*G7</f>
        <v>0</v>
      </c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 ht="17.25">
      <c r="A8" s="316"/>
      <c r="B8" s="62" t="s">
        <v>54</v>
      </c>
      <c r="C8" s="16" t="s">
        <v>53</v>
      </c>
      <c r="D8" s="17">
        <v>5.03</v>
      </c>
      <c r="E8" s="17"/>
      <c r="F8" s="6"/>
      <c r="G8" s="93">
        <f>SUM('3:4'!G8)</f>
        <v>0</v>
      </c>
      <c r="H8" s="95">
        <f t="shared" si="0"/>
        <v>0</v>
      </c>
      <c r="I8" s="93">
        <f>SUM('3:4'!I8)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SUM('3:4'!N8)</f>
        <v>0</v>
      </c>
      <c r="O8" s="93">
        <f>SUM('3:4'!O8)</f>
        <v>0</v>
      </c>
      <c r="P8" s="93">
        <f>SUM('3:4'!P8)</f>
        <v>0</v>
      </c>
      <c r="Q8" s="93">
        <f>SUM('3:4'!Q8)</f>
        <v>0</v>
      </c>
      <c r="R8" s="93">
        <f>SUM('3:4'!R8)</f>
        <v>0</v>
      </c>
      <c r="S8" s="93">
        <f>SUM('3:4'!S8)</f>
        <v>0</v>
      </c>
      <c r="T8" s="93">
        <f>SUM('3:4'!T8)</f>
        <v>0</v>
      </c>
      <c r="U8" s="93">
        <f>SUM('3:4'!U8)</f>
        <v>0</v>
      </c>
      <c r="V8" s="205">
        <f t="shared" si="2"/>
        <v>0</v>
      </c>
      <c r="W8" s="33" t="str">
        <f t="shared" si="3"/>
        <v/>
      </c>
      <c r="X8" s="93">
        <f>SUM('3:4'!X8)</f>
        <v>0</v>
      </c>
      <c r="Y8" s="93">
        <f>SUM('3:4'!Y8)</f>
        <v>0</v>
      </c>
      <c r="Z8" s="93">
        <f>SUM('3:4'!Z8)</f>
        <v>0</v>
      </c>
      <c r="AA8" s="93">
        <f>SUM('3:4'!AA8)</f>
        <v>0</v>
      </c>
      <c r="AB8" s="358">
        <v>0.48</v>
      </c>
      <c r="AC8" s="269">
        <f t="shared" ref="AC8:AC71" si="4">AB8*G8</f>
        <v>0</v>
      </c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 ht="17.25">
      <c r="A9" s="317"/>
      <c r="B9" s="62" t="s">
        <v>54</v>
      </c>
      <c r="C9" s="16" t="s">
        <v>55</v>
      </c>
      <c r="D9" s="17">
        <v>5.03</v>
      </c>
      <c r="E9" s="17"/>
      <c r="F9" s="6"/>
      <c r="G9" s="93">
        <f>SUM('3:4'!G9)</f>
        <v>0</v>
      </c>
      <c r="H9" s="95">
        <f t="shared" si="0"/>
        <v>0</v>
      </c>
      <c r="I9" s="93">
        <f>SUM('3:4'!I9)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SUM('3:4'!N9)</f>
        <v>0</v>
      </c>
      <c r="O9" s="93">
        <f>SUM('3:4'!O9)</f>
        <v>0</v>
      </c>
      <c r="P9" s="93">
        <f>SUM('3:4'!P9)</f>
        <v>0</v>
      </c>
      <c r="Q9" s="93">
        <f>SUM('3:4'!Q9)</f>
        <v>0</v>
      </c>
      <c r="R9" s="93">
        <f>SUM('3:4'!R9)</f>
        <v>0</v>
      </c>
      <c r="S9" s="93">
        <f>SUM('3:4'!S9)</f>
        <v>0</v>
      </c>
      <c r="T9" s="93">
        <f>SUM('3:4'!T9)</f>
        <v>0</v>
      </c>
      <c r="U9" s="93">
        <f>SUM('3:4'!U9)</f>
        <v>0</v>
      </c>
      <c r="V9" s="205">
        <f t="shared" si="2"/>
        <v>0</v>
      </c>
      <c r="W9" s="33" t="str">
        <f t="shared" si="3"/>
        <v/>
      </c>
      <c r="X9" s="93">
        <f>SUM('3:4'!X9)</f>
        <v>0</v>
      </c>
      <c r="Y9" s="93">
        <f>SUM('3:4'!Y9)</f>
        <v>0</v>
      </c>
      <c r="Z9" s="93">
        <f>SUM('3:4'!Z9)</f>
        <v>0</v>
      </c>
      <c r="AA9" s="93">
        <f>SUM('3:4'!AA9)</f>
        <v>0</v>
      </c>
      <c r="AB9" s="358">
        <v>0.43</v>
      </c>
      <c r="AC9" s="269">
        <f t="shared" si="4"/>
        <v>0</v>
      </c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 ht="15.75">
      <c r="A10" s="31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SUM('3:4'!G10)</f>
        <v>0</v>
      </c>
      <c r="H10" s="95">
        <f t="shared" si="0"/>
        <v>0</v>
      </c>
      <c r="I10" s="93">
        <f>SUM('3:4'!I10)</f>
        <v>0</v>
      </c>
      <c r="J10" s="31" t="str">
        <f t="array" ref="J10">IF(ISERROR(G10/I10),"",G10/I10)</f>
        <v/>
      </c>
      <c r="K10" s="35">
        <f t="array" ref="K10">IF(ISERROR(G10/L10),"",G10/L10)</f>
        <v>0</v>
      </c>
      <c r="L10" s="87">
        <v>19</v>
      </c>
      <c r="M10" s="36">
        <f t="shared" si="1"/>
        <v>0</v>
      </c>
      <c r="N10" s="93">
        <f>SUM('3:4'!N10)</f>
        <v>0</v>
      </c>
      <c r="O10" s="93">
        <f>SUM('3:4'!O10)</f>
        <v>0</v>
      </c>
      <c r="P10" s="93">
        <f>SUM('3:4'!P10)</f>
        <v>0</v>
      </c>
      <c r="Q10" s="93">
        <f>SUM('3:4'!Q10)</f>
        <v>0</v>
      </c>
      <c r="R10" s="93">
        <f>SUM('3:4'!R10)</f>
        <v>0</v>
      </c>
      <c r="S10" s="93">
        <f>SUM('3:4'!S10)</f>
        <v>0</v>
      </c>
      <c r="T10" s="93">
        <f>SUM('3:4'!T10)</f>
        <v>0</v>
      </c>
      <c r="U10" s="93">
        <f>SUM('3:4'!U10)</f>
        <v>0</v>
      </c>
      <c r="V10" s="205">
        <f t="shared" si="2"/>
        <v>0</v>
      </c>
      <c r="W10" s="33" t="str">
        <f t="shared" si="3"/>
        <v/>
      </c>
      <c r="X10" s="93">
        <f>SUM('3:4'!X10)</f>
        <v>0</v>
      </c>
      <c r="Y10" s="93">
        <f>SUM('3:4'!Y10)</f>
        <v>0</v>
      </c>
      <c r="Z10" s="93">
        <f>SUM('3:4'!Z10)</f>
        <v>0</v>
      </c>
      <c r="AA10" s="93">
        <f>SUM('3:4'!AA10)</f>
        <v>0</v>
      </c>
      <c r="AB10" s="358">
        <v>0.55000000000000004</v>
      </c>
      <c r="AC10" s="269">
        <f t="shared" si="4"/>
        <v>0</v>
      </c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 ht="15.75">
      <c r="A11" s="31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SUM('3:4'!G11)</f>
        <v>0</v>
      </c>
      <c r="H11" s="95">
        <f t="shared" si="0"/>
        <v>0</v>
      </c>
      <c r="I11" s="93">
        <f>SUM('3:4'!I11)</f>
        <v>0</v>
      </c>
      <c r="J11" s="31" t="str">
        <f t="array" ref="J11">IF(ISERROR(G11/I11),"",G11/I11)</f>
        <v/>
      </c>
      <c r="K11" s="35">
        <f t="array" ref="K11">IF(ISERROR(G11/L11),"",G11/L11)</f>
        <v>0</v>
      </c>
      <c r="L11" s="87">
        <v>20</v>
      </c>
      <c r="M11" s="36">
        <f t="shared" si="1"/>
        <v>0</v>
      </c>
      <c r="N11" s="93">
        <f>SUM('3:4'!N11)</f>
        <v>0</v>
      </c>
      <c r="O11" s="93">
        <f>SUM('3:4'!O11)</f>
        <v>0</v>
      </c>
      <c r="P11" s="93">
        <f>SUM('3:4'!P11)</f>
        <v>0</v>
      </c>
      <c r="Q11" s="93">
        <f>SUM('3:4'!Q11)</f>
        <v>0</v>
      </c>
      <c r="R11" s="93">
        <f>SUM('3:4'!R11)</f>
        <v>0</v>
      </c>
      <c r="S11" s="93">
        <f>SUM('3:4'!S11)</f>
        <v>0</v>
      </c>
      <c r="T11" s="93">
        <f>SUM('3:4'!T11)</f>
        <v>0</v>
      </c>
      <c r="U11" s="93">
        <f>SUM('3:4'!U11)</f>
        <v>0</v>
      </c>
      <c r="V11" s="205">
        <f t="shared" si="2"/>
        <v>0</v>
      </c>
      <c r="W11" s="33" t="str">
        <f t="shared" si="3"/>
        <v/>
      </c>
      <c r="X11" s="93">
        <f>SUM('3:4'!X11)</f>
        <v>0</v>
      </c>
      <c r="Y11" s="93">
        <f>SUM('3:4'!Y11)</f>
        <v>0</v>
      </c>
      <c r="Z11" s="93">
        <f>SUM('3:4'!Z11)</f>
        <v>0</v>
      </c>
      <c r="AA11" s="93">
        <f>SUM('3:4'!AA11)</f>
        <v>0</v>
      </c>
      <c r="AB11" s="358">
        <v>0.52</v>
      </c>
      <c r="AC11" s="269">
        <f t="shared" si="4"/>
        <v>0</v>
      </c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 ht="15.75">
      <c r="A12" s="31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SUM('3:4'!G12)</f>
        <v>0</v>
      </c>
      <c r="H12" s="95">
        <f t="shared" si="0"/>
        <v>0</v>
      </c>
      <c r="I12" s="93">
        <f>SUM('3:4'!I12)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SUM('3:4'!N12)</f>
        <v>0</v>
      </c>
      <c r="O12" s="93">
        <f>SUM('3:4'!O12)</f>
        <v>0</v>
      </c>
      <c r="P12" s="93">
        <f>SUM('3:4'!P12)</f>
        <v>0</v>
      </c>
      <c r="Q12" s="93">
        <f>SUM('3:4'!Q12)</f>
        <v>0</v>
      </c>
      <c r="R12" s="93">
        <f>SUM('3:4'!R12)</f>
        <v>0</v>
      </c>
      <c r="S12" s="93">
        <f>SUM('3:4'!S12)</f>
        <v>0</v>
      </c>
      <c r="T12" s="93">
        <f>SUM('3:4'!T12)</f>
        <v>0</v>
      </c>
      <c r="U12" s="93">
        <f>SUM('3:4'!U12)</f>
        <v>0</v>
      </c>
      <c r="V12" s="205">
        <f t="shared" si="2"/>
        <v>0</v>
      </c>
      <c r="W12" s="33" t="str">
        <f t="shared" si="3"/>
        <v/>
      </c>
      <c r="X12" s="93">
        <f>SUM('3:4'!X12)</f>
        <v>0</v>
      </c>
      <c r="Y12" s="93">
        <f>SUM('3:4'!Y12)</f>
        <v>0</v>
      </c>
      <c r="Z12" s="93">
        <f>SUM('3:4'!Z12)</f>
        <v>0</v>
      </c>
      <c r="AA12" s="93">
        <f>SUM('3:4'!AA12)</f>
        <v>0</v>
      </c>
      <c r="AB12" s="358">
        <v>0.55000000000000004</v>
      </c>
      <c r="AC12" s="269">
        <f t="shared" si="4"/>
        <v>0</v>
      </c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 ht="15.75">
      <c r="A13" s="33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SUM('3:4'!G13)</f>
        <v>0</v>
      </c>
      <c r="H13" s="95">
        <f t="shared" si="0"/>
        <v>0</v>
      </c>
      <c r="I13" s="93">
        <f>SUM('3:4'!I13)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SUM('3:4'!N13)</f>
        <v>0</v>
      </c>
      <c r="O13" s="93">
        <f>SUM('3:4'!O13)</f>
        <v>0</v>
      </c>
      <c r="P13" s="93">
        <f>SUM('3:4'!P13)</f>
        <v>0</v>
      </c>
      <c r="Q13" s="93">
        <f>SUM('3:4'!Q13)</f>
        <v>0</v>
      </c>
      <c r="R13" s="93">
        <f>SUM('3:4'!R13)</f>
        <v>0</v>
      </c>
      <c r="S13" s="93">
        <f>SUM('3:4'!S13)</f>
        <v>0</v>
      </c>
      <c r="T13" s="93">
        <f>SUM('3:4'!T13)</f>
        <v>0</v>
      </c>
      <c r="U13" s="93">
        <f>SUM('3:4'!U13)</f>
        <v>0</v>
      </c>
      <c r="V13" s="205">
        <f t="shared" si="2"/>
        <v>0</v>
      </c>
      <c r="W13" s="33" t="str">
        <f t="shared" si="3"/>
        <v/>
      </c>
      <c r="X13" s="93">
        <f>SUM('3:4'!X13)</f>
        <v>0</v>
      </c>
      <c r="Y13" s="93">
        <f>SUM('3:4'!Y13)</f>
        <v>0</v>
      </c>
      <c r="Z13" s="93">
        <f>SUM('3:4'!Z13)</f>
        <v>0</v>
      </c>
      <c r="AA13" s="93">
        <f>SUM('3:4'!AA13)</f>
        <v>0</v>
      </c>
      <c r="AB13" s="358">
        <v>0.45</v>
      </c>
      <c r="AC13" s="269">
        <f t="shared" si="4"/>
        <v>0</v>
      </c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 ht="15.75">
      <c r="A14" s="30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SUM('3:4'!G14)</f>
        <v>0</v>
      </c>
      <c r="H14" s="95">
        <f t="shared" si="0"/>
        <v>0</v>
      </c>
      <c r="I14" s="93">
        <f>SUM('3:4'!I14)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SUM('3:4'!N14)</f>
        <v>0</v>
      </c>
      <c r="O14" s="93">
        <f>SUM('3:4'!O14)</f>
        <v>0</v>
      </c>
      <c r="P14" s="93">
        <f>SUM('3:4'!P14)</f>
        <v>0</v>
      </c>
      <c r="Q14" s="93">
        <f>SUM('3:4'!Q14)</f>
        <v>0</v>
      </c>
      <c r="R14" s="93">
        <f>SUM('3:4'!R14)</f>
        <v>0</v>
      </c>
      <c r="S14" s="93">
        <f>SUM('3:4'!S14)</f>
        <v>0</v>
      </c>
      <c r="T14" s="93">
        <f>SUM('3:4'!T14)</f>
        <v>0</v>
      </c>
      <c r="U14" s="93">
        <f>SUM('3:4'!U14)</f>
        <v>0</v>
      </c>
      <c r="V14" s="205">
        <f t="shared" si="2"/>
        <v>0</v>
      </c>
      <c r="W14" s="33" t="str">
        <f t="shared" si="3"/>
        <v/>
      </c>
      <c r="X14" s="93">
        <f>SUM('3:4'!X14)</f>
        <v>0</v>
      </c>
      <c r="Y14" s="93">
        <f>SUM('3:4'!Y14)</f>
        <v>0</v>
      </c>
      <c r="Z14" s="93">
        <f>SUM('3:4'!Z14)</f>
        <v>0</v>
      </c>
      <c r="AA14" s="93">
        <f>SUM('3:4'!AA14)</f>
        <v>0</v>
      </c>
      <c r="AB14" s="358">
        <v>0.45</v>
      </c>
      <c r="AC14" s="269">
        <f t="shared" si="4"/>
        <v>0</v>
      </c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 ht="17.25">
      <c r="A15" s="316">
        <v>30200006</v>
      </c>
      <c r="B15" s="62" t="s">
        <v>62</v>
      </c>
      <c r="C15" s="16" t="s">
        <v>63</v>
      </c>
      <c r="D15" s="17">
        <v>5.04</v>
      </c>
      <c r="E15" s="17"/>
      <c r="F15" s="79"/>
      <c r="G15" s="93">
        <f>SUM('3:4'!G15)</f>
        <v>0</v>
      </c>
      <c r="H15" s="95">
        <f t="shared" si="0"/>
        <v>0</v>
      </c>
      <c r="I15" s="93">
        <f>SUM('3:4'!I15)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SUM('3:4'!N15)</f>
        <v>0</v>
      </c>
      <c r="O15" s="93">
        <f>SUM('3:4'!O15)</f>
        <v>0</v>
      </c>
      <c r="P15" s="93">
        <f>SUM('3:4'!P15)</f>
        <v>0</v>
      </c>
      <c r="Q15" s="93">
        <f>SUM('3:4'!Q15)</f>
        <v>0</v>
      </c>
      <c r="R15" s="93">
        <f>SUM('3:4'!R15)</f>
        <v>0</v>
      </c>
      <c r="S15" s="93">
        <f>SUM('3:4'!S15)</f>
        <v>0</v>
      </c>
      <c r="T15" s="93">
        <f>SUM('3:4'!T15)</f>
        <v>0</v>
      </c>
      <c r="U15" s="93">
        <f>SUM('3:4'!U15)</f>
        <v>0</v>
      </c>
      <c r="V15" s="205">
        <f t="shared" si="2"/>
        <v>0</v>
      </c>
      <c r="W15" s="33" t="str">
        <f t="shared" si="3"/>
        <v/>
      </c>
      <c r="X15" s="93">
        <f>SUM('3:4'!X15)</f>
        <v>0</v>
      </c>
      <c r="Y15" s="93">
        <f>SUM('3:4'!Y15)</f>
        <v>0</v>
      </c>
      <c r="Z15" s="93">
        <f>SUM('3:4'!Z15)</f>
        <v>0</v>
      </c>
      <c r="AA15" s="93">
        <f>SUM('3:4'!AA15)</f>
        <v>0</v>
      </c>
      <c r="AB15" s="358">
        <v>0.61</v>
      </c>
      <c r="AC15" s="269">
        <f t="shared" si="4"/>
        <v>0</v>
      </c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 ht="17.25">
      <c r="A16" s="316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SUM('3:4'!G16)</f>
        <v>0</v>
      </c>
      <c r="H16" s="95">
        <f t="shared" si="0"/>
        <v>0</v>
      </c>
      <c r="I16" s="93">
        <f>SUM('3:4'!I16)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87">
        <v>17</v>
      </c>
      <c r="M16" s="36">
        <f t="shared" si="1"/>
        <v>0</v>
      </c>
      <c r="N16" s="93">
        <f>SUM('3:4'!N16)</f>
        <v>0</v>
      </c>
      <c r="O16" s="93">
        <f>SUM('3:4'!O16)</f>
        <v>0</v>
      </c>
      <c r="P16" s="93">
        <f>SUM('3:4'!P16)</f>
        <v>0</v>
      </c>
      <c r="Q16" s="93">
        <f>SUM('3:4'!Q16)</f>
        <v>0</v>
      </c>
      <c r="R16" s="93">
        <f>SUM('3:4'!R16)</f>
        <v>0</v>
      </c>
      <c r="S16" s="93">
        <f>SUM('3:4'!S16)</f>
        <v>0</v>
      </c>
      <c r="T16" s="93">
        <f>SUM('3:4'!T16)</f>
        <v>0</v>
      </c>
      <c r="U16" s="93">
        <f>SUM('3:4'!U16)</f>
        <v>0</v>
      </c>
      <c r="V16" s="205">
        <f t="shared" si="2"/>
        <v>0</v>
      </c>
      <c r="W16" s="33" t="str">
        <f t="shared" si="3"/>
        <v/>
      </c>
      <c r="X16" s="93">
        <f>SUM('3:4'!X16)</f>
        <v>0</v>
      </c>
      <c r="Y16" s="93">
        <f>SUM('3:4'!Y16)</f>
        <v>0</v>
      </c>
      <c r="Z16" s="93">
        <f>SUM('3:4'!Z16)</f>
        <v>0</v>
      </c>
      <c r="AA16" s="93">
        <f>SUM('3:4'!AA16)</f>
        <v>0</v>
      </c>
      <c r="AB16" s="358">
        <v>0.61</v>
      </c>
      <c r="AC16" s="269">
        <f t="shared" si="4"/>
        <v>0</v>
      </c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 ht="17.25">
      <c r="A17" s="318">
        <v>30100063</v>
      </c>
      <c r="B17" s="192" t="s">
        <v>485</v>
      </c>
      <c r="C17" s="16" t="s">
        <v>172</v>
      </c>
      <c r="D17" s="17"/>
      <c r="E17" s="17"/>
      <c r="F17" s="6"/>
      <c r="G17" s="93">
        <f>SUM('3:4'!G17)</f>
        <v>0</v>
      </c>
      <c r="H17" s="95">
        <f t="shared" si="0"/>
        <v>0</v>
      </c>
      <c r="I17" s="93">
        <f>SUM('3:4'!I17)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>IF(ISERROR(I17-K17),"",I17-K17)</f>
        <v>0</v>
      </c>
      <c r="N17" s="93">
        <f>SUM('3:4'!N17)</f>
        <v>0</v>
      </c>
      <c r="O17" s="93">
        <f>SUM('3:4'!O17)</f>
        <v>0</v>
      </c>
      <c r="P17" s="93">
        <f>SUM('3:4'!P17)</f>
        <v>0</v>
      </c>
      <c r="Q17" s="93">
        <f>SUM('3:4'!Q17)</f>
        <v>0</v>
      </c>
      <c r="R17" s="93">
        <f>SUM('3:4'!R17)</f>
        <v>0</v>
      </c>
      <c r="S17" s="93">
        <f>SUM('3:4'!S17)</f>
        <v>0</v>
      </c>
      <c r="T17" s="93">
        <f>SUM('3:4'!T17)</f>
        <v>0</v>
      </c>
      <c r="U17" s="93">
        <f>SUM('3:4'!U17)</f>
        <v>0</v>
      </c>
      <c r="V17" s="205">
        <f t="shared" si="2"/>
        <v>0</v>
      </c>
      <c r="W17" s="33" t="str">
        <f>IF(ISERROR(V17/G17),"",V17/G17)</f>
        <v/>
      </c>
      <c r="X17" s="93">
        <f>SUM('3:4'!X17)</f>
        <v>0</v>
      </c>
      <c r="Y17" s="93">
        <f>SUM('3:4'!Y17)</f>
        <v>0</v>
      </c>
      <c r="Z17" s="93">
        <f>SUM('3:4'!Z17)</f>
        <v>0</v>
      </c>
      <c r="AA17" s="93">
        <f>SUM('3:4'!AA17)</f>
        <v>0</v>
      </c>
      <c r="AB17" s="358">
        <v>0.43</v>
      </c>
      <c r="AC17" s="269">
        <f t="shared" si="4"/>
        <v>0</v>
      </c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 ht="15.75">
      <c r="A18" s="302">
        <v>30100061</v>
      </c>
      <c r="B18" s="62" t="s">
        <v>171</v>
      </c>
      <c r="C18" s="16" t="s">
        <v>173</v>
      </c>
      <c r="D18" s="17"/>
      <c r="E18" s="17"/>
      <c r="F18" s="6"/>
      <c r="G18" s="93">
        <f>SUM('3:4'!G18)</f>
        <v>0</v>
      </c>
      <c r="H18" s="95">
        <f t="shared" si="0"/>
        <v>0</v>
      </c>
      <c r="I18" s="93">
        <f>SUM('3:4'!I18)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>IF(ISERROR(I18-K18),"",I18-K18)</f>
        <v>0</v>
      </c>
      <c r="N18" s="93">
        <f>SUM('3:4'!N18)</f>
        <v>0</v>
      </c>
      <c r="O18" s="93">
        <f>SUM('3:4'!O18)</f>
        <v>0</v>
      </c>
      <c r="P18" s="93">
        <f>SUM('3:4'!P18)</f>
        <v>0</v>
      </c>
      <c r="Q18" s="93">
        <f>SUM('3:4'!Q18)</f>
        <v>0</v>
      </c>
      <c r="R18" s="93">
        <f>SUM('3:4'!R18)</f>
        <v>0</v>
      </c>
      <c r="S18" s="93">
        <f>SUM('3:4'!S18)</f>
        <v>0</v>
      </c>
      <c r="T18" s="93">
        <f>SUM('3:4'!T18)</f>
        <v>0</v>
      </c>
      <c r="U18" s="93">
        <f>SUM('3:4'!U18)</f>
        <v>0</v>
      </c>
      <c r="V18" s="205">
        <f t="shared" si="2"/>
        <v>0</v>
      </c>
      <c r="W18" s="33" t="str">
        <f>IF(ISERROR(V18/G18),"",V18/G18)</f>
        <v/>
      </c>
      <c r="X18" s="93">
        <f>SUM('3:4'!X18)</f>
        <v>0</v>
      </c>
      <c r="Y18" s="93">
        <f>SUM('3:4'!Y18)</f>
        <v>0</v>
      </c>
      <c r="Z18" s="93">
        <f>SUM('3:4'!Z18)</f>
        <v>0</v>
      </c>
      <c r="AA18" s="93">
        <f>SUM('3:4'!AA18)</f>
        <v>0</v>
      </c>
      <c r="AB18" s="358">
        <v>0.43</v>
      </c>
      <c r="AC18" s="269">
        <f t="shared" si="4"/>
        <v>0</v>
      </c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 ht="17.25">
      <c r="A19" s="316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SUM('3:4'!G19)</f>
        <v>0</v>
      </c>
      <c r="H19" s="95">
        <f t="shared" si="0"/>
        <v>0</v>
      </c>
      <c r="I19" s="93">
        <f>SUM('3:4'!I19)</f>
        <v>0</v>
      </c>
      <c r="J19" s="31" t="str">
        <f t="array" ref="J19">IF(ISERROR(G19/I19),"",G19/I19)</f>
        <v/>
      </c>
      <c r="K19" s="35">
        <f t="array" ref="K19">IF(ISERROR(G19/L19),"",G19/L19)</f>
        <v>0</v>
      </c>
      <c r="L19" s="87">
        <v>19</v>
      </c>
      <c r="M19" s="36">
        <f t="shared" ref="M19:M21" si="5">IF(ISERROR(I19-K19),"",I19-K19)</f>
        <v>0</v>
      </c>
      <c r="N19" s="93">
        <f>SUM('3:4'!N19)</f>
        <v>0</v>
      </c>
      <c r="O19" s="93">
        <f>SUM('3:4'!O19)</f>
        <v>0</v>
      </c>
      <c r="P19" s="93">
        <f>SUM('3:4'!P19)</f>
        <v>0</v>
      </c>
      <c r="Q19" s="93">
        <f>SUM('3:4'!Q19)</f>
        <v>0</v>
      </c>
      <c r="R19" s="93">
        <f>SUM('3:4'!R19)</f>
        <v>0</v>
      </c>
      <c r="S19" s="93">
        <f>SUM('3:4'!S19)</f>
        <v>0</v>
      </c>
      <c r="T19" s="93">
        <f>SUM('3:4'!T19)</f>
        <v>0</v>
      </c>
      <c r="U19" s="93">
        <f>SUM('3:4'!U19)</f>
        <v>0</v>
      </c>
      <c r="V19" s="205">
        <f t="shared" si="2"/>
        <v>0</v>
      </c>
      <c r="W19" s="33" t="str">
        <f t="shared" ref="W19:W21" si="6">IF(ISERROR(V19/G19),"",V19/G19)</f>
        <v/>
      </c>
      <c r="X19" s="93">
        <f>SUM('3:4'!X19)</f>
        <v>0</v>
      </c>
      <c r="Y19" s="93">
        <f>SUM('3:4'!Y19)</f>
        <v>0</v>
      </c>
      <c r="Z19" s="93">
        <f>SUM('3:4'!Z19)</f>
        <v>0</v>
      </c>
      <c r="AA19" s="93">
        <f>SUM('3:4'!AA19)</f>
        <v>0</v>
      </c>
      <c r="AB19" s="358">
        <v>0.55000000000000004</v>
      </c>
      <c r="AC19" s="269">
        <f t="shared" si="4"/>
        <v>0</v>
      </c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 ht="17.25">
      <c r="A20" s="316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SUM('3:4'!G20)</f>
        <v>0</v>
      </c>
      <c r="H20" s="95">
        <f t="shared" si="0"/>
        <v>0</v>
      </c>
      <c r="I20" s="93">
        <f>SUM('3:4'!I20)</f>
        <v>0</v>
      </c>
      <c r="J20" s="31" t="str">
        <f t="array" ref="J20">IF(ISERROR(G20/I20),"",G20/I20)</f>
        <v/>
      </c>
      <c r="K20" s="35">
        <f t="array" ref="K20">IF(ISERROR(G20/L20),"",G20/L20)</f>
        <v>0</v>
      </c>
      <c r="L20" s="87">
        <v>23</v>
      </c>
      <c r="M20" s="36">
        <f t="shared" si="5"/>
        <v>0</v>
      </c>
      <c r="N20" s="93">
        <f>SUM('3:4'!N20)</f>
        <v>0</v>
      </c>
      <c r="O20" s="93">
        <f>SUM('3:4'!O20)</f>
        <v>0</v>
      </c>
      <c r="P20" s="93">
        <f>SUM('3:4'!P20)</f>
        <v>0</v>
      </c>
      <c r="Q20" s="93">
        <f>SUM('3:4'!Q20)</f>
        <v>0</v>
      </c>
      <c r="R20" s="93">
        <f>SUM('3:4'!R20)</f>
        <v>0</v>
      </c>
      <c r="S20" s="93">
        <f>SUM('3:4'!S20)</f>
        <v>0</v>
      </c>
      <c r="T20" s="93">
        <f>SUM('3:4'!T20)</f>
        <v>0</v>
      </c>
      <c r="U20" s="93">
        <f>SUM('3:4'!U20)</f>
        <v>0</v>
      </c>
      <c r="V20" s="205">
        <f t="shared" si="2"/>
        <v>0</v>
      </c>
      <c r="W20" s="33" t="str">
        <f t="shared" si="6"/>
        <v/>
      </c>
      <c r="X20" s="93">
        <f>SUM('3:4'!X20)</f>
        <v>0</v>
      </c>
      <c r="Y20" s="93">
        <f>SUM('3:4'!Y20)</f>
        <v>0</v>
      </c>
      <c r="Z20" s="93">
        <f>SUM('3:4'!Z20)</f>
        <v>0</v>
      </c>
      <c r="AA20" s="93">
        <f>SUM('3:4'!AA20)</f>
        <v>0</v>
      </c>
      <c r="AB20" s="358">
        <v>0.45</v>
      </c>
      <c r="AC20" s="269">
        <f t="shared" si="4"/>
        <v>0</v>
      </c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 ht="17.25">
      <c r="A21" s="316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SUM('3:4'!G21)</f>
        <v>0</v>
      </c>
      <c r="H21" s="95">
        <f t="shared" si="0"/>
        <v>0</v>
      </c>
      <c r="I21" s="93">
        <f>SUM('3:4'!I21)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5"/>
        <v>0</v>
      </c>
      <c r="N21" s="93">
        <f>SUM('3:4'!N21)</f>
        <v>0</v>
      </c>
      <c r="O21" s="93">
        <f>SUM('3:4'!O21)</f>
        <v>0</v>
      </c>
      <c r="P21" s="93">
        <f>SUM('3:4'!P21)</f>
        <v>0</v>
      </c>
      <c r="Q21" s="93">
        <f>SUM('3:4'!Q21)</f>
        <v>0</v>
      </c>
      <c r="R21" s="93">
        <f>SUM('3:4'!R21)</f>
        <v>0</v>
      </c>
      <c r="S21" s="93">
        <f>SUM('3:4'!S21)</f>
        <v>0</v>
      </c>
      <c r="T21" s="93">
        <f>SUM('3:4'!T21)</f>
        <v>0</v>
      </c>
      <c r="U21" s="93">
        <f>SUM('3:4'!U21)</f>
        <v>0</v>
      </c>
      <c r="V21" s="205">
        <f t="shared" si="2"/>
        <v>0</v>
      </c>
      <c r="W21" s="33" t="str">
        <f t="shared" si="6"/>
        <v/>
      </c>
      <c r="X21" s="93">
        <f>SUM('3:4'!X21)</f>
        <v>0</v>
      </c>
      <c r="Y21" s="93">
        <f>SUM('3:4'!Y21)</f>
        <v>0</v>
      </c>
      <c r="Z21" s="93">
        <f>SUM('3:4'!Z21)</f>
        <v>0</v>
      </c>
      <c r="AA21" s="93">
        <f>SUM('3:4'!AA21)</f>
        <v>0</v>
      </c>
      <c r="AB21" s="358">
        <v>0.45</v>
      </c>
      <c r="AC21" s="269">
        <f t="shared" si="4"/>
        <v>0</v>
      </c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 ht="17.25">
      <c r="A22" s="316">
        <v>30100003</v>
      </c>
      <c r="B22" s="64" t="s">
        <v>161</v>
      </c>
      <c r="C22" s="242" t="s">
        <v>64</v>
      </c>
      <c r="D22" s="17">
        <v>4.8</v>
      </c>
      <c r="E22" s="17"/>
      <c r="F22" s="6"/>
      <c r="G22" s="93">
        <f>SUM('3:4'!G22)</f>
        <v>0</v>
      </c>
      <c r="H22" s="95">
        <f t="shared" si="0"/>
        <v>0</v>
      </c>
      <c r="I22" s="93">
        <f>SUM('3:4'!I22)</f>
        <v>0</v>
      </c>
      <c r="J22" s="31"/>
      <c r="K22" s="35">
        <f t="array" ref="K22">IF(ISERROR(G22/L22),"",G22/L22)</f>
        <v>0</v>
      </c>
      <c r="L22" s="87">
        <v>4</v>
      </c>
      <c r="M22" s="36">
        <f>IF(ISERROR(I22-K22),"",I22-K22)</f>
        <v>0</v>
      </c>
      <c r="N22" s="93">
        <f>SUM('3:4'!N22)</f>
        <v>0</v>
      </c>
      <c r="O22" s="93">
        <f>SUM('3:4'!O22)</f>
        <v>0</v>
      </c>
      <c r="P22" s="93">
        <f>SUM('3:4'!P22)</f>
        <v>0</v>
      </c>
      <c r="Q22" s="93">
        <f>SUM('3:4'!Q22)</f>
        <v>0</v>
      </c>
      <c r="R22" s="93">
        <f>SUM('3:4'!R22)</f>
        <v>0</v>
      </c>
      <c r="S22" s="93">
        <f>SUM('3:4'!S22)</f>
        <v>0</v>
      </c>
      <c r="T22" s="93">
        <f>SUM('3:4'!T22)</f>
        <v>0</v>
      </c>
      <c r="U22" s="93">
        <f>SUM('3:4'!U22)</f>
        <v>0</v>
      </c>
      <c r="V22" s="205">
        <f t="shared" si="2"/>
        <v>0</v>
      </c>
      <c r="W22" s="33"/>
      <c r="X22" s="93">
        <f>SUM('3:4'!X22)</f>
        <v>0</v>
      </c>
      <c r="Y22" s="93">
        <f>SUM('3:4'!Y22)</f>
        <v>0</v>
      </c>
      <c r="Z22" s="93">
        <f>SUM('3:4'!Z22)</f>
        <v>0</v>
      </c>
      <c r="AA22" s="93">
        <f>SUM('3:4'!AA22)</f>
        <v>0</v>
      </c>
      <c r="AB22" s="358">
        <v>0.95</v>
      </c>
      <c r="AC22" s="269">
        <f t="shared" si="4"/>
        <v>0</v>
      </c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 ht="17.25">
      <c r="A23" s="316">
        <v>30100004</v>
      </c>
      <c r="B23" s="64" t="s">
        <v>161</v>
      </c>
      <c r="C23" s="242" t="s">
        <v>61</v>
      </c>
      <c r="D23" s="17">
        <v>4.8</v>
      </c>
      <c r="E23" s="17"/>
      <c r="F23" s="6"/>
      <c r="G23" s="93">
        <f>SUM('3:4'!G23)</f>
        <v>0</v>
      </c>
      <c r="H23" s="95">
        <f t="shared" si="0"/>
        <v>0</v>
      </c>
      <c r="I23" s="93">
        <f>SUM('3:4'!I23)</f>
        <v>0</v>
      </c>
      <c r="J23" s="31"/>
      <c r="K23" s="35">
        <f t="array" ref="K23">IF(ISERROR(G23/L23),"",G23/L23)</f>
        <v>0</v>
      </c>
      <c r="L23" s="87">
        <v>4</v>
      </c>
      <c r="M23" s="36">
        <f>IF(ISERROR(I23-K23),"",I23-K23)</f>
        <v>0</v>
      </c>
      <c r="N23" s="93">
        <f>SUM('3:4'!N23)</f>
        <v>0</v>
      </c>
      <c r="O23" s="93">
        <f>SUM('3:4'!O23)</f>
        <v>0</v>
      </c>
      <c r="P23" s="93">
        <f>SUM('3:4'!P23)</f>
        <v>0</v>
      </c>
      <c r="Q23" s="93">
        <f>SUM('3:4'!Q23)</f>
        <v>0</v>
      </c>
      <c r="R23" s="93">
        <f>SUM('3:4'!R23)</f>
        <v>0</v>
      </c>
      <c r="S23" s="93">
        <f>SUM('3:4'!S23)</f>
        <v>0</v>
      </c>
      <c r="T23" s="93">
        <f>SUM('3:4'!T23)</f>
        <v>0</v>
      </c>
      <c r="U23" s="93">
        <f>SUM('3:4'!U23)</f>
        <v>0</v>
      </c>
      <c r="V23" s="205">
        <f t="shared" si="2"/>
        <v>0</v>
      </c>
      <c r="W23" s="33"/>
      <c r="X23" s="93">
        <f>SUM('3:4'!X23)</f>
        <v>0</v>
      </c>
      <c r="Y23" s="93">
        <f>SUM('3:4'!Y23)</f>
        <v>0</v>
      </c>
      <c r="Z23" s="93">
        <f>SUM('3:4'!Z23)</f>
        <v>0</v>
      </c>
      <c r="AA23" s="93">
        <f>SUM('3:4'!AA23)</f>
        <v>0</v>
      </c>
      <c r="AB23" s="358">
        <v>0.95</v>
      </c>
      <c r="AC23" s="269">
        <f t="shared" si="4"/>
        <v>0</v>
      </c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 ht="17.25">
      <c r="A24" s="316">
        <v>30100006</v>
      </c>
      <c r="B24" s="64" t="s">
        <v>161</v>
      </c>
      <c r="C24" s="242" t="s">
        <v>53</v>
      </c>
      <c r="D24" s="17">
        <v>4.8</v>
      </c>
      <c r="E24" s="17"/>
      <c r="F24" s="6"/>
      <c r="G24" s="93">
        <f>SUM('3:4'!G24)</f>
        <v>0</v>
      </c>
      <c r="H24" s="95">
        <f t="shared" si="0"/>
        <v>0</v>
      </c>
      <c r="I24" s="93">
        <f>SUM('3:4'!I24)</f>
        <v>0</v>
      </c>
      <c r="J24" s="31"/>
      <c r="K24" s="35">
        <f t="array" ref="K24">IF(ISERROR(G24/L24),"",G24/L24)</f>
        <v>0</v>
      </c>
      <c r="L24" s="87">
        <v>4</v>
      </c>
      <c r="M24" s="36">
        <f>IF(ISERROR(I24-K24),"",I24-K24)</f>
        <v>0</v>
      </c>
      <c r="N24" s="93">
        <f>SUM('3:4'!N24)</f>
        <v>0</v>
      </c>
      <c r="O24" s="93">
        <f>SUM('3:4'!O24)</f>
        <v>0</v>
      </c>
      <c r="P24" s="93">
        <f>SUM('3:4'!P24)</f>
        <v>0</v>
      </c>
      <c r="Q24" s="93">
        <f>SUM('3:4'!Q24)</f>
        <v>0</v>
      </c>
      <c r="R24" s="93">
        <f>SUM('3:4'!R24)</f>
        <v>0</v>
      </c>
      <c r="S24" s="93">
        <f>SUM('3:4'!S24)</f>
        <v>0</v>
      </c>
      <c r="T24" s="93">
        <f>SUM('3:4'!T24)</f>
        <v>0</v>
      </c>
      <c r="U24" s="93">
        <f>SUM('3:4'!U24)</f>
        <v>0</v>
      </c>
      <c r="V24" s="205">
        <f t="shared" si="2"/>
        <v>0</v>
      </c>
      <c r="W24" s="33"/>
      <c r="X24" s="93">
        <f>SUM('3:4'!X24)</f>
        <v>0</v>
      </c>
      <c r="Y24" s="93">
        <f>SUM('3:4'!Y24)</f>
        <v>0</v>
      </c>
      <c r="Z24" s="93">
        <f>SUM('3:4'!Z24)</f>
        <v>0</v>
      </c>
      <c r="AA24" s="93">
        <f>SUM('3:4'!AA24)</f>
        <v>0</v>
      </c>
      <c r="AB24" s="358">
        <v>0.95</v>
      </c>
      <c r="AC24" s="269">
        <f t="shared" si="4"/>
        <v>0</v>
      </c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 ht="17.25">
      <c r="A25" s="316">
        <v>30100005</v>
      </c>
      <c r="B25" s="64" t="s">
        <v>161</v>
      </c>
      <c r="C25" s="242" t="s">
        <v>73</v>
      </c>
      <c r="D25" s="17">
        <v>4.8</v>
      </c>
      <c r="E25" s="17"/>
      <c r="F25" s="6"/>
      <c r="G25" s="93">
        <f>SUM('3:4'!G25)</f>
        <v>0</v>
      </c>
      <c r="H25" s="95">
        <f>D25*G25</f>
        <v>0</v>
      </c>
      <c r="I25" s="93">
        <f>SUM('3:4'!I25)</f>
        <v>0</v>
      </c>
      <c r="J25" s="31"/>
      <c r="K25" s="35">
        <f t="array" ref="K25">IF(ISERROR(G25/L25),"",G25/L25)</f>
        <v>0</v>
      </c>
      <c r="L25" s="87">
        <v>4</v>
      </c>
      <c r="M25" s="36">
        <f>IF(ISERROR(I25-K25),"",I25-K25)</f>
        <v>0</v>
      </c>
      <c r="N25" s="93">
        <f>SUM('3:4'!N25)</f>
        <v>0</v>
      </c>
      <c r="O25" s="93">
        <f>SUM('3:4'!O25)</f>
        <v>0</v>
      </c>
      <c r="P25" s="93">
        <f>SUM('3:4'!P25)</f>
        <v>0</v>
      </c>
      <c r="Q25" s="93">
        <f>SUM('3:4'!Q25)</f>
        <v>0</v>
      </c>
      <c r="R25" s="93">
        <f>SUM('3:4'!R25)</f>
        <v>0</v>
      </c>
      <c r="S25" s="93">
        <f>SUM('3:4'!S25)</f>
        <v>0</v>
      </c>
      <c r="T25" s="93">
        <f>SUM('3:4'!T25)</f>
        <v>0</v>
      </c>
      <c r="U25" s="93">
        <f>SUM('3:4'!U25)</f>
        <v>0</v>
      </c>
      <c r="V25" s="205">
        <f t="shared" si="2"/>
        <v>0</v>
      </c>
      <c r="W25" s="33"/>
      <c r="X25" s="93">
        <f>SUM('3:4'!X25)</f>
        <v>0</v>
      </c>
      <c r="Y25" s="93">
        <f>SUM('3:4'!Y25)</f>
        <v>0</v>
      </c>
      <c r="Z25" s="93">
        <f>SUM('3:4'!Z25)</f>
        <v>0</v>
      </c>
      <c r="AA25" s="93">
        <f>SUM('3:4'!AA25)</f>
        <v>0</v>
      </c>
      <c r="AB25" s="358">
        <v>0.95</v>
      </c>
      <c r="AC25" s="269">
        <f t="shared" si="4"/>
        <v>0</v>
      </c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 ht="17.25">
      <c r="A26" s="316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SUM('3:4'!G26)</f>
        <v>0</v>
      </c>
      <c r="H26" s="95">
        <f t="shared" ref="H26:H27" si="7">D26*G26</f>
        <v>0</v>
      </c>
      <c r="I26" s="93">
        <f>SUM('3:4'!I26)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ref="M26:M27" si="8">IF(ISERROR(I26-K26),"",I26-K26)</f>
        <v>0</v>
      </c>
      <c r="N26" s="93">
        <f>SUM('3:4'!N26)</f>
        <v>0</v>
      </c>
      <c r="O26" s="93">
        <f>SUM('3:4'!O26)</f>
        <v>0</v>
      </c>
      <c r="P26" s="93">
        <f>SUM('3:4'!P26)</f>
        <v>0</v>
      </c>
      <c r="Q26" s="93">
        <f>SUM('3:4'!Q26)</f>
        <v>0</v>
      </c>
      <c r="R26" s="93">
        <f>SUM('3:4'!R26)</f>
        <v>0</v>
      </c>
      <c r="S26" s="93">
        <f>SUM('3:4'!S26)</f>
        <v>0</v>
      </c>
      <c r="T26" s="93">
        <f>SUM('3:4'!T26)</f>
        <v>0</v>
      </c>
      <c r="U26" s="93">
        <f>SUM('3:4'!U26)</f>
        <v>0</v>
      </c>
      <c r="V26" s="205">
        <f t="shared" si="2"/>
        <v>0</v>
      </c>
      <c r="W26" s="33" t="str">
        <f t="shared" ref="W26:W27" si="9">IF(ISERROR(V26/G26),"",V26/G26)</f>
        <v/>
      </c>
      <c r="X26" s="93">
        <f>SUM('3:4'!X26)</f>
        <v>0</v>
      </c>
      <c r="Y26" s="93">
        <f>SUM('3:4'!Y26)</f>
        <v>0</v>
      </c>
      <c r="Z26" s="93">
        <f>SUM('3:4'!Z26)</f>
        <v>0</v>
      </c>
      <c r="AA26" s="93">
        <f>SUM('3:4'!AA26)</f>
        <v>0</v>
      </c>
      <c r="AB26" s="358">
        <v>0.44</v>
      </c>
      <c r="AC26" s="269">
        <f t="shared" si="4"/>
        <v>0</v>
      </c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 ht="15.75">
      <c r="A27" s="29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SUM('3:4'!G27)</f>
        <v>0</v>
      </c>
      <c r="H27" s="95">
        <f t="shared" si="7"/>
        <v>0</v>
      </c>
      <c r="I27" s="93">
        <f>SUM('3:4'!I27)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8"/>
        <v>0</v>
      </c>
      <c r="N27" s="93">
        <f>SUM('3:4'!N27)</f>
        <v>0</v>
      </c>
      <c r="O27" s="93">
        <f>SUM('3:4'!O27)</f>
        <v>0</v>
      </c>
      <c r="P27" s="93">
        <f>SUM('3:4'!P27)</f>
        <v>0</v>
      </c>
      <c r="Q27" s="93">
        <f>SUM('3:4'!Q27)</f>
        <v>0</v>
      </c>
      <c r="R27" s="93">
        <f>SUM('3:4'!R27)</f>
        <v>0</v>
      </c>
      <c r="S27" s="93">
        <f>SUM('3:4'!S27)</f>
        <v>0</v>
      </c>
      <c r="T27" s="93">
        <f>SUM('3:4'!T27)</f>
        <v>0</v>
      </c>
      <c r="U27" s="93">
        <f>SUM('3:4'!U27)</f>
        <v>0</v>
      </c>
      <c r="V27" s="205">
        <f t="shared" si="2"/>
        <v>0</v>
      </c>
      <c r="W27" s="33" t="str">
        <f t="shared" si="9"/>
        <v/>
      </c>
      <c r="X27" s="93">
        <f>SUM('3:4'!X27)</f>
        <v>0</v>
      </c>
      <c r="Y27" s="93">
        <f>SUM('3:4'!Y27)</f>
        <v>0</v>
      </c>
      <c r="Z27" s="93">
        <f>SUM('3:4'!Z27)</f>
        <v>0</v>
      </c>
      <c r="AA27" s="93">
        <f>SUM('3:4'!AA27)</f>
        <v>0</v>
      </c>
      <c r="AB27" s="358">
        <v>0.44</v>
      </c>
      <c r="AC27" s="269">
        <f t="shared" si="4"/>
        <v>0</v>
      </c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 ht="15.75">
      <c r="A28" s="722" t="s">
        <v>70</v>
      </c>
      <c r="B28" s="723"/>
      <c r="C28" s="31" t="s">
        <v>71</v>
      </c>
      <c r="D28" s="30"/>
      <c r="E28" s="30"/>
      <c r="F28" s="30"/>
      <c r="G28" s="94">
        <f>SUM(G7:G27)</f>
        <v>0</v>
      </c>
      <c r="H28" s="30">
        <f>SUM(H7:H27)</f>
        <v>0</v>
      </c>
      <c r="I28" s="30">
        <f>SUM(I7:I27)</f>
        <v>0</v>
      </c>
      <c r="J28" s="31" t="str">
        <f t="array" ref="J28">IF(ISERROR(G28/I28),"",G28/I28)</f>
        <v/>
      </c>
      <c r="K28" s="30">
        <f>SUM(K7:K27)</f>
        <v>0</v>
      </c>
      <c r="L28" s="98"/>
      <c r="M28" s="89">
        <f t="shared" ref="M28:AA28" si="10">SUM(M7:M27)</f>
        <v>0</v>
      </c>
      <c r="N28" s="30">
        <f t="shared" si="10"/>
        <v>0</v>
      </c>
      <c r="O28" s="34">
        <f t="shared" si="10"/>
        <v>0</v>
      </c>
      <c r="P28" s="34">
        <f t="shared" si="10"/>
        <v>0</v>
      </c>
      <c r="Q28" s="34">
        <f t="shared" si="10"/>
        <v>0</v>
      </c>
      <c r="R28" s="34">
        <f t="shared" si="10"/>
        <v>0</v>
      </c>
      <c r="S28" s="34">
        <f t="shared" si="10"/>
        <v>0</v>
      </c>
      <c r="T28" s="34">
        <f t="shared" si="10"/>
        <v>0</v>
      </c>
      <c r="U28" s="34">
        <f t="shared" si="10"/>
        <v>0</v>
      </c>
      <c r="V28" s="206">
        <f t="shared" si="10"/>
        <v>0</v>
      </c>
      <c r="W28" s="33">
        <f t="shared" si="10"/>
        <v>0</v>
      </c>
      <c r="X28" s="92">
        <f t="shared" si="10"/>
        <v>0</v>
      </c>
      <c r="Y28" s="92">
        <f t="shared" si="10"/>
        <v>0</v>
      </c>
      <c r="Z28" s="92">
        <f t="shared" si="10"/>
        <v>0</v>
      </c>
      <c r="AA28" s="92">
        <f t="shared" si="10"/>
        <v>0</v>
      </c>
      <c r="AB28" s="87"/>
      <c r="AC28" s="91">
        <f>SUM(AC7:AC27)</f>
        <v>0</v>
      </c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316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SUM('3:4'!G29)</f>
        <v>0</v>
      </c>
      <c r="H29" s="246">
        <f t="shared" ref="H29:H85" si="11">D29*G29</f>
        <v>0</v>
      </c>
      <c r="I29" s="93">
        <f>SUM('3:4'!I29)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 t="shared" ref="M29" si="12">IF(ISERROR(I29-K29),"",I29-K29)</f>
        <v>0</v>
      </c>
      <c r="N29" s="93">
        <f>SUM('3:4'!N29)</f>
        <v>0</v>
      </c>
      <c r="O29" s="93">
        <f>SUM('3:4'!O29)</f>
        <v>0</v>
      </c>
      <c r="P29" s="93">
        <f>SUM('3:4'!P29)</f>
        <v>0</v>
      </c>
      <c r="Q29" s="93">
        <f>SUM('3:4'!Q29)</f>
        <v>0</v>
      </c>
      <c r="R29" s="93">
        <f>SUM('3:4'!R29)</f>
        <v>0</v>
      </c>
      <c r="S29" s="93">
        <f>SUM('3:4'!S29)</f>
        <v>0</v>
      </c>
      <c r="T29" s="93">
        <f>SUM('3:4'!T29)</f>
        <v>0</v>
      </c>
      <c r="U29" s="93">
        <f>SUM('3:4'!U29)</f>
        <v>0</v>
      </c>
      <c r="V29" s="206">
        <f t="shared" ref="V29" si="13">SUM(X29:AA29)</f>
        <v>0</v>
      </c>
      <c r="W29" s="33" t="str">
        <f t="shared" ref="W29" si="14">IF(ISERROR(V29/G29),"",V29/G29)</f>
        <v/>
      </c>
      <c r="X29" s="93">
        <f>SUM('3:4'!X29)</f>
        <v>0</v>
      </c>
      <c r="Y29" s="93">
        <f>SUM('3:4'!Y29)</f>
        <v>0</v>
      </c>
      <c r="Z29" s="93">
        <f>SUM('3:4'!Z29)</f>
        <v>0</v>
      </c>
      <c r="AA29" s="93">
        <f>SUM('3:4'!AA29)</f>
        <v>0</v>
      </c>
      <c r="AB29" s="358">
        <v>0.19</v>
      </c>
      <c r="AC29" s="269">
        <f t="shared" si="4"/>
        <v>0</v>
      </c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16">
        <v>30100011</v>
      </c>
      <c r="B30" s="190" t="s">
        <v>453</v>
      </c>
      <c r="C30" s="187" t="s">
        <v>427</v>
      </c>
      <c r="D30" s="17">
        <v>5.03</v>
      </c>
      <c r="E30" s="17"/>
      <c r="F30" s="6"/>
      <c r="G30" s="93">
        <f>SUM('3:4'!G30)</f>
        <v>0</v>
      </c>
      <c r="H30" s="246">
        <f t="shared" si="11"/>
        <v>0</v>
      </c>
      <c r="I30" s="93"/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6"/>
      <c r="W30" s="33"/>
      <c r="X30" s="93"/>
      <c r="Y30" s="93"/>
      <c r="Z30" s="93"/>
      <c r="AA30" s="93"/>
      <c r="AB30" s="358">
        <v>0.19</v>
      </c>
      <c r="AC30" s="269">
        <f t="shared" si="4"/>
        <v>0</v>
      </c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 ht="17.25">
      <c r="A31" s="316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SUM('3:4'!G31)</f>
        <v>0</v>
      </c>
      <c r="H31" s="246">
        <f t="shared" si="11"/>
        <v>0</v>
      </c>
      <c r="I31" s="93">
        <f>SUM('3:4'!I31)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 t="shared" ref="M31:M33" si="15">IF(ISERROR(I31-K31),"",I31-K31)</f>
        <v>0</v>
      </c>
      <c r="N31" s="93">
        <f>SUM('3:4'!N31)</f>
        <v>0</v>
      </c>
      <c r="O31" s="93">
        <f>SUM('3:4'!O31)</f>
        <v>0</v>
      </c>
      <c r="P31" s="93">
        <f>SUM('3:4'!P31)</f>
        <v>0</v>
      </c>
      <c r="Q31" s="93">
        <f>SUM('3:4'!Q31)</f>
        <v>0</v>
      </c>
      <c r="R31" s="93">
        <f>SUM('3:4'!R31)</f>
        <v>0</v>
      </c>
      <c r="S31" s="93">
        <f>SUM('3:4'!S31)</f>
        <v>0</v>
      </c>
      <c r="T31" s="93">
        <f>SUM('3:4'!T31)</f>
        <v>0</v>
      </c>
      <c r="U31" s="93">
        <f>SUM('3:4'!U31)</f>
        <v>0</v>
      </c>
      <c r="V31" s="206">
        <f t="shared" ref="V31:V33" si="16">SUM(X31:AA31)</f>
        <v>0</v>
      </c>
      <c r="W31" s="33" t="str">
        <f t="shared" ref="W31:W33" si="17">IF(ISERROR(V31/G31),"",V31/G31)</f>
        <v/>
      </c>
      <c r="X31" s="93">
        <f>SUM('3:4'!X31)</f>
        <v>0</v>
      </c>
      <c r="Y31" s="93">
        <f>SUM('3:4'!Y31)</f>
        <v>0</v>
      </c>
      <c r="Z31" s="93">
        <f>SUM('3:4'!Z31)</f>
        <v>0</v>
      </c>
      <c r="AA31" s="93">
        <f>SUM('3:4'!AA31)</f>
        <v>0</v>
      </c>
      <c r="AB31" s="358">
        <v>0.19</v>
      </c>
      <c r="AC31" s="269">
        <f t="shared" si="4"/>
        <v>0</v>
      </c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 ht="17.25">
      <c r="A32" s="316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SUM('3:4'!G32)</f>
        <v>0</v>
      </c>
      <c r="H32" s="246">
        <f t="shared" si="11"/>
        <v>0</v>
      </c>
      <c r="I32" s="93">
        <f>SUM('3:4'!I32)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 t="shared" si="15"/>
        <v>0</v>
      </c>
      <c r="N32" s="93">
        <f>SUM('3:4'!N32)</f>
        <v>0</v>
      </c>
      <c r="O32" s="93">
        <f>SUM('3:4'!O32)</f>
        <v>0</v>
      </c>
      <c r="P32" s="93">
        <f>SUM('3:4'!P32)</f>
        <v>0</v>
      </c>
      <c r="Q32" s="93">
        <f>SUM('3:4'!Q32)</f>
        <v>0</v>
      </c>
      <c r="R32" s="93">
        <f>SUM('3:4'!R32)</f>
        <v>0</v>
      </c>
      <c r="S32" s="93">
        <f>SUM('3:4'!S32)</f>
        <v>0</v>
      </c>
      <c r="T32" s="93">
        <f>SUM('3:4'!T32)</f>
        <v>0</v>
      </c>
      <c r="U32" s="93">
        <f>SUM('3:4'!U32)</f>
        <v>0</v>
      </c>
      <c r="V32" s="206">
        <f t="shared" si="16"/>
        <v>0</v>
      </c>
      <c r="W32" s="33" t="str">
        <f t="shared" si="17"/>
        <v/>
      </c>
      <c r="X32" s="93">
        <f>SUM('3:4'!X32)</f>
        <v>0</v>
      </c>
      <c r="Y32" s="93">
        <f>SUM('3:4'!Y32)</f>
        <v>0</v>
      </c>
      <c r="Z32" s="93">
        <f>SUM('3:4'!Z32)</f>
        <v>0</v>
      </c>
      <c r="AA32" s="93">
        <f>SUM('3:4'!AA32)</f>
        <v>0</v>
      </c>
      <c r="AB32" s="358">
        <v>0.19</v>
      </c>
      <c r="AC32" s="269">
        <f t="shared" si="4"/>
        <v>0</v>
      </c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 ht="17.25">
      <c r="A33" s="316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SUM('3:4'!G33)</f>
        <v>0</v>
      </c>
      <c r="H33" s="246">
        <f t="shared" si="11"/>
        <v>0</v>
      </c>
      <c r="I33" s="93">
        <f>SUM('3:4'!I33)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 t="shared" si="15"/>
        <v>0</v>
      </c>
      <c r="N33" s="93">
        <f>SUM('3:4'!N33)</f>
        <v>0</v>
      </c>
      <c r="O33" s="93">
        <f>SUM('3:4'!O33)</f>
        <v>0</v>
      </c>
      <c r="P33" s="93">
        <f>SUM('3:4'!P33)</f>
        <v>0</v>
      </c>
      <c r="Q33" s="93">
        <f>SUM('3:4'!Q33)</f>
        <v>0</v>
      </c>
      <c r="R33" s="93">
        <f>SUM('3:4'!R33)</f>
        <v>0</v>
      </c>
      <c r="S33" s="93">
        <f>SUM('3:4'!S33)</f>
        <v>0</v>
      </c>
      <c r="T33" s="93">
        <f>SUM('3:4'!T33)</f>
        <v>0</v>
      </c>
      <c r="U33" s="93">
        <f>SUM('3:4'!U33)</f>
        <v>0</v>
      </c>
      <c r="V33" s="206">
        <f t="shared" si="16"/>
        <v>0</v>
      </c>
      <c r="W33" s="33" t="str">
        <f t="shared" si="17"/>
        <v/>
      </c>
      <c r="X33" s="93">
        <f>SUM('3:4'!X33)</f>
        <v>0</v>
      </c>
      <c r="Y33" s="93">
        <f>SUM('3:4'!Y33)</f>
        <v>0</v>
      </c>
      <c r="Z33" s="93">
        <f>SUM('3:4'!Z33)</f>
        <v>0</v>
      </c>
      <c r="AA33" s="93">
        <f>SUM('3:4'!AA33)</f>
        <v>0</v>
      </c>
      <c r="AB33" s="358">
        <v>0.19</v>
      </c>
      <c r="AC33" s="269">
        <f t="shared" si="4"/>
        <v>0</v>
      </c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 ht="17.25">
      <c r="A34" s="316">
        <v>30100016</v>
      </c>
      <c r="B34" s="291" t="s">
        <v>454</v>
      </c>
      <c r="C34" s="187" t="s">
        <v>415</v>
      </c>
      <c r="D34" s="17"/>
      <c r="E34" s="17"/>
      <c r="F34" s="6"/>
      <c r="G34" s="93">
        <f>SUM('3:4'!G34)</f>
        <v>0</v>
      </c>
      <c r="H34" s="246">
        <f t="shared" si="11"/>
        <v>0</v>
      </c>
      <c r="I34" s="93">
        <f>SUM('3:4'!I34)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6"/>
      <c r="W34" s="33"/>
      <c r="X34" s="93"/>
      <c r="Y34" s="93"/>
      <c r="Z34" s="93"/>
      <c r="AA34" s="93"/>
      <c r="AB34" s="358">
        <v>0.19</v>
      </c>
      <c r="AC34" s="269">
        <f t="shared" si="4"/>
        <v>0</v>
      </c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 ht="17.25">
      <c r="A35" s="316">
        <v>30100017</v>
      </c>
      <c r="B35" s="291" t="s">
        <v>454</v>
      </c>
      <c r="C35" s="187" t="s">
        <v>416</v>
      </c>
      <c r="D35" s="17"/>
      <c r="E35" s="17"/>
      <c r="F35" s="6"/>
      <c r="G35" s="93">
        <f>SUM('3:4'!G35)</f>
        <v>0</v>
      </c>
      <c r="H35" s="246">
        <f t="shared" si="11"/>
        <v>0</v>
      </c>
      <c r="I35" s="93">
        <f>SUM('3:4'!I35)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6"/>
      <c r="W35" s="33"/>
      <c r="X35" s="93"/>
      <c r="Y35" s="93"/>
      <c r="Z35" s="93"/>
      <c r="AA35" s="93"/>
      <c r="AB35" s="358">
        <v>0.19</v>
      </c>
      <c r="AC35" s="269">
        <f t="shared" si="4"/>
        <v>0</v>
      </c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 ht="17.25">
      <c r="A36" s="316">
        <v>30100015</v>
      </c>
      <c r="B36" s="291" t="s">
        <v>454</v>
      </c>
      <c r="C36" s="187" t="s">
        <v>61</v>
      </c>
      <c r="D36" s="17"/>
      <c r="E36" s="17"/>
      <c r="F36" s="6"/>
      <c r="G36" s="93">
        <f>SUM('3:4'!G36)</f>
        <v>0</v>
      </c>
      <c r="H36" s="246">
        <f t="shared" si="11"/>
        <v>0</v>
      </c>
      <c r="I36" s="93">
        <f>SUM('3:4'!I36)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6"/>
      <c r="W36" s="33"/>
      <c r="X36" s="93"/>
      <c r="Y36" s="93"/>
      <c r="Z36" s="93"/>
      <c r="AA36" s="93"/>
      <c r="AB36" s="358">
        <v>0.19</v>
      </c>
      <c r="AC36" s="269">
        <f t="shared" si="4"/>
        <v>0</v>
      </c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 ht="17.25">
      <c r="A37" s="316">
        <v>30100027</v>
      </c>
      <c r="B37" s="61" t="s">
        <v>78</v>
      </c>
      <c r="C37" s="16" t="s">
        <v>53</v>
      </c>
      <c r="D37" s="17">
        <v>5.08</v>
      </c>
      <c r="E37" s="17"/>
      <c r="F37" s="6"/>
      <c r="G37" s="93">
        <f>SUM('3:4'!G37)</f>
        <v>0</v>
      </c>
      <c r="H37" s="246">
        <f t="shared" si="11"/>
        <v>0</v>
      </c>
      <c r="I37" s="93">
        <f>SUM('3:4'!I37)</f>
        <v>0</v>
      </c>
      <c r="J37" s="31" t="str">
        <f t="array" ref="J37">IF(ISERROR(G37/I37),"",G37/I37)</f>
        <v/>
      </c>
      <c r="K37" s="35">
        <f t="array" ref="K37">IF(ISERROR(G37/L37),"",G37/L37)</f>
        <v>0</v>
      </c>
      <c r="L37" s="87">
        <v>21</v>
      </c>
      <c r="M37" s="36">
        <f t="shared" ref="M37:M66" si="18">IF(ISERROR(I37-K37),"",I37-K37)</f>
        <v>0</v>
      </c>
      <c r="N37" s="93">
        <f>SUM('3:4'!N37)</f>
        <v>0</v>
      </c>
      <c r="O37" s="93">
        <f>SUM('3:4'!O37)</f>
        <v>0</v>
      </c>
      <c r="P37" s="93">
        <f>SUM('3:4'!P37)</f>
        <v>0</v>
      </c>
      <c r="Q37" s="93">
        <f>SUM('3:4'!Q37)</f>
        <v>0</v>
      </c>
      <c r="R37" s="93">
        <f>SUM('3:4'!R37)</f>
        <v>0</v>
      </c>
      <c r="S37" s="93">
        <f>SUM('3:4'!S37)</f>
        <v>0</v>
      </c>
      <c r="T37" s="93">
        <f>SUM('3:4'!T37)</f>
        <v>0</v>
      </c>
      <c r="U37" s="93">
        <f>SUM('3:4'!U37)</f>
        <v>0</v>
      </c>
      <c r="V37" s="206">
        <f t="shared" ref="V37:V48" si="19">SUM(X37:AA37)</f>
        <v>0</v>
      </c>
      <c r="W37" s="33" t="str">
        <f t="shared" ref="W37:W48" si="20">IF(ISERROR(V37/G37),"",V37/G37)</f>
        <v/>
      </c>
      <c r="X37" s="93">
        <f>SUM('3:4'!X37)</f>
        <v>0</v>
      </c>
      <c r="Y37" s="93">
        <f>SUM('3:4'!Y37)</f>
        <v>0</v>
      </c>
      <c r="Z37" s="93">
        <f>SUM('3:4'!Z37)</f>
        <v>0</v>
      </c>
      <c r="AA37" s="93">
        <f>SUM('3:4'!AA37)</f>
        <v>0</v>
      </c>
      <c r="AB37" s="358">
        <v>0.49</v>
      </c>
      <c r="AC37" s="269">
        <f t="shared" si="4"/>
        <v>0</v>
      </c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 ht="17.25">
      <c r="A38" s="316">
        <v>30100023</v>
      </c>
      <c r="B38" s="61" t="s">
        <v>78</v>
      </c>
      <c r="C38" s="16" t="s">
        <v>74</v>
      </c>
      <c r="D38" s="17">
        <v>5.08</v>
      </c>
      <c r="E38" s="17"/>
      <c r="F38" s="6"/>
      <c r="G38" s="93">
        <f>SUM('3:4'!G38)</f>
        <v>0</v>
      </c>
      <c r="H38" s="246">
        <f t="shared" si="11"/>
        <v>0</v>
      </c>
      <c r="I38" s="93">
        <f>SUM('3:4'!I38)</f>
        <v>0</v>
      </c>
      <c r="J38" s="31" t="str">
        <f t="array" ref="J38">IF(ISERROR(G38/I38),"",G38/I38)</f>
        <v/>
      </c>
      <c r="K38" s="35">
        <f t="array" ref="K38">IF(ISERROR(G38/L38),"",G38/L38)</f>
        <v>0</v>
      </c>
      <c r="L38" s="87">
        <v>21</v>
      </c>
      <c r="M38" s="36">
        <f t="shared" si="18"/>
        <v>0</v>
      </c>
      <c r="N38" s="93">
        <f>SUM('3:4'!N38)</f>
        <v>0</v>
      </c>
      <c r="O38" s="93">
        <f>SUM('3:4'!O38)</f>
        <v>0</v>
      </c>
      <c r="P38" s="93">
        <f>SUM('3:4'!P38)</f>
        <v>0</v>
      </c>
      <c r="Q38" s="93">
        <f>SUM('3:4'!Q38)</f>
        <v>0</v>
      </c>
      <c r="R38" s="93">
        <f>SUM('3:4'!R38)</f>
        <v>0</v>
      </c>
      <c r="S38" s="93">
        <f>SUM('3:4'!S38)</f>
        <v>0</v>
      </c>
      <c r="T38" s="93">
        <f>SUM('3:4'!T38)</f>
        <v>0</v>
      </c>
      <c r="U38" s="93">
        <f>SUM('3:4'!U38)</f>
        <v>0</v>
      </c>
      <c r="V38" s="206">
        <f t="shared" si="19"/>
        <v>0</v>
      </c>
      <c r="W38" s="33" t="str">
        <f t="shared" si="20"/>
        <v/>
      </c>
      <c r="X38" s="93">
        <f>SUM('3:4'!X38)</f>
        <v>0</v>
      </c>
      <c r="Y38" s="93">
        <f>SUM('3:4'!Y38)</f>
        <v>0</v>
      </c>
      <c r="Z38" s="93">
        <f>SUM('3:4'!Z38)</f>
        <v>0</v>
      </c>
      <c r="AA38" s="93">
        <f>SUM('3:4'!AA38)</f>
        <v>0</v>
      </c>
      <c r="AB38" s="358">
        <v>0.49</v>
      </c>
      <c r="AC38" s="269">
        <f t="shared" si="4"/>
        <v>0</v>
      </c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 ht="17.25">
      <c r="A39" s="316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SUM('3:4'!G39)</f>
        <v>0</v>
      </c>
      <c r="H39" s="246">
        <f t="shared" si="11"/>
        <v>0</v>
      </c>
      <c r="I39" s="93">
        <f>SUM('3:4'!I39)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18"/>
        <v>0</v>
      </c>
      <c r="N39" s="93">
        <f>SUM('3:4'!N39)</f>
        <v>0</v>
      </c>
      <c r="O39" s="93">
        <f>SUM('3:4'!O39)</f>
        <v>0</v>
      </c>
      <c r="P39" s="93">
        <f>SUM('3:4'!P39)</f>
        <v>0</v>
      </c>
      <c r="Q39" s="93">
        <f>SUM('3:4'!Q39)</f>
        <v>0</v>
      </c>
      <c r="R39" s="93">
        <f>SUM('3:4'!R39)</f>
        <v>0</v>
      </c>
      <c r="S39" s="93">
        <f>SUM('3:4'!S39)</f>
        <v>0</v>
      </c>
      <c r="T39" s="93">
        <f>SUM('3:4'!T39)</f>
        <v>0</v>
      </c>
      <c r="U39" s="93">
        <f>SUM('3:4'!U39)</f>
        <v>0</v>
      </c>
      <c r="V39" s="206">
        <f t="shared" si="19"/>
        <v>0</v>
      </c>
      <c r="W39" s="33" t="str">
        <f t="shared" si="20"/>
        <v/>
      </c>
      <c r="X39" s="93">
        <f>SUM('3:4'!X39)</f>
        <v>0</v>
      </c>
      <c r="Y39" s="93">
        <f>SUM('3:4'!Y39)</f>
        <v>0</v>
      </c>
      <c r="Z39" s="93">
        <f>SUM('3:4'!Z39)</f>
        <v>0</v>
      </c>
      <c r="AA39" s="93">
        <f>SUM('3:4'!AA39)</f>
        <v>0</v>
      </c>
      <c r="AB39" s="358">
        <v>0.49</v>
      </c>
      <c r="AC39" s="269">
        <f t="shared" si="4"/>
        <v>0</v>
      </c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 ht="17.25">
      <c r="A40" s="316">
        <v>30100022</v>
      </c>
      <c r="B40" s="61" t="s">
        <v>78</v>
      </c>
      <c r="C40" s="16" t="s">
        <v>60</v>
      </c>
      <c r="D40" s="17">
        <v>5.08</v>
      </c>
      <c r="E40" s="17"/>
      <c r="F40" s="6"/>
      <c r="G40" s="93">
        <f>SUM('3:4'!G40)</f>
        <v>0</v>
      </c>
      <c r="H40" s="246">
        <f t="shared" si="11"/>
        <v>0</v>
      </c>
      <c r="I40" s="93">
        <f>SUM('3:4'!I40)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18"/>
        <v>0</v>
      </c>
      <c r="N40" s="93">
        <f>SUM('3:4'!N40)</f>
        <v>0</v>
      </c>
      <c r="O40" s="93">
        <f>SUM('3:4'!O40)</f>
        <v>0</v>
      </c>
      <c r="P40" s="93">
        <f>SUM('3:4'!P40)</f>
        <v>0</v>
      </c>
      <c r="Q40" s="93">
        <f>SUM('3:4'!Q40)</f>
        <v>0</v>
      </c>
      <c r="R40" s="93">
        <f>SUM('3:4'!R40)</f>
        <v>0</v>
      </c>
      <c r="S40" s="93">
        <f>SUM('3:4'!S40)</f>
        <v>0</v>
      </c>
      <c r="T40" s="93">
        <f>SUM('3:4'!T40)</f>
        <v>0</v>
      </c>
      <c r="U40" s="93">
        <f>SUM('3:4'!U40)</f>
        <v>0</v>
      </c>
      <c r="V40" s="206">
        <f t="shared" si="19"/>
        <v>0</v>
      </c>
      <c r="W40" s="33" t="str">
        <f t="shared" si="20"/>
        <v/>
      </c>
      <c r="X40" s="93">
        <f>SUM('3:4'!X40)</f>
        <v>0</v>
      </c>
      <c r="Y40" s="93">
        <f>SUM('3:4'!Y40)</f>
        <v>0</v>
      </c>
      <c r="Z40" s="93">
        <f>SUM('3:4'!Z40)</f>
        <v>0</v>
      </c>
      <c r="AA40" s="93">
        <f>SUM('3:4'!AA40)</f>
        <v>0</v>
      </c>
      <c r="AB40" s="358">
        <v>0.49</v>
      </c>
      <c r="AC40" s="269">
        <f t="shared" si="4"/>
        <v>0</v>
      </c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 ht="17.25">
      <c r="A41" s="316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SUM('3:4'!G41)</f>
        <v>0</v>
      </c>
      <c r="H41" s="246">
        <f t="shared" si="11"/>
        <v>0</v>
      </c>
      <c r="I41" s="93">
        <f>SUM('3:4'!I41)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18"/>
        <v>0</v>
      </c>
      <c r="N41" s="93">
        <f>SUM('3:4'!N41)</f>
        <v>0</v>
      </c>
      <c r="O41" s="93">
        <f>SUM('3:4'!O41)</f>
        <v>0</v>
      </c>
      <c r="P41" s="93">
        <f>SUM('3:4'!P41)</f>
        <v>0</v>
      </c>
      <c r="Q41" s="93">
        <f>SUM('3:4'!Q41)</f>
        <v>0</v>
      </c>
      <c r="R41" s="93">
        <f>SUM('3:4'!R41)</f>
        <v>0</v>
      </c>
      <c r="S41" s="93">
        <f>SUM('3:4'!S41)</f>
        <v>0</v>
      </c>
      <c r="T41" s="93">
        <f>SUM('3:4'!T41)</f>
        <v>0</v>
      </c>
      <c r="U41" s="93">
        <f>SUM('3:4'!U41)</f>
        <v>0</v>
      </c>
      <c r="V41" s="206">
        <f t="shared" si="19"/>
        <v>0</v>
      </c>
      <c r="W41" s="33" t="str">
        <f t="shared" si="20"/>
        <v/>
      </c>
      <c r="X41" s="93">
        <f>SUM('3:4'!X41)</f>
        <v>0</v>
      </c>
      <c r="Y41" s="93">
        <f>SUM('3:4'!Y41)</f>
        <v>0</v>
      </c>
      <c r="Z41" s="93">
        <f>SUM('3:4'!Z41)</f>
        <v>0</v>
      </c>
      <c r="AA41" s="93">
        <f>SUM('3:4'!AA41)</f>
        <v>0</v>
      </c>
      <c r="AB41" s="358">
        <v>0.49</v>
      </c>
      <c r="AC41" s="269">
        <f t="shared" si="4"/>
        <v>0</v>
      </c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 ht="17.25">
      <c r="A42" s="316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SUM('3:4'!G42)</f>
        <v>0</v>
      </c>
      <c r="H42" s="246">
        <f t="shared" si="11"/>
        <v>0</v>
      </c>
      <c r="I42" s="93">
        <f>SUM('3:4'!I42)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18"/>
        <v>0</v>
      </c>
      <c r="N42" s="93">
        <f>SUM('3:4'!N42)</f>
        <v>0</v>
      </c>
      <c r="O42" s="93">
        <f>SUM('3:4'!O42)</f>
        <v>0</v>
      </c>
      <c r="P42" s="93">
        <f>SUM('3:4'!P42)</f>
        <v>0</v>
      </c>
      <c r="Q42" s="93">
        <f>SUM('3:4'!Q42)</f>
        <v>0</v>
      </c>
      <c r="R42" s="93">
        <f>SUM('3:4'!R42)</f>
        <v>0</v>
      </c>
      <c r="S42" s="93">
        <f>SUM('3:4'!S42)</f>
        <v>0</v>
      </c>
      <c r="T42" s="93">
        <f>SUM('3:4'!T42)</f>
        <v>0</v>
      </c>
      <c r="U42" s="93">
        <f>SUM('3:4'!U42)</f>
        <v>0</v>
      </c>
      <c r="V42" s="206">
        <f t="shared" si="19"/>
        <v>0</v>
      </c>
      <c r="W42" s="33" t="str">
        <f t="shared" si="20"/>
        <v/>
      </c>
      <c r="X42" s="93">
        <f>SUM('3:4'!X42)</f>
        <v>0</v>
      </c>
      <c r="Y42" s="93">
        <f>SUM('3:4'!Y42)</f>
        <v>0</v>
      </c>
      <c r="Z42" s="93">
        <f>SUM('3:4'!Z42)</f>
        <v>0</v>
      </c>
      <c r="AA42" s="93">
        <f>SUM('3:4'!AA42)</f>
        <v>0</v>
      </c>
      <c r="AB42" s="358">
        <v>0.49</v>
      </c>
      <c r="AC42" s="269">
        <f t="shared" si="4"/>
        <v>0</v>
      </c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 ht="17.25">
      <c r="A43" s="316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SUM('3:4'!G43)</f>
        <v>0</v>
      </c>
      <c r="H43" s="246">
        <f t="shared" si="11"/>
        <v>0</v>
      </c>
      <c r="I43" s="93">
        <f>SUM('3:4'!I43)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18"/>
        <v>0</v>
      </c>
      <c r="N43" s="93">
        <f>SUM('3:4'!N43)</f>
        <v>0</v>
      </c>
      <c r="O43" s="93">
        <f>SUM('3:4'!O43)</f>
        <v>0</v>
      </c>
      <c r="P43" s="93">
        <f>SUM('3:4'!P43)</f>
        <v>0</v>
      </c>
      <c r="Q43" s="93">
        <f>SUM('3:4'!Q43)</f>
        <v>0</v>
      </c>
      <c r="R43" s="93">
        <f>SUM('3:4'!R43)</f>
        <v>0</v>
      </c>
      <c r="S43" s="93">
        <f>SUM('3:4'!S43)</f>
        <v>0</v>
      </c>
      <c r="T43" s="93">
        <f>SUM('3:4'!T43)</f>
        <v>0</v>
      </c>
      <c r="U43" s="93">
        <f>SUM('3:4'!U43)</f>
        <v>0</v>
      </c>
      <c r="V43" s="206">
        <f t="shared" si="19"/>
        <v>0</v>
      </c>
      <c r="W43" s="33" t="str">
        <f t="shared" si="20"/>
        <v/>
      </c>
      <c r="X43" s="93">
        <f>SUM('3:4'!X43)</f>
        <v>0</v>
      </c>
      <c r="Y43" s="93">
        <f>SUM('3:4'!Y43)</f>
        <v>0</v>
      </c>
      <c r="Z43" s="93">
        <f>SUM('3:4'!Z43)</f>
        <v>0</v>
      </c>
      <c r="AA43" s="93">
        <f>SUM('3:4'!AA43)</f>
        <v>0</v>
      </c>
      <c r="AB43" s="358">
        <v>0.49</v>
      </c>
      <c r="AC43" s="269">
        <f t="shared" si="4"/>
        <v>0</v>
      </c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 ht="17.25">
      <c r="A44" s="316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SUM('3:4'!G44)</f>
        <v>0</v>
      </c>
      <c r="H44" s="246">
        <f t="shared" si="11"/>
        <v>0</v>
      </c>
      <c r="I44" s="93">
        <f>SUM('3:4'!I44)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18"/>
        <v>0</v>
      </c>
      <c r="N44" s="93">
        <f>SUM('3:4'!N44)</f>
        <v>0</v>
      </c>
      <c r="O44" s="93">
        <f>SUM('3:4'!O44)</f>
        <v>0</v>
      </c>
      <c r="P44" s="93">
        <f>SUM('3:4'!P44)</f>
        <v>0</v>
      </c>
      <c r="Q44" s="93">
        <f>SUM('3:4'!Q44)</f>
        <v>0</v>
      </c>
      <c r="R44" s="93">
        <f>SUM('3:4'!R44)</f>
        <v>0</v>
      </c>
      <c r="S44" s="93">
        <f>SUM('3:4'!S44)</f>
        <v>0</v>
      </c>
      <c r="T44" s="93">
        <f>SUM('3:4'!T44)</f>
        <v>0</v>
      </c>
      <c r="U44" s="93">
        <f>SUM('3:4'!U44)</f>
        <v>0</v>
      </c>
      <c r="V44" s="206">
        <f t="shared" si="19"/>
        <v>0</v>
      </c>
      <c r="W44" s="33" t="str">
        <f t="shared" si="20"/>
        <v/>
      </c>
      <c r="X44" s="93">
        <f>SUM('3:4'!X44)</f>
        <v>0</v>
      </c>
      <c r="Y44" s="93">
        <f>SUM('3:4'!Y44)</f>
        <v>0</v>
      </c>
      <c r="Z44" s="93">
        <f>SUM('3:4'!Z44)</f>
        <v>0</v>
      </c>
      <c r="AA44" s="93">
        <f>SUM('3:4'!AA44)</f>
        <v>0</v>
      </c>
      <c r="AB44" s="358">
        <v>0.49</v>
      </c>
      <c r="AC44" s="269">
        <f t="shared" si="4"/>
        <v>0</v>
      </c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 ht="17.25">
      <c r="A45" s="316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SUM('3:4'!G45)</f>
        <v>0</v>
      </c>
      <c r="H45" s="246">
        <f t="shared" si="11"/>
        <v>0</v>
      </c>
      <c r="I45" s="93">
        <f>SUM('3:4'!I45)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87">
        <v>56</v>
      </c>
      <c r="M45" s="36">
        <f t="shared" si="18"/>
        <v>0</v>
      </c>
      <c r="N45" s="93">
        <f>SUM('3:4'!N45)</f>
        <v>0</v>
      </c>
      <c r="O45" s="93">
        <f>SUM('3:4'!O45)</f>
        <v>0</v>
      </c>
      <c r="P45" s="93">
        <f>SUM('3:4'!P45)</f>
        <v>0</v>
      </c>
      <c r="Q45" s="93">
        <f>SUM('3:4'!Q45)</f>
        <v>0</v>
      </c>
      <c r="R45" s="93">
        <f>SUM('3:4'!R45)</f>
        <v>0</v>
      </c>
      <c r="S45" s="93">
        <f>SUM('3:4'!S45)</f>
        <v>0</v>
      </c>
      <c r="T45" s="93">
        <f>SUM('3:4'!T45)</f>
        <v>0</v>
      </c>
      <c r="U45" s="93">
        <f>SUM('3:4'!U45)</f>
        <v>0</v>
      </c>
      <c r="V45" s="206">
        <f t="shared" si="19"/>
        <v>0</v>
      </c>
      <c r="W45" s="33" t="str">
        <f t="shared" si="20"/>
        <v/>
      </c>
      <c r="X45" s="93">
        <f>SUM('3:4'!X45)</f>
        <v>0</v>
      </c>
      <c r="Y45" s="93">
        <f>SUM('3:4'!Y45)</f>
        <v>0</v>
      </c>
      <c r="Z45" s="93">
        <f>SUM('3:4'!Z45)</f>
        <v>0</v>
      </c>
      <c r="AA45" s="93">
        <f>SUM('3:4'!AA45)</f>
        <v>0</v>
      </c>
      <c r="AB45" s="358">
        <v>0.18</v>
      </c>
      <c r="AC45" s="269">
        <f t="shared" si="4"/>
        <v>0</v>
      </c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 ht="17.25">
      <c r="A46" s="316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SUM('3:4'!G46)</f>
        <v>0</v>
      </c>
      <c r="H46" s="246">
        <f t="shared" si="11"/>
        <v>0</v>
      </c>
      <c r="I46" s="93">
        <f>SUM('3:4'!I46)</f>
        <v>0</v>
      </c>
      <c r="J46" s="31" t="str">
        <f t="array" ref="J46">IF(ISERROR(G46/I46),"",G46/I46)</f>
        <v/>
      </c>
      <c r="K46" s="35">
        <f t="array" ref="K46">IF(ISERROR(G46/L46),"",G46/L46)</f>
        <v>0</v>
      </c>
      <c r="L46" s="87">
        <v>56</v>
      </c>
      <c r="M46" s="36">
        <f t="shared" si="18"/>
        <v>0</v>
      </c>
      <c r="N46" s="93">
        <f>SUM('3:4'!N46)</f>
        <v>0</v>
      </c>
      <c r="O46" s="93">
        <f>SUM('3:4'!O46)</f>
        <v>0</v>
      </c>
      <c r="P46" s="93">
        <f>SUM('3:4'!P46)</f>
        <v>0</v>
      </c>
      <c r="Q46" s="93">
        <f>SUM('3:4'!Q46)</f>
        <v>0</v>
      </c>
      <c r="R46" s="93">
        <f>SUM('3:4'!R46)</f>
        <v>0</v>
      </c>
      <c r="S46" s="93">
        <f>SUM('3:4'!S46)</f>
        <v>0</v>
      </c>
      <c r="T46" s="93">
        <f>SUM('3:4'!T46)</f>
        <v>0</v>
      </c>
      <c r="U46" s="93">
        <f>SUM('3:4'!U46)</f>
        <v>0</v>
      </c>
      <c r="V46" s="206">
        <f t="shared" si="19"/>
        <v>0</v>
      </c>
      <c r="W46" s="33" t="str">
        <f t="shared" si="20"/>
        <v/>
      </c>
      <c r="X46" s="93">
        <f>SUM('3:4'!X46)</f>
        <v>0</v>
      </c>
      <c r="Y46" s="93">
        <f>SUM('3:4'!Y46)</f>
        <v>0</v>
      </c>
      <c r="Z46" s="93">
        <f>SUM('3:4'!Z46)</f>
        <v>0</v>
      </c>
      <c r="AA46" s="93">
        <f>SUM('3:4'!AA46)</f>
        <v>0</v>
      </c>
      <c r="AB46" s="358">
        <v>0.18</v>
      </c>
      <c r="AC46" s="269">
        <f t="shared" si="4"/>
        <v>0</v>
      </c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 ht="17.25">
      <c r="A47" s="316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SUM('3:4'!G47)</f>
        <v>0</v>
      </c>
      <c r="H47" s="246">
        <f t="shared" si="11"/>
        <v>0</v>
      </c>
      <c r="I47" s="93">
        <f>SUM('3:4'!I47)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18"/>
        <v>0</v>
      </c>
      <c r="N47" s="93">
        <f>SUM('3:4'!N47)</f>
        <v>0</v>
      </c>
      <c r="O47" s="93">
        <f>SUM('3:4'!O47)</f>
        <v>0</v>
      </c>
      <c r="P47" s="93">
        <f>SUM('3:4'!P47)</f>
        <v>0</v>
      </c>
      <c r="Q47" s="93">
        <f>SUM('3:4'!Q47)</f>
        <v>0</v>
      </c>
      <c r="R47" s="93">
        <f>SUM('3:4'!R47)</f>
        <v>0</v>
      </c>
      <c r="S47" s="93">
        <f>SUM('3:4'!S47)</f>
        <v>0</v>
      </c>
      <c r="T47" s="93">
        <f>SUM('3:4'!T47)</f>
        <v>0</v>
      </c>
      <c r="U47" s="93">
        <f>SUM('3:4'!U47)</f>
        <v>0</v>
      </c>
      <c r="V47" s="206">
        <f t="shared" si="19"/>
        <v>0</v>
      </c>
      <c r="W47" s="33" t="str">
        <f t="shared" si="20"/>
        <v/>
      </c>
      <c r="X47" s="93">
        <f>SUM('3:4'!X47)</f>
        <v>0</v>
      </c>
      <c r="Y47" s="93">
        <f>SUM('3:4'!Y47)</f>
        <v>0</v>
      </c>
      <c r="Z47" s="93">
        <f>SUM('3:4'!Z47)</f>
        <v>0</v>
      </c>
      <c r="AA47" s="93">
        <f>SUM('3:4'!AA47)</f>
        <v>0</v>
      </c>
      <c r="AB47" s="358">
        <v>0.18</v>
      </c>
      <c r="AC47" s="269">
        <f t="shared" si="4"/>
        <v>0</v>
      </c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 ht="17.25">
      <c r="A48" s="316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SUM('3:4'!G48)</f>
        <v>0</v>
      </c>
      <c r="H48" s="246">
        <f t="shared" si="11"/>
        <v>0</v>
      </c>
      <c r="I48" s="93">
        <f>SUM('3:4'!I48)</f>
        <v>0</v>
      </c>
      <c r="J48" s="31" t="str">
        <f t="array" ref="J48">IF(ISERROR(G48/I48),"",G48/I48)</f>
        <v/>
      </c>
      <c r="K48" s="35">
        <f t="array" ref="K48">IF(ISERROR(G48/L48),"",G48/L48)</f>
        <v>0</v>
      </c>
      <c r="L48" s="87">
        <v>56</v>
      </c>
      <c r="M48" s="36">
        <f t="shared" si="18"/>
        <v>0</v>
      </c>
      <c r="N48" s="93">
        <f>SUM('3:4'!N48)</f>
        <v>0</v>
      </c>
      <c r="O48" s="93">
        <f>SUM('3:4'!O48)</f>
        <v>0</v>
      </c>
      <c r="P48" s="93">
        <f>SUM('3:4'!P48)</f>
        <v>0</v>
      </c>
      <c r="Q48" s="93">
        <f>SUM('3:4'!Q48)</f>
        <v>0</v>
      </c>
      <c r="R48" s="93">
        <f>SUM('3:4'!R48)</f>
        <v>0</v>
      </c>
      <c r="S48" s="93">
        <f>SUM('3:4'!S48)</f>
        <v>0</v>
      </c>
      <c r="T48" s="93">
        <f>SUM('3:4'!T48)</f>
        <v>0</v>
      </c>
      <c r="U48" s="93">
        <f>SUM('3:4'!U48)</f>
        <v>0</v>
      </c>
      <c r="V48" s="206">
        <f t="shared" si="19"/>
        <v>0</v>
      </c>
      <c r="W48" s="33" t="str">
        <f t="shared" si="20"/>
        <v/>
      </c>
      <c r="X48" s="93">
        <f>SUM('3:4'!X48)</f>
        <v>0</v>
      </c>
      <c r="Y48" s="93">
        <f>SUM('3:4'!Y48)</f>
        <v>0</v>
      </c>
      <c r="Z48" s="93">
        <f>SUM('3:4'!Z48)</f>
        <v>0</v>
      </c>
      <c r="AA48" s="93">
        <f>SUM('3:4'!AA48)</f>
        <v>0</v>
      </c>
      <c r="AB48" s="358">
        <v>0.18</v>
      </c>
      <c r="AC48" s="269">
        <f t="shared" si="4"/>
        <v>0</v>
      </c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 ht="17.25">
      <c r="A49" s="316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SUM('3:4'!G49)</f>
        <v>0</v>
      </c>
      <c r="H49" s="246">
        <f t="shared" si="11"/>
        <v>0</v>
      </c>
      <c r="I49" s="93">
        <f>SUM('3:4'!I49)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18"/>
        <v>0</v>
      </c>
      <c r="N49" s="93">
        <f>SUM('3:4'!N49)</f>
        <v>0</v>
      </c>
      <c r="O49" s="93">
        <f>SUM('3:4'!O49)</f>
        <v>0</v>
      </c>
      <c r="P49" s="93">
        <f>SUM('3:4'!P49)</f>
        <v>0</v>
      </c>
      <c r="Q49" s="93">
        <f>SUM('3:4'!Q49)</f>
        <v>0</v>
      </c>
      <c r="R49" s="93">
        <f>SUM('3:4'!R49)</f>
        <v>0</v>
      </c>
      <c r="S49" s="93">
        <f>SUM('3:4'!S49)</f>
        <v>0</v>
      </c>
      <c r="T49" s="93">
        <f>SUM('3:4'!T49)</f>
        <v>0</v>
      </c>
      <c r="U49" s="93">
        <f>SUM('3:4'!U49)</f>
        <v>0</v>
      </c>
      <c r="V49" s="206"/>
      <c r="W49" s="33"/>
      <c r="X49" s="93">
        <f>SUM('3:4'!X49)</f>
        <v>0</v>
      </c>
      <c r="Y49" s="93">
        <f>SUM('3:4'!Y49)</f>
        <v>0</v>
      </c>
      <c r="Z49" s="93">
        <f>SUM('3:4'!Z49)</f>
        <v>0</v>
      </c>
      <c r="AA49" s="93">
        <f>SUM('3:4'!AA49)</f>
        <v>0</v>
      </c>
      <c r="AB49" s="358">
        <v>0.19</v>
      </c>
      <c r="AC49" s="269">
        <f t="shared" si="4"/>
        <v>0</v>
      </c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 ht="17.25">
      <c r="A50" s="316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SUM('3:4'!G50)</f>
        <v>0</v>
      </c>
      <c r="H50" s="246">
        <f t="shared" si="11"/>
        <v>0</v>
      </c>
      <c r="I50" s="93">
        <f>SUM('3:4'!I50)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18"/>
        <v>0</v>
      </c>
      <c r="N50" s="93">
        <f>SUM('3:4'!N50)</f>
        <v>0</v>
      </c>
      <c r="O50" s="93">
        <f>SUM('3:4'!O50)</f>
        <v>0</v>
      </c>
      <c r="P50" s="93">
        <f>SUM('3:4'!P50)</f>
        <v>0</v>
      </c>
      <c r="Q50" s="93">
        <f>SUM('3:4'!Q50)</f>
        <v>0</v>
      </c>
      <c r="R50" s="93">
        <f>SUM('3:4'!R50)</f>
        <v>0</v>
      </c>
      <c r="S50" s="93">
        <f>SUM('3:4'!S50)</f>
        <v>0</v>
      </c>
      <c r="T50" s="93">
        <f>SUM('3:4'!T50)</f>
        <v>0</v>
      </c>
      <c r="U50" s="93">
        <f>SUM('3:4'!U50)</f>
        <v>0</v>
      </c>
      <c r="V50" s="206"/>
      <c r="W50" s="33"/>
      <c r="X50" s="93">
        <f>SUM('3:4'!X50)</f>
        <v>0</v>
      </c>
      <c r="Y50" s="93">
        <f>SUM('3:4'!Y50)</f>
        <v>0</v>
      </c>
      <c r="Z50" s="93">
        <f>SUM('3:4'!Z50)</f>
        <v>0</v>
      </c>
      <c r="AA50" s="93">
        <f>SUM('3:4'!AA50)</f>
        <v>0</v>
      </c>
      <c r="AB50" s="358">
        <v>0.19</v>
      </c>
      <c r="AC50" s="269">
        <f t="shared" si="4"/>
        <v>0</v>
      </c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 ht="17.25">
      <c r="A51" s="316">
        <v>30100021</v>
      </c>
      <c r="B51" s="190" t="s">
        <v>455</v>
      </c>
      <c r="C51" s="16" t="s">
        <v>389</v>
      </c>
      <c r="D51" s="17">
        <v>5.03</v>
      </c>
      <c r="E51" s="17"/>
      <c r="F51" s="6"/>
      <c r="G51" s="93">
        <f>SUM('3:4'!G51)</f>
        <v>0</v>
      </c>
      <c r="H51" s="246">
        <f t="shared" si="11"/>
        <v>0</v>
      </c>
      <c r="I51" s="93">
        <f>SUM('3:4'!I51)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18"/>
        <v>0</v>
      </c>
      <c r="N51" s="93">
        <f>SUM('3:4'!N51)</f>
        <v>0</v>
      </c>
      <c r="O51" s="93">
        <f>SUM('3:4'!O51)</f>
        <v>0</v>
      </c>
      <c r="P51" s="93">
        <f>SUM('3:4'!P51)</f>
        <v>0</v>
      </c>
      <c r="Q51" s="93">
        <f>SUM('3:4'!Q51)</f>
        <v>0</v>
      </c>
      <c r="R51" s="93">
        <f>SUM('3:4'!R51)</f>
        <v>0</v>
      </c>
      <c r="S51" s="93">
        <f>SUM('3:4'!S51)</f>
        <v>0</v>
      </c>
      <c r="T51" s="93">
        <f>SUM('3:4'!T51)</f>
        <v>0</v>
      </c>
      <c r="U51" s="93">
        <f>SUM('3:4'!U51)</f>
        <v>0</v>
      </c>
      <c r="V51" s="206"/>
      <c r="W51" s="33"/>
      <c r="X51" s="93">
        <f>SUM('3:4'!X51)</f>
        <v>0</v>
      </c>
      <c r="Y51" s="93">
        <f>SUM('3:4'!Y51)</f>
        <v>0</v>
      </c>
      <c r="Z51" s="93">
        <f>SUM('3:4'!Z51)</f>
        <v>0</v>
      </c>
      <c r="AA51" s="93">
        <f>SUM('3:4'!AA51)</f>
        <v>0</v>
      </c>
      <c r="AB51" s="358">
        <v>0.19</v>
      </c>
      <c r="AC51" s="269">
        <f t="shared" si="4"/>
        <v>0</v>
      </c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 ht="17.25">
      <c r="A52" s="316">
        <v>30100018</v>
      </c>
      <c r="B52" s="190" t="s">
        <v>455</v>
      </c>
      <c r="C52" s="16" t="s">
        <v>391</v>
      </c>
      <c r="D52" s="17">
        <v>5.03</v>
      </c>
      <c r="E52" s="17"/>
      <c r="F52" s="6"/>
      <c r="G52" s="93">
        <f>SUM('3:4'!G52)</f>
        <v>0</v>
      </c>
      <c r="H52" s="246">
        <f t="shared" si="11"/>
        <v>0</v>
      </c>
      <c r="I52" s="93">
        <f>SUM('3:4'!I52)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18"/>
        <v>0</v>
      </c>
      <c r="N52" s="93">
        <f>SUM('3:4'!N52)</f>
        <v>0</v>
      </c>
      <c r="O52" s="93">
        <f>SUM('3:4'!O52)</f>
        <v>0</v>
      </c>
      <c r="P52" s="93">
        <f>SUM('3:4'!P52)</f>
        <v>0</v>
      </c>
      <c r="Q52" s="93">
        <f>SUM('3:4'!Q52)</f>
        <v>0</v>
      </c>
      <c r="R52" s="93">
        <f>SUM('3:4'!R52)</f>
        <v>0</v>
      </c>
      <c r="S52" s="93">
        <f>SUM('3:4'!S52)</f>
        <v>0</v>
      </c>
      <c r="T52" s="93">
        <f>SUM('3:4'!T52)</f>
        <v>0</v>
      </c>
      <c r="U52" s="93">
        <f>SUM('3:4'!U52)</f>
        <v>0</v>
      </c>
      <c r="V52" s="206"/>
      <c r="W52" s="33"/>
      <c r="X52" s="93">
        <f>SUM('3:4'!X52)</f>
        <v>0</v>
      </c>
      <c r="Y52" s="93">
        <f>SUM('3:4'!Y52)</f>
        <v>0</v>
      </c>
      <c r="Z52" s="93">
        <f>SUM('3:4'!Z52)</f>
        <v>0</v>
      </c>
      <c r="AA52" s="93">
        <f>SUM('3:4'!AA52)</f>
        <v>0</v>
      </c>
      <c r="AB52" s="358">
        <v>0.19</v>
      </c>
      <c r="AC52" s="269">
        <f t="shared" si="4"/>
        <v>0</v>
      </c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 ht="17.25">
      <c r="A53" s="319">
        <v>30700007</v>
      </c>
      <c r="B53" s="190" t="s">
        <v>456</v>
      </c>
      <c r="C53" s="187" t="s">
        <v>364</v>
      </c>
      <c r="D53" s="17">
        <v>5.03</v>
      </c>
      <c r="E53" s="17"/>
      <c r="F53" s="6"/>
      <c r="G53" s="93">
        <f>SUM('3:4'!G53)</f>
        <v>0</v>
      </c>
      <c r="H53" s="246">
        <f t="shared" si="11"/>
        <v>0</v>
      </c>
      <c r="I53" s="93">
        <f>SUM('3:4'!I53)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18"/>
        <v>0</v>
      </c>
      <c r="N53" s="93">
        <f>SUM('3:4'!N53)</f>
        <v>0</v>
      </c>
      <c r="O53" s="93">
        <f>SUM('3:4'!O53)</f>
        <v>0</v>
      </c>
      <c r="P53" s="93">
        <f>SUM('3:4'!P53)</f>
        <v>0</v>
      </c>
      <c r="Q53" s="93">
        <f>SUM('3:4'!Q53)</f>
        <v>0</v>
      </c>
      <c r="R53" s="93">
        <f>SUM('3:4'!R53)</f>
        <v>0</v>
      </c>
      <c r="S53" s="93">
        <f>SUM('3:4'!S53)</f>
        <v>0</v>
      </c>
      <c r="T53" s="93">
        <f>SUM('3:4'!T53)</f>
        <v>0</v>
      </c>
      <c r="U53" s="93">
        <f>SUM('3:4'!U53)</f>
        <v>0</v>
      </c>
      <c r="V53" s="206"/>
      <c r="W53" s="33"/>
      <c r="X53" s="93">
        <f>SUM('3:4'!X53)</f>
        <v>0</v>
      </c>
      <c r="Y53" s="93">
        <f>SUM('3:4'!Y53)</f>
        <v>0</v>
      </c>
      <c r="Z53" s="93">
        <f>SUM('3:4'!Z53)</f>
        <v>0</v>
      </c>
      <c r="AA53" s="93">
        <f>SUM('3:4'!AA53)</f>
        <v>0</v>
      </c>
      <c r="AB53" s="361">
        <v>0.94</v>
      </c>
      <c r="AC53" s="269">
        <f t="shared" si="4"/>
        <v>0</v>
      </c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 ht="17.25">
      <c r="A54" s="319">
        <v>30700006</v>
      </c>
      <c r="B54" s="190" t="s">
        <v>456</v>
      </c>
      <c r="C54" s="187" t="s">
        <v>365</v>
      </c>
      <c r="D54" s="17">
        <v>5.03</v>
      </c>
      <c r="E54" s="17"/>
      <c r="F54" s="6"/>
      <c r="G54" s="93">
        <f>SUM('3:4'!G54)</f>
        <v>0</v>
      </c>
      <c r="H54" s="246">
        <f t="shared" si="11"/>
        <v>0</v>
      </c>
      <c r="I54" s="93">
        <f>SUM('3:4'!I54)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18"/>
        <v>0</v>
      </c>
      <c r="N54" s="93">
        <f>SUM('3:4'!N54)</f>
        <v>0</v>
      </c>
      <c r="O54" s="93">
        <f>SUM('3:4'!O54)</f>
        <v>0</v>
      </c>
      <c r="P54" s="93">
        <f>SUM('3:4'!P54)</f>
        <v>0</v>
      </c>
      <c r="Q54" s="93">
        <f>SUM('3:4'!Q54)</f>
        <v>0</v>
      </c>
      <c r="R54" s="93">
        <f>SUM('3:4'!R54)</f>
        <v>0</v>
      </c>
      <c r="S54" s="93">
        <f>SUM('3:4'!S54)</f>
        <v>0</v>
      </c>
      <c r="T54" s="93">
        <f>SUM('3:4'!T54)</f>
        <v>0</v>
      </c>
      <c r="U54" s="93">
        <f>SUM('3:4'!U54)</f>
        <v>0</v>
      </c>
      <c r="V54" s="206"/>
      <c r="W54" s="33"/>
      <c r="X54" s="93">
        <f>SUM('3:4'!X54)</f>
        <v>0</v>
      </c>
      <c r="Y54" s="93">
        <f>SUM('3:4'!Y54)</f>
        <v>0</v>
      </c>
      <c r="Z54" s="93">
        <f>SUM('3:4'!Z54)</f>
        <v>0</v>
      </c>
      <c r="AA54" s="93">
        <f>SUM('3:4'!AA54)</f>
        <v>0</v>
      </c>
      <c r="AB54" s="361">
        <v>0.94</v>
      </c>
      <c r="AC54" s="269">
        <f t="shared" si="4"/>
        <v>0</v>
      </c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 ht="17.25">
      <c r="A55" s="319">
        <v>30700008</v>
      </c>
      <c r="B55" s="190" t="s">
        <v>456</v>
      </c>
      <c r="C55" s="187" t="s">
        <v>366</v>
      </c>
      <c r="D55" s="17">
        <v>5.03</v>
      </c>
      <c r="E55" s="17"/>
      <c r="F55" s="6"/>
      <c r="G55" s="93">
        <f>SUM('3:4'!G55)</f>
        <v>0</v>
      </c>
      <c r="H55" s="246">
        <f t="shared" si="11"/>
        <v>0</v>
      </c>
      <c r="I55" s="93">
        <f>SUM('3:4'!I55)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18"/>
        <v>0</v>
      </c>
      <c r="N55" s="93">
        <f>SUM('3:4'!N55)</f>
        <v>0</v>
      </c>
      <c r="O55" s="93">
        <f>SUM('3:4'!O55)</f>
        <v>0</v>
      </c>
      <c r="P55" s="93">
        <f>SUM('3:4'!P55)</f>
        <v>0</v>
      </c>
      <c r="Q55" s="93">
        <f>SUM('3:4'!Q55)</f>
        <v>0</v>
      </c>
      <c r="R55" s="93">
        <f>SUM('3:4'!R55)</f>
        <v>0</v>
      </c>
      <c r="S55" s="93">
        <f>SUM('3:4'!S55)</f>
        <v>0</v>
      </c>
      <c r="T55" s="93">
        <f>SUM('3:4'!T55)</f>
        <v>0</v>
      </c>
      <c r="U55" s="93">
        <f>SUM('3:4'!U55)</f>
        <v>0</v>
      </c>
      <c r="V55" s="206"/>
      <c r="W55" s="33"/>
      <c r="X55" s="93">
        <f>SUM('3:4'!X55)</f>
        <v>0</v>
      </c>
      <c r="Y55" s="93">
        <f>SUM('3:4'!Y55)</f>
        <v>0</v>
      </c>
      <c r="Z55" s="93">
        <f>SUM('3:4'!Z55)</f>
        <v>0</v>
      </c>
      <c r="AA55" s="93">
        <f>SUM('3:4'!AA55)</f>
        <v>0</v>
      </c>
      <c r="AB55" s="361">
        <v>0.94</v>
      </c>
      <c r="AC55" s="269">
        <f t="shared" si="4"/>
        <v>0</v>
      </c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 ht="17.25">
      <c r="A56" s="319">
        <v>30700009</v>
      </c>
      <c r="B56" s="190" t="s">
        <v>456</v>
      </c>
      <c r="C56" s="187" t="s">
        <v>367</v>
      </c>
      <c r="D56" s="17">
        <v>5.03</v>
      </c>
      <c r="E56" s="17"/>
      <c r="F56" s="6"/>
      <c r="G56" s="93">
        <f>SUM('3:4'!G56)</f>
        <v>0</v>
      </c>
      <c r="H56" s="246">
        <f t="shared" si="11"/>
        <v>0</v>
      </c>
      <c r="I56" s="93">
        <f>SUM('3:4'!I56)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18"/>
        <v>0</v>
      </c>
      <c r="N56" s="93">
        <f>SUM('3:4'!N56)</f>
        <v>0</v>
      </c>
      <c r="O56" s="93">
        <f>SUM('3:4'!O56)</f>
        <v>0</v>
      </c>
      <c r="P56" s="93">
        <f>SUM('3:4'!P56)</f>
        <v>0</v>
      </c>
      <c r="Q56" s="93">
        <f>SUM('3:4'!Q56)</f>
        <v>0</v>
      </c>
      <c r="R56" s="93">
        <f>SUM('3:4'!R56)</f>
        <v>0</v>
      </c>
      <c r="S56" s="93">
        <f>SUM('3:4'!S56)</f>
        <v>0</v>
      </c>
      <c r="T56" s="93">
        <f>SUM('3:4'!T56)</f>
        <v>0</v>
      </c>
      <c r="U56" s="93">
        <f>SUM('3:4'!U56)</f>
        <v>0</v>
      </c>
      <c r="V56" s="206"/>
      <c r="W56" s="33"/>
      <c r="X56" s="93">
        <f>SUM('3:4'!X56)</f>
        <v>0</v>
      </c>
      <c r="Y56" s="93">
        <f>SUM('3:4'!Y56)</f>
        <v>0</v>
      </c>
      <c r="Z56" s="93">
        <f>SUM('3:4'!Z56)</f>
        <v>0</v>
      </c>
      <c r="AA56" s="93">
        <f>SUM('3:4'!AA56)</f>
        <v>0</v>
      </c>
      <c r="AB56" s="361">
        <v>0.94</v>
      </c>
      <c r="AC56" s="269">
        <f t="shared" si="4"/>
        <v>0</v>
      </c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 ht="17.25">
      <c r="A57" s="316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SUM('3:4'!G57)</f>
        <v>0</v>
      </c>
      <c r="H57" s="246">
        <f t="shared" si="11"/>
        <v>0</v>
      </c>
      <c r="I57" s="93">
        <f>SUM('3:4'!I57)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18"/>
        <v>0</v>
      </c>
      <c r="N57" s="93">
        <f>SUM('3:4'!N57)</f>
        <v>0</v>
      </c>
      <c r="O57" s="93">
        <f>SUM('3:4'!O57)</f>
        <v>0</v>
      </c>
      <c r="P57" s="93">
        <f>SUM('3:4'!P57)</f>
        <v>0</v>
      </c>
      <c r="Q57" s="93">
        <f>SUM('3:4'!Q57)</f>
        <v>0</v>
      </c>
      <c r="R57" s="93">
        <f>SUM('3:4'!R57)</f>
        <v>0</v>
      </c>
      <c r="S57" s="93">
        <f>SUM('3:4'!S57)</f>
        <v>0</v>
      </c>
      <c r="T57" s="93">
        <f>SUM('3:4'!T57)</f>
        <v>0</v>
      </c>
      <c r="U57" s="93">
        <f>SUM('3:4'!U57)</f>
        <v>0</v>
      </c>
      <c r="V57" s="206">
        <f t="shared" ref="V57:V66" si="21">SUM(X57:AA57)</f>
        <v>0</v>
      </c>
      <c r="W57" s="33" t="str">
        <f t="shared" ref="W57:W66" si="22">IF(ISERROR(V57/G57),"",V57/G57)</f>
        <v/>
      </c>
      <c r="X57" s="93">
        <f>SUM('3:4'!X57)</f>
        <v>0</v>
      </c>
      <c r="Y57" s="93">
        <f>SUM('3:4'!Y57)</f>
        <v>0</v>
      </c>
      <c r="Z57" s="93">
        <f>SUM('3:4'!Z57)</f>
        <v>0</v>
      </c>
      <c r="AA57" s="93">
        <f>SUM('3:4'!AA57)</f>
        <v>0</v>
      </c>
      <c r="AB57" s="358">
        <v>0.19</v>
      </c>
      <c r="AC57" s="269">
        <f t="shared" si="4"/>
        <v>0</v>
      </c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 ht="17.25">
      <c r="A58" s="316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SUM('3:4'!G58)</f>
        <v>0</v>
      </c>
      <c r="H58" s="246">
        <f t="shared" si="11"/>
        <v>0</v>
      </c>
      <c r="I58" s="93">
        <f>SUM('3:4'!I58)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18"/>
        <v>0</v>
      </c>
      <c r="N58" s="93">
        <f>SUM('3:4'!N58)</f>
        <v>0</v>
      </c>
      <c r="O58" s="93">
        <f>SUM('3:4'!O58)</f>
        <v>0</v>
      </c>
      <c r="P58" s="93">
        <f>SUM('3:4'!P58)</f>
        <v>0</v>
      </c>
      <c r="Q58" s="93">
        <f>SUM('3:4'!Q58)</f>
        <v>0</v>
      </c>
      <c r="R58" s="93">
        <f>SUM('3:4'!R58)</f>
        <v>0</v>
      </c>
      <c r="S58" s="93">
        <f>SUM('3:4'!S58)</f>
        <v>0</v>
      </c>
      <c r="T58" s="93">
        <f>SUM('3:4'!T58)</f>
        <v>0</v>
      </c>
      <c r="U58" s="93">
        <f>SUM('3:4'!U58)</f>
        <v>0</v>
      </c>
      <c r="V58" s="206">
        <f t="shared" si="21"/>
        <v>0</v>
      </c>
      <c r="W58" s="33" t="str">
        <f t="shared" si="22"/>
        <v/>
      </c>
      <c r="X58" s="93">
        <f>SUM('3:4'!X58)</f>
        <v>0</v>
      </c>
      <c r="Y58" s="93">
        <f>SUM('3:4'!Y58)</f>
        <v>0</v>
      </c>
      <c r="Z58" s="93">
        <f>SUM('3:4'!Z58)</f>
        <v>0</v>
      </c>
      <c r="AA58" s="93">
        <f>SUM('3:4'!AA58)</f>
        <v>0</v>
      </c>
      <c r="AB58" s="358">
        <v>0.19</v>
      </c>
      <c r="AC58" s="269">
        <f t="shared" si="4"/>
        <v>0</v>
      </c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 ht="17.25">
      <c r="A59" s="316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SUM('3:4'!G59)</f>
        <v>0</v>
      </c>
      <c r="H59" s="246">
        <f t="shared" si="11"/>
        <v>0</v>
      </c>
      <c r="I59" s="93">
        <f>SUM('3:4'!I59)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18"/>
        <v>0</v>
      </c>
      <c r="N59" s="93">
        <f>SUM('3:4'!N59)</f>
        <v>0</v>
      </c>
      <c r="O59" s="93">
        <f>SUM('3:4'!O59)</f>
        <v>0</v>
      </c>
      <c r="P59" s="93">
        <f>SUM('3:4'!P59)</f>
        <v>0</v>
      </c>
      <c r="Q59" s="93">
        <f>SUM('3:4'!Q59)</f>
        <v>0</v>
      </c>
      <c r="R59" s="93">
        <f>SUM('3:4'!R59)</f>
        <v>0</v>
      </c>
      <c r="S59" s="93">
        <f>SUM('3:4'!S59)</f>
        <v>0</v>
      </c>
      <c r="T59" s="93">
        <f>SUM('3:4'!T59)</f>
        <v>0</v>
      </c>
      <c r="U59" s="93">
        <f>SUM('3:4'!U59)</f>
        <v>0</v>
      </c>
      <c r="V59" s="206">
        <f t="shared" si="21"/>
        <v>0</v>
      </c>
      <c r="W59" s="33" t="str">
        <f t="shared" si="22"/>
        <v/>
      </c>
      <c r="X59" s="93">
        <f>SUM('3:4'!X59)</f>
        <v>0</v>
      </c>
      <c r="Y59" s="93">
        <f>SUM('3:4'!Y59)</f>
        <v>0</v>
      </c>
      <c r="Z59" s="93">
        <f>SUM('3:4'!Z59)</f>
        <v>0</v>
      </c>
      <c r="AA59" s="93">
        <f>SUM('3:4'!AA59)</f>
        <v>0</v>
      </c>
      <c r="AB59" s="358">
        <v>0.19</v>
      </c>
      <c r="AC59" s="269">
        <f t="shared" si="4"/>
        <v>0</v>
      </c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 ht="17.25">
      <c r="A60" s="316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SUM('3:4'!G60)</f>
        <v>0</v>
      </c>
      <c r="H60" s="246">
        <f t="shared" si="11"/>
        <v>0</v>
      </c>
      <c r="I60" s="93">
        <f>SUM('3:4'!I60)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18"/>
        <v>0</v>
      </c>
      <c r="N60" s="93">
        <f>SUM('3:4'!N60)</f>
        <v>0</v>
      </c>
      <c r="O60" s="93">
        <f>SUM('3:4'!O60)</f>
        <v>0</v>
      </c>
      <c r="P60" s="93">
        <f>SUM('3:4'!P60)</f>
        <v>0</v>
      </c>
      <c r="Q60" s="93">
        <f>SUM('3:4'!Q60)</f>
        <v>0</v>
      </c>
      <c r="R60" s="93">
        <f>SUM('3:4'!R60)</f>
        <v>0</v>
      </c>
      <c r="S60" s="93">
        <f>SUM('3:4'!S60)</f>
        <v>0</v>
      </c>
      <c r="T60" s="93">
        <f>SUM('3:4'!T60)</f>
        <v>0</v>
      </c>
      <c r="U60" s="93">
        <f>SUM('3:4'!U60)</f>
        <v>0</v>
      </c>
      <c r="V60" s="206">
        <f t="shared" si="21"/>
        <v>0</v>
      </c>
      <c r="W60" s="33" t="str">
        <f t="shared" si="22"/>
        <v/>
      </c>
      <c r="X60" s="93">
        <f>SUM('3:4'!X60)</f>
        <v>0</v>
      </c>
      <c r="Y60" s="93">
        <f>SUM('3:4'!Y60)</f>
        <v>0</v>
      </c>
      <c r="Z60" s="93">
        <f>SUM('3:4'!Z60)</f>
        <v>0</v>
      </c>
      <c r="AA60" s="93">
        <f>SUM('3:4'!AA60)</f>
        <v>0</v>
      </c>
      <c r="AB60" s="358">
        <v>0.21</v>
      </c>
      <c r="AC60" s="269">
        <f t="shared" si="4"/>
        <v>0</v>
      </c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 ht="17.25">
      <c r="A61" s="316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SUM('3:4'!G61)</f>
        <v>0</v>
      </c>
      <c r="H61" s="246">
        <f t="shared" si="11"/>
        <v>0</v>
      </c>
      <c r="I61" s="93">
        <f>SUM('3:4'!I61)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18"/>
        <v>0</v>
      </c>
      <c r="N61" s="93">
        <f>SUM('3:4'!N61)</f>
        <v>0</v>
      </c>
      <c r="O61" s="93">
        <f>SUM('3:4'!O61)</f>
        <v>0</v>
      </c>
      <c r="P61" s="93">
        <f>SUM('3:4'!P61)</f>
        <v>0</v>
      </c>
      <c r="Q61" s="93">
        <f>SUM('3:4'!Q61)</f>
        <v>0</v>
      </c>
      <c r="R61" s="93">
        <f>SUM('3:4'!R61)</f>
        <v>0</v>
      </c>
      <c r="S61" s="93">
        <f>SUM('3:4'!S61)</f>
        <v>0</v>
      </c>
      <c r="T61" s="93">
        <f>SUM('3:4'!T61)</f>
        <v>0</v>
      </c>
      <c r="U61" s="93">
        <f>SUM('3:4'!U61)</f>
        <v>0</v>
      </c>
      <c r="V61" s="206">
        <f t="shared" si="21"/>
        <v>0</v>
      </c>
      <c r="W61" s="33" t="str">
        <f t="shared" si="22"/>
        <v/>
      </c>
      <c r="X61" s="93">
        <f>SUM('3:4'!X61)</f>
        <v>0</v>
      </c>
      <c r="Y61" s="93">
        <f>SUM('3:4'!Y61)</f>
        <v>0</v>
      </c>
      <c r="Z61" s="93">
        <f>SUM('3:4'!Z61)</f>
        <v>0</v>
      </c>
      <c r="AA61" s="93">
        <f>SUM('3:4'!AA61)</f>
        <v>0</v>
      </c>
      <c r="AB61" s="358">
        <v>0.21</v>
      </c>
      <c r="AC61" s="269">
        <f t="shared" si="4"/>
        <v>0</v>
      </c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 ht="17.25">
      <c r="A62" s="316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SUM('3:4'!G62)</f>
        <v>0</v>
      </c>
      <c r="H62" s="246">
        <f t="shared" si="11"/>
        <v>0</v>
      </c>
      <c r="I62" s="93">
        <f>SUM('3:4'!I62)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18"/>
        <v>0</v>
      </c>
      <c r="N62" s="93">
        <f>SUM('3:4'!N62)</f>
        <v>0</v>
      </c>
      <c r="O62" s="93">
        <f>SUM('3:4'!O62)</f>
        <v>0</v>
      </c>
      <c r="P62" s="93">
        <f>SUM('3:4'!P62)</f>
        <v>0</v>
      </c>
      <c r="Q62" s="93">
        <f>SUM('3:4'!Q62)</f>
        <v>0</v>
      </c>
      <c r="R62" s="93">
        <f>SUM('3:4'!R62)</f>
        <v>0</v>
      </c>
      <c r="S62" s="93">
        <f>SUM('3:4'!S62)</f>
        <v>0</v>
      </c>
      <c r="T62" s="93">
        <f>SUM('3:4'!T62)</f>
        <v>0</v>
      </c>
      <c r="U62" s="93">
        <f>SUM('3:4'!U62)</f>
        <v>0</v>
      </c>
      <c r="V62" s="206">
        <f t="shared" si="21"/>
        <v>0</v>
      </c>
      <c r="W62" s="33" t="str">
        <f t="shared" si="22"/>
        <v/>
      </c>
      <c r="X62" s="93">
        <f>SUM('3:4'!X62)</f>
        <v>0</v>
      </c>
      <c r="Y62" s="93">
        <f>SUM('3:4'!Y62)</f>
        <v>0</v>
      </c>
      <c r="Z62" s="93">
        <f>SUM('3:4'!Z62)</f>
        <v>0</v>
      </c>
      <c r="AA62" s="93">
        <f>SUM('3:4'!AA62)</f>
        <v>0</v>
      </c>
      <c r="AB62" s="358">
        <v>0.21</v>
      </c>
      <c r="AC62" s="269">
        <f t="shared" si="4"/>
        <v>0</v>
      </c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 ht="17.25">
      <c r="A63" s="316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SUM('3:4'!G63)</f>
        <v>0</v>
      </c>
      <c r="H63" s="246">
        <f t="shared" si="11"/>
        <v>0</v>
      </c>
      <c r="I63" s="93">
        <f>SUM('3:4'!I63)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18"/>
        <v>0</v>
      </c>
      <c r="N63" s="93">
        <f>SUM('3:4'!N63)</f>
        <v>0</v>
      </c>
      <c r="O63" s="93">
        <f>SUM('3:4'!O63)</f>
        <v>0</v>
      </c>
      <c r="P63" s="93">
        <f>SUM('3:4'!P63)</f>
        <v>0</v>
      </c>
      <c r="Q63" s="93">
        <f>SUM('3:4'!Q63)</f>
        <v>0</v>
      </c>
      <c r="R63" s="93">
        <f>SUM('3:4'!R63)</f>
        <v>0</v>
      </c>
      <c r="S63" s="93">
        <f>SUM('3:4'!S63)</f>
        <v>0</v>
      </c>
      <c r="T63" s="93">
        <f>SUM('3:4'!T63)</f>
        <v>0</v>
      </c>
      <c r="U63" s="93">
        <f>SUM('3:4'!U63)</f>
        <v>0</v>
      </c>
      <c r="V63" s="206">
        <f t="shared" si="21"/>
        <v>0</v>
      </c>
      <c r="W63" s="33" t="str">
        <f t="shared" si="22"/>
        <v/>
      </c>
      <c r="X63" s="93">
        <f>SUM('3:4'!X63)</f>
        <v>0</v>
      </c>
      <c r="Y63" s="93">
        <f>SUM('3:4'!Y63)</f>
        <v>0</v>
      </c>
      <c r="Z63" s="93">
        <f>SUM('3:4'!Z63)</f>
        <v>0</v>
      </c>
      <c r="AA63" s="93">
        <f>SUM('3:4'!AA63)</f>
        <v>0</v>
      </c>
      <c r="AB63" s="358">
        <v>0.21</v>
      </c>
      <c r="AC63" s="269">
        <f t="shared" si="4"/>
        <v>0</v>
      </c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 ht="17.25">
      <c r="A64" s="316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SUM('3:4'!G64)</f>
        <v>0</v>
      </c>
      <c r="H64" s="246">
        <f t="shared" si="11"/>
        <v>0</v>
      </c>
      <c r="I64" s="93">
        <f>SUM('3:4'!I64)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18"/>
        <v>0</v>
      </c>
      <c r="N64" s="93">
        <f>SUM('3:4'!N64)</f>
        <v>0</v>
      </c>
      <c r="O64" s="93">
        <f>SUM('3:4'!O64)</f>
        <v>0</v>
      </c>
      <c r="P64" s="93">
        <f>SUM('3:4'!P64)</f>
        <v>0</v>
      </c>
      <c r="Q64" s="93">
        <f>SUM('3:4'!Q64)</f>
        <v>0</v>
      </c>
      <c r="R64" s="93">
        <f>SUM('3:4'!R64)</f>
        <v>0</v>
      </c>
      <c r="S64" s="93">
        <f>SUM('3:4'!S64)</f>
        <v>0</v>
      </c>
      <c r="T64" s="93">
        <f>SUM('3:4'!T64)</f>
        <v>0</v>
      </c>
      <c r="U64" s="93">
        <f>SUM('3:4'!U64)</f>
        <v>0</v>
      </c>
      <c r="V64" s="206">
        <f t="shared" si="21"/>
        <v>0</v>
      </c>
      <c r="W64" s="33" t="str">
        <f t="shared" si="22"/>
        <v/>
      </c>
      <c r="X64" s="93">
        <f>SUM('3:4'!X64)</f>
        <v>0</v>
      </c>
      <c r="Y64" s="93">
        <f>SUM('3:4'!Y64)</f>
        <v>0</v>
      </c>
      <c r="Z64" s="93">
        <f>SUM('3:4'!Z64)</f>
        <v>0</v>
      </c>
      <c r="AA64" s="93">
        <f>SUM('3:4'!AA64)</f>
        <v>0</v>
      </c>
      <c r="AB64" s="358">
        <v>0.21</v>
      </c>
      <c r="AC64" s="269">
        <f t="shared" si="4"/>
        <v>0</v>
      </c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 ht="17.25">
      <c r="A65" s="316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SUM('3:4'!G65)</f>
        <v>0</v>
      </c>
      <c r="H65" s="246">
        <f t="shared" si="11"/>
        <v>0</v>
      </c>
      <c r="I65" s="93">
        <f>SUM('3:4'!I65)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18"/>
        <v>0</v>
      </c>
      <c r="N65" s="93">
        <f>SUM('3:4'!N65)</f>
        <v>0</v>
      </c>
      <c r="O65" s="93">
        <f>SUM('3:4'!O65)</f>
        <v>0</v>
      </c>
      <c r="P65" s="93">
        <f>SUM('3:4'!P65)</f>
        <v>0</v>
      </c>
      <c r="Q65" s="93">
        <f>SUM('3:4'!Q65)</f>
        <v>0</v>
      </c>
      <c r="R65" s="93">
        <f>SUM('3:4'!R65)</f>
        <v>0</v>
      </c>
      <c r="S65" s="93">
        <f>SUM('3:4'!S65)</f>
        <v>0</v>
      </c>
      <c r="T65" s="93">
        <f>SUM('3:4'!T65)</f>
        <v>0</v>
      </c>
      <c r="U65" s="93">
        <f>SUM('3:4'!U65)</f>
        <v>0</v>
      </c>
      <c r="V65" s="206">
        <f t="shared" si="21"/>
        <v>0</v>
      </c>
      <c r="W65" s="33" t="str">
        <f t="shared" si="22"/>
        <v/>
      </c>
      <c r="X65" s="93">
        <f>SUM('3:4'!X65)</f>
        <v>0</v>
      </c>
      <c r="Y65" s="93">
        <f>SUM('3:4'!Y65)</f>
        <v>0</v>
      </c>
      <c r="Z65" s="93">
        <f>SUM('3:4'!Z65)</f>
        <v>0</v>
      </c>
      <c r="AA65" s="93">
        <f>SUM('3:4'!AA65)</f>
        <v>0</v>
      </c>
      <c r="AB65" s="358">
        <v>0.21</v>
      </c>
      <c r="AC65" s="269">
        <f t="shared" si="4"/>
        <v>0</v>
      </c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 ht="17.25">
      <c r="A66" s="316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SUM('3:4'!G66)</f>
        <v>0</v>
      </c>
      <c r="H66" s="246">
        <f t="shared" si="11"/>
        <v>0</v>
      </c>
      <c r="I66" s="93">
        <f>SUM('3:4'!I66)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18"/>
        <v>0</v>
      </c>
      <c r="N66" s="93">
        <f>SUM('3:4'!N66)</f>
        <v>0</v>
      </c>
      <c r="O66" s="93">
        <f>SUM('3:4'!O66)</f>
        <v>0</v>
      </c>
      <c r="P66" s="93">
        <f>SUM('3:4'!P66)</f>
        <v>0</v>
      </c>
      <c r="Q66" s="93">
        <f>SUM('3:4'!Q66)</f>
        <v>0</v>
      </c>
      <c r="R66" s="93">
        <f>SUM('3:4'!R66)</f>
        <v>0</v>
      </c>
      <c r="S66" s="93">
        <f>SUM('3:4'!S66)</f>
        <v>0</v>
      </c>
      <c r="T66" s="93">
        <f>SUM('3:4'!T66)</f>
        <v>0</v>
      </c>
      <c r="U66" s="93">
        <f>SUM('3:4'!U66)</f>
        <v>0</v>
      </c>
      <c r="V66" s="206">
        <f t="shared" si="21"/>
        <v>0</v>
      </c>
      <c r="W66" s="33" t="str">
        <f t="shared" si="22"/>
        <v/>
      </c>
      <c r="X66" s="93">
        <f>SUM('3:4'!X66)</f>
        <v>0</v>
      </c>
      <c r="Y66" s="93">
        <f>SUM('3:4'!Y66)</f>
        <v>0</v>
      </c>
      <c r="Z66" s="93">
        <f>SUM('3:4'!Z66)</f>
        <v>0</v>
      </c>
      <c r="AA66" s="93">
        <f>SUM('3:4'!AA66)</f>
        <v>0</v>
      </c>
      <c r="AB66" s="358">
        <v>0.21</v>
      </c>
      <c r="AC66" s="269">
        <f t="shared" si="4"/>
        <v>0</v>
      </c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 ht="17.25">
      <c r="A67" s="316">
        <v>30100043</v>
      </c>
      <c r="B67" s="62" t="s">
        <v>450</v>
      </c>
      <c r="C67" s="297" t="s">
        <v>451</v>
      </c>
      <c r="D67" s="17">
        <v>5.03</v>
      </c>
      <c r="E67" s="17"/>
      <c r="F67" s="6"/>
      <c r="G67" s="93">
        <f>SUM('3:4'!G67)</f>
        <v>0</v>
      </c>
      <c r="H67" s="246">
        <f t="shared" si="11"/>
        <v>0</v>
      </c>
      <c r="I67" s="93"/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6"/>
      <c r="W67" s="33"/>
      <c r="X67" s="93"/>
      <c r="Y67" s="93"/>
      <c r="Z67" s="93"/>
      <c r="AA67" s="93"/>
      <c r="AB67" s="358">
        <v>0.21</v>
      </c>
      <c r="AC67" s="269">
        <f t="shared" si="4"/>
        <v>0</v>
      </c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 ht="17.25">
      <c r="A68" s="316">
        <v>30100064</v>
      </c>
      <c r="B68" s="192" t="s">
        <v>486</v>
      </c>
      <c r="C68" s="187" t="s">
        <v>398</v>
      </c>
      <c r="D68" s="17">
        <v>5</v>
      </c>
      <c r="E68" s="17"/>
      <c r="F68" s="6"/>
      <c r="G68" s="93">
        <f>SUM('3:4'!G68)</f>
        <v>0</v>
      </c>
      <c r="H68" s="246">
        <f t="shared" si="11"/>
        <v>0</v>
      </c>
      <c r="I68" s="93">
        <f>SUM('3:4'!I68)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SUM('3:4'!N68)</f>
        <v>0</v>
      </c>
      <c r="O68" s="93">
        <f>SUM('3:4'!O68)</f>
        <v>0</v>
      </c>
      <c r="P68" s="93">
        <f>SUM('3:4'!P68)</f>
        <v>0</v>
      </c>
      <c r="Q68" s="93">
        <f>SUM('3:4'!Q68)</f>
        <v>0</v>
      </c>
      <c r="R68" s="93">
        <f>SUM('3:4'!R68)</f>
        <v>0</v>
      </c>
      <c r="S68" s="93">
        <f>SUM('3:4'!S68)</f>
        <v>0</v>
      </c>
      <c r="T68" s="93">
        <f>SUM('3:4'!T68)</f>
        <v>0</v>
      </c>
      <c r="U68" s="93">
        <f>SUM('3:4'!U68)</f>
        <v>0</v>
      </c>
      <c r="V68" s="206"/>
      <c r="W68" s="33"/>
      <c r="X68" s="93">
        <f>SUM('3:4'!X68)</f>
        <v>0</v>
      </c>
      <c r="Y68" s="93">
        <f>SUM('3:4'!Y68)</f>
        <v>0</v>
      </c>
      <c r="Z68" s="93">
        <f>SUM('3:4'!Z68)</f>
        <v>0</v>
      </c>
      <c r="AA68" s="93">
        <f>SUM('3:4'!AA68)</f>
        <v>0</v>
      </c>
      <c r="AB68" s="361">
        <v>0.21</v>
      </c>
      <c r="AC68" s="269">
        <f t="shared" si="4"/>
        <v>0</v>
      </c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 ht="17.25">
      <c r="A69" s="316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SUM('3:4'!G69)</f>
        <v>0</v>
      </c>
      <c r="H69" s="246">
        <f t="shared" si="11"/>
        <v>0</v>
      </c>
      <c r="I69" s="93">
        <f>SUM('3:4'!I69)</f>
        <v>0</v>
      </c>
      <c r="J69" s="31" t="str">
        <f t="array" ref="J69">IF(ISERROR(G69/I69),"",G69/I69)</f>
        <v/>
      </c>
      <c r="K69" s="35">
        <f t="array" ref="K69">IF(ISERROR(G69/L69),"",G69/L69)</f>
        <v>0</v>
      </c>
      <c r="L69" s="87">
        <v>21.5</v>
      </c>
      <c r="M69" s="36">
        <f t="shared" ref="M69:M70" si="23">IF(ISERROR(I69-K69),"",I69-K69)</f>
        <v>0</v>
      </c>
      <c r="N69" s="93">
        <f>SUM('3:4'!N69)</f>
        <v>0</v>
      </c>
      <c r="O69" s="93">
        <f>SUM('3:4'!O69)</f>
        <v>0</v>
      </c>
      <c r="P69" s="93">
        <f>SUM('3:4'!P69)</f>
        <v>0</v>
      </c>
      <c r="Q69" s="93">
        <f>SUM('3:4'!Q69)</f>
        <v>0</v>
      </c>
      <c r="R69" s="93">
        <f>SUM('3:4'!R69)</f>
        <v>0</v>
      </c>
      <c r="S69" s="93">
        <f>SUM('3:4'!S69)</f>
        <v>0</v>
      </c>
      <c r="T69" s="93">
        <f>SUM('3:4'!T69)</f>
        <v>0</v>
      </c>
      <c r="U69" s="93">
        <f>SUM('3:4'!U69)</f>
        <v>0</v>
      </c>
      <c r="V69" s="206">
        <f t="shared" ref="V69:V70" si="24">SUM(X69:AA69)</f>
        <v>0</v>
      </c>
      <c r="W69" s="33" t="str">
        <f t="shared" ref="W69:W70" si="25">IF(ISERROR(V69/G69),"",V69/G69)</f>
        <v/>
      </c>
      <c r="X69" s="93">
        <f>SUM('3:4'!X69)</f>
        <v>0</v>
      </c>
      <c r="Y69" s="93">
        <f>SUM('3:4'!Y69)</f>
        <v>0</v>
      </c>
      <c r="Z69" s="93">
        <f>SUM('3:4'!Z69)</f>
        <v>0</v>
      </c>
      <c r="AA69" s="93">
        <f>SUM('3:4'!AA69)</f>
        <v>0</v>
      </c>
      <c r="AB69" s="358">
        <v>0.49</v>
      </c>
      <c r="AC69" s="269">
        <f t="shared" si="4"/>
        <v>0</v>
      </c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 ht="17.25">
      <c r="A70" s="316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SUM('3:4'!G70)</f>
        <v>0</v>
      </c>
      <c r="H70" s="246">
        <f t="shared" si="11"/>
        <v>0</v>
      </c>
      <c r="I70" s="93">
        <f>SUM('3:4'!I70)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 t="shared" si="23"/>
        <v>0</v>
      </c>
      <c r="N70" s="93">
        <f>SUM('3:4'!N70)</f>
        <v>0</v>
      </c>
      <c r="O70" s="93">
        <f>SUM('3:4'!O70)</f>
        <v>0</v>
      </c>
      <c r="P70" s="93">
        <f>SUM('3:4'!P70)</f>
        <v>0</v>
      </c>
      <c r="Q70" s="93">
        <f>SUM('3:4'!Q70)</f>
        <v>0</v>
      </c>
      <c r="R70" s="93">
        <f>SUM('3:4'!R70)</f>
        <v>0</v>
      </c>
      <c r="S70" s="93">
        <f>SUM('3:4'!S70)</f>
        <v>0</v>
      </c>
      <c r="T70" s="93">
        <f>SUM('3:4'!T70)</f>
        <v>0</v>
      </c>
      <c r="U70" s="93">
        <f>SUM('3:4'!U70)</f>
        <v>0</v>
      </c>
      <c r="V70" s="206">
        <f t="shared" si="24"/>
        <v>0</v>
      </c>
      <c r="W70" s="33" t="str">
        <f t="shared" si="25"/>
        <v/>
      </c>
      <c r="X70" s="93">
        <f>SUM('3:4'!X70)</f>
        <v>0</v>
      </c>
      <c r="Y70" s="93">
        <f>SUM('3:4'!Y70)</f>
        <v>0</v>
      </c>
      <c r="Z70" s="93">
        <f>SUM('3:4'!Z70)</f>
        <v>0</v>
      </c>
      <c r="AA70" s="93">
        <f>SUM('3:4'!AA70)</f>
        <v>0</v>
      </c>
      <c r="AB70" s="358">
        <v>0.49</v>
      </c>
      <c r="AC70" s="269">
        <f t="shared" si="4"/>
        <v>0</v>
      </c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 ht="17.25">
      <c r="A71" s="316"/>
      <c r="B71" s="192" t="s">
        <v>487</v>
      </c>
      <c r="C71" s="187" t="s">
        <v>361</v>
      </c>
      <c r="D71" s="17"/>
      <c r="E71" s="17"/>
      <c r="F71" s="6"/>
      <c r="G71" s="93">
        <f>SUM('3:4'!G71)</f>
        <v>0</v>
      </c>
      <c r="H71" s="246">
        <f t="shared" si="11"/>
        <v>0</v>
      </c>
      <c r="I71" s="93">
        <f>SUM('3:4'!I71)</f>
        <v>0</v>
      </c>
      <c r="J71" s="31"/>
      <c r="K71" s="35"/>
      <c r="L71" s="87"/>
      <c r="M71" s="36"/>
      <c r="N71" s="93">
        <f>SUM('3:4'!N71)</f>
        <v>0</v>
      </c>
      <c r="O71" s="93">
        <f>SUM('3:4'!O71)</f>
        <v>0</v>
      </c>
      <c r="P71" s="93">
        <f>SUM('3:4'!P71)</f>
        <v>0</v>
      </c>
      <c r="Q71" s="93">
        <f>SUM('3:4'!Q71)</f>
        <v>0</v>
      </c>
      <c r="R71" s="93">
        <f>SUM('3:4'!R71)</f>
        <v>0</v>
      </c>
      <c r="S71" s="93">
        <f>SUM('3:4'!S71)</f>
        <v>0</v>
      </c>
      <c r="T71" s="93">
        <f>SUM('3:4'!T71)</f>
        <v>0</v>
      </c>
      <c r="U71" s="93">
        <f>SUM('3:4'!U71)</f>
        <v>0</v>
      </c>
      <c r="V71" s="206"/>
      <c r="W71" s="33"/>
      <c r="X71" s="93">
        <f>SUM('3:4'!X71)</f>
        <v>0</v>
      </c>
      <c r="Y71" s="93">
        <f>SUM('3:4'!Y71)</f>
        <v>0</v>
      </c>
      <c r="Z71" s="93">
        <f>SUM('3:4'!Z71)</f>
        <v>0</v>
      </c>
      <c r="AA71" s="93">
        <f>SUM('3:4'!AA71)</f>
        <v>0</v>
      </c>
      <c r="AB71" s="358"/>
      <c r="AC71" s="269">
        <f t="shared" si="4"/>
        <v>0</v>
      </c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 ht="17.25">
      <c r="A72" s="316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SUM('3:4'!G72)</f>
        <v>0</v>
      </c>
      <c r="H72" s="246">
        <f t="shared" si="11"/>
        <v>0</v>
      </c>
      <c r="I72" s="93">
        <f>SUM('3:4'!I72)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26">IF(ISERROR(I72-K72),"",I72-K72)</f>
        <v/>
      </c>
      <c r="N72" s="93">
        <f>SUM('3:4'!N72)</f>
        <v>0</v>
      </c>
      <c r="O72" s="93">
        <f>SUM('3:4'!O72)</f>
        <v>0</v>
      </c>
      <c r="P72" s="93">
        <f>SUM('3:4'!P72)</f>
        <v>0</v>
      </c>
      <c r="Q72" s="93">
        <f>SUM('3:4'!Q72)</f>
        <v>0</v>
      </c>
      <c r="R72" s="93">
        <f>SUM('3:4'!R72)</f>
        <v>0</v>
      </c>
      <c r="S72" s="93">
        <f>SUM('3:4'!S72)</f>
        <v>0</v>
      </c>
      <c r="T72" s="93">
        <f>SUM('3:4'!T72)</f>
        <v>0</v>
      </c>
      <c r="U72" s="93">
        <f>SUM('3:4'!U72)</f>
        <v>0</v>
      </c>
      <c r="V72" s="206">
        <f t="shared" ref="V72:V75" si="27">SUM(X72:AA72)</f>
        <v>0</v>
      </c>
      <c r="W72" s="33" t="str">
        <f t="shared" ref="W72:W75" si="28">IF(ISERROR(V72/G72),"",V72/G72)</f>
        <v/>
      </c>
      <c r="X72" s="93">
        <f>SUM('3:4'!X72)</f>
        <v>0</v>
      </c>
      <c r="Y72" s="93">
        <f>SUM('3:4'!Y72)</f>
        <v>0</v>
      </c>
      <c r="Z72" s="93">
        <f>SUM('3:4'!Z72)</f>
        <v>0</v>
      </c>
      <c r="AA72" s="93">
        <f>SUM('3:4'!AA72)</f>
        <v>0</v>
      </c>
      <c r="AB72" s="358">
        <v>0.43</v>
      </c>
      <c r="AC72" s="269">
        <f t="shared" ref="AC72:AC135" si="29">AB72*G72</f>
        <v>0</v>
      </c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 ht="17.25">
      <c r="A73" s="316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SUM('3:4'!G73)</f>
        <v>0</v>
      </c>
      <c r="H73" s="246">
        <f t="shared" si="11"/>
        <v>0</v>
      </c>
      <c r="I73" s="93">
        <f>SUM('3:4'!I73)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26"/>
        <v/>
      </c>
      <c r="N73" s="93">
        <f>SUM('3:4'!N73)</f>
        <v>0</v>
      </c>
      <c r="O73" s="93">
        <f>SUM('3:4'!O73)</f>
        <v>0</v>
      </c>
      <c r="P73" s="93">
        <f>SUM('3:4'!P73)</f>
        <v>0</v>
      </c>
      <c r="Q73" s="93">
        <f>SUM('3:4'!Q73)</f>
        <v>0</v>
      </c>
      <c r="R73" s="93">
        <f>SUM('3:4'!R73)</f>
        <v>0</v>
      </c>
      <c r="S73" s="93">
        <f>SUM('3:4'!S73)</f>
        <v>0</v>
      </c>
      <c r="T73" s="93">
        <f>SUM('3:4'!T73)</f>
        <v>0</v>
      </c>
      <c r="U73" s="93">
        <f>SUM('3:4'!U73)</f>
        <v>0</v>
      </c>
      <c r="V73" s="206">
        <f t="shared" si="27"/>
        <v>0</v>
      </c>
      <c r="W73" s="33" t="str">
        <f t="shared" si="28"/>
        <v/>
      </c>
      <c r="X73" s="93">
        <f>SUM('3:4'!X73)</f>
        <v>0</v>
      </c>
      <c r="Y73" s="93">
        <f>SUM('3:4'!Y73)</f>
        <v>0</v>
      </c>
      <c r="Z73" s="93">
        <f>SUM('3:4'!Z73)</f>
        <v>0</v>
      </c>
      <c r="AA73" s="93">
        <f>SUM('3:4'!AA73)</f>
        <v>0</v>
      </c>
      <c r="AB73" s="358">
        <v>0.43</v>
      </c>
      <c r="AC73" s="269">
        <f t="shared" si="29"/>
        <v>0</v>
      </c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16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SUM('3:4'!G74)</f>
        <v>0</v>
      </c>
      <c r="H74" s="246">
        <f t="shared" si="11"/>
        <v>0</v>
      </c>
      <c r="I74" s="93">
        <f>SUM('3:4'!I74)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26"/>
        <v/>
      </c>
      <c r="N74" s="93">
        <f>SUM('3:4'!N74)</f>
        <v>0</v>
      </c>
      <c r="O74" s="93">
        <f>SUM('3:4'!O74)</f>
        <v>0</v>
      </c>
      <c r="P74" s="93">
        <f>SUM('3:4'!P74)</f>
        <v>0</v>
      </c>
      <c r="Q74" s="93">
        <f>SUM('3:4'!Q74)</f>
        <v>0</v>
      </c>
      <c r="R74" s="93">
        <f>SUM('3:4'!R74)</f>
        <v>0</v>
      </c>
      <c r="S74" s="93">
        <f>SUM('3:4'!S74)</f>
        <v>0</v>
      </c>
      <c r="T74" s="93">
        <f>SUM('3:4'!T74)</f>
        <v>0</v>
      </c>
      <c r="U74" s="93">
        <f>SUM('3:4'!U74)</f>
        <v>0</v>
      </c>
      <c r="V74" s="206">
        <f t="shared" si="27"/>
        <v>0</v>
      </c>
      <c r="W74" s="33" t="str">
        <f t="shared" si="28"/>
        <v/>
      </c>
      <c r="X74" s="93">
        <f>SUM('3:4'!X74)</f>
        <v>0</v>
      </c>
      <c r="Y74" s="93">
        <f>SUM('3:4'!Y74)</f>
        <v>0</v>
      </c>
      <c r="Z74" s="93">
        <f>SUM('3:4'!Z74)</f>
        <v>0</v>
      </c>
      <c r="AA74" s="93">
        <f>SUM('3:4'!AA74)</f>
        <v>0</v>
      </c>
      <c r="AB74" s="358">
        <v>0.43</v>
      </c>
      <c r="AC74" s="269">
        <f t="shared" si="29"/>
        <v>0</v>
      </c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 ht="17.25">
      <c r="A75" s="316">
        <v>30100058</v>
      </c>
      <c r="B75" s="189" t="s">
        <v>489</v>
      </c>
      <c r="C75" s="16" t="s">
        <v>61</v>
      </c>
      <c r="D75" s="17">
        <v>5.0599999999999996</v>
      </c>
      <c r="E75" s="17"/>
      <c r="F75" s="6"/>
      <c r="G75" s="93">
        <f>SUM('3:4'!G75)</f>
        <v>0</v>
      </c>
      <c r="H75" s="246">
        <f t="shared" si="11"/>
        <v>0</v>
      </c>
      <c r="I75" s="93">
        <f>SUM('3:4'!I75)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26"/>
        <v/>
      </c>
      <c r="N75" s="93">
        <f>SUM('3:4'!N75)</f>
        <v>0</v>
      </c>
      <c r="O75" s="93">
        <f>SUM('3:4'!O75)</f>
        <v>0</v>
      </c>
      <c r="P75" s="93">
        <f>SUM('3:4'!P75)</f>
        <v>0</v>
      </c>
      <c r="Q75" s="93">
        <f>SUM('3:4'!Q75)</f>
        <v>0</v>
      </c>
      <c r="R75" s="93">
        <f>SUM('3:4'!R75)</f>
        <v>0</v>
      </c>
      <c r="S75" s="93">
        <f>SUM('3:4'!S75)</f>
        <v>0</v>
      </c>
      <c r="T75" s="93">
        <f>SUM('3:4'!T75)</f>
        <v>0</v>
      </c>
      <c r="U75" s="93">
        <f>SUM('3:4'!U75)</f>
        <v>0</v>
      </c>
      <c r="V75" s="206">
        <f t="shared" si="27"/>
        <v>0</v>
      </c>
      <c r="W75" s="33" t="str">
        <f t="shared" si="28"/>
        <v/>
      </c>
      <c r="X75" s="93">
        <f>SUM('3:4'!X75)</f>
        <v>0</v>
      </c>
      <c r="Y75" s="93">
        <f>SUM('3:4'!Y75)</f>
        <v>0</v>
      </c>
      <c r="Z75" s="93">
        <f>SUM('3:4'!Z75)</f>
        <v>0</v>
      </c>
      <c r="AA75" s="93">
        <f>SUM('3:4'!AA75)</f>
        <v>0</v>
      </c>
      <c r="AB75" s="358">
        <v>0.43</v>
      </c>
      <c r="AC75" s="269">
        <f t="shared" si="29"/>
        <v>0</v>
      </c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 ht="17.25">
      <c r="A76" s="318">
        <v>30600013</v>
      </c>
      <c r="B76" s="197" t="s">
        <v>377</v>
      </c>
      <c r="C76" s="187" t="s">
        <v>374</v>
      </c>
      <c r="D76" s="17"/>
      <c r="E76" s="17"/>
      <c r="F76" s="6"/>
      <c r="G76" s="93">
        <f>SUM('3:4'!G76)</f>
        <v>0</v>
      </c>
      <c r="H76" s="246">
        <f t="shared" si="11"/>
        <v>0</v>
      </c>
      <c r="I76" s="93">
        <f>SUM('3:4'!I76)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26"/>
        <v>0</v>
      </c>
      <c r="N76" s="93">
        <f>SUM('3:4'!N76)</f>
        <v>0</v>
      </c>
      <c r="O76" s="93">
        <f>SUM('3:4'!O76)</f>
        <v>0</v>
      </c>
      <c r="P76" s="93">
        <f>SUM('3:4'!P76)</f>
        <v>0</v>
      </c>
      <c r="Q76" s="93">
        <f>SUM('3:4'!Q76)</f>
        <v>0</v>
      </c>
      <c r="R76" s="93">
        <f>SUM('3:4'!R76)</f>
        <v>0</v>
      </c>
      <c r="S76" s="93">
        <f>SUM('3:4'!S76)</f>
        <v>0</v>
      </c>
      <c r="T76" s="93">
        <f>SUM('3:4'!T76)</f>
        <v>0</v>
      </c>
      <c r="U76" s="93">
        <f>SUM('3:4'!U76)</f>
        <v>0</v>
      </c>
      <c r="V76" s="206"/>
      <c r="W76" s="33"/>
      <c r="X76" s="93">
        <f>SUM('3:4'!X76)</f>
        <v>0</v>
      </c>
      <c r="Y76" s="93">
        <f>SUM('3:4'!Y76)</f>
        <v>0</v>
      </c>
      <c r="Z76" s="93">
        <f>SUM('3:4'!Z76)</f>
        <v>0</v>
      </c>
      <c r="AA76" s="93">
        <f>SUM('3:4'!AA76)</f>
        <v>0</v>
      </c>
      <c r="AB76" s="358">
        <v>0.43</v>
      </c>
      <c r="AC76" s="269">
        <f t="shared" si="29"/>
        <v>0</v>
      </c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 ht="17.25">
      <c r="A77" s="318">
        <v>30600014</v>
      </c>
      <c r="B77" s="197" t="s">
        <v>377</v>
      </c>
      <c r="C77" s="187" t="s">
        <v>369</v>
      </c>
      <c r="D77" s="17"/>
      <c r="E77" s="17"/>
      <c r="F77" s="6"/>
      <c r="G77" s="93">
        <f>SUM('3:4'!G77)</f>
        <v>0</v>
      </c>
      <c r="H77" s="246">
        <f t="shared" si="11"/>
        <v>0</v>
      </c>
      <c r="I77" s="93">
        <f>SUM('3:4'!I77)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26"/>
        <v>0</v>
      </c>
      <c r="N77" s="93">
        <f>SUM('3:4'!N77)</f>
        <v>0</v>
      </c>
      <c r="O77" s="93">
        <f>SUM('3:4'!O77)</f>
        <v>0</v>
      </c>
      <c r="P77" s="93">
        <f>SUM('3:4'!P77)</f>
        <v>0</v>
      </c>
      <c r="Q77" s="93">
        <f>SUM('3:4'!Q77)</f>
        <v>0</v>
      </c>
      <c r="R77" s="93">
        <f>SUM('3:4'!R77)</f>
        <v>0</v>
      </c>
      <c r="S77" s="93">
        <f>SUM('3:4'!S77)</f>
        <v>0</v>
      </c>
      <c r="T77" s="93">
        <f>SUM('3:4'!T77)</f>
        <v>0</v>
      </c>
      <c r="U77" s="93">
        <f>SUM('3:4'!U77)</f>
        <v>0</v>
      </c>
      <c r="V77" s="206"/>
      <c r="W77" s="33"/>
      <c r="X77" s="93">
        <f>SUM('3:4'!X77)</f>
        <v>0</v>
      </c>
      <c r="Y77" s="93">
        <f>SUM('3:4'!Y77)</f>
        <v>0</v>
      </c>
      <c r="Z77" s="93">
        <f>SUM('3:4'!Z77)</f>
        <v>0</v>
      </c>
      <c r="AA77" s="93">
        <f>SUM('3:4'!AA77)</f>
        <v>0</v>
      </c>
      <c r="AB77" s="358">
        <v>0.43</v>
      </c>
      <c r="AC77" s="269">
        <f t="shared" si="29"/>
        <v>0</v>
      </c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 ht="17.25">
      <c r="A78" s="318">
        <v>30600012</v>
      </c>
      <c r="B78" s="197" t="s">
        <v>377</v>
      </c>
      <c r="C78" s="187" t="s">
        <v>370</v>
      </c>
      <c r="D78" s="17"/>
      <c r="E78" s="17"/>
      <c r="F78" s="6"/>
      <c r="G78" s="93">
        <f>SUM('3:4'!G78)</f>
        <v>0</v>
      </c>
      <c r="H78" s="246">
        <f t="shared" si="11"/>
        <v>0</v>
      </c>
      <c r="I78" s="93">
        <f>SUM('3:4'!I78)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26"/>
        <v>0</v>
      </c>
      <c r="N78" s="93">
        <f>SUM('3:4'!N78)</f>
        <v>0</v>
      </c>
      <c r="O78" s="93">
        <f>SUM('3:4'!O78)</f>
        <v>0</v>
      </c>
      <c r="P78" s="93">
        <f>SUM('3:4'!P78)</f>
        <v>0</v>
      </c>
      <c r="Q78" s="93">
        <f>SUM('3:4'!Q78)</f>
        <v>0</v>
      </c>
      <c r="R78" s="93">
        <f>SUM('3:4'!R78)</f>
        <v>0</v>
      </c>
      <c r="S78" s="93">
        <f>SUM('3:4'!S78)</f>
        <v>0</v>
      </c>
      <c r="T78" s="93">
        <f>SUM('3:4'!T78)</f>
        <v>0</v>
      </c>
      <c r="U78" s="93">
        <f>SUM('3:4'!U78)</f>
        <v>0</v>
      </c>
      <c r="V78" s="206"/>
      <c r="W78" s="33"/>
      <c r="X78" s="93">
        <f>SUM('3:4'!X78)</f>
        <v>0</v>
      </c>
      <c r="Y78" s="93">
        <f>SUM('3:4'!Y78)</f>
        <v>0</v>
      </c>
      <c r="Z78" s="93">
        <f>SUM('3:4'!Z78)</f>
        <v>0</v>
      </c>
      <c r="AA78" s="93">
        <f>SUM('3:4'!AA78)</f>
        <v>0</v>
      </c>
      <c r="AB78" s="358">
        <v>0.43</v>
      </c>
      <c r="AC78" s="269">
        <f t="shared" si="29"/>
        <v>0</v>
      </c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 ht="17.25">
      <c r="A79" s="318">
        <v>30600011</v>
      </c>
      <c r="B79" s="197" t="s">
        <v>377</v>
      </c>
      <c r="C79" s="187" t="s">
        <v>371</v>
      </c>
      <c r="D79" s="17"/>
      <c r="E79" s="17"/>
      <c r="F79" s="6"/>
      <c r="G79" s="93">
        <f>SUM('3:4'!G79)</f>
        <v>0</v>
      </c>
      <c r="H79" s="246">
        <f t="shared" si="11"/>
        <v>0</v>
      </c>
      <c r="I79" s="93">
        <f>SUM('3:4'!I79)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26"/>
        <v>0</v>
      </c>
      <c r="N79" s="93">
        <f>SUM('3:4'!N79)</f>
        <v>0</v>
      </c>
      <c r="O79" s="93">
        <f>SUM('3:4'!O79)</f>
        <v>0</v>
      </c>
      <c r="P79" s="93">
        <f>SUM('3:4'!P79)</f>
        <v>0</v>
      </c>
      <c r="Q79" s="93">
        <f>SUM('3:4'!Q79)</f>
        <v>0</v>
      </c>
      <c r="R79" s="93">
        <f>SUM('3:4'!R79)</f>
        <v>0</v>
      </c>
      <c r="S79" s="93">
        <f>SUM('3:4'!S79)</f>
        <v>0</v>
      </c>
      <c r="T79" s="93">
        <f>SUM('3:4'!T79)</f>
        <v>0</v>
      </c>
      <c r="U79" s="93">
        <f>SUM('3:4'!U79)</f>
        <v>0</v>
      </c>
      <c r="V79" s="206"/>
      <c r="W79" s="33"/>
      <c r="X79" s="93">
        <f>SUM('3:4'!X79)</f>
        <v>0</v>
      </c>
      <c r="Y79" s="93">
        <f>SUM('3:4'!Y79)</f>
        <v>0</v>
      </c>
      <c r="Z79" s="93">
        <f>SUM('3:4'!Z79)</f>
        <v>0</v>
      </c>
      <c r="AA79" s="93">
        <f>SUM('3:4'!AA79)</f>
        <v>0</v>
      </c>
      <c r="AB79" s="358">
        <v>0.43</v>
      </c>
      <c r="AC79" s="269">
        <f t="shared" si="29"/>
        <v>0</v>
      </c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 ht="17.25">
      <c r="A80" s="318">
        <v>30300002</v>
      </c>
      <c r="B80" s="197" t="s">
        <v>407</v>
      </c>
      <c r="C80" s="187" t="s">
        <v>408</v>
      </c>
      <c r="D80" s="17"/>
      <c r="E80" s="17"/>
      <c r="F80" s="6"/>
      <c r="G80" s="93">
        <f>SUM('3:4'!G80)</f>
        <v>0</v>
      </c>
      <c r="H80" s="246">
        <f t="shared" si="11"/>
        <v>0</v>
      </c>
      <c r="I80" s="93">
        <f>SUM('3:4'!I80)</f>
        <v>0</v>
      </c>
      <c r="J80" s="31"/>
      <c r="K80" s="35"/>
      <c r="L80" s="87">
        <v>4</v>
      </c>
      <c r="M80" s="36"/>
      <c r="N80" s="93">
        <f>SUM('3:4'!N80)</f>
        <v>0</v>
      </c>
      <c r="O80" s="93"/>
      <c r="P80" s="93"/>
      <c r="Q80" s="93"/>
      <c r="R80" s="93"/>
      <c r="S80" s="93"/>
      <c r="T80" s="93"/>
      <c r="U80" s="93"/>
      <c r="V80" s="206"/>
      <c r="W80" s="33"/>
      <c r="X80" s="93"/>
      <c r="Y80" s="93"/>
      <c r="Z80" s="93"/>
      <c r="AA80" s="93"/>
      <c r="AB80" s="361">
        <v>0.69</v>
      </c>
      <c r="AC80" s="269">
        <f t="shared" si="29"/>
        <v>0</v>
      </c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 ht="17.25">
      <c r="A81" s="318">
        <v>30300001</v>
      </c>
      <c r="B81" s="197" t="s">
        <v>407</v>
      </c>
      <c r="C81" s="187" t="s">
        <v>409</v>
      </c>
      <c r="D81" s="17"/>
      <c r="E81" s="17"/>
      <c r="F81" s="6"/>
      <c r="G81" s="93">
        <f>SUM('3:4'!G81)</f>
        <v>0</v>
      </c>
      <c r="H81" s="246">
        <f t="shared" si="11"/>
        <v>0</v>
      </c>
      <c r="I81" s="93">
        <f>SUM('3:4'!I81)</f>
        <v>0</v>
      </c>
      <c r="J81" s="31"/>
      <c r="K81" s="35"/>
      <c r="L81" s="87">
        <v>4</v>
      </c>
      <c r="M81" s="36"/>
      <c r="N81" s="93">
        <f>SUM('3:4'!N81)</f>
        <v>0</v>
      </c>
      <c r="O81" s="93"/>
      <c r="P81" s="93"/>
      <c r="Q81" s="93"/>
      <c r="R81" s="93"/>
      <c r="S81" s="93"/>
      <c r="T81" s="93"/>
      <c r="U81" s="93"/>
      <c r="V81" s="206"/>
      <c r="W81" s="33"/>
      <c r="X81" s="93"/>
      <c r="Y81" s="93"/>
      <c r="Z81" s="93"/>
      <c r="AA81" s="93"/>
      <c r="AB81" s="361">
        <v>0.69</v>
      </c>
      <c r="AC81" s="269">
        <f t="shared" si="29"/>
        <v>0</v>
      </c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17.25">
      <c r="A82" s="318">
        <v>30300003</v>
      </c>
      <c r="B82" s="197" t="s">
        <v>407</v>
      </c>
      <c r="C82" s="187" t="s">
        <v>410</v>
      </c>
      <c r="D82" s="17"/>
      <c r="E82" s="17"/>
      <c r="F82" s="6"/>
      <c r="G82" s="93">
        <f>SUM('3:4'!G82)</f>
        <v>0</v>
      </c>
      <c r="H82" s="246">
        <f t="shared" si="11"/>
        <v>0</v>
      </c>
      <c r="I82" s="93">
        <f>SUM('3:4'!I82)</f>
        <v>0</v>
      </c>
      <c r="J82" s="31"/>
      <c r="K82" s="35"/>
      <c r="L82" s="87">
        <v>4</v>
      </c>
      <c r="M82" s="36"/>
      <c r="N82" s="93">
        <f>SUM('3:4'!N82)</f>
        <v>0</v>
      </c>
      <c r="O82" s="93"/>
      <c r="P82" s="93"/>
      <c r="Q82" s="93"/>
      <c r="R82" s="93"/>
      <c r="S82" s="93"/>
      <c r="T82" s="93"/>
      <c r="U82" s="93"/>
      <c r="V82" s="206"/>
      <c r="W82" s="33"/>
      <c r="X82" s="93"/>
      <c r="Y82" s="93"/>
      <c r="Z82" s="93"/>
      <c r="AA82" s="93"/>
      <c r="AB82" s="361">
        <v>0.69</v>
      </c>
      <c r="AC82" s="269">
        <f t="shared" si="29"/>
        <v>0</v>
      </c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17.25">
      <c r="A83" s="318">
        <v>30300005</v>
      </c>
      <c r="B83" s="63" t="s">
        <v>362</v>
      </c>
      <c r="C83" s="16" t="s">
        <v>337</v>
      </c>
      <c r="D83" s="17"/>
      <c r="E83" s="17"/>
      <c r="F83" s="6"/>
      <c r="G83" s="93">
        <f>SUM('3:4'!G83)</f>
        <v>0</v>
      </c>
      <c r="H83" s="246">
        <f t="shared" si="11"/>
        <v>0</v>
      </c>
      <c r="I83" s="93">
        <f>SUM('3:4'!I83)</f>
        <v>0</v>
      </c>
      <c r="J83" s="31"/>
      <c r="K83" s="35"/>
      <c r="L83" s="87">
        <v>4</v>
      </c>
      <c r="M83" s="36"/>
      <c r="N83" s="93">
        <f>SUM('3:4'!N83)</f>
        <v>0</v>
      </c>
      <c r="O83" s="93">
        <f>SUM('3:4'!O83)</f>
        <v>0</v>
      </c>
      <c r="P83" s="93">
        <f>SUM('3:4'!P83)</f>
        <v>0</v>
      </c>
      <c r="Q83" s="93">
        <f>SUM('3:4'!Q83)</f>
        <v>0</v>
      </c>
      <c r="R83" s="93">
        <f>SUM('3:4'!R83)</f>
        <v>0</v>
      </c>
      <c r="S83" s="93">
        <f>SUM('3:4'!S83)</f>
        <v>0</v>
      </c>
      <c r="T83" s="93">
        <f>SUM('3:4'!T83)</f>
        <v>0</v>
      </c>
      <c r="U83" s="93">
        <f>SUM('3:4'!U83)</f>
        <v>0</v>
      </c>
      <c r="V83" s="206"/>
      <c r="W83" s="33"/>
      <c r="X83" s="93">
        <f>SUM('3:4'!X83)</f>
        <v>0</v>
      </c>
      <c r="Y83" s="93">
        <f>SUM('3:4'!Y83)</f>
        <v>0</v>
      </c>
      <c r="Z83" s="93">
        <f>SUM('3:4'!Z83)</f>
        <v>0</v>
      </c>
      <c r="AA83" s="93">
        <f>SUM('3:4'!AA83)</f>
        <v>0</v>
      </c>
      <c r="AB83" s="358">
        <v>0.95</v>
      </c>
      <c r="AC83" s="269">
        <f t="shared" si="29"/>
        <v>0</v>
      </c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 ht="17.25">
      <c r="A84" s="318">
        <v>30300004</v>
      </c>
      <c r="B84" s="63" t="s">
        <v>362</v>
      </c>
      <c r="C84" s="16" t="s">
        <v>339</v>
      </c>
      <c r="D84" s="17"/>
      <c r="E84" s="17"/>
      <c r="F84" s="6"/>
      <c r="G84" s="93">
        <f>SUM('3:4'!G84)</f>
        <v>0</v>
      </c>
      <c r="H84" s="246">
        <f t="shared" si="11"/>
        <v>0</v>
      </c>
      <c r="I84" s="93">
        <f>SUM('3:4'!I84)</f>
        <v>0</v>
      </c>
      <c r="J84" s="31"/>
      <c r="K84" s="35"/>
      <c r="L84" s="87">
        <v>4</v>
      </c>
      <c r="M84" s="36"/>
      <c r="N84" s="93">
        <f>SUM('3:4'!N84)</f>
        <v>0</v>
      </c>
      <c r="O84" s="93">
        <f>SUM('3:4'!O84)</f>
        <v>0</v>
      </c>
      <c r="P84" s="93">
        <f>SUM('3:4'!P84)</f>
        <v>0</v>
      </c>
      <c r="Q84" s="93">
        <f>SUM('3:4'!Q84)</f>
        <v>0</v>
      </c>
      <c r="R84" s="93">
        <f>SUM('3:4'!R84)</f>
        <v>0</v>
      </c>
      <c r="S84" s="93">
        <f>SUM('3:4'!S84)</f>
        <v>0</v>
      </c>
      <c r="T84" s="93">
        <f>SUM('3:4'!T84)</f>
        <v>0</v>
      </c>
      <c r="U84" s="93">
        <f>SUM('3:4'!U84)</f>
        <v>0</v>
      </c>
      <c r="V84" s="206"/>
      <c r="W84" s="33"/>
      <c r="X84" s="93">
        <f>SUM('3:4'!X84)</f>
        <v>0</v>
      </c>
      <c r="Y84" s="93">
        <f>SUM('3:4'!Y84)</f>
        <v>0</v>
      </c>
      <c r="Z84" s="93">
        <f>SUM('3:4'!Z84)</f>
        <v>0</v>
      </c>
      <c r="AA84" s="93">
        <f>SUM('3:4'!AA84)</f>
        <v>0</v>
      </c>
      <c r="AB84" s="358">
        <v>0.95</v>
      </c>
      <c r="AC84" s="269">
        <f t="shared" si="29"/>
        <v>0</v>
      </c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 ht="17.25">
      <c r="A85" s="318">
        <v>30300006</v>
      </c>
      <c r="B85" s="63" t="s">
        <v>362</v>
      </c>
      <c r="C85" s="16" t="s">
        <v>341</v>
      </c>
      <c r="D85" s="17"/>
      <c r="E85" s="17"/>
      <c r="F85" s="6"/>
      <c r="G85" s="93">
        <f>SUM('3:4'!G85)</f>
        <v>0</v>
      </c>
      <c r="H85" s="246">
        <f t="shared" si="11"/>
        <v>0</v>
      </c>
      <c r="I85" s="93">
        <f>SUM('3:4'!I85)</f>
        <v>0</v>
      </c>
      <c r="J85" s="31"/>
      <c r="K85" s="35"/>
      <c r="L85" s="87">
        <v>4</v>
      </c>
      <c r="M85" s="36"/>
      <c r="N85" s="93">
        <f>SUM('3:4'!N85)</f>
        <v>0</v>
      </c>
      <c r="O85" s="93">
        <f>SUM('3:4'!O85)</f>
        <v>0</v>
      </c>
      <c r="P85" s="93">
        <f>SUM('3:4'!P85)</f>
        <v>0</v>
      </c>
      <c r="Q85" s="93">
        <f>SUM('3:4'!Q85)</f>
        <v>0</v>
      </c>
      <c r="R85" s="93">
        <f>SUM('3:4'!R85)</f>
        <v>0</v>
      </c>
      <c r="S85" s="93">
        <f>SUM('3:4'!S85)</f>
        <v>0</v>
      </c>
      <c r="T85" s="93">
        <f>SUM('3:4'!T85)</f>
        <v>0</v>
      </c>
      <c r="U85" s="93">
        <f>SUM('3:4'!U85)</f>
        <v>0</v>
      </c>
      <c r="V85" s="206"/>
      <c r="W85" s="33"/>
      <c r="X85" s="93">
        <f>SUM('3:4'!X85)</f>
        <v>0</v>
      </c>
      <c r="Y85" s="93">
        <f>SUM('3:4'!Y85)</f>
        <v>0</v>
      </c>
      <c r="Z85" s="93">
        <f>SUM('3:4'!Z85)</f>
        <v>0</v>
      </c>
      <c r="AA85" s="93">
        <f>SUM('3:4'!AA85)</f>
        <v>0</v>
      </c>
      <c r="AB85" s="358">
        <v>0.95</v>
      </c>
      <c r="AC85" s="269">
        <f t="shared" si="29"/>
        <v>0</v>
      </c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 ht="15.75">
      <c r="A86" s="724" t="s">
        <v>86</v>
      </c>
      <c r="B86" s="724"/>
      <c r="C86" s="243" t="s">
        <v>71</v>
      </c>
      <c r="D86" s="20"/>
      <c r="E86" s="20"/>
      <c r="F86" s="32"/>
      <c r="G86" s="94">
        <f>SUM(G29:G85)</f>
        <v>0</v>
      </c>
      <c r="H86" s="30">
        <f>SUM(H29:H85)</f>
        <v>0</v>
      </c>
      <c r="I86" s="30">
        <f>SUM(I29:I85)</f>
        <v>0</v>
      </c>
      <c r="J86" s="31" t="str">
        <f t="array" ref="J86">IF(ISERROR(G86/I86),"",G86/I86)</f>
        <v/>
      </c>
      <c r="K86" s="30">
        <f>SUM(K29:K85)</f>
        <v>0</v>
      </c>
      <c r="L86" s="98"/>
      <c r="M86" s="89">
        <f t="shared" ref="M86:V86" si="30">SUM(M29:M85)</f>
        <v>0</v>
      </c>
      <c r="N86" s="30">
        <f t="shared" si="30"/>
        <v>0</v>
      </c>
      <c r="O86" s="91">
        <f t="shared" si="30"/>
        <v>0</v>
      </c>
      <c r="P86" s="91">
        <f t="shared" si="30"/>
        <v>0</v>
      </c>
      <c r="Q86" s="91">
        <f t="shared" si="30"/>
        <v>0</v>
      </c>
      <c r="R86" s="91">
        <f t="shared" si="30"/>
        <v>0</v>
      </c>
      <c r="S86" s="92">
        <f t="shared" si="30"/>
        <v>0</v>
      </c>
      <c r="T86" s="91">
        <f t="shared" si="30"/>
        <v>0</v>
      </c>
      <c r="U86" s="91">
        <f t="shared" si="30"/>
        <v>0</v>
      </c>
      <c r="V86" s="206">
        <f t="shared" si="30"/>
        <v>0</v>
      </c>
      <c r="W86" s="33" t="str">
        <f t="shared" ref="W86:W93" si="31">IF(ISERROR(V86/G86),"",V86/G86)</f>
        <v/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358"/>
      <c r="AC86" s="91">
        <f>SUM(AC29:AC85)</f>
        <v>0</v>
      </c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 ht="17.25">
      <c r="A87" s="320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SUM('3:4'!G87)</f>
        <v>0</v>
      </c>
      <c r="H87" s="93">
        <f>SUM('3:4'!H87)</f>
        <v>0</v>
      </c>
      <c r="I87" s="93">
        <f>SUM('3:4'!I87)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32">IF(ISERROR(I87-K87),"",I87-K87)</f>
        <v>0</v>
      </c>
      <c r="N87" s="93">
        <f>SUM('3:4'!N87)</f>
        <v>0</v>
      </c>
      <c r="O87" s="93">
        <f>SUM('3:4'!O87)</f>
        <v>0</v>
      </c>
      <c r="P87" s="93">
        <f>SUM('3:4'!P87)</f>
        <v>0</v>
      </c>
      <c r="Q87" s="93">
        <f>SUM('3:4'!Q87)</f>
        <v>0</v>
      </c>
      <c r="R87" s="93">
        <f>SUM('3:4'!R87)</f>
        <v>0</v>
      </c>
      <c r="S87" s="93">
        <f>SUM('3:4'!S87)</f>
        <v>0</v>
      </c>
      <c r="T87" s="93">
        <f>SUM('3:4'!T87)</f>
        <v>0</v>
      </c>
      <c r="U87" s="93">
        <f>SUM('3:4'!U87)</f>
        <v>0</v>
      </c>
      <c r="V87" s="206">
        <f t="shared" ref="V87:V93" si="33">SUM(X87:AA87)</f>
        <v>0</v>
      </c>
      <c r="W87" s="33" t="str">
        <f t="shared" si="31"/>
        <v/>
      </c>
      <c r="X87" s="93">
        <f>SUM('3:4'!X87)</f>
        <v>0</v>
      </c>
      <c r="Y87" s="93">
        <f>SUM('3:4'!Y87)</f>
        <v>0</v>
      </c>
      <c r="Z87" s="93">
        <f>SUM('3:4'!Z87)</f>
        <v>0</v>
      </c>
      <c r="AA87" s="93">
        <f>SUM('3:4'!AA87)</f>
        <v>0</v>
      </c>
      <c r="AB87" s="358">
        <v>1.18</v>
      </c>
      <c r="AC87" s="269">
        <f t="shared" si="29"/>
        <v>0</v>
      </c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 ht="17.25">
      <c r="A88" s="320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SUM('3:4'!G88)</f>
        <v>0</v>
      </c>
      <c r="H88" s="93">
        <f>SUM('3:4'!H88)</f>
        <v>0</v>
      </c>
      <c r="I88" s="93">
        <f>SUM('3:4'!I88)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32"/>
        <v>0</v>
      </c>
      <c r="N88" s="93">
        <f>SUM('3:4'!N88)</f>
        <v>0</v>
      </c>
      <c r="O88" s="93">
        <f>SUM('3:4'!O88)</f>
        <v>0</v>
      </c>
      <c r="P88" s="93">
        <f>SUM('3:4'!P88)</f>
        <v>0</v>
      </c>
      <c r="Q88" s="93">
        <f>SUM('3:4'!Q88)</f>
        <v>0</v>
      </c>
      <c r="R88" s="93">
        <f>SUM('3:4'!R88)</f>
        <v>0</v>
      </c>
      <c r="S88" s="93">
        <f>SUM('3:4'!S88)</f>
        <v>0</v>
      </c>
      <c r="T88" s="93">
        <f>SUM('3:4'!T88)</f>
        <v>0</v>
      </c>
      <c r="U88" s="93">
        <f>SUM('3:4'!U88)</f>
        <v>0</v>
      </c>
      <c r="V88" s="206">
        <f t="shared" si="33"/>
        <v>0</v>
      </c>
      <c r="W88" s="33" t="str">
        <f t="shared" si="31"/>
        <v/>
      </c>
      <c r="X88" s="93">
        <f>SUM('3:4'!X88)</f>
        <v>0</v>
      </c>
      <c r="Y88" s="93">
        <f>SUM('3:4'!Y88)</f>
        <v>0</v>
      </c>
      <c r="Z88" s="93">
        <f>SUM('3:4'!Z88)</f>
        <v>0</v>
      </c>
      <c r="AA88" s="93">
        <f>SUM('3:4'!AA88)</f>
        <v>0</v>
      </c>
      <c r="AB88" s="358">
        <v>1.18</v>
      </c>
      <c r="AC88" s="269">
        <f t="shared" si="29"/>
        <v>0</v>
      </c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 ht="17.25">
      <c r="A89" s="320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SUM('3:4'!G89)</f>
        <v>0</v>
      </c>
      <c r="H89" s="93">
        <f>SUM('3:4'!H89)</f>
        <v>0</v>
      </c>
      <c r="I89" s="93">
        <f>SUM('3:4'!I89)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32"/>
        <v>0</v>
      </c>
      <c r="N89" s="93">
        <f>SUM('3:4'!N89)</f>
        <v>0</v>
      </c>
      <c r="O89" s="93">
        <f>SUM('3:4'!O89)</f>
        <v>0</v>
      </c>
      <c r="P89" s="93">
        <f>SUM('3:4'!P89)</f>
        <v>0</v>
      </c>
      <c r="Q89" s="93">
        <f>SUM('3:4'!Q89)</f>
        <v>0</v>
      </c>
      <c r="R89" s="93">
        <f>SUM('3:4'!R89)</f>
        <v>0</v>
      </c>
      <c r="S89" s="93">
        <f>SUM('3:4'!S89)</f>
        <v>0</v>
      </c>
      <c r="T89" s="93">
        <f>SUM('3:4'!T89)</f>
        <v>0</v>
      </c>
      <c r="U89" s="93">
        <f>SUM('3:4'!U89)</f>
        <v>0</v>
      </c>
      <c r="V89" s="206">
        <f t="shared" si="33"/>
        <v>0</v>
      </c>
      <c r="W89" s="33" t="str">
        <f t="shared" si="31"/>
        <v/>
      </c>
      <c r="X89" s="93">
        <f>SUM('3:4'!X89)</f>
        <v>0</v>
      </c>
      <c r="Y89" s="93">
        <f>SUM('3:4'!Y89)</f>
        <v>0</v>
      </c>
      <c r="Z89" s="93">
        <f>SUM('3:4'!Z89)</f>
        <v>0</v>
      </c>
      <c r="AA89" s="93">
        <f>SUM('3:4'!AA89)</f>
        <v>0</v>
      </c>
      <c r="AB89" s="358">
        <v>1.18</v>
      </c>
      <c r="AC89" s="269">
        <f t="shared" si="29"/>
        <v>0</v>
      </c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 ht="17.25">
      <c r="A90" s="320">
        <v>30400014</v>
      </c>
      <c r="B90" s="215" t="s">
        <v>513</v>
      </c>
      <c r="C90" s="16" t="s">
        <v>53</v>
      </c>
      <c r="D90" s="17">
        <v>5.03</v>
      </c>
      <c r="E90" s="17"/>
      <c r="F90" s="6"/>
      <c r="G90" s="93">
        <f>SUM('3:4'!G90)</f>
        <v>0</v>
      </c>
      <c r="H90" s="93">
        <f>SUM('3:4'!H90)</f>
        <v>0</v>
      </c>
      <c r="I90" s="93">
        <f>SUM('3:4'!I90)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32"/>
        <v>0</v>
      </c>
      <c r="N90" s="93">
        <f>SUM('3:4'!N90)</f>
        <v>0</v>
      </c>
      <c r="O90" s="93">
        <f>SUM('3:4'!O90)</f>
        <v>0</v>
      </c>
      <c r="P90" s="93">
        <f>SUM('3:4'!P90)</f>
        <v>0</v>
      </c>
      <c r="Q90" s="93">
        <f>SUM('3:4'!Q90)</f>
        <v>0</v>
      </c>
      <c r="R90" s="93">
        <f>SUM('3:4'!R90)</f>
        <v>0</v>
      </c>
      <c r="S90" s="93">
        <f>SUM('3:4'!S90)</f>
        <v>0</v>
      </c>
      <c r="T90" s="93">
        <f>SUM('3:4'!T90)</f>
        <v>0</v>
      </c>
      <c r="U90" s="93">
        <f>SUM('3:4'!U90)</f>
        <v>0</v>
      </c>
      <c r="V90" s="206">
        <f t="shared" si="33"/>
        <v>0</v>
      </c>
      <c r="W90" s="33" t="str">
        <f t="shared" si="31"/>
        <v/>
      </c>
      <c r="X90" s="93">
        <f>SUM('3:4'!X90)</f>
        <v>0</v>
      </c>
      <c r="Y90" s="93">
        <f>SUM('3:4'!Y90)</f>
        <v>0</v>
      </c>
      <c r="Z90" s="93">
        <f>SUM('3:4'!Z90)</f>
        <v>0</v>
      </c>
      <c r="AA90" s="93">
        <f>SUM('3:4'!AA90)</f>
        <v>0</v>
      </c>
      <c r="AB90" s="358">
        <v>1.1100000000000001</v>
      </c>
      <c r="AC90" s="269">
        <f t="shared" si="29"/>
        <v>0</v>
      </c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 ht="17.25">
      <c r="A91" s="320">
        <v>30400013</v>
      </c>
      <c r="B91" s="215" t="s">
        <v>474</v>
      </c>
      <c r="C91" s="16" t="s">
        <v>72</v>
      </c>
      <c r="D91" s="17">
        <v>5.03</v>
      </c>
      <c r="E91" s="17"/>
      <c r="F91" s="6"/>
      <c r="G91" s="93">
        <f>SUM('3:4'!G91)</f>
        <v>0</v>
      </c>
      <c r="H91" s="93">
        <f>SUM('3:4'!H91)</f>
        <v>0</v>
      </c>
      <c r="I91" s="93">
        <f>SUM('3:4'!I91)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87">
        <v>9.3000000000000007</v>
      </c>
      <c r="M91" s="36">
        <f t="shared" si="32"/>
        <v>0</v>
      </c>
      <c r="N91" s="93">
        <f>SUM('3:4'!N91)</f>
        <v>0</v>
      </c>
      <c r="O91" s="93">
        <f>SUM('3:4'!O91)</f>
        <v>0</v>
      </c>
      <c r="P91" s="93">
        <f>SUM('3:4'!P91)</f>
        <v>0</v>
      </c>
      <c r="Q91" s="93">
        <f>SUM('3:4'!Q91)</f>
        <v>0</v>
      </c>
      <c r="R91" s="93">
        <f>SUM('3:4'!R91)</f>
        <v>0</v>
      </c>
      <c r="S91" s="93">
        <f>SUM('3:4'!S91)</f>
        <v>0</v>
      </c>
      <c r="T91" s="93">
        <f>SUM('3:4'!T91)</f>
        <v>0</v>
      </c>
      <c r="U91" s="93">
        <f>SUM('3:4'!U91)</f>
        <v>0</v>
      </c>
      <c r="V91" s="206">
        <f t="shared" si="33"/>
        <v>0</v>
      </c>
      <c r="W91" s="33" t="str">
        <f t="shared" si="31"/>
        <v/>
      </c>
      <c r="X91" s="93">
        <f>SUM('3:4'!X91)</f>
        <v>0</v>
      </c>
      <c r="Y91" s="93">
        <f>SUM('3:4'!Y91)</f>
        <v>0</v>
      </c>
      <c r="Z91" s="93">
        <f>SUM('3:4'!Z91)</f>
        <v>0</v>
      </c>
      <c r="AA91" s="93">
        <f>SUM('3:4'!AA91)</f>
        <v>0</v>
      </c>
      <c r="AB91" s="358">
        <v>1.1100000000000001</v>
      </c>
      <c r="AC91" s="269">
        <f t="shared" si="29"/>
        <v>0</v>
      </c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 ht="17.25">
      <c r="A92" s="320">
        <v>30400016</v>
      </c>
      <c r="B92" s="215" t="s">
        <v>513</v>
      </c>
      <c r="C92" s="16" t="s">
        <v>60</v>
      </c>
      <c r="D92" s="17">
        <v>5.03</v>
      </c>
      <c r="E92" s="17"/>
      <c r="F92" s="6"/>
      <c r="G92" s="93">
        <f>SUM('3:4'!G92)</f>
        <v>0</v>
      </c>
      <c r="H92" s="93">
        <f>SUM('3:4'!H92)</f>
        <v>0</v>
      </c>
      <c r="I92" s="93">
        <f>SUM('3:4'!I92)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87">
        <v>9.3000000000000007</v>
      </c>
      <c r="M92" s="36">
        <f t="shared" si="32"/>
        <v>0</v>
      </c>
      <c r="N92" s="93">
        <f>SUM('3:4'!N92)</f>
        <v>0</v>
      </c>
      <c r="O92" s="93">
        <f>SUM('3:4'!O92)</f>
        <v>0</v>
      </c>
      <c r="P92" s="93">
        <f>SUM('3:4'!P92)</f>
        <v>0</v>
      </c>
      <c r="Q92" s="93">
        <f>SUM('3:4'!Q92)</f>
        <v>0</v>
      </c>
      <c r="R92" s="93">
        <f>SUM('3:4'!R92)</f>
        <v>0</v>
      </c>
      <c r="S92" s="93">
        <f>SUM('3:4'!S92)</f>
        <v>0</v>
      </c>
      <c r="T92" s="93">
        <f>SUM('3:4'!T92)</f>
        <v>0</v>
      </c>
      <c r="U92" s="93">
        <f>SUM('3:4'!U92)</f>
        <v>0</v>
      </c>
      <c r="V92" s="206">
        <f t="shared" si="33"/>
        <v>0</v>
      </c>
      <c r="W92" s="33" t="str">
        <f t="shared" si="31"/>
        <v/>
      </c>
      <c r="X92" s="93">
        <f>SUM('3:4'!X92)</f>
        <v>0</v>
      </c>
      <c r="Y92" s="93">
        <f>SUM('3:4'!Y92)</f>
        <v>0</v>
      </c>
      <c r="Z92" s="93">
        <f>SUM('3:4'!Z92)</f>
        <v>0</v>
      </c>
      <c r="AA92" s="93">
        <f>SUM('3:4'!AA92)</f>
        <v>0</v>
      </c>
      <c r="AB92" s="358">
        <v>1.1100000000000001</v>
      </c>
      <c r="AC92" s="269">
        <f t="shared" si="29"/>
        <v>0</v>
      </c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 ht="17.25">
      <c r="A93" s="320">
        <v>30400017</v>
      </c>
      <c r="B93" s="215" t="s">
        <v>513</v>
      </c>
      <c r="C93" s="16" t="s">
        <v>66</v>
      </c>
      <c r="D93" s="17">
        <v>5.03</v>
      </c>
      <c r="E93" s="17"/>
      <c r="F93" s="6"/>
      <c r="G93" s="93">
        <f>SUM('3:4'!G93)</f>
        <v>0</v>
      </c>
      <c r="H93" s="93">
        <f>SUM('3:4'!H93)</f>
        <v>0</v>
      </c>
      <c r="I93" s="93">
        <f>SUM('3:4'!I93)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32"/>
        <v>0</v>
      </c>
      <c r="N93" s="93">
        <f>SUM('3:4'!N93)</f>
        <v>0</v>
      </c>
      <c r="O93" s="93">
        <f>SUM('3:4'!O93)</f>
        <v>0</v>
      </c>
      <c r="P93" s="93">
        <f>SUM('3:4'!P93)</f>
        <v>0</v>
      </c>
      <c r="Q93" s="93">
        <f>SUM('3:4'!Q93)</f>
        <v>0</v>
      </c>
      <c r="R93" s="93">
        <f>SUM('3:4'!R93)</f>
        <v>0</v>
      </c>
      <c r="S93" s="93">
        <f>SUM('3:4'!S93)</f>
        <v>0</v>
      </c>
      <c r="T93" s="93">
        <f>SUM('3:4'!T93)</f>
        <v>0</v>
      </c>
      <c r="U93" s="93">
        <f>SUM('3:4'!U93)</f>
        <v>0</v>
      </c>
      <c r="V93" s="206">
        <f t="shared" si="33"/>
        <v>0</v>
      </c>
      <c r="W93" s="33" t="str">
        <f t="shared" si="31"/>
        <v/>
      </c>
      <c r="X93" s="93">
        <f>SUM('3:4'!X93)</f>
        <v>0</v>
      </c>
      <c r="Y93" s="93">
        <f>SUM('3:4'!Y93)</f>
        <v>0</v>
      </c>
      <c r="Z93" s="93">
        <f>SUM('3:4'!Z93)</f>
        <v>0</v>
      </c>
      <c r="AA93" s="93">
        <f>SUM('3:4'!AA93)</f>
        <v>0</v>
      </c>
      <c r="AB93" s="358">
        <v>1.1100000000000001</v>
      </c>
      <c r="AC93" s="269">
        <f t="shared" si="29"/>
        <v>0</v>
      </c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 ht="17.25">
      <c r="A94" s="320">
        <v>30400015</v>
      </c>
      <c r="B94" s="65" t="s">
        <v>512</v>
      </c>
      <c r="C94" s="16" t="s">
        <v>177</v>
      </c>
      <c r="D94" s="17">
        <v>5.03</v>
      </c>
      <c r="E94" s="17"/>
      <c r="F94" s="6"/>
      <c r="G94" s="93">
        <f>SUM('3:4'!G94)</f>
        <v>0</v>
      </c>
      <c r="H94" s="93">
        <f>SUM('3:4'!H94)</f>
        <v>0</v>
      </c>
      <c r="I94" s="93">
        <f>SUM('3:4'!I94)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32"/>
        <v>0</v>
      </c>
      <c r="N94" s="93">
        <f>SUM('3:4'!N94)</f>
        <v>0</v>
      </c>
      <c r="O94" s="93">
        <f>SUM('3:4'!O94)</f>
        <v>0</v>
      </c>
      <c r="P94" s="93">
        <f>SUM('3:4'!P94)</f>
        <v>0</v>
      </c>
      <c r="Q94" s="93">
        <f>SUM('3:4'!Q94)</f>
        <v>0</v>
      </c>
      <c r="R94" s="93">
        <f>SUM('3:4'!R94)</f>
        <v>0</v>
      </c>
      <c r="S94" s="93">
        <f>SUM('3:4'!S94)</f>
        <v>0</v>
      </c>
      <c r="T94" s="93">
        <f>SUM('3:4'!T94)</f>
        <v>0</v>
      </c>
      <c r="U94" s="93">
        <f>SUM('3:4'!U94)</f>
        <v>0</v>
      </c>
      <c r="V94" s="207"/>
      <c r="W94" s="33"/>
      <c r="X94" s="93">
        <f>SUM('3:4'!X94)</f>
        <v>0</v>
      </c>
      <c r="Y94" s="93">
        <f>SUM('3:4'!Y94)</f>
        <v>0</v>
      </c>
      <c r="Z94" s="93">
        <f>SUM('3:4'!Z94)</f>
        <v>0</v>
      </c>
      <c r="AA94" s="93">
        <f>SUM('3:4'!AA94)</f>
        <v>0</v>
      </c>
      <c r="AB94" s="358">
        <v>0.84</v>
      </c>
      <c r="AC94" s="269">
        <f t="shared" si="29"/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 ht="17.25">
      <c r="A95" s="321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SUM('3:4'!G95)</f>
        <v>0</v>
      </c>
      <c r="H95" s="93">
        <f>SUM('3:4'!H95)</f>
        <v>0</v>
      </c>
      <c r="I95" s="93">
        <f>SUM('3:4'!I95)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SUM('3:4'!N95)</f>
        <v>0</v>
      </c>
      <c r="O95" s="93">
        <f>SUM('3:4'!O95)</f>
        <v>0</v>
      </c>
      <c r="P95" s="93">
        <f>SUM('3:4'!P95)</f>
        <v>0</v>
      </c>
      <c r="Q95" s="93">
        <f>SUM('3:4'!Q95)</f>
        <v>0</v>
      </c>
      <c r="R95" s="93">
        <f>SUM('3:4'!R95)</f>
        <v>0</v>
      </c>
      <c r="S95" s="93">
        <f>SUM('3:4'!S95)</f>
        <v>0</v>
      </c>
      <c r="T95" s="93">
        <f>SUM('3:4'!T95)</f>
        <v>0</v>
      </c>
      <c r="U95" s="93">
        <f>SUM('3:4'!U95)</f>
        <v>0</v>
      </c>
      <c r="V95" s="207">
        <f>SUM(X95:AA95)</f>
        <v>0</v>
      </c>
      <c r="W95" s="33" t="str">
        <f>IF(ISERROR(V95/G95),"",V95/G95)</f>
        <v/>
      </c>
      <c r="X95" s="93">
        <f>SUM('3:4'!X95)</f>
        <v>0</v>
      </c>
      <c r="Y95" s="93">
        <f>SUM('3:4'!Y95)</f>
        <v>0</v>
      </c>
      <c r="Z95" s="93">
        <f>SUM('3:4'!Z95)</f>
        <v>0</v>
      </c>
      <c r="AA95" s="93">
        <f>SUM('3:4'!AA95)</f>
        <v>0</v>
      </c>
      <c r="AB95" s="358">
        <v>1.06</v>
      </c>
      <c r="AC95" s="269">
        <f t="shared" si="29"/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 ht="17.25">
      <c r="A96" s="321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SUM('3:4'!G96)</f>
        <v>0</v>
      </c>
      <c r="H96" s="93">
        <f>SUM('3:4'!H96)</f>
        <v>0</v>
      </c>
      <c r="I96" s="93">
        <f>SUM('3:4'!I96)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SUM('3:4'!N96)</f>
        <v>0</v>
      </c>
      <c r="O96" s="93">
        <f>SUM('3:4'!O96)</f>
        <v>0</v>
      </c>
      <c r="P96" s="93">
        <f>SUM('3:4'!P96)</f>
        <v>0</v>
      </c>
      <c r="Q96" s="93">
        <f>SUM('3:4'!Q96)</f>
        <v>0</v>
      </c>
      <c r="R96" s="93">
        <f>SUM('3:4'!R96)</f>
        <v>0</v>
      </c>
      <c r="S96" s="93">
        <f>SUM('3:4'!S96)</f>
        <v>0</v>
      </c>
      <c r="T96" s="93">
        <f>SUM('3:4'!T96)</f>
        <v>0</v>
      </c>
      <c r="U96" s="93">
        <f>SUM('3:4'!U96)</f>
        <v>0</v>
      </c>
      <c r="V96" s="207">
        <f>SUM(X96:AA96)</f>
        <v>0</v>
      </c>
      <c r="W96" s="33" t="str">
        <f>IF(ISERROR(V96/G96),"",V96/G96)</f>
        <v/>
      </c>
      <c r="X96" s="93">
        <f>SUM('3:4'!X96)</f>
        <v>0</v>
      </c>
      <c r="Y96" s="93">
        <f>SUM('3:4'!Y96)</f>
        <v>0</v>
      </c>
      <c r="Z96" s="93">
        <f>SUM('3:4'!Z96)</f>
        <v>0</v>
      </c>
      <c r="AA96" s="93">
        <f>SUM('3:4'!AA96)</f>
        <v>0</v>
      </c>
      <c r="AB96" s="358">
        <v>1.06</v>
      </c>
      <c r="AC96" s="269">
        <f t="shared" si="29"/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 ht="17.25">
      <c r="A97" s="321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SUM('3:4'!G97)</f>
        <v>0</v>
      </c>
      <c r="H97" s="93">
        <f>SUM('3:4'!H97)</f>
        <v>0</v>
      </c>
      <c r="I97" s="93">
        <f>SUM('3:4'!I97)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SUM('3:4'!N97)</f>
        <v>0</v>
      </c>
      <c r="O97" s="93">
        <f>SUM('3:4'!O97)</f>
        <v>0</v>
      </c>
      <c r="P97" s="93">
        <f>SUM('3:4'!P97)</f>
        <v>0</v>
      </c>
      <c r="Q97" s="93">
        <f>SUM('3:4'!Q97)</f>
        <v>0</v>
      </c>
      <c r="R97" s="93">
        <f>SUM('3:4'!R97)</f>
        <v>0</v>
      </c>
      <c r="S97" s="93">
        <f>SUM('3:4'!S97)</f>
        <v>0</v>
      </c>
      <c r="T97" s="93">
        <f>SUM('3:4'!T97)</f>
        <v>0</v>
      </c>
      <c r="U97" s="93">
        <f>SUM('3:4'!U97)</f>
        <v>0</v>
      </c>
      <c r="V97" s="207">
        <f>SUM(X97:AA97)</f>
        <v>0</v>
      </c>
      <c r="W97" s="33" t="str">
        <f>IF(ISERROR(V97/G97),"",V97/G97)</f>
        <v/>
      </c>
      <c r="X97" s="93">
        <f>SUM('3:4'!X97)</f>
        <v>0</v>
      </c>
      <c r="Y97" s="93">
        <f>SUM('3:4'!Y97)</f>
        <v>0</v>
      </c>
      <c r="Z97" s="93">
        <f>SUM('3:4'!Z97)</f>
        <v>0</v>
      </c>
      <c r="AA97" s="93">
        <f>SUM('3:4'!AA97)</f>
        <v>0</v>
      </c>
      <c r="AB97" s="358">
        <v>1.06</v>
      </c>
      <c r="AC97" s="269">
        <f t="shared" si="29"/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 ht="17.25">
      <c r="A98" s="321">
        <v>30600003</v>
      </c>
      <c r="B98" s="65" t="s">
        <v>162</v>
      </c>
      <c r="C98" s="195" t="s">
        <v>89</v>
      </c>
      <c r="D98" s="17">
        <v>5.03</v>
      </c>
      <c r="E98" s="17"/>
      <c r="F98" s="6"/>
      <c r="G98" s="93">
        <f>SUM('3:4'!G98)</f>
        <v>0</v>
      </c>
      <c r="H98" s="93">
        <f>SUM('3:4'!H98)</f>
        <v>0</v>
      </c>
      <c r="I98" s="93">
        <f>SUM('3:4'!I98)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SUM('3:4'!N98)</f>
        <v>0</v>
      </c>
      <c r="O98" s="93">
        <f>SUM('3:4'!O98)</f>
        <v>0</v>
      </c>
      <c r="P98" s="93">
        <f>SUM('3:4'!P98)</f>
        <v>0</v>
      </c>
      <c r="Q98" s="93">
        <f>SUM('3:4'!Q98)</f>
        <v>0</v>
      </c>
      <c r="R98" s="93">
        <f>SUM('3:4'!R98)</f>
        <v>0</v>
      </c>
      <c r="S98" s="93">
        <f>SUM('3:4'!S98)</f>
        <v>0</v>
      </c>
      <c r="T98" s="93">
        <f>SUM('3:4'!T98)</f>
        <v>0</v>
      </c>
      <c r="U98" s="93">
        <f>SUM('3:4'!U98)</f>
        <v>0</v>
      </c>
      <c r="V98" s="207">
        <f>SUM(X98:AA98)</f>
        <v>0</v>
      </c>
      <c r="W98" s="33" t="str">
        <f>IF(ISERROR(V98/G98),"",V98/G98)</f>
        <v/>
      </c>
      <c r="X98" s="93">
        <f>SUM('3:4'!X98)</f>
        <v>0</v>
      </c>
      <c r="Y98" s="93">
        <f>SUM('3:4'!Y98)</f>
        <v>0</v>
      </c>
      <c r="Z98" s="93">
        <f>SUM('3:4'!Z98)</f>
        <v>0</v>
      </c>
      <c r="AA98" s="93">
        <f>SUM('3:4'!AA98)</f>
        <v>0</v>
      </c>
      <c r="AB98" s="358">
        <v>1.06</v>
      </c>
      <c r="AC98" s="269">
        <f t="shared" si="29"/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 ht="17.25">
      <c r="A99" s="321">
        <v>30400030</v>
      </c>
      <c r="B99" s="215" t="s">
        <v>491</v>
      </c>
      <c r="C99" s="16" t="s">
        <v>53</v>
      </c>
      <c r="D99" s="17">
        <v>5.03</v>
      </c>
      <c r="E99" s="17"/>
      <c r="F99" s="6"/>
      <c r="G99" s="93">
        <f>SUM('3:4'!G99)</f>
        <v>0</v>
      </c>
      <c r="H99" s="93">
        <f>SUM('3:4'!H99)</f>
        <v>0</v>
      </c>
      <c r="I99" s="93">
        <f>SUM('3:4'!I99)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34">IF(ISERROR(I99-K99),"",I99-K99)</f>
        <v>0</v>
      </c>
      <c r="N99" s="93">
        <f>SUM('3:4'!N99)</f>
        <v>0</v>
      </c>
      <c r="O99" s="93">
        <f>SUM('3:4'!O99)</f>
        <v>0</v>
      </c>
      <c r="P99" s="93">
        <f>SUM('3:4'!P99)</f>
        <v>0</v>
      </c>
      <c r="Q99" s="93">
        <f>SUM('3:4'!Q99)</f>
        <v>0</v>
      </c>
      <c r="R99" s="93">
        <f>SUM('3:4'!R99)</f>
        <v>0</v>
      </c>
      <c r="S99" s="93">
        <f>SUM('3:4'!S99)</f>
        <v>0</v>
      </c>
      <c r="T99" s="93">
        <f>SUM('3:4'!T99)</f>
        <v>0</v>
      </c>
      <c r="U99" s="93">
        <f>SUM('3:4'!U99)</f>
        <v>0</v>
      </c>
      <c r="V99" s="206">
        <f t="shared" ref="V99:V106" si="35">SUM(X99:AA99)</f>
        <v>0</v>
      </c>
      <c r="W99" s="33" t="str">
        <f t="shared" ref="W99:W106" si="36">IF(ISERROR(V99/G99),"",V99/G99)</f>
        <v/>
      </c>
      <c r="X99" s="93">
        <f>SUM('3:4'!X99)</f>
        <v>0</v>
      </c>
      <c r="Y99" s="93">
        <f>SUM('3:4'!Y99)</f>
        <v>0</v>
      </c>
      <c r="Z99" s="93">
        <f>SUM('3:4'!Z99)</f>
        <v>0</v>
      </c>
      <c r="AA99" s="93">
        <f>SUM('3:4'!AA99)</f>
        <v>0</v>
      </c>
      <c r="AB99" s="358">
        <v>1.04</v>
      </c>
      <c r="AC99" s="269">
        <f t="shared" si="29"/>
        <v>0</v>
      </c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 ht="17.25">
      <c r="A100" s="321"/>
      <c r="B100" s="65" t="s">
        <v>88</v>
      </c>
      <c r="C100" s="16" t="s">
        <v>72</v>
      </c>
      <c r="D100" s="17">
        <v>5.03</v>
      </c>
      <c r="E100" s="17"/>
      <c r="F100" s="6"/>
      <c r="G100" s="93">
        <f>SUM('3:4'!G100)</f>
        <v>0</v>
      </c>
      <c r="H100" s="93">
        <f>SUM('3:4'!H100)</f>
        <v>0</v>
      </c>
      <c r="I100" s="93">
        <f>SUM('3:4'!I100)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34"/>
        <v/>
      </c>
      <c r="N100" s="93">
        <f>SUM('3:4'!N100)</f>
        <v>0</v>
      </c>
      <c r="O100" s="93">
        <f>SUM('3:4'!O100)</f>
        <v>0</v>
      </c>
      <c r="P100" s="93">
        <f>SUM('3:4'!P100)</f>
        <v>0</v>
      </c>
      <c r="Q100" s="93">
        <f>SUM('3:4'!Q100)</f>
        <v>0</v>
      </c>
      <c r="R100" s="93">
        <f>SUM('3:4'!R100)</f>
        <v>0</v>
      </c>
      <c r="S100" s="93">
        <f>SUM('3:4'!S100)</f>
        <v>0</v>
      </c>
      <c r="T100" s="93">
        <f>SUM('3:4'!T100)</f>
        <v>0</v>
      </c>
      <c r="U100" s="93">
        <f>SUM('3:4'!U100)</f>
        <v>0</v>
      </c>
      <c r="V100" s="206">
        <f t="shared" si="35"/>
        <v>0</v>
      </c>
      <c r="W100" s="33" t="str">
        <f t="shared" si="36"/>
        <v/>
      </c>
      <c r="X100" s="93">
        <f>SUM('3:4'!X100)</f>
        <v>0</v>
      </c>
      <c r="Y100" s="93">
        <f>SUM('3:4'!Y100)</f>
        <v>0</v>
      </c>
      <c r="Z100" s="93">
        <f>SUM('3:4'!Z100)</f>
        <v>0</v>
      </c>
      <c r="AA100" s="93">
        <f>SUM('3:4'!AA100)</f>
        <v>0</v>
      </c>
      <c r="AB100" s="358">
        <v>1.04</v>
      </c>
      <c r="AC100" s="269">
        <f t="shared" si="29"/>
        <v>0</v>
      </c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 ht="17.25">
      <c r="A101" s="321"/>
      <c r="B101" s="65" t="s">
        <v>88</v>
      </c>
      <c r="C101" s="16" t="s">
        <v>60</v>
      </c>
      <c r="D101" s="17">
        <v>5.03</v>
      </c>
      <c r="E101" s="17"/>
      <c r="F101" s="6"/>
      <c r="G101" s="93">
        <f>SUM('3:4'!G101)</f>
        <v>0</v>
      </c>
      <c r="H101" s="93">
        <f>SUM('3:4'!H101)</f>
        <v>0</v>
      </c>
      <c r="I101" s="93">
        <f>SUM('3:4'!I101)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34"/>
        <v/>
      </c>
      <c r="N101" s="93">
        <f>SUM('3:4'!N101)</f>
        <v>0</v>
      </c>
      <c r="O101" s="93">
        <f>SUM('3:4'!O101)</f>
        <v>0</v>
      </c>
      <c r="P101" s="93">
        <f>SUM('3:4'!P101)</f>
        <v>0</v>
      </c>
      <c r="Q101" s="93">
        <f>SUM('3:4'!Q101)</f>
        <v>0</v>
      </c>
      <c r="R101" s="93">
        <f>SUM('3:4'!R101)</f>
        <v>0</v>
      </c>
      <c r="S101" s="93">
        <f>SUM('3:4'!S101)</f>
        <v>0</v>
      </c>
      <c r="T101" s="93">
        <f>SUM('3:4'!T101)</f>
        <v>0</v>
      </c>
      <c r="U101" s="93">
        <f>SUM('3:4'!U101)</f>
        <v>0</v>
      </c>
      <c r="V101" s="206">
        <f t="shared" si="35"/>
        <v>0</v>
      </c>
      <c r="W101" s="33" t="str">
        <f t="shared" si="36"/>
        <v/>
      </c>
      <c r="X101" s="93">
        <f>SUM('3:4'!X101)</f>
        <v>0</v>
      </c>
      <c r="Y101" s="93">
        <f>SUM('3:4'!Y101)</f>
        <v>0</v>
      </c>
      <c r="Z101" s="93">
        <f>SUM('3:4'!Z101)</f>
        <v>0</v>
      </c>
      <c r="AA101" s="93">
        <f>SUM('3:4'!AA101)</f>
        <v>0</v>
      </c>
      <c r="AB101" s="358">
        <v>1.04</v>
      </c>
      <c r="AC101" s="269">
        <f t="shared" si="29"/>
        <v>0</v>
      </c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 ht="17.25">
      <c r="A102" s="321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SUM('3:4'!G102)</f>
        <v>0</v>
      </c>
      <c r="H102" s="93">
        <f>SUM('3:4'!H102)</f>
        <v>0</v>
      </c>
      <c r="I102" s="93">
        <f>SUM('3:4'!I102)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34"/>
        <v/>
      </c>
      <c r="N102" s="93">
        <f>SUM('3:4'!N102)</f>
        <v>0</v>
      </c>
      <c r="O102" s="93">
        <f>SUM('3:4'!O102)</f>
        <v>0</v>
      </c>
      <c r="P102" s="93">
        <f>SUM('3:4'!P102)</f>
        <v>0</v>
      </c>
      <c r="Q102" s="93">
        <f>SUM('3:4'!Q102)</f>
        <v>0</v>
      </c>
      <c r="R102" s="93">
        <f>SUM('3:4'!R102)</f>
        <v>0</v>
      </c>
      <c r="S102" s="93">
        <f>SUM('3:4'!S102)</f>
        <v>0</v>
      </c>
      <c r="T102" s="93">
        <f>SUM('3:4'!T102)</f>
        <v>0</v>
      </c>
      <c r="U102" s="93">
        <f>SUM('3:4'!U102)</f>
        <v>0</v>
      </c>
      <c r="V102" s="206">
        <f t="shared" si="35"/>
        <v>0</v>
      </c>
      <c r="W102" s="33" t="str">
        <f t="shared" si="36"/>
        <v/>
      </c>
      <c r="X102" s="93">
        <f>SUM('3:4'!X102)</f>
        <v>0</v>
      </c>
      <c r="Y102" s="93">
        <f>SUM('3:4'!Y102)</f>
        <v>0</v>
      </c>
      <c r="Z102" s="93">
        <f>SUM('3:4'!Z102)</f>
        <v>0</v>
      </c>
      <c r="AA102" s="93">
        <f>SUM('3:4'!AA102)</f>
        <v>0</v>
      </c>
      <c r="AB102" s="358">
        <v>1.04</v>
      </c>
      <c r="AC102" s="269">
        <f t="shared" si="29"/>
        <v>0</v>
      </c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 ht="17.25">
      <c r="A103" s="321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SUM('3:4'!G103)</f>
        <v>0</v>
      </c>
      <c r="H103" s="93">
        <f>SUM('3:4'!H103)</f>
        <v>0</v>
      </c>
      <c r="I103" s="93">
        <f>SUM('3:4'!I103)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34"/>
        <v>0</v>
      </c>
      <c r="N103" s="93">
        <f>SUM('3:4'!N103)</f>
        <v>0</v>
      </c>
      <c r="O103" s="93">
        <f>SUM('3:4'!O103)</f>
        <v>0</v>
      </c>
      <c r="P103" s="93">
        <f>SUM('3:4'!P103)</f>
        <v>0</v>
      </c>
      <c r="Q103" s="93">
        <f>SUM('3:4'!Q103)</f>
        <v>0</v>
      </c>
      <c r="R103" s="93">
        <f>SUM('3:4'!R103)</f>
        <v>0</v>
      </c>
      <c r="S103" s="93">
        <f>SUM('3:4'!S103)</f>
        <v>0</v>
      </c>
      <c r="T103" s="93">
        <f>SUM('3:4'!T103)</f>
        <v>0</v>
      </c>
      <c r="U103" s="93">
        <f>SUM('3:4'!U103)</f>
        <v>0</v>
      </c>
      <c r="V103" s="206">
        <f t="shared" si="35"/>
        <v>0</v>
      </c>
      <c r="W103" s="33" t="str">
        <f t="shared" si="36"/>
        <v/>
      </c>
      <c r="X103" s="93">
        <f>SUM('3:4'!X103)</f>
        <v>0</v>
      </c>
      <c r="Y103" s="93">
        <f>SUM('3:4'!Y103)</f>
        <v>0</v>
      </c>
      <c r="Z103" s="93">
        <f>SUM('3:4'!Z103)</f>
        <v>0</v>
      </c>
      <c r="AA103" s="93">
        <f>SUM('3:4'!AA103)</f>
        <v>0</v>
      </c>
      <c r="AB103" s="358">
        <v>1.29</v>
      </c>
      <c r="AC103" s="269">
        <f t="shared" si="29"/>
        <v>0</v>
      </c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 ht="17.25">
      <c r="A104" s="321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SUM('3:4'!G104)</f>
        <v>0</v>
      </c>
      <c r="H104" s="93">
        <f>SUM('3:4'!H104)</f>
        <v>0</v>
      </c>
      <c r="I104" s="93">
        <f>SUM('3:4'!I104)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34"/>
        <v>0</v>
      </c>
      <c r="N104" s="93">
        <f>SUM('3:4'!N104)</f>
        <v>0</v>
      </c>
      <c r="O104" s="93">
        <f>SUM('3:4'!O104)</f>
        <v>0</v>
      </c>
      <c r="P104" s="93">
        <f>SUM('3:4'!P104)</f>
        <v>0</v>
      </c>
      <c r="Q104" s="93">
        <f>SUM('3:4'!Q104)</f>
        <v>0</v>
      </c>
      <c r="R104" s="93">
        <f>SUM('3:4'!R104)</f>
        <v>0</v>
      </c>
      <c r="S104" s="93">
        <f>SUM('3:4'!S104)</f>
        <v>0</v>
      </c>
      <c r="T104" s="93">
        <f>SUM('3:4'!T104)</f>
        <v>0</v>
      </c>
      <c r="U104" s="93">
        <f>SUM('3:4'!U104)</f>
        <v>0</v>
      </c>
      <c r="V104" s="206">
        <f t="shared" si="35"/>
        <v>0</v>
      </c>
      <c r="W104" s="33" t="str">
        <f t="shared" si="36"/>
        <v/>
      </c>
      <c r="X104" s="93">
        <f>SUM('3:4'!X104)</f>
        <v>0</v>
      </c>
      <c r="Y104" s="93">
        <f>SUM('3:4'!Y104)</f>
        <v>0</v>
      </c>
      <c r="Z104" s="93">
        <f>SUM('3:4'!Z104)</f>
        <v>0</v>
      </c>
      <c r="AA104" s="93">
        <f>SUM('3:4'!AA104)</f>
        <v>0</v>
      </c>
      <c r="AB104" s="358">
        <v>1.29</v>
      </c>
      <c r="AC104" s="269">
        <f t="shared" si="29"/>
        <v>0</v>
      </c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 ht="17.25">
      <c r="A105" s="321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SUM('3:4'!G105)</f>
        <v>0</v>
      </c>
      <c r="H105" s="93">
        <f>SUM('3:4'!H105)</f>
        <v>0</v>
      </c>
      <c r="I105" s="93">
        <f>SUM('3:4'!I105)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34"/>
        <v>0</v>
      </c>
      <c r="N105" s="93">
        <f>SUM('3:4'!N105)</f>
        <v>0</v>
      </c>
      <c r="O105" s="93">
        <f>SUM('3:4'!O105)</f>
        <v>0</v>
      </c>
      <c r="P105" s="93">
        <f>SUM('3:4'!P105)</f>
        <v>0</v>
      </c>
      <c r="Q105" s="93">
        <f>SUM('3:4'!Q105)</f>
        <v>0</v>
      </c>
      <c r="R105" s="93">
        <f>SUM('3:4'!R105)</f>
        <v>0</v>
      </c>
      <c r="S105" s="93">
        <f>SUM('3:4'!S105)</f>
        <v>0</v>
      </c>
      <c r="T105" s="93">
        <f>SUM('3:4'!T105)</f>
        <v>0</v>
      </c>
      <c r="U105" s="93">
        <f>SUM('3:4'!U105)</f>
        <v>0</v>
      </c>
      <c r="V105" s="206">
        <f t="shared" si="35"/>
        <v>0</v>
      </c>
      <c r="W105" s="33" t="str">
        <f t="shared" si="36"/>
        <v/>
      </c>
      <c r="X105" s="93">
        <f>SUM('3:4'!X105)</f>
        <v>0</v>
      </c>
      <c r="Y105" s="93">
        <f>SUM('3:4'!Y105)</f>
        <v>0</v>
      </c>
      <c r="Z105" s="93">
        <f>SUM('3:4'!Z105)</f>
        <v>0</v>
      </c>
      <c r="AA105" s="93">
        <f>SUM('3:4'!AA105)</f>
        <v>0</v>
      </c>
      <c r="AB105" s="358">
        <v>1.29</v>
      </c>
      <c r="AC105" s="269">
        <f t="shared" si="29"/>
        <v>0</v>
      </c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 ht="17.25">
      <c r="A106" s="321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SUM('3:4'!G106)</f>
        <v>0</v>
      </c>
      <c r="H106" s="93">
        <f>SUM('3:4'!H106)</f>
        <v>0</v>
      </c>
      <c r="I106" s="93">
        <f>SUM('3:4'!I106)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34"/>
        <v>0</v>
      </c>
      <c r="N106" s="93">
        <f>SUM('3:4'!N106)</f>
        <v>0</v>
      </c>
      <c r="O106" s="93">
        <f>SUM('3:4'!O106)</f>
        <v>0</v>
      </c>
      <c r="P106" s="93">
        <f>SUM('3:4'!P106)</f>
        <v>0</v>
      </c>
      <c r="Q106" s="93">
        <f>SUM('3:4'!Q106)</f>
        <v>0</v>
      </c>
      <c r="R106" s="93">
        <f>SUM('3:4'!R106)</f>
        <v>0</v>
      </c>
      <c r="S106" s="93">
        <f>SUM('3:4'!S106)</f>
        <v>0</v>
      </c>
      <c r="T106" s="93">
        <f>SUM('3:4'!T106)</f>
        <v>0</v>
      </c>
      <c r="U106" s="93">
        <f>SUM('3:4'!U106)</f>
        <v>0</v>
      </c>
      <c r="V106" s="206">
        <f t="shared" si="35"/>
        <v>0</v>
      </c>
      <c r="W106" s="33" t="str">
        <f t="shared" si="36"/>
        <v/>
      </c>
      <c r="X106" s="93">
        <f>SUM('3:4'!X106)</f>
        <v>0</v>
      </c>
      <c r="Y106" s="93">
        <f>SUM('3:4'!Y106)</f>
        <v>0</v>
      </c>
      <c r="Z106" s="93">
        <f>SUM('3:4'!Z106)</f>
        <v>0</v>
      </c>
      <c r="AA106" s="93">
        <f>SUM('3:4'!AA106)</f>
        <v>0</v>
      </c>
      <c r="AB106" s="358">
        <v>1.29</v>
      </c>
      <c r="AC106" s="269">
        <f t="shared" si="29"/>
        <v>0</v>
      </c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 ht="17.25">
      <c r="A107" s="320">
        <v>30400026</v>
      </c>
      <c r="B107" s="190" t="s">
        <v>457</v>
      </c>
      <c r="C107" s="187" t="s">
        <v>395</v>
      </c>
      <c r="D107" s="17">
        <v>5</v>
      </c>
      <c r="E107" s="17"/>
      <c r="F107" s="6"/>
      <c r="G107" s="93">
        <f>SUM('3:4'!G107)</f>
        <v>0</v>
      </c>
      <c r="H107" s="93">
        <f>SUM('3:4'!H107)</f>
        <v>0</v>
      </c>
      <c r="I107" s="93">
        <f>SUM('3:4'!I107)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34"/>
        <v>0</v>
      </c>
      <c r="N107" s="93">
        <f>SUM('3:4'!N107)</f>
        <v>0</v>
      </c>
      <c r="O107" s="93">
        <f>SUM('3:4'!O107)</f>
        <v>0</v>
      </c>
      <c r="P107" s="93">
        <f>SUM('3:4'!P107)</f>
        <v>0</v>
      </c>
      <c r="Q107" s="93">
        <f>SUM('3:4'!Q107)</f>
        <v>0</v>
      </c>
      <c r="R107" s="93">
        <f>SUM('3:4'!R107)</f>
        <v>0</v>
      </c>
      <c r="S107" s="93">
        <f>SUM('3:4'!S107)</f>
        <v>0</v>
      </c>
      <c r="T107" s="93">
        <f>SUM('3:4'!T107)</f>
        <v>0</v>
      </c>
      <c r="U107" s="93">
        <f>SUM('3:4'!U107)</f>
        <v>0</v>
      </c>
      <c r="V107" s="206"/>
      <c r="W107" s="33"/>
      <c r="X107" s="93">
        <f>SUM('3:4'!X107)</f>
        <v>0</v>
      </c>
      <c r="Y107" s="93">
        <f>SUM('3:4'!Y107)</f>
        <v>0</v>
      </c>
      <c r="Z107" s="93">
        <f>SUM('3:4'!Z107)</f>
        <v>0</v>
      </c>
      <c r="AA107" s="93">
        <f>SUM('3:4'!AA107)</f>
        <v>0</v>
      </c>
      <c r="AB107" s="358">
        <v>2.0699999999999998</v>
      </c>
      <c r="AC107" s="269">
        <f t="shared" si="29"/>
        <v>0</v>
      </c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 ht="17.25">
      <c r="A108" s="320">
        <v>30400028</v>
      </c>
      <c r="B108" s="190" t="s">
        <v>457</v>
      </c>
      <c r="C108" s="187" t="s">
        <v>402</v>
      </c>
      <c r="D108" s="17">
        <v>5</v>
      </c>
      <c r="E108" s="17"/>
      <c r="F108" s="6"/>
      <c r="G108" s="93">
        <f>SUM('3:4'!G108)</f>
        <v>0</v>
      </c>
      <c r="H108" s="93">
        <f>SUM('3:4'!H108)</f>
        <v>0</v>
      </c>
      <c r="I108" s="93">
        <f>SUM('3:4'!I108)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34"/>
        <v>0</v>
      </c>
      <c r="N108" s="93">
        <f>SUM('3:4'!N108)</f>
        <v>0</v>
      </c>
      <c r="O108" s="93">
        <f>SUM('3:4'!O108)</f>
        <v>0</v>
      </c>
      <c r="P108" s="93">
        <f>SUM('3:4'!P108)</f>
        <v>0</v>
      </c>
      <c r="Q108" s="93">
        <f>SUM('3:4'!Q108)</f>
        <v>0</v>
      </c>
      <c r="R108" s="93">
        <f>SUM('3:4'!R108)</f>
        <v>0</v>
      </c>
      <c r="S108" s="93">
        <f>SUM('3:4'!S108)</f>
        <v>0</v>
      </c>
      <c r="T108" s="93">
        <f>SUM('3:4'!T108)</f>
        <v>0</v>
      </c>
      <c r="U108" s="93">
        <f>SUM('3:4'!U108)</f>
        <v>0</v>
      </c>
      <c r="V108" s="206"/>
      <c r="W108" s="33"/>
      <c r="X108" s="93">
        <f>SUM('3:4'!X108)</f>
        <v>0</v>
      </c>
      <c r="Y108" s="93">
        <f>SUM('3:4'!Y108)</f>
        <v>0</v>
      </c>
      <c r="Z108" s="93">
        <f>SUM('3:4'!Z108)</f>
        <v>0</v>
      </c>
      <c r="AA108" s="93">
        <f>SUM('3:4'!AA108)</f>
        <v>0</v>
      </c>
      <c r="AB108" s="358">
        <v>2.0699999999999998</v>
      </c>
      <c r="AC108" s="269">
        <f t="shared" si="29"/>
        <v>0</v>
      </c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 ht="17.25">
      <c r="A109" s="320">
        <v>30400027</v>
      </c>
      <c r="B109" s="190" t="s">
        <v>458</v>
      </c>
      <c r="C109" s="187" t="s">
        <v>405</v>
      </c>
      <c r="D109" s="17">
        <v>5</v>
      </c>
      <c r="E109" s="17"/>
      <c r="F109" s="6"/>
      <c r="G109" s="93">
        <f>SUM('3:4'!G109)</f>
        <v>0</v>
      </c>
      <c r="H109" s="93">
        <f>SUM('3:4'!H109)</f>
        <v>0</v>
      </c>
      <c r="I109" s="93">
        <f>SUM('3:4'!I109)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34"/>
        <v>0</v>
      </c>
      <c r="N109" s="93">
        <f>SUM('3:4'!N109)</f>
        <v>0</v>
      </c>
      <c r="O109" s="93">
        <f>SUM('3:4'!O109)</f>
        <v>0</v>
      </c>
      <c r="P109" s="93">
        <f>SUM('3:4'!P109)</f>
        <v>0</v>
      </c>
      <c r="Q109" s="93">
        <f>SUM('3:4'!Q109)</f>
        <v>0</v>
      </c>
      <c r="R109" s="93">
        <f>SUM('3:4'!R109)</f>
        <v>0</v>
      </c>
      <c r="S109" s="93">
        <f>SUM('3:4'!S109)</f>
        <v>0</v>
      </c>
      <c r="T109" s="93">
        <f>SUM('3:4'!T109)</f>
        <v>0</v>
      </c>
      <c r="U109" s="93">
        <f>SUM('3:4'!U109)</f>
        <v>0</v>
      </c>
      <c r="V109" s="206"/>
      <c r="W109" s="33"/>
      <c r="X109" s="93">
        <f>SUM('3:4'!X109)</f>
        <v>0</v>
      </c>
      <c r="Y109" s="93">
        <f>SUM('3:4'!Y109)</f>
        <v>0</v>
      </c>
      <c r="Z109" s="93">
        <f>SUM('3:4'!Z109)</f>
        <v>0</v>
      </c>
      <c r="AA109" s="93">
        <f>SUM('3:4'!AA109)</f>
        <v>0</v>
      </c>
      <c r="AB109" s="358">
        <v>2.0699999999999998</v>
      </c>
      <c r="AC109" s="269">
        <f t="shared" si="29"/>
        <v>0</v>
      </c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 ht="17.25">
      <c r="A110" s="320"/>
      <c r="B110" s="190" t="s">
        <v>493</v>
      </c>
      <c r="C110" s="187" t="s">
        <v>372</v>
      </c>
      <c r="D110" s="17">
        <v>5</v>
      </c>
      <c r="E110" s="17"/>
      <c r="F110" s="6"/>
      <c r="G110" s="93">
        <f>SUM('3:4'!G110)</f>
        <v>0</v>
      </c>
      <c r="H110" s="93">
        <f>SUM('3:4'!H110)</f>
        <v>0</v>
      </c>
      <c r="I110" s="93">
        <f>SUM('3:4'!I110)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34"/>
        <v>0</v>
      </c>
      <c r="N110" s="93">
        <f>SUM('3:4'!N110)</f>
        <v>0</v>
      </c>
      <c r="O110" s="93">
        <f>SUM('3:4'!O110)</f>
        <v>0</v>
      </c>
      <c r="P110" s="93">
        <f>SUM('3:4'!P110)</f>
        <v>0</v>
      </c>
      <c r="Q110" s="93">
        <f>SUM('3:4'!Q110)</f>
        <v>0</v>
      </c>
      <c r="R110" s="93">
        <f>SUM('3:4'!R110)</f>
        <v>0</v>
      </c>
      <c r="S110" s="93">
        <f>SUM('3:4'!S110)</f>
        <v>0</v>
      </c>
      <c r="T110" s="93">
        <f>SUM('3:4'!T110)</f>
        <v>0</v>
      </c>
      <c r="U110" s="93">
        <f>SUM('3:4'!U110)</f>
        <v>0</v>
      </c>
      <c r="V110" s="206"/>
      <c r="W110" s="33"/>
      <c r="X110" s="93">
        <f>SUM('3:4'!X110)</f>
        <v>0</v>
      </c>
      <c r="Y110" s="93">
        <f>SUM('3:4'!Y110)</f>
        <v>0</v>
      </c>
      <c r="Z110" s="93">
        <f>SUM('3:4'!Z110)</f>
        <v>0</v>
      </c>
      <c r="AA110" s="93">
        <f>SUM('3:4'!AA110)</f>
        <v>0</v>
      </c>
      <c r="AB110" s="358">
        <v>2.0699999999999998</v>
      </c>
      <c r="AC110" s="269">
        <f t="shared" si="29"/>
        <v>0</v>
      </c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 ht="17.25">
      <c r="A111" s="320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SUM('3:4'!G111)</f>
        <v>0</v>
      </c>
      <c r="H111" s="93">
        <f>SUM('3:4'!H111)</f>
        <v>0</v>
      </c>
      <c r="I111" s="93">
        <f>SUM('3:4'!I111)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34"/>
        <v>0</v>
      </c>
      <c r="N111" s="93">
        <f>SUM('3:4'!N111)</f>
        <v>0</v>
      </c>
      <c r="O111" s="93">
        <f>SUM('3:4'!O111)</f>
        <v>0</v>
      </c>
      <c r="P111" s="93">
        <f>SUM('3:4'!P111)</f>
        <v>0</v>
      </c>
      <c r="Q111" s="93">
        <f>SUM('3:4'!Q111)</f>
        <v>0</v>
      </c>
      <c r="R111" s="93">
        <f>SUM('3:4'!R111)</f>
        <v>0</v>
      </c>
      <c r="S111" s="93">
        <f>SUM('3:4'!S111)</f>
        <v>0</v>
      </c>
      <c r="T111" s="93">
        <f>SUM('3:4'!T111)</f>
        <v>0</v>
      </c>
      <c r="U111" s="93">
        <f>SUM('3:4'!U111)</f>
        <v>0</v>
      </c>
      <c r="V111" s="206"/>
      <c r="W111" s="33"/>
      <c r="X111" s="93">
        <f>SUM('3:4'!X111)</f>
        <v>0</v>
      </c>
      <c r="Y111" s="93">
        <f>SUM('3:4'!Y111)</f>
        <v>0</v>
      </c>
      <c r="Z111" s="93">
        <f>SUM('3:4'!Z111)</f>
        <v>0</v>
      </c>
      <c r="AA111" s="93">
        <f>SUM('3:4'!AA111)</f>
        <v>0</v>
      </c>
      <c r="AB111" s="358">
        <v>2.0699999999999998</v>
      </c>
      <c r="AC111" s="269">
        <f t="shared" si="29"/>
        <v>0</v>
      </c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 ht="17.25">
      <c r="A112" s="320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SUM('3:4'!G112)</f>
        <v>0</v>
      </c>
      <c r="H112" s="93">
        <f>SUM('3:4'!H112)</f>
        <v>0</v>
      </c>
      <c r="I112" s="93">
        <f>SUM('3:4'!I112)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34"/>
        <v>0</v>
      </c>
      <c r="N112" s="93">
        <f>SUM('3:4'!N112)</f>
        <v>0</v>
      </c>
      <c r="O112" s="93">
        <f>SUM('3:4'!O112)</f>
        <v>0</v>
      </c>
      <c r="P112" s="93">
        <f>SUM('3:4'!P112)</f>
        <v>0</v>
      </c>
      <c r="Q112" s="93">
        <f>SUM('3:4'!Q112)</f>
        <v>0</v>
      </c>
      <c r="R112" s="93">
        <f>SUM('3:4'!R112)</f>
        <v>0</v>
      </c>
      <c r="S112" s="93">
        <f>SUM('3:4'!S112)</f>
        <v>0</v>
      </c>
      <c r="T112" s="93">
        <f>SUM('3:4'!T112)</f>
        <v>0</v>
      </c>
      <c r="U112" s="93">
        <f>SUM('3:4'!U112)</f>
        <v>0</v>
      </c>
      <c r="V112" s="206"/>
      <c r="W112" s="33"/>
      <c r="X112" s="93">
        <f>SUM('3:4'!X112)</f>
        <v>0</v>
      </c>
      <c r="Y112" s="93">
        <f>SUM('3:4'!Y112)</f>
        <v>0</v>
      </c>
      <c r="Z112" s="93">
        <f>SUM('3:4'!Z112)</f>
        <v>0</v>
      </c>
      <c r="AA112" s="93">
        <f>SUM('3:4'!AA112)</f>
        <v>0</v>
      </c>
      <c r="AB112" s="358">
        <v>2.0699999999999998</v>
      </c>
      <c r="AC112" s="269">
        <f t="shared" si="29"/>
        <v>0</v>
      </c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 ht="17.25">
      <c r="A113" s="320">
        <v>30400001</v>
      </c>
      <c r="B113" s="65" t="s">
        <v>514</v>
      </c>
      <c r="C113" s="16" t="s">
        <v>61</v>
      </c>
      <c r="D113" s="17">
        <v>5.0599999999999996</v>
      </c>
      <c r="E113" s="17"/>
      <c r="F113" s="6"/>
      <c r="G113" s="93">
        <f>SUM('3:4'!G113)</f>
        <v>100</v>
      </c>
      <c r="H113" s="93">
        <f>SUM('3:4'!H113)</f>
        <v>505.99999999999994</v>
      </c>
      <c r="I113" s="93">
        <f>SUM('3:4'!I113)</f>
        <v>6.5</v>
      </c>
      <c r="J113" s="31">
        <f t="array" ref="J113">IF(ISERROR(G113/I113),"",G113/I113)</f>
        <v>15.384615384615385</v>
      </c>
      <c r="K113" s="35">
        <f t="array" ref="K113">IF(ISERROR(G113/L113),"",G113/L113)</f>
        <v>6.4516129032258061</v>
      </c>
      <c r="L113" s="87">
        <v>15.5</v>
      </c>
      <c r="M113" s="36">
        <f t="shared" si="34"/>
        <v>4.8387096774193949E-2</v>
      </c>
      <c r="N113" s="93">
        <f>SUM('3:4'!N113)</f>
        <v>0</v>
      </c>
      <c r="O113" s="93">
        <f>SUM('3:4'!O113)</f>
        <v>0</v>
      </c>
      <c r="P113" s="93">
        <f>SUM('3:4'!P113)</f>
        <v>0</v>
      </c>
      <c r="Q113" s="93">
        <f>SUM('3:4'!Q113)</f>
        <v>0</v>
      </c>
      <c r="R113" s="93">
        <f>SUM('3:4'!R113)</f>
        <v>0</v>
      </c>
      <c r="S113" s="93">
        <f>SUM('3:4'!S113)</f>
        <v>0</v>
      </c>
      <c r="T113" s="93">
        <f>SUM('3:4'!T113)</f>
        <v>0</v>
      </c>
      <c r="U113" s="93">
        <f>SUM('3:4'!U113)</f>
        <v>0</v>
      </c>
      <c r="V113" s="206">
        <f t="shared" ref="V113:V114" si="37">SUM(X113:AA113)</f>
        <v>0</v>
      </c>
      <c r="W113" s="33">
        <f t="shared" ref="W113:W114" si="38">IF(ISERROR(V113/G113),"",V113/G113)</f>
        <v>0</v>
      </c>
      <c r="X113" s="93">
        <f>SUM('3:4'!X113)</f>
        <v>0</v>
      </c>
      <c r="Y113" s="93">
        <f>SUM('3:4'!Y113)</f>
        <v>0</v>
      </c>
      <c r="Z113" s="93">
        <f>SUM('3:4'!Z113)</f>
        <v>0</v>
      </c>
      <c r="AA113" s="93">
        <f>SUM('3:4'!AA113)</f>
        <v>0</v>
      </c>
      <c r="AB113" s="358">
        <v>0.67</v>
      </c>
      <c r="AC113" s="269">
        <f t="shared" si="29"/>
        <v>67</v>
      </c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 ht="17.25">
      <c r="A114" s="320">
        <v>30400002</v>
      </c>
      <c r="B114" s="65" t="s">
        <v>514</v>
      </c>
      <c r="C114" s="16" t="s">
        <v>72</v>
      </c>
      <c r="D114" s="17">
        <v>5.0599999999999996</v>
      </c>
      <c r="E114" s="17"/>
      <c r="F114" s="6"/>
      <c r="G114" s="93">
        <f>SUM('3:4'!G114)</f>
        <v>76</v>
      </c>
      <c r="H114" s="93">
        <f>SUM('3:4'!H114)</f>
        <v>384.55999999999995</v>
      </c>
      <c r="I114" s="93">
        <f>SUM('3:4'!I114)</f>
        <v>5</v>
      </c>
      <c r="J114" s="31">
        <f t="array" ref="J114">IF(ISERROR(G114/I114),"",G114/I114)</f>
        <v>15.2</v>
      </c>
      <c r="K114" s="35">
        <f t="array" ref="K114">IF(ISERROR(G114/L114),"",G114/L114)</f>
        <v>4.903225806451613</v>
      </c>
      <c r="L114" s="87">
        <v>15.5</v>
      </c>
      <c r="M114" s="36">
        <f t="shared" si="34"/>
        <v>9.6774193548387011E-2</v>
      </c>
      <c r="N114" s="93">
        <f>SUM('3:4'!N114)</f>
        <v>0</v>
      </c>
      <c r="O114" s="93">
        <f>SUM('3:4'!O114)</f>
        <v>0</v>
      </c>
      <c r="P114" s="93">
        <f>SUM('3:4'!P114)</f>
        <v>0</v>
      </c>
      <c r="Q114" s="93">
        <f>SUM('3:4'!Q114)</f>
        <v>0</v>
      </c>
      <c r="R114" s="93">
        <f>SUM('3:4'!R114)</f>
        <v>0</v>
      </c>
      <c r="S114" s="93">
        <f>SUM('3:4'!S114)</f>
        <v>0</v>
      </c>
      <c r="T114" s="93">
        <f>SUM('3:4'!T114)</f>
        <v>0</v>
      </c>
      <c r="U114" s="93">
        <f>SUM('3:4'!U114)</f>
        <v>0</v>
      </c>
      <c r="V114" s="206">
        <f t="shared" si="37"/>
        <v>0</v>
      </c>
      <c r="W114" s="33">
        <f t="shared" si="38"/>
        <v>0</v>
      </c>
      <c r="X114" s="93">
        <f>SUM('3:4'!X114)</f>
        <v>0</v>
      </c>
      <c r="Y114" s="93">
        <f>SUM('3:4'!Y114)</f>
        <v>0</v>
      </c>
      <c r="Z114" s="93">
        <f>SUM('3:4'!Z114)</f>
        <v>0</v>
      </c>
      <c r="AA114" s="93">
        <f>SUM('3:4'!AA114)</f>
        <v>0</v>
      </c>
      <c r="AB114" s="358">
        <v>0.67</v>
      </c>
      <c r="AC114" s="269">
        <f t="shared" si="29"/>
        <v>50.92</v>
      </c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 ht="17.25">
      <c r="A115" s="320">
        <v>30400004</v>
      </c>
      <c r="B115" s="215" t="s">
        <v>459</v>
      </c>
      <c r="C115" s="187" t="s">
        <v>73</v>
      </c>
      <c r="D115" s="17"/>
      <c r="E115" s="17"/>
      <c r="F115" s="6"/>
      <c r="G115" s="93">
        <f>SUM('3:4'!G115)</f>
        <v>0</v>
      </c>
      <c r="H115" s="93">
        <f>SUM('3:4'!H115)</f>
        <v>0</v>
      </c>
      <c r="I115" s="93">
        <f>SUM('3:4'!I115)</f>
        <v>0</v>
      </c>
      <c r="J115" s="31"/>
      <c r="K115" s="35">
        <f t="array" ref="K115">IF(ISERROR(G115/L115),"",G115/L115)</f>
        <v>0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6"/>
      <c r="W115" s="33"/>
      <c r="X115" s="93"/>
      <c r="Y115" s="93"/>
      <c r="Z115" s="93"/>
      <c r="AA115" s="93"/>
      <c r="AB115" s="358">
        <v>1.73</v>
      </c>
      <c r="AC115" s="269">
        <f t="shared" si="29"/>
        <v>0</v>
      </c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 ht="17.25">
      <c r="A116" s="320">
        <v>30400003</v>
      </c>
      <c r="B116" s="215" t="s">
        <v>459</v>
      </c>
      <c r="C116" s="187" t="s">
        <v>60</v>
      </c>
      <c r="D116" s="17"/>
      <c r="E116" s="17"/>
      <c r="F116" s="6"/>
      <c r="G116" s="93">
        <f>SUM('3:4'!G116)</f>
        <v>380</v>
      </c>
      <c r="H116" s="93">
        <f>SUM('3:4'!H116)</f>
        <v>1900</v>
      </c>
      <c r="I116" s="93">
        <f>SUM('3:4'!I116)</f>
        <v>16</v>
      </c>
      <c r="J116" s="31"/>
      <c r="K116" s="35">
        <f t="array" ref="K116">IF(ISERROR(G116/L116),"",G116/L116)</f>
        <v>15.833333333333334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6"/>
      <c r="W116" s="33"/>
      <c r="X116" s="93"/>
      <c r="Y116" s="93"/>
      <c r="Z116" s="93"/>
      <c r="AA116" s="93"/>
      <c r="AB116" s="358">
        <v>1.73</v>
      </c>
      <c r="AC116" s="269">
        <f t="shared" si="29"/>
        <v>657.4</v>
      </c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 ht="17.25">
      <c r="A117" s="320">
        <v>30400005</v>
      </c>
      <c r="B117" s="215" t="s">
        <v>459</v>
      </c>
      <c r="C117" s="187" t="s">
        <v>422</v>
      </c>
      <c r="D117" s="17"/>
      <c r="E117" s="17"/>
      <c r="F117" s="6"/>
      <c r="G117" s="93">
        <f>SUM('3:4'!G117)</f>
        <v>0</v>
      </c>
      <c r="H117" s="93">
        <f>SUM('3:4'!H117)</f>
        <v>0</v>
      </c>
      <c r="I117" s="93">
        <f>SUM('3:4'!I117)</f>
        <v>0</v>
      </c>
      <c r="J117" s="31"/>
      <c r="K117" s="35">
        <f t="array" ref="K117">IF(ISERROR(G117/L117),"",G117/L117)</f>
        <v>0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6"/>
      <c r="W117" s="33"/>
      <c r="X117" s="93"/>
      <c r="Y117" s="93"/>
      <c r="Z117" s="93"/>
      <c r="AA117" s="93"/>
      <c r="AB117" s="358">
        <v>1.73</v>
      </c>
      <c r="AC117" s="269">
        <f t="shared" si="29"/>
        <v>0</v>
      </c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 ht="17.25">
      <c r="A118" s="320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SUM('3:4'!G118)</f>
        <v>0</v>
      </c>
      <c r="H118" s="93">
        <f>SUM('3:4'!H118)</f>
        <v>0</v>
      </c>
      <c r="I118" s="93">
        <f>SUM('3:4'!I118)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 t="shared" ref="M118:M120" si="39">IF(ISERROR(I118-K118),"",I118-K118)</f>
        <v>0</v>
      </c>
      <c r="N118" s="93">
        <f>SUM('3:4'!N118)</f>
        <v>0</v>
      </c>
      <c r="O118" s="93">
        <f>SUM('3:4'!O118)</f>
        <v>0</v>
      </c>
      <c r="P118" s="93">
        <f>SUM('3:4'!P118)</f>
        <v>0</v>
      </c>
      <c r="Q118" s="93">
        <f>SUM('3:4'!Q118)</f>
        <v>0</v>
      </c>
      <c r="R118" s="93">
        <f>SUM('3:4'!R118)</f>
        <v>0</v>
      </c>
      <c r="S118" s="93">
        <f>SUM('3:4'!S118)</f>
        <v>0</v>
      </c>
      <c r="T118" s="93">
        <f>SUM('3:4'!T118)</f>
        <v>0</v>
      </c>
      <c r="U118" s="93">
        <f>SUM('3:4'!U118)</f>
        <v>0</v>
      </c>
      <c r="V118" s="206">
        <f t="shared" ref="V118:V120" si="40">SUM(X118:AA118)</f>
        <v>0</v>
      </c>
      <c r="W118" s="33" t="str">
        <f t="shared" ref="W118" si="41">IF(ISERROR(V118/G118),"",V118/G118)</f>
        <v/>
      </c>
      <c r="X118" s="93">
        <f>SUM('3:4'!X118)</f>
        <v>0</v>
      </c>
      <c r="Y118" s="93">
        <f>SUM('3:4'!Y118)</f>
        <v>0</v>
      </c>
      <c r="Z118" s="93">
        <f>SUM('3:4'!Z118)</f>
        <v>0</v>
      </c>
      <c r="AA118" s="93">
        <f>SUM('3:4'!AA118)</f>
        <v>0</v>
      </c>
      <c r="AB118" s="358">
        <v>1.22</v>
      </c>
      <c r="AC118" s="269">
        <f t="shared" si="29"/>
        <v>0</v>
      </c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 ht="17.25">
      <c r="A119" s="320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SUM('3:4'!G119)</f>
        <v>0</v>
      </c>
      <c r="H119" s="93">
        <f>SUM('3:4'!H119)</f>
        <v>0</v>
      </c>
      <c r="I119" s="93">
        <f>SUM('3:4'!I119)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 t="shared" si="39"/>
        <v>0</v>
      </c>
      <c r="N119" s="93">
        <f>SUM('3:4'!N119)</f>
        <v>0</v>
      </c>
      <c r="O119" s="93">
        <f>SUM('3:4'!O119)</f>
        <v>0</v>
      </c>
      <c r="P119" s="93">
        <f>SUM('3:4'!P119)</f>
        <v>0</v>
      </c>
      <c r="Q119" s="93">
        <f>SUM('3:4'!Q119)</f>
        <v>0</v>
      </c>
      <c r="R119" s="93">
        <f>SUM('3:4'!R119)</f>
        <v>0</v>
      </c>
      <c r="S119" s="93">
        <f>SUM('3:4'!S119)</f>
        <v>0</v>
      </c>
      <c r="T119" s="93">
        <f>SUM('3:4'!T119)</f>
        <v>0</v>
      </c>
      <c r="U119" s="93">
        <f>SUM('3:4'!U119)</f>
        <v>0</v>
      </c>
      <c r="V119" s="206">
        <f t="shared" si="40"/>
        <v>0</v>
      </c>
      <c r="W119" s="33" t="str">
        <f>IF(ISERROR(V119/G119),"",V119/G119)</f>
        <v/>
      </c>
      <c r="X119" s="93">
        <f>SUM('3:4'!X119)</f>
        <v>0</v>
      </c>
      <c r="Y119" s="93">
        <f>SUM('3:4'!Y119)</f>
        <v>0</v>
      </c>
      <c r="Z119" s="93">
        <f>SUM('3:4'!Z119)</f>
        <v>0</v>
      </c>
      <c r="AA119" s="93">
        <f>SUM('3:4'!AA119)</f>
        <v>0</v>
      </c>
      <c r="AB119" s="358">
        <v>1.22</v>
      </c>
      <c r="AC119" s="269">
        <f t="shared" si="29"/>
        <v>0</v>
      </c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 ht="17.25">
      <c r="A120" s="320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SUM('3:4'!G120)</f>
        <v>0</v>
      </c>
      <c r="H120" s="93">
        <f>SUM('3:4'!H120)</f>
        <v>0</v>
      </c>
      <c r="I120" s="93">
        <f>SUM('3:4'!I120)</f>
        <v>0</v>
      </c>
      <c r="J120" s="31" t="str">
        <f t="array" ref="J120">IF(ISERROR(G120/I120),"",G120/I120)</f>
        <v/>
      </c>
      <c r="K120" s="246">
        <f t="array" ref="K120">IF(ISERROR(G120/L120),"",G120/L120)</f>
        <v>0</v>
      </c>
      <c r="L120" s="87">
        <v>9</v>
      </c>
      <c r="M120" s="36">
        <f t="shared" si="39"/>
        <v>0</v>
      </c>
      <c r="N120" s="93">
        <f>SUM('3:4'!N120)</f>
        <v>0</v>
      </c>
      <c r="O120" s="93">
        <f>SUM('3:4'!O120)</f>
        <v>0</v>
      </c>
      <c r="P120" s="93">
        <f>SUM('3:4'!P120)</f>
        <v>0</v>
      </c>
      <c r="Q120" s="93">
        <f>SUM('3:4'!Q120)</f>
        <v>0</v>
      </c>
      <c r="R120" s="93">
        <f>SUM('3:4'!R120)</f>
        <v>0</v>
      </c>
      <c r="S120" s="93">
        <f>SUM('3:4'!S120)</f>
        <v>0</v>
      </c>
      <c r="T120" s="93">
        <f>SUM('3:4'!T120)</f>
        <v>0</v>
      </c>
      <c r="U120" s="93">
        <f>SUM('3:4'!U120)</f>
        <v>0</v>
      </c>
      <c r="V120" s="206">
        <f t="shared" si="40"/>
        <v>0</v>
      </c>
      <c r="W120" s="33" t="str">
        <f>IF(ISERROR(V120/G120),"",V120/G120)</f>
        <v/>
      </c>
      <c r="X120" s="93">
        <f>SUM('3:4'!X120)</f>
        <v>0</v>
      </c>
      <c r="Y120" s="93">
        <f>SUM('3:4'!Y120)</f>
        <v>0</v>
      </c>
      <c r="Z120" s="93">
        <f>SUM('3:4'!Z120)</f>
        <v>0</v>
      </c>
      <c r="AA120" s="93">
        <f>SUM('3:4'!AA120)</f>
        <v>0</v>
      </c>
      <c r="AB120" s="358">
        <v>1.22</v>
      </c>
      <c r="AC120" s="269">
        <f t="shared" si="29"/>
        <v>0</v>
      </c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 ht="15.75">
      <c r="A121" s="725" t="s">
        <v>92</v>
      </c>
      <c r="B121" s="726"/>
      <c r="C121" s="243" t="s">
        <v>71</v>
      </c>
      <c r="D121" s="20"/>
      <c r="E121" s="20"/>
      <c r="F121" s="32"/>
      <c r="G121" s="99">
        <f>SUM(G87:G120)</f>
        <v>556</v>
      </c>
      <c r="H121" s="30">
        <f>SUM(H87:H120)</f>
        <v>2790.56</v>
      </c>
      <c r="I121" s="30">
        <f>SUM(I87:I120)</f>
        <v>27.5</v>
      </c>
      <c r="J121" s="31">
        <f t="array" ref="J121">IF(ISERROR(G121/I121),"",G121/I121)</f>
        <v>20.218181818181819</v>
      </c>
      <c r="K121" s="30">
        <f>SUM(K87:K120)</f>
        <v>27.188172043010752</v>
      </c>
      <c r="L121" s="98"/>
      <c r="M121" s="89">
        <f t="shared" ref="M121:V121" si="42">SUM(M87:M120)</f>
        <v>0.14516129032258096</v>
      </c>
      <c r="N121" s="30">
        <f t="shared" si="42"/>
        <v>0</v>
      </c>
      <c r="O121" s="91">
        <f t="shared" si="42"/>
        <v>0</v>
      </c>
      <c r="P121" s="91">
        <f t="shared" si="42"/>
        <v>0</v>
      </c>
      <c r="Q121" s="91">
        <f t="shared" si="42"/>
        <v>0</v>
      </c>
      <c r="R121" s="91">
        <f t="shared" si="42"/>
        <v>0</v>
      </c>
      <c r="S121" s="92">
        <f t="shared" si="42"/>
        <v>0</v>
      </c>
      <c r="T121" s="91">
        <f t="shared" si="42"/>
        <v>0</v>
      </c>
      <c r="U121" s="91">
        <f t="shared" si="42"/>
        <v>0</v>
      </c>
      <c r="V121" s="206">
        <f t="shared" si="42"/>
        <v>0</v>
      </c>
      <c r="W121" s="33">
        <f t="shared" ref="W121:W151" si="43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358"/>
      <c r="AC121" s="270">
        <f>SUM(AC87:AC120)</f>
        <v>775.31999999999994</v>
      </c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 ht="17.25">
      <c r="A122" s="320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SUM('3:4'!G122)</f>
        <v>0</v>
      </c>
      <c r="H122" s="93">
        <f>SUM('3:4'!H122)</f>
        <v>0</v>
      </c>
      <c r="I122" s="93">
        <f>SUM('3:4'!I122)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87">
        <v>25</v>
      </c>
      <c r="M122" s="36">
        <f t="shared" ref="M122:M136" si="44">IF(ISERROR(I122-K122),"",I122-K122)</f>
        <v>0</v>
      </c>
      <c r="N122" s="93">
        <f>SUM('3:4'!N122)</f>
        <v>0</v>
      </c>
      <c r="O122" s="93">
        <f>SUM('3:4'!O122)</f>
        <v>0</v>
      </c>
      <c r="P122" s="93">
        <f>SUM('3:4'!P122)</f>
        <v>0</v>
      </c>
      <c r="Q122" s="93">
        <f>SUM('3:4'!Q122)</f>
        <v>0</v>
      </c>
      <c r="R122" s="93">
        <f>SUM('3:4'!R122)</f>
        <v>0</v>
      </c>
      <c r="S122" s="93">
        <f>SUM('3:4'!S122)</f>
        <v>0</v>
      </c>
      <c r="T122" s="93">
        <f>SUM('3:4'!T122)</f>
        <v>0</v>
      </c>
      <c r="U122" s="93">
        <f>SUM('3:4'!U122)</f>
        <v>0</v>
      </c>
      <c r="V122" s="206">
        <f t="shared" ref="V122:V136" si="45">SUM(X122:AA122)</f>
        <v>0</v>
      </c>
      <c r="W122" s="33" t="str">
        <f t="shared" si="43"/>
        <v/>
      </c>
      <c r="X122" s="93">
        <f>SUM('3:4'!X122)</f>
        <v>0</v>
      </c>
      <c r="Y122" s="93">
        <f>SUM('3:4'!Y122)</f>
        <v>0</v>
      </c>
      <c r="Z122" s="93">
        <f>SUM('3:4'!Z122)</f>
        <v>0</v>
      </c>
      <c r="AA122" s="93">
        <f>SUM('3:4'!AA122)</f>
        <v>0</v>
      </c>
      <c r="AB122" s="358">
        <v>0.41</v>
      </c>
      <c r="AC122" s="269">
        <f t="shared" si="29"/>
        <v>0</v>
      </c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 ht="17.25">
      <c r="A123" s="320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SUM('3:4'!G123)</f>
        <v>0</v>
      </c>
      <c r="H123" s="93">
        <f>SUM('3:4'!H123)</f>
        <v>0</v>
      </c>
      <c r="I123" s="93">
        <f>SUM('3:4'!I123)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87">
        <v>25</v>
      </c>
      <c r="M123" s="36">
        <f t="shared" si="44"/>
        <v>0</v>
      </c>
      <c r="N123" s="93">
        <f>SUM('3:4'!N123)</f>
        <v>0</v>
      </c>
      <c r="O123" s="93">
        <f>SUM('3:4'!O123)</f>
        <v>0</v>
      </c>
      <c r="P123" s="93">
        <f>SUM('3:4'!P123)</f>
        <v>0</v>
      </c>
      <c r="Q123" s="93">
        <f>SUM('3:4'!Q123)</f>
        <v>0</v>
      </c>
      <c r="R123" s="93">
        <f>SUM('3:4'!R123)</f>
        <v>0</v>
      </c>
      <c r="S123" s="93">
        <f>SUM('3:4'!S123)</f>
        <v>0</v>
      </c>
      <c r="T123" s="93">
        <f>SUM('3:4'!T123)</f>
        <v>0</v>
      </c>
      <c r="U123" s="93">
        <f>SUM('3:4'!U123)</f>
        <v>0</v>
      </c>
      <c r="V123" s="206">
        <f t="shared" si="45"/>
        <v>0</v>
      </c>
      <c r="W123" s="33" t="str">
        <f t="shared" si="43"/>
        <v/>
      </c>
      <c r="X123" s="93">
        <f>SUM('3:4'!X123)</f>
        <v>0</v>
      </c>
      <c r="Y123" s="93">
        <f>SUM('3:4'!Y123)</f>
        <v>0</v>
      </c>
      <c r="Z123" s="93">
        <f>SUM('3:4'!Z123)</f>
        <v>0</v>
      </c>
      <c r="AA123" s="93">
        <f>SUM('3:4'!AA123)</f>
        <v>0</v>
      </c>
      <c r="AB123" s="358">
        <v>0.41</v>
      </c>
      <c r="AC123" s="269">
        <f t="shared" si="29"/>
        <v>0</v>
      </c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 ht="17.25">
      <c r="A124" s="320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SUM('3:4'!G124)</f>
        <v>0</v>
      </c>
      <c r="H124" s="93">
        <f>SUM('3:4'!H124)</f>
        <v>0</v>
      </c>
      <c r="I124" s="93">
        <f>SUM('3:4'!I124)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44"/>
        <v>0</v>
      </c>
      <c r="N124" s="93">
        <f>SUM('3:4'!N124)</f>
        <v>0</v>
      </c>
      <c r="O124" s="93">
        <f>SUM('3:4'!O124)</f>
        <v>0</v>
      </c>
      <c r="P124" s="93">
        <f>SUM('3:4'!P124)</f>
        <v>0</v>
      </c>
      <c r="Q124" s="93">
        <f>SUM('3:4'!Q124)</f>
        <v>0</v>
      </c>
      <c r="R124" s="93">
        <f>SUM('3:4'!R124)</f>
        <v>0</v>
      </c>
      <c r="S124" s="93">
        <f>SUM('3:4'!S124)</f>
        <v>0</v>
      </c>
      <c r="T124" s="93">
        <f>SUM('3:4'!T124)</f>
        <v>0</v>
      </c>
      <c r="U124" s="93">
        <f>SUM('3:4'!U124)</f>
        <v>0</v>
      </c>
      <c r="V124" s="206">
        <f t="shared" si="45"/>
        <v>0</v>
      </c>
      <c r="W124" s="33" t="str">
        <f t="shared" si="43"/>
        <v/>
      </c>
      <c r="X124" s="93">
        <f>SUM('3:4'!X124)</f>
        <v>0</v>
      </c>
      <c r="Y124" s="93">
        <f>SUM('3:4'!Y124)</f>
        <v>0</v>
      </c>
      <c r="Z124" s="93">
        <f>SUM('3:4'!Z124)</f>
        <v>0</v>
      </c>
      <c r="AA124" s="93">
        <f>SUM('3:4'!AA124)</f>
        <v>0</v>
      </c>
      <c r="AB124" s="358">
        <v>0.52</v>
      </c>
      <c r="AC124" s="269">
        <f t="shared" si="29"/>
        <v>0</v>
      </c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 ht="17.25">
      <c r="A125" s="320"/>
      <c r="B125" s="189" t="s">
        <v>495</v>
      </c>
      <c r="C125" s="16" t="s">
        <v>82</v>
      </c>
      <c r="D125" s="17">
        <v>5.03</v>
      </c>
      <c r="E125" s="17"/>
      <c r="F125" s="6"/>
      <c r="G125" s="93">
        <f>SUM('3:4'!G125)</f>
        <v>0</v>
      </c>
      <c r="H125" s="93">
        <f>SUM('3:4'!H125)</f>
        <v>0</v>
      </c>
      <c r="I125" s="93">
        <f>SUM('3:4'!I125)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44"/>
        <v>0</v>
      </c>
      <c r="N125" s="93">
        <f>SUM('3:4'!N125)</f>
        <v>0</v>
      </c>
      <c r="O125" s="93">
        <f>SUM('3:4'!O125)</f>
        <v>0</v>
      </c>
      <c r="P125" s="93">
        <f>SUM('3:4'!P125)</f>
        <v>0</v>
      </c>
      <c r="Q125" s="93">
        <f>SUM('3:4'!Q125)</f>
        <v>0</v>
      </c>
      <c r="R125" s="93">
        <f>SUM('3:4'!R125)</f>
        <v>0</v>
      </c>
      <c r="S125" s="93">
        <f>SUM('3:4'!S125)</f>
        <v>0</v>
      </c>
      <c r="T125" s="93">
        <f>SUM('3:4'!T125)</f>
        <v>0</v>
      </c>
      <c r="U125" s="93">
        <f>SUM('3:4'!U125)</f>
        <v>0</v>
      </c>
      <c r="V125" s="206">
        <f t="shared" si="45"/>
        <v>0</v>
      </c>
      <c r="W125" s="33" t="str">
        <f t="shared" si="43"/>
        <v/>
      </c>
      <c r="X125" s="93">
        <f>SUM('3:4'!X125)</f>
        <v>0</v>
      </c>
      <c r="Y125" s="93">
        <f>SUM('3:4'!Y125)</f>
        <v>0</v>
      </c>
      <c r="Z125" s="93">
        <f>SUM('3:4'!Z125)</f>
        <v>0</v>
      </c>
      <c r="AA125" s="93">
        <f>SUM('3:4'!AA125)</f>
        <v>0</v>
      </c>
      <c r="AB125" s="358">
        <v>0.59</v>
      </c>
      <c r="AC125" s="269">
        <f t="shared" si="29"/>
        <v>0</v>
      </c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 ht="15.75">
      <c r="A126" s="299">
        <v>30100054</v>
      </c>
      <c r="B126" s="63" t="s">
        <v>95</v>
      </c>
      <c r="C126" s="247" t="s">
        <v>72</v>
      </c>
      <c r="D126" s="17">
        <v>5.03</v>
      </c>
      <c r="E126" s="17"/>
      <c r="F126" s="6"/>
      <c r="G126" s="93">
        <f>SUM('3:4'!G126)</f>
        <v>0</v>
      </c>
      <c r="H126" s="93">
        <f>SUM('3:4'!H126)</f>
        <v>0</v>
      </c>
      <c r="I126" s="93">
        <f>SUM('3:4'!I126)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44"/>
        <v>0</v>
      </c>
      <c r="N126" s="93">
        <f>SUM('3:4'!N126)</f>
        <v>0</v>
      </c>
      <c r="O126" s="93">
        <f>SUM('3:4'!O126)</f>
        <v>0</v>
      </c>
      <c r="P126" s="93">
        <f>SUM('3:4'!P126)</f>
        <v>0</v>
      </c>
      <c r="Q126" s="93">
        <f>SUM('3:4'!Q126)</f>
        <v>0</v>
      </c>
      <c r="R126" s="93">
        <f>SUM('3:4'!R126)</f>
        <v>0</v>
      </c>
      <c r="S126" s="93">
        <f>SUM('3:4'!S126)</f>
        <v>0</v>
      </c>
      <c r="T126" s="93">
        <f>SUM('3:4'!T126)</f>
        <v>0</v>
      </c>
      <c r="U126" s="93">
        <f>SUM('3:4'!U126)</f>
        <v>0</v>
      </c>
      <c r="V126" s="206">
        <f t="shared" si="45"/>
        <v>0</v>
      </c>
      <c r="W126" s="33" t="str">
        <f t="shared" si="43"/>
        <v/>
      </c>
      <c r="X126" s="93">
        <f>SUM('3:4'!X126)</f>
        <v>0</v>
      </c>
      <c r="Y126" s="93">
        <f>SUM('3:4'!Y126)</f>
        <v>0</v>
      </c>
      <c r="Z126" s="93">
        <f>SUM('3:4'!Z126)</f>
        <v>0</v>
      </c>
      <c r="AA126" s="93">
        <f>SUM('3:4'!AA126)</f>
        <v>0</v>
      </c>
      <c r="AB126" s="358">
        <v>0.59</v>
      </c>
      <c r="AC126" s="269">
        <f t="shared" si="29"/>
        <v>0</v>
      </c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 ht="15.75">
      <c r="A127" s="29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SUM('3:4'!G127)</f>
        <v>0</v>
      </c>
      <c r="H127" s="93">
        <f>SUM('3:4'!H127)</f>
        <v>0</v>
      </c>
      <c r="I127" s="93">
        <f>SUM('3:4'!I127)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44"/>
        <v>0</v>
      </c>
      <c r="N127" s="93">
        <f>SUM('3:4'!N127)</f>
        <v>0</v>
      </c>
      <c r="O127" s="93">
        <f>SUM('3:4'!O127)</f>
        <v>0</v>
      </c>
      <c r="P127" s="93">
        <f>SUM('3:4'!P127)</f>
        <v>0</v>
      </c>
      <c r="Q127" s="93">
        <f>SUM('3:4'!Q127)</f>
        <v>0</v>
      </c>
      <c r="R127" s="93">
        <f>SUM('3:4'!R127)</f>
        <v>0</v>
      </c>
      <c r="S127" s="93">
        <f>SUM('3:4'!S127)</f>
        <v>0</v>
      </c>
      <c r="T127" s="93">
        <f>SUM('3:4'!T127)</f>
        <v>0</v>
      </c>
      <c r="U127" s="93">
        <f>SUM('3:4'!U127)</f>
        <v>0</v>
      </c>
      <c r="V127" s="206">
        <f t="shared" si="45"/>
        <v>0</v>
      </c>
      <c r="W127" s="33" t="str">
        <f t="shared" si="43"/>
        <v/>
      </c>
      <c r="X127" s="93">
        <f>SUM('3:4'!X127)</f>
        <v>0</v>
      </c>
      <c r="Y127" s="93">
        <f>SUM('3:4'!Y127)</f>
        <v>0</v>
      </c>
      <c r="Z127" s="93">
        <f>SUM('3:4'!Z127)</f>
        <v>0</v>
      </c>
      <c r="AA127" s="93">
        <f>SUM('3:4'!AA127)</f>
        <v>0</v>
      </c>
      <c r="AB127" s="358">
        <v>0.59</v>
      </c>
      <c r="AC127" s="269">
        <f t="shared" si="29"/>
        <v>0</v>
      </c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 ht="17.25">
      <c r="A128" s="320"/>
      <c r="B128" s="63" t="s">
        <v>95</v>
      </c>
      <c r="C128" s="16" t="s">
        <v>60</v>
      </c>
      <c r="D128" s="17">
        <v>5.03</v>
      </c>
      <c r="E128" s="17"/>
      <c r="F128" s="6"/>
      <c r="G128" s="93">
        <f>SUM('3:4'!G128)</f>
        <v>0</v>
      </c>
      <c r="H128" s="93">
        <f>SUM('3:4'!H128)</f>
        <v>0</v>
      </c>
      <c r="I128" s="93">
        <f>SUM('3:4'!I128)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44"/>
        <v>0</v>
      </c>
      <c r="N128" s="93">
        <f>SUM('3:4'!N128)</f>
        <v>0</v>
      </c>
      <c r="O128" s="93">
        <f>SUM('3:4'!O128)</f>
        <v>0</v>
      </c>
      <c r="P128" s="93">
        <f>SUM('3:4'!P128)</f>
        <v>0</v>
      </c>
      <c r="Q128" s="93">
        <f>SUM('3:4'!Q128)</f>
        <v>0</v>
      </c>
      <c r="R128" s="93">
        <f>SUM('3:4'!R128)</f>
        <v>0</v>
      </c>
      <c r="S128" s="93">
        <f>SUM('3:4'!S128)</f>
        <v>0</v>
      </c>
      <c r="T128" s="93">
        <f>SUM('3:4'!T128)</f>
        <v>0</v>
      </c>
      <c r="U128" s="93">
        <f>SUM('3:4'!U128)</f>
        <v>0</v>
      </c>
      <c r="V128" s="206">
        <f t="shared" si="45"/>
        <v>0</v>
      </c>
      <c r="W128" s="33" t="str">
        <f t="shared" si="43"/>
        <v/>
      </c>
      <c r="X128" s="93">
        <f>SUM('3:4'!X128)</f>
        <v>0</v>
      </c>
      <c r="Y128" s="93">
        <f>SUM('3:4'!Y128)</f>
        <v>0</v>
      </c>
      <c r="Z128" s="93">
        <f>SUM('3:4'!Z128)</f>
        <v>0</v>
      </c>
      <c r="AA128" s="93">
        <f>SUM('3:4'!AA128)</f>
        <v>0</v>
      </c>
      <c r="AB128" s="358">
        <v>0.59</v>
      </c>
      <c r="AC128" s="269">
        <f t="shared" si="29"/>
        <v>0</v>
      </c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 ht="17.25">
      <c r="A129" s="320"/>
      <c r="B129" s="63" t="s">
        <v>95</v>
      </c>
      <c r="C129" s="247" t="s">
        <v>96</v>
      </c>
      <c r="D129" s="17">
        <v>5.03</v>
      </c>
      <c r="E129" s="17"/>
      <c r="F129" s="6"/>
      <c r="G129" s="93">
        <f>SUM('3:4'!G129)</f>
        <v>0</v>
      </c>
      <c r="H129" s="93">
        <f>SUM('3:4'!H129)</f>
        <v>0</v>
      </c>
      <c r="I129" s="93">
        <f>SUM('3:4'!I129)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44"/>
        <v>0</v>
      </c>
      <c r="N129" s="93">
        <f>SUM('3:4'!N129)</f>
        <v>0</v>
      </c>
      <c r="O129" s="93">
        <f>SUM('3:4'!O129)</f>
        <v>0</v>
      </c>
      <c r="P129" s="93">
        <f>SUM('3:4'!P129)</f>
        <v>0</v>
      </c>
      <c r="Q129" s="93">
        <f>SUM('3:4'!Q129)</f>
        <v>0</v>
      </c>
      <c r="R129" s="93">
        <f>SUM('3:4'!R129)</f>
        <v>0</v>
      </c>
      <c r="S129" s="93">
        <f>SUM('3:4'!S129)</f>
        <v>0</v>
      </c>
      <c r="T129" s="93">
        <f>SUM('3:4'!T129)</f>
        <v>0</v>
      </c>
      <c r="U129" s="93">
        <f>SUM('3:4'!U129)</f>
        <v>0</v>
      </c>
      <c r="V129" s="206">
        <f t="shared" si="45"/>
        <v>0</v>
      </c>
      <c r="W129" s="33" t="str">
        <f t="shared" si="43"/>
        <v/>
      </c>
      <c r="X129" s="93">
        <f>SUM('3:4'!X129)</f>
        <v>0</v>
      </c>
      <c r="Y129" s="93">
        <f>SUM('3:4'!Y129)</f>
        <v>0</v>
      </c>
      <c r="Z129" s="93">
        <f>SUM('3:4'!Z129)</f>
        <v>0</v>
      </c>
      <c r="AA129" s="93">
        <f>SUM('3:4'!AA129)</f>
        <v>0</v>
      </c>
      <c r="AB129" s="358">
        <v>0.59</v>
      </c>
      <c r="AC129" s="269">
        <f t="shared" si="29"/>
        <v>0</v>
      </c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 ht="17.25">
      <c r="A130" s="320">
        <v>30101067</v>
      </c>
      <c r="B130" s="189" t="s">
        <v>229</v>
      </c>
      <c r="C130" s="247" t="s">
        <v>82</v>
      </c>
      <c r="D130" s="17">
        <v>5.03</v>
      </c>
      <c r="E130" s="17"/>
      <c r="F130" s="6"/>
      <c r="G130" s="93">
        <f>SUM('3:4'!G130)</f>
        <v>0</v>
      </c>
      <c r="H130" s="93">
        <f>SUM('3:4'!H130)</f>
        <v>0</v>
      </c>
      <c r="I130" s="93">
        <f>SUM('3:4'!I130)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44"/>
        <v/>
      </c>
      <c r="N130" s="93">
        <f>SUM('3:4'!N130)</f>
        <v>0</v>
      </c>
      <c r="O130" s="93">
        <f>SUM('3:4'!O130)</f>
        <v>0</v>
      </c>
      <c r="P130" s="93">
        <f>SUM('3:4'!P130)</f>
        <v>0</v>
      </c>
      <c r="Q130" s="93">
        <f>SUM('3:4'!Q130)</f>
        <v>0</v>
      </c>
      <c r="R130" s="93">
        <f>SUM('3:4'!R130)</f>
        <v>0</v>
      </c>
      <c r="S130" s="93">
        <f>SUM('3:4'!S130)</f>
        <v>0</v>
      </c>
      <c r="T130" s="93">
        <f>SUM('3:4'!T130)</f>
        <v>0</v>
      </c>
      <c r="U130" s="93">
        <f>SUM('3:4'!U130)</f>
        <v>0</v>
      </c>
      <c r="V130" s="206">
        <f t="shared" si="45"/>
        <v>0</v>
      </c>
      <c r="W130" s="33" t="str">
        <f t="shared" si="43"/>
        <v/>
      </c>
      <c r="X130" s="93">
        <f>SUM('3:4'!X130)</f>
        <v>0</v>
      </c>
      <c r="Y130" s="93">
        <f>SUM('3:4'!Y130)</f>
        <v>0</v>
      </c>
      <c r="Z130" s="93">
        <f>SUM('3:4'!Z130)</f>
        <v>0</v>
      </c>
      <c r="AA130" s="93">
        <f>SUM('3:4'!AA130)</f>
        <v>0</v>
      </c>
      <c r="AB130" s="358"/>
      <c r="AC130" s="269">
        <f t="shared" si="29"/>
        <v>0</v>
      </c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 ht="17.25">
      <c r="A131" s="320">
        <v>30101068</v>
      </c>
      <c r="B131" s="63" t="s">
        <v>97</v>
      </c>
      <c r="C131" s="247" t="s">
        <v>72</v>
      </c>
      <c r="D131" s="17">
        <v>5.03</v>
      </c>
      <c r="E131" s="17"/>
      <c r="F131" s="6"/>
      <c r="G131" s="93">
        <f>SUM('3:4'!G131)</f>
        <v>0</v>
      </c>
      <c r="H131" s="93">
        <f>SUM('3:4'!H131)</f>
        <v>0</v>
      </c>
      <c r="I131" s="93">
        <f>SUM('3:4'!I131)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44"/>
        <v/>
      </c>
      <c r="N131" s="93">
        <f>SUM('3:4'!N131)</f>
        <v>0</v>
      </c>
      <c r="O131" s="93">
        <f>SUM('3:4'!O131)</f>
        <v>0</v>
      </c>
      <c r="P131" s="93">
        <f>SUM('3:4'!P131)</f>
        <v>0</v>
      </c>
      <c r="Q131" s="93">
        <f>SUM('3:4'!Q131)</f>
        <v>0</v>
      </c>
      <c r="R131" s="93">
        <f>SUM('3:4'!R131)</f>
        <v>0</v>
      </c>
      <c r="S131" s="93">
        <f>SUM('3:4'!S131)</f>
        <v>0</v>
      </c>
      <c r="T131" s="93">
        <f>SUM('3:4'!T131)</f>
        <v>0</v>
      </c>
      <c r="U131" s="93">
        <f>SUM('3:4'!U131)</f>
        <v>0</v>
      </c>
      <c r="V131" s="206">
        <f t="shared" si="45"/>
        <v>0</v>
      </c>
      <c r="W131" s="33" t="str">
        <f t="shared" si="43"/>
        <v/>
      </c>
      <c r="X131" s="93">
        <f>SUM('3:4'!X131)</f>
        <v>0</v>
      </c>
      <c r="Y131" s="93">
        <f>SUM('3:4'!Y131)</f>
        <v>0</v>
      </c>
      <c r="Z131" s="93">
        <f>SUM('3:4'!Z131)</f>
        <v>0</v>
      </c>
      <c r="AA131" s="93">
        <f>SUM('3:4'!AA131)</f>
        <v>0</v>
      </c>
      <c r="AB131" s="358"/>
      <c r="AC131" s="269">
        <f t="shared" si="29"/>
        <v>0</v>
      </c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 ht="17.25">
      <c r="A132" s="320">
        <v>30101069</v>
      </c>
      <c r="B132" s="63" t="s">
        <v>97</v>
      </c>
      <c r="C132" s="247" t="s">
        <v>60</v>
      </c>
      <c r="D132" s="17">
        <v>5.03</v>
      </c>
      <c r="E132" s="17"/>
      <c r="F132" s="6"/>
      <c r="G132" s="93">
        <f>SUM('3:4'!G132)</f>
        <v>0</v>
      </c>
      <c r="H132" s="93">
        <f>SUM('3:4'!H132)</f>
        <v>0</v>
      </c>
      <c r="I132" s="93">
        <f>SUM('3:4'!I132)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44"/>
        <v/>
      </c>
      <c r="N132" s="93">
        <f>SUM('3:4'!N132)</f>
        <v>0</v>
      </c>
      <c r="O132" s="93">
        <f>SUM('3:4'!O132)</f>
        <v>0</v>
      </c>
      <c r="P132" s="93">
        <f>SUM('3:4'!P132)</f>
        <v>0</v>
      </c>
      <c r="Q132" s="93">
        <f>SUM('3:4'!Q132)</f>
        <v>0</v>
      </c>
      <c r="R132" s="93">
        <f>SUM('3:4'!R132)</f>
        <v>0</v>
      </c>
      <c r="S132" s="93">
        <f>SUM('3:4'!S132)</f>
        <v>0</v>
      </c>
      <c r="T132" s="93">
        <f>SUM('3:4'!T132)</f>
        <v>0</v>
      </c>
      <c r="U132" s="93">
        <f>SUM('3:4'!U132)</f>
        <v>0</v>
      </c>
      <c r="V132" s="206">
        <f t="shared" si="45"/>
        <v>0</v>
      </c>
      <c r="W132" s="33" t="str">
        <f t="shared" si="43"/>
        <v/>
      </c>
      <c r="X132" s="93">
        <f>SUM('3:4'!X132)</f>
        <v>0</v>
      </c>
      <c r="Y132" s="93">
        <f>SUM('3:4'!Y132)</f>
        <v>0</v>
      </c>
      <c r="Z132" s="93">
        <f>SUM('3:4'!Z132)</f>
        <v>0</v>
      </c>
      <c r="AA132" s="93">
        <f>SUM('3:4'!AA132)</f>
        <v>0</v>
      </c>
      <c r="AB132" s="358"/>
      <c r="AC132" s="269">
        <f t="shared" si="29"/>
        <v>0</v>
      </c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 ht="17.25">
      <c r="A133" s="320">
        <v>30101070</v>
      </c>
      <c r="B133" s="63" t="s">
        <v>97</v>
      </c>
      <c r="C133" s="247" t="s">
        <v>96</v>
      </c>
      <c r="D133" s="17">
        <v>5.03</v>
      </c>
      <c r="E133" s="17"/>
      <c r="F133" s="6"/>
      <c r="G133" s="93">
        <f>SUM('3:4'!G133)</f>
        <v>0</v>
      </c>
      <c r="H133" s="93">
        <f>SUM('3:4'!H133)</f>
        <v>0</v>
      </c>
      <c r="I133" s="93">
        <f>SUM('3:4'!I133)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44"/>
        <v/>
      </c>
      <c r="N133" s="93">
        <f>SUM('3:4'!N133)</f>
        <v>0</v>
      </c>
      <c r="O133" s="93">
        <f>SUM('3:4'!O133)</f>
        <v>0</v>
      </c>
      <c r="P133" s="93">
        <f>SUM('3:4'!P133)</f>
        <v>0</v>
      </c>
      <c r="Q133" s="93">
        <f>SUM('3:4'!Q133)</f>
        <v>0</v>
      </c>
      <c r="R133" s="93">
        <f>SUM('3:4'!R133)</f>
        <v>0</v>
      </c>
      <c r="S133" s="93">
        <f>SUM('3:4'!S133)</f>
        <v>0</v>
      </c>
      <c r="T133" s="93">
        <f>SUM('3:4'!T133)</f>
        <v>0</v>
      </c>
      <c r="U133" s="93">
        <f>SUM('3:4'!U133)</f>
        <v>0</v>
      </c>
      <c r="V133" s="206">
        <f t="shared" si="45"/>
        <v>0</v>
      </c>
      <c r="W133" s="33" t="str">
        <f t="shared" si="43"/>
        <v/>
      </c>
      <c r="X133" s="93">
        <f>SUM('3:4'!X133)</f>
        <v>0</v>
      </c>
      <c r="Y133" s="93">
        <f>SUM('3:4'!Y133)</f>
        <v>0</v>
      </c>
      <c r="Z133" s="93">
        <f>SUM('3:4'!Z133)</f>
        <v>0</v>
      </c>
      <c r="AA133" s="93">
        <f>SUM('3:4'!AA133)</f>
        <v>0</v>
      </c>
      <c r="AB133" s="358"/>
      <c r="AC133" s="269">
        <f t="shared" si="29"/>
        <v>0</v>
      </c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 ht="17.25">
      <c r="A134" s="320">
        <v>30101071</v>
      </c>
      <c r="B134" s="63" t="s">
        <v>97</v>
      </c>
      <c r="C134" s="247" t="s">
        <v>73</v>
      </c>
      <c r="D134" s="17">
        <v>5.03</v>
      </c>
      <c r="E134" s="17"/>
      <c r="F134" s="6"/>
      <c r="G134" s="93">
        <f>SUM('3:4'!G134)</f>
        <v>0</v>
      </c>
      <c r="H134" s="93">
        <f>SUM('3:4'!H134)</f>
        <v>0</v>
      </c>
      <c r="I134" s="93">
        <f>SUM('3:4'!I134)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44"/>
        <v/>
      </c>
      <c r="N134" s="93">
        <f>SUM('3:4'!N134)</f>
        <v>0</v>
      </c>
      <c r="O134" s="93">
        <f>SUM('3:4'!O134)</f>
        <v>0</v>
      </c>
      <c r="P134" s="93">
        <f>SUM('3:4'!P134)</f>
        <v>0</v>
      </c>
      <c r="Q134" s="93">
        <f>SUM('3:4'!Q134)</f>
        <v>0</v>
      </c>
      <c r="R134" s="93">
        <f>SUM('3:4'!R134)</f>
        <v>0</v>
      </c>
      <c r="S134" s="93">
        <f>SUM('3:4'!S134)</f>
        <v>0</v>
      </c>
      <c r="T134" s="93">
        <f>SUM('3:4'!T134)</f>
        <v>0</v>
      </c>
      <c r="U134" s="93">
        <f>SUM('3:4'!U134)</f>
        <v>0</v>
      </c>
      <c r="V134" s="206">
        <f t="shared" si="45"/>
        <v>0</v>
      </c>
      <c r="W134" s="33" t="str">
        <f t="shared" si="43"/>
        <v/>
      </c>
      <c r="X134" s="93">
        <f>SUM('3:4'!X134)</f>
        <v>0</v>
      </c>
      <c r="Y134" s="93">
        <f>SUM('3:4'!Y134)</f>
        <v>0</v>
      </c>
      <c r="Z134" s="93">
        <f>SUM('3:4'!Z134)</f>
        <v>0</v>
      </c>
      <c r="AA134" s="93">
        <f>SUM('3:4'!AA134)</f>
        <v>0</v>
      </c>
      <c r="AB134" s="358"/>
      <c r="AC134" s="269">
        <f t="shared" si="29"/>
        <v>0</v>
      </c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 ht="17.25">
      <c r="A135" s="316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SUM('3:4'!G135)</f>
        <v>0</v>
      </c>
      <c r="H135" s="93">
        <f>SUM('3:4'!H135)</f>
        <v>0</v>
      </c>
      <c r="I135" s="93">
        <f>SUM('3:4'!I135)</f>
        <v>0</v>
      </c>
      <c r="J135" s="31" t="str">
        <f t="array" ref="J135">IF(ISERROR(G135/I135),"",G135/I135)</f>
        <v/>
      </c>
      <c r="K135" s="35">
        <f t="array" ref="K135">IF(ISERROR(G135/L135),"",G135/L135)</f>
        <v>0</v>
      </c>
      <c r="L135" s="87">
        <v>25</v>
      </c>
      <c r="M135" s="36">
        <f t="shared" si="44"/>
        <v>0</v>
      </c>
      <c r="N135" s="93">
        <f>SUM('3:4'!N135)</f>
        <v>0</v>
      </c>
      <c r="O135" s="93">
        <f>SUM('3:4'!O135)</f>
        <v>0</v>
      </c>
      <c r="P135" s="93">
        <f>SUM('3:4'!P135)</f>
        <v>0</v>
      </c>
      <c r="Q135" s="93">
        <f>SUM('3:4'!Q135)</f>
        <v>0</v>
      </c>
      <c r="R135" s="93">
        <f>SUM('3:4'!R135)</f>
        <v>0</v>
      </c>
      <c r="S135" s="93">
        <f>SUM('3:4'!S135)</f>
        <v>0</v>
      </c>
      <c r="T135" s="93">
        <f>SUM('3:4'!T135)</f>
        <v>0</v>
      </c>
      <c r="U135" s="93">
        <f>SUM('3:4'!U135)</f>
        <v>0</v>
      </c>
      <c r="V135" s="206">
        <f t="shared" si="45"/>
        <v>0</v>
      </c>
      <c r="W135" s="33" t="str">
        <f t="shared" si="43"/>
        <v/>
      </c>
      <c r="X135" s="93">
        <f>SUM('3:4'!X135)</f>
        <v>0</v>
      </c>
      <c r="Y135" s="93">
        <f>SUM('3:4'!Y135)</f>
        <v>0</v>
      </c>
      <c r="Z135" s="93">
        <f>SUM('3:4'!Z135)</f>
        <v>0</v>
      </c>
      <c r="AA135" s="93">
        <f>SUM('3:4'!AA135)</f>
        <v>0</v>
      </c>
      <c r="AB135" s="358">
        <v>0.43</v>
      </c>
      <c r="AC135" s="269">
        <f t="shared" si="29"/>
        <v>0</v>
      </c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 ht="17.25">
      <c r="A136" s="316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SUM('3:4'!G136)</f>
        <v>0</v>
      </c>
      <c r="H136" s="93">
        <f>SUM('3:4'!H136)</f>
        <v>0</v>
      </c>
      <c r="I136" s="93">
        <f>SUM('3:4'!I136)</f>
        <v>0</v>
      </c>
      <c r="J136" s="31" t="str">
        <f t="array" ref="J136">IF(ISERROR(G136/I136),"",G136/I136)</f>
        <v/>
      </c>
      <c r="K136" s="35">
        <f t="array" ref="K136">IF(ISERROR(G136/L136),"",G136/L136)</f>
        <v>0</v>
      </c>
      <c r="L136" s="87">
        <v>23</v>
      </c>
      <c r="M136" s="36">
        <f t="shared" si="44"/>
        <v>0</v>
      </c>
      <c r="N136" s="93">
        <f>SUM('3:4'!N136)</f>
        <v>0</v>
      </c>
      <c r="O136" s="93">
        <f>SUM('3:4'!O136)</f>
        <v>0</v>
      </c>
      <c r="P136" s="93">
        <f>SUM('3:4'!P136)</f>
        <v>0</v>
      </c>
      <c r="Q136" s="93">
        <f>SUM('3:4'!Q136)</f>
        <v>0</v>
      </c>
      <c r="R136" s="93">
        <f>SUM('3:4'!R136)</f>
        <v>0</v>
      </c>
      <c r="S136" s="93">
        <f>SUM('3:4'!S136)</f>
        <v>0</v>
      </c>
      <c r="T136" s="93">
        <f>SUM('3:4'!T136)</f>
        <v>0</v>
      </c>
      <c r="U136" s="93">
        <f>SUM('3:4'!U136)</f>
        <v>0</v>
      </c>
      <c r="V136" s="206">
        <f t="shared" si="45"/>
        <v>0</v>
      </c>
      <c r="W136" s="33" t="str">
        <f t="shared" si="43"/>
        <v/>
      </c>
      <c r="X136" s="93">
        <f>SUM('3:4'!X136)</f>
        <v>0</v>
      </c>
      <c r="Y136" s="93">
        <f>SUM('3:4'!Y136)</f>
        <v>0</v>
      </c>
      <c r="Z136" s="93">
        <f>SUM('3:4'!Z136)</f>
        <v>0</v>
      </c>
      <c r="AA136" s="93">
        <f>SUM('3:4'!AA136)</f>
        <v>0</v>
      </c>
      <c r="AB136" s="358">
        <v>0.43</v>
      </c>
      <c r="AC136" s="269">
        <f t="shared" ref="AC136:AC161" si="46">AB136*G136</f>
        <v>0</v>
      </c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725" t="s">
        <v>99</v>
      </c>
      <c r="B137" s="726"/>
      <c r="C137" s="243" t="s">
        <v>71</v>
      </c>
      <c r="D137" s="20"/>
      <c r="E137" s="20"/>
      <c r="F137" s="32"/>
      <c r="G137" s="99">
        <f>SUM(G122:G136)</f>
        <v>0</v>
      </c>
      <c r="H137" s="30">
        <f>SUM(H122:H136)</f>
        <v>0</v>
      </c>
      <c r="I137" s="30">
        <f>SUM(I122:I136)</f>
        <v>0</v>
      </c>
      <c r="J137" s="31" t="str">
        <f t="array" ref="J137">IF(ISERROR(G137/I137),"",G137/I137)</f>
        <v/>
      </c>
      <c r="K137" s="30">
        <f>SUM(K122:K136)</f>
        <v>0</v>
      </c>
      <c r="L137" s="98"/>
      <c r="M137" s="89">
        <f>SUM(M122:M136)</f>
        <v>0</v>
      </c>
      <c r="N137" s="30">
        <f>SUM(N122:N136)</f>
        <v>0</v>
      </c>
      <c r="O137" s="93">
        <f>SUM('3:4'!O137)</f>
        <v>0</v>
      </c>
      <c r="P137" s="93">
        <f>SUM('3:4'!P137)</f>
        <v>0</v>
      </c>
      <c r="Q137" s="93">
        <f>SUM('3:4'!Q137)</f>
        <v>0</v>
      </c>
      <c r="R137" s="93">
        <f>SUM('3:4'!R137)</f>
        <v>0</v>
      </c>
      <c r="S137" s="93">
        <f>SUM('3:4'!S137)</f>
        <v>0</v>
      </c>
      <c r="T137" s="93">
        <f>SUM('3:4'!T137)</f>
        <v>0</v>
      </c>
      <c r="U137" s="93">
        <f>SUM('3:4'!U137)</f>
        <v>0</v>
      </c>
      <c r="V137" s="208">
        <f t="shared" ref="V137" si="47">SUM(V122:V136)</f>
        <v>0</v>
      </c>
      <c r="W137" s="33" t="str">
        <f t="shared" si="43"/>
        <v/>
      </c>
      <c r="X137" s="93">
        <f>SUM('3:4'!X137)</f>
        <v>0</v>
      </c>
      <c r="Y137" s="93">
        <f>SUM('3:4'!Y137)</f>
        <v>0</v>
      </c>
      <c r="Z137" s="93">
        <f>SUM('3:4'!Z137)</f>
        <v>0</v>
      </c>
      <c r="AA137" s="93">
        <f>SUM('3:4'!AA137)</f>
        <v>0</v>
      </c>
      <c r="AB137" s="358"/>
      <c r="AC137" s="270">
        <f>SUM(AC122:AC136)</f>
        <v>0</v>
      </c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 ht="15.75">
      <c r="A138" s="30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SUM('3:4'!G138)</f>
        <v>272</v>
      </c>
      <c r="H138" s="93">
        <f>SUM('3:4'!H138)</f>
        <v>1370.88</v>
      </c>
      <c r="I138" s="93">
        <f>SUM('3:4'!I138)</f>
        <v>12.5</v>
      </c>
      <c r="J138" s="31">
        <f t="array" ref="J138">IF(ISERROR(G138/I138),"",G138/I138)</f>
        <v>21.76</v>
      </c>
      <c r="K138" s="35">
        <f t="array" ref="K138">IF(ISERROR(G138/L138),"",G138/L138)</f>
        <v>12.363636363636363</v>
      </c>
      <c r="L138" s="87">
        <v>22</v>
      </c>
      <c r="M138" s="36">
        <f t="shared" ref="M138:M146" si="48">IF(ISERROR(I138-K138),"",I138-K138)</f>
        <v>0.13636363636363669</v>
      </c>
      <c r="N138" s="93">
        <f>SUM('3:4'!N138)</f>
        <v>0</v>
      </c>
      <c r="O138" s="93">
        <f>SUM('3:4'!O138)</f>
        <v>0</v>
      </c>
      <c r="P138" s="93">
        <f>SUM('3:4'!P138)</f>
        <v>0</v>
      </c>
      <c r="Q138" s="93">
        <f>SUM('3:4'!Q138)</f>
        <v>0</v>
      </c>
      <c r="R138" s="93">
        <f>SUM('3:4'!R138)</f>
        <v>0</v>
      </c>
      <c r="S138" s="93">
        <f>SUM('3:4'!S138)</f>
        <v>0</v>
      </c>
      <c r="T138" s="93">
        <f>SUM('3:4'!T138)</f>
        <v>0</v>
      </c>
      <c r="U138" s="93">
        <f>SUM('3:4'!U138)</f>
        <v>0</v>
      </c>
      <c r="V138" s="206">
        <f t="shared" ref="V138:V146" si="49">SUM(X138:AA138)</f>
        <v>0</v>
      </c>
      <c r="W138" s="33">
        <f t="shared" si="43"/>
        <v>0</v>
      </c>
      <c r="X138" s="93">
        <f>SUM('3:4'!X138)</f>
        <v>0</v>
      </c>
      <c r="Y138" s="93">
        <f>SUM('3:4'!Y138)</f>
        <v>0</v>
      </c>
      <c r="Z138" s="93">
        <f>SUM('3:4'!Z138)</f>
        <v>0</v>
      </c>
      <c r="AA138" s="93">
        <f>SUM('3:4'!AA138)</f>
        <v>0</v>
      </c>
      <c r="AB138" s="358">
        <v>0.48</v>
      </c>
      <c r="AC138" s="269">
        <f t="shared" si="46"/>
        <v>130.56</v>
      </c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 ht="17.25">
      <c r="A139" s="316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SUM('3:4'!G139)</f>
        <v>0</v>
      </c>
      <c r="H139" s="93">
        <f>SUM('3:4'!H139)</f>
        <v>0</v>
      </c>
      <c r="I139" s="93">
        <f>SUM('3:4'!I139)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48"/>
        <v>0</v>
      </c>
      <c r="N139" s="93">
        <f>SUM('3:4'!N139)</f>
        <v>0</v>
      </c>
      <c r="O139" s="93">
        <f>SUM('3:4'!O139)</f>
        <v>0</v>
      </c>
      <c r="P139" s="93">
        <f>SUM('3:4'!P139)</f>
        <v>0</v>
      </c>
      <c r="Q139" s="93">
        <f>SUM('3:4'!Q139)</f>
        <v>0</v>
      </c>
      <c r="R139" s="93">
        <f>SUM('3:4'!R139)</f>
        <v>0</v>
      </c>
      <c r="S139" s="93">
        <f>SUM('3:4'!S139)</f>
        <v>0</v>
      </c>
      <c r="T139" s="93">
        <f>SUM('3:4'!T139)</f>
        <v>0</v>
      </c>
      <c r="U139" s="93">
        <f>SUM('3:4'!U139)</f>
        <v>0</v>
      </c>
      <c r="V139" s="206">
        <f t="shared" si="49"/>
        <v>0</v>
      </c>
      <c r="W139" s="33" t="str">
        <f t="shared" si="43"/>
        <v/>
      </c>
      <c r="X139" s="93">
        <f>SUM('3:4'!X139)</f>
        <v>0</v>
      </c>
      <c r="Y139" s="93">
        <f>SUM('3:4'!Y139)</f>
        <v>0</v>
      </c>
      <c r="Z139" s="93">
        <f>SUM('3:4'!Z139)</f>
        <v>0</v>
      </c>
      <c r="AA139" s="93">
        <f>SUM('3:4'!AA139)</f>
        <v>0</v>
      </c>
      <c r="AB139" s="358">
        <v>0.48</v>
      </c>
      <c r="AC139" s="269">
        <f t="shared" si="46"/>
        <v>0</v>
      </c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 ht="17.25">
      <c r="A140" s="316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SUM('3:4'!G140)</f>
        <v>0</v>
      </c>
      <c r="H140" s="93">
        <f>SUM('3:4'!H140)</f>
        <v>0</v>
      </c>
      <c r="I140" s="93">
        <f>SUM('3:4'!I140)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48"/>
        <v>0</v>
      </c>
      <c r="N140" s="93">
        <f>SUM('3:4'!N140)</f>
        <v>0</v>
      </c>
      <c r="O140" s="93">
        <f>SUM('3:4'!O140)</f>
        <v>0</v>
      </c>
      <c r="P140" s="93">
        <f>SUM('3:4'!P140)</f>
        <v>0</v>
      </c>
      <c r="Q140" s="93">
        <f>SUM('3:4'!Q140)</f>
        <v>0</v>
      </c>
      <c r="R140" s="93">
        <f>SUM('3:4'!R140)</f>
        <v>0</v>
      </c>
      <c r="S140" s="93">
        <f>SUM('3:4'!S140)</f>
        <v>0</v>
      </c>
      <c r="T140" s="93">
        <f>SUM('3:4'!T140)</f>
        <v>0</v>
      </c>
      <c r="U140" s="93">
        <f>SUM('3:4'!U140)</f>
        <v>0</v>
      </c>
      <c r="V140" s="206">
        <f t="shared" si="49"/>
        <v>0</v>
      </c>
      <c r="W140" s="33" t="str">
        <f t="shared" si="43"/>
        <v/>
      </c>
      <c r="X140" s="93">
        <f>SUM('3:4'!X140)</f>
        <v>0</v>
      </c>
      <c r="Y140" s="93">
        <f>SUM('3:4'!Y140)</f>
        <v>0</v>
      </c>
      <c r="Z140" s="93">
        <f>SUM('3:4'!Z140)</f>
        <v>0</v>
      </c>
      <c r="AA140" s="93">
        <f>SUM('3:4'!AA140)</f>
        <v>0</v>
      </c>
      <c r="AB140" s="358">
        <v>0.48</v>
      </c>
      <c r="AC140" s="269">
        <f t="shared" si="46"/>
        <v>0</v>
      </c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 ht="17.25">
      <c r="A141" s="316"/>
      <c r="B141" s="192" t="s">
        <v>498</v>
      </c>
      <c r="C141" s="16" t="s">
        <v>66</v>
      </c>
      <c r="D141" s="17">
        <v>5.04</v>
      </c>
      <c r="E141" s="17"/>
      <c r="F141" s="6"/>
      <c r="G141" s="93">
        <f>SUM('3:4'!G141)</f>
        <v>0</v>
      </c>
      <c r="H141" s="93">
        <f>SUM('3:4'!H141)</f>
        <v>0</v>
      </c>
      <c r="I141" s="93">
        <f>SUM('3:4'!I141)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48"/>
        <v>0</v>
      </c>
      <c r="N141" s="93">
        <f>SUM('3:4'!N141)</f>
        <v>0</v>
      </c>
      <c r="O141" s="93">
        <f>SUM('3:4'!O141)</f>
        <v>0</v>
      </c>
      <c r="P141" s="93">
        <f>SUM('3:4'!P141)</f>
        <v>0</v>
      </c>
      <c r="Q141" s="93">
        <f>SUM('3:4'!Q141)</f>
        <v>0</v>
      </c>
      <c r="R141" s="93">
        <f>SUM('3:4'!R141)</f>
        <v>0</v>
      </c>
      <c r="S141" s="93">
        <f>SUM('3:4'!S141)</f>
        <v>0</v>
      </c>
      <c r="T141" s="93">
        <f>SUM('3:4'!T141)</f>
        <v>0</v>
      </c>
      <c r="U141" s="93">
        <f>SUM('3:4'!U141)</f>
        <v>0</v>
      </c>
      <c r="V141" s="206">
        <f t="shared" si="49"/>
        <v>0</v>
      </c>
      <c r="W141" s="33" t="str">
        <f t="shared" si="43"/>
        <v/>
      </c>
      <c r="X141" s="93">
        <f>SUM('3:4'!X141)</f>
        <v>0</v>
      </c>
      <c r="Y141" s="93">
        <f>SUM('3:4'!Y141)</f>
        <v>0</v>
      </c>
      <c r="Z141" s="93">
        <f>SUM('3:4'!Z141)</f>
        <v>0</v>
      </c>
      <c r="AA141" s="93">
        <f>SUM('3:4'!AA141)</f>
        <v>0</v>
      </c>
      <c r="AB141" s="358">
        <v>0.48</v>
      </c>
      <c r="AC141" s="269">
        <f t="shared" si="46"/>
        <v>0</v>
      </c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 ht="17.25">
      <c r="A142" s="316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SUM('3:4'!G142)</f>
        <v>0</v>
      </c>
      <c r="H142" s="93">
        <f>SUM('3:4'!H142)</f>
        <v>0</v>
      </c>
      <c r="I142" s="93">
        <f>SUM('3:4'!I142)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48"/>
        <v>0</v>
      </c>
      <c r="N142" s="93">
        <f>SUM('3:4'!N142)</f>
        <v>0</v>
      </c>
      <c r="O142" s="93">
        <f>SUM('3:4'!O142)</f>
        <v>0</v>
      </c>
      <c r="P142" s="93">
        <f>SUM('3:4'!P142)</f>
        <v>0</v>
      </c>
      <c r="Q142" s="93">
        <f>SUM('3:4'!Q142)</f>
        <v>0</v>
      </c>
      <c r="R142" s="93">
        <f>SUM('3:4'!R142)</f>
        <v>0</v>
      </c>
      <c r="S142" s="93">
        <f>SUM('3:4'!S142)</f>
        <v>0</v>
      </c>
      <c r="T142" s="93">
        <f>SUM('3:4'!T142)</f>
        <v>0</v>
      </c>
      <c r="U142" s="93">
        <f>SUM('3:4'!U142)</f>
        <v>0</v>
      </c>
      <c r="V142" s="206">
        <f t="shared" si="49"/>
        <v>0</v>
      </c>
      <c r="W142" s="33" t="str">
        <f t="shared" si="43"/>
        <v/>
      </c>
      <c r="X142" s="93">
        <f>SUM('3:4'!X142)</f>
        <v>0</v>
      </c>
      <c r="Y142" s="93">
        <f>SUM('3:4'!Y142)</f>
        <v>0</v>
      </c>
      <c r="Z142" s="93">
        <f>SUM('3:4'!Z142)</f>
        <v>0</v>
      </c>
      <c r="AA142" s="93">
        <f>SUM('3:4'!AA142)</f>
        <v>0</v>
      </c>
      <c r="AB142" s="358">
        <v>0.48</v>
      </c>
      <c r="AC142" s="269">
        <f t="shared" si="46"/>
        <v>0</v>
      </c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 ht="17.25">
      <c r="A143" s="316">
        <v>30400019</v>
      </c>
      <c r="B143" s="192" t="s">
        <v>440</v>
      </c>
      <c r="C143" s="187" t="s">
        <v>442</v>
      </c>
      <c r="D143" s="17">
        <v>5.04</v>
      </c>
      <c r="E143" s="17"/>
      <c r="F143" s="6"/>
      <c r="G143" s="93">
        <f>SUM('3:4'!G143)</f>
        <v>0</v>
      </c>
      <c r="H143" s="93">
        <f>SUM('3:4'!H143)</f>
        <v>0</v>
      </c>
      <c r="I143" s="93"/>
      <c r="J143" s="31"/>
      <c r="K143" s="35">
        <f t="array" ref="K143">IF(ISERROR(G143/L143),"",G143/L143)</f>
        <v>0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6"/>
      <c r="W143" s="33"/>
      <c r="X143" s="93"/>
      <c r="Y143" s="93"/>
      <c r="Z143" s="93"/>
      <c r="AA143" s="93"/>
      <c r="AB143" s="361">
        <v>0.56000000000000005</v>
      </c>
      <c r="AC143" s="269">
        <f t="shared" si="46"/>
        <v>0</v>
      </c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 ht="17.25">
      <c r="A144" s="316">
        <v>30400020</v>
      </c>
      <c r="B144" s="192" t="s">
        <v>439</v>
      </c>
      <c r="C144" s="187" t="s">
        <v>523</v>
      </c>
      <c r="D144" s="17">
        <v>5.04</v>
      </c>
      <c r="E144" s="17"/>
      <c r="F144" s="6"/>
      <c r="G144" s="93"/>
      <c r="H144" s="93">
        <f>SUM('3:4'!H144)</f>
        <v>0</v>
      </c>
      <c r="I144" s="93"/>
      <c r="J144" s="31"/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6"/>
      <c r="W144" s="33"/>
      <c r="X144" s="93"/>
      <c r="Y144" s="93"/>
      <c r="Z144" s="93"/>
      <c r="AA144" s="93"/>
      <c r="AB144" s="480"/>
      <c r="AC144" s="269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 ht="17.25">
      <c r="A145" s="316">
        <v>30040021</v>
      </c>
      <c r="B145" s="192" t="s">
        <v>439</v>
      </c>
      <c r="C145" s="187" t="s">
        <v>525</v>
      </c>
      <c r="D145" s="17">
        <v>5.04</v>
      </c>
      <c r="E145" s="17"/>
      <c r="F145" s="6"/>
      <c r="G145" s="93"/>
      <c r="H145" s="93">
        <f>SUM('3:4'!H145)</f>
        <v>0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6"/>
      <c r="W145" s="33"/>
      <c r="X145" s="93"/>
      <c r="Y145" s="93"/>
      <c r="Z145" s="93"/>
      <c r="AA145" s="93"/>
      <c r="AB145" s="507"/>
      <c r="AC145" s="269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 ht="17.25">
      <c r="A146" s="316">
        <v>30400022</v>
      </c>
      <c r="B146" s="62" t="s">
        <v>100</v>
      </c>
      <c r="C146" s="16" t="s">
        <v>55</v>
      </c>
      <c r="D146" s="17">
        <v>5.04</v>
      </c>
      <c r="E146" s="17"/>
      <c r="F146" s="6"/>
      <c r="G146" s="93">
        <f>SUM('3:4'!G146)</f>
        <v>922</v>
      </c>
      <c r="H146" s="93">
        <f>SUM('3:4'!H146)</f>
        <v>4646.88</v>
      </c>
      <c r="I146" s="93">
        <f>SUM('3:4'!I146)</f>
        <v>44</v>
      </c>
      <c r="J146" s="31">
        <f t="array" ref="J146">IF(ISERROR(G146/I146),"",G146/I146)</f>
        <v>20.954545454545453</v>
      </c>
      <c r="K146" s="35">
        <f t="array" ref="K146">IF(ISERROR(G146/L146),"",G146/L146)</f>
        <v>41.909090909090907</v>
      </c>
      <c r="L146" s="87">
        <v>22</v>
      </c>
      <c r="M146" s="36">
        <f t="shared" si="48"/>
        <v>2.0909090909090935</v>
      </c>
      <c r="N146" s="93">
        <f>SUM('3:4'!N146)</f>
        <v>0</v>
      </c>
      <c r="O146" s="93">
        <f>SUM('3:4'!O146)</f>
        <v>0</v>
      </c>
      <c r="P146" s="93">
        <f>SUM('3:4'!P146)</f>
        <v>0</v>
      </c>
      <c r="Q146" s="93">
        <f>SUM('3:4'!Q146)</f>
        <v>0</v>
      </c>
      <c r="R146" s="93">
        <f>SUM('3:4'!R146)</f>
        <v>0</v>
      </c>
      <c r="S146" s="93">
        <f>SUM('3:4'!S146)</f>
        <v>0</v>
      </c>
      <c r="T146" s="93">
        <f>SUM('3:4'!T146)</f>
        <v>0</v>
      </c>
      <c r="U146" s="93">
        <f>SUM('3:4'!U146)</f>
        <v>0</v>
      </c>
      <c r="V146" s="206">
        <f t="shared" si="49"/>
        <v>0</v>
      </c>
      <c r="W146" s="33">
        <f t="shared" si="43"/>
        <v>0</v>
      </c>
      <c r="X146" s="93">
        <f>SUM('3:4'!X146)</f>
        <v>0</v>
      </c>
      <c r="Y146" s="93">
        <f>SUM('3:4'!Y146)</f>
        <v>0</v>
      </c>
      <c r="Z146" s="93">
        <f>SUM('3:4'!Z146)</f>
        <v>0</v>
      </c>
      <c r="AA146" s="93">
        <f>SUM('3:4'!AA146)</f>
        <v>0</v>
      </c>
      <c r="AB146" s="358">
        <v>0.48</v>
      </c>
      <c r="AC146" s="269">
        <f t="shared" si="46"/>
        <v>442.56</v>
      </c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 ht="15.75">
      <c r="A147" s="725" t="s">
        <v>102</v>
      </c>
      <c r="B147" s="726"/>
      <c r="C147" s="243" t="s">
        <v>71</v>
      </c>
      <c r="D147" s="20"/>
      <c r="E147" s="20"/>
      <c r="F147" s="32"/>
      <c r="G147" s="99">
        <f>SUM(G138:G146)</f>
        <v>1194</v>
      </c>
      <c r="H147" s="99">
        <f>SUM(H138:H146)</f>
        <v>6017.76</v>
      </c>
      <c r="I147" s="99">
        <f>SUM(I138:I146)</f>
        <v>56.5</v>
      </c>
      <c r="J147" s="31">
        <f t="array" ref="J147">IF(ISERROR(G147/I147),"",G147/I147)</f>
        <v>21.13274336283186</v>
      </c>
      <c r="K147" s="30">
        <f>SUM(K138:K146)</f>
        <v>54.272727272727266</v>
      </c>
      <c r="L147" s="98"/>
      <c r="M147" s="89">
        <f>SUM(M138:M146)</f>
        <v>2.2272727272727302</v>
      </c>
      <c r="N147" s="30">
        <f>SUM(N138:N146)</f>
        <v>0</v>
      </c>
      <c r="O147" s="91">
        <f>SUM(O138:O146)</f>
        <v>0</v>
      </c>
      <c r="P147" s="91">
        <f>SUM(P138:P146)</f>
        <v>0</v>
      </c>
      <c r="Q147" s="91">
        <f>SUM(Q138:Q146)</f>
        <v>0</v>
      </c>
      <c r="R147" s="91"/>
      <c r="S147" s="92">
        <f>SUM(S138:S146)</f>
        <v>0</v>
      </c>
      <c r="T147" s="91">
        <f>SUM(T138:T146)</f>
        <v>0</v>
      </c>
      <c r="U147" s="91">
        <f>SUM(U138:U146)</f>
        <v>0</v>
      </c>
      <c r="V147" s="206">
        <f>SUM(V138:V146)</f>
        <v>0</v>
      </c>
      <c r="W147" s="33">
        <f t="shared" si="43"/>
        <v>0</v>
      </c>
      <c r="X147" s="92">
        <f>SUM(X138:X146)</f>
        <v>0</v>
      </c>
      <c r="Y147" s="92">
        <f>SUM(Y138:Y146)</f>
        <v>0</v>
      </c>
      <c r="Z147" s="92">
        <f>SUM(Z138:Z146)</f>
        <v>0</v>
      </c>
      <c r="AA147" s="92">
        <f>SUM(AA138:AA146)</f>
        <v>0</v>
      </c>
      <c r="AB147" s="358"/>
      <c r="AC147" s="270">
        <f>SUM(AC138:AC146)</f>
        <v>573.12</v>
      </c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 ht="15.75">
      <c r="A148" s="299">
        <v>30700013</v>
      </c>
      <c r="B148" s="64" t="s">
        <v>475</v>
      </c>
      <c r="C148" s="242"/>
      <c r="D148" s="17">
        <v>3.65</v>
      </c>
      <c r="E148" s="17"/>
      <c r="F148" s="53"/>
      <c r="G148" s="93">
        <f>SUM('3:4'!G148)</f>
        <v>0</v>
      </c>
      <c r="H148" s="93">
        <f>SUM('3:4'!H148)</f>
        <v>0</v>
      </c>
      <c r="I148" s="93">
        <f>SUM('3:4'!I148)</f>
        <v>0</v>
      </c>
      <c r="J148" s="31" t="str">
        <f t="array" ref="J148">IF(ISERROR(G148/I148),"",G148/I148)</f>
        <v/>
      </c>
      <c r="K148" s="246">
        <f t="array" ref="K148">IF(ISERROR(G148/L148),"",G148/L148)</f>
        <v>0</v>
      </c>
      <c r="L148" s="87">
        <v>5</v>
      </c>
      <c r="M148" s="36">
        <f t="shared" ref="M148:M151" si="50">IF(ISERROR(I148-K148),"",I148-K148)</f>
        <v>0</v>
      </c>
      <c r="N148" s="93">
        <f>SUM('3:4'!N148)</f>
        <v>0</v>
      </c>
      <c r="O148" s="93">
        <f>SUM('3:4'!O148)</f>
        <v>0</v>
      </c>
      <c r="P148" s="93">
        <f>SUM('3:4'!P148)</f>
        <v>0</v>
      </c>
      <c r="Q148" s="93">
        <f>SUM('3:4'!Q148)</f>
        <v>0</v>
      </c>
      <c r="R148" s="93">
        <f>SUM('3:4'!R148)</f>
        <v>0</v>
      </c>
      <c r="S148" s="93">
        <f>SUM('3:4'!S148)</f>
        <v>0</v>
      </c>
      <c r="T148" s="93">
        <f>SUM('3:4'!T148)</f>
        <v>0</v>
      </c>
      <c r="U148" s="93">
        <f>SUM('3:4'!U148)</f>
        <v>0</v>
      </c>
      <c r="V148" s="206">
        <f t="shared" ref="V148:V151" si="51">SUM(X148:AA148)</f>
        <v>0</v>
      </c>
      <c r="W148" s="33" t="str">
        <f t="shared" si="43"/>
        <v/>
      </c>
      <c r="X148" s="93">
        <f>SUM('3:4'!X148)</f>
        <v>0</v>
      </c>
      <c r="Y148" s="93">
        <f>SUM('3:4'!Y148)</f>
        <v>0</v>
      </c>
      <c r="Z148" s="93">
        <f>SUM('3:4'!Z148)</f>
        <v>0</v>
      </c>
      <c r="AA148" s="93">
        <f>SUM('3:4'!AA148)</f>
        <v>0</v>
      </c>
      <c r="AB148" s="358">
        <v>2.0699999999999998</v>
      </c>
      <c r="AC148" s="269">
        <f t="shared" si="46"/>
        <v>0</v>
      </c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 ht="15.75">
      <c r="A149" s="299">
        <v>30700014</v>
      </c>
      <c r="B149" s="64" t="s">
        <v>0</v>
      </c>
      <c r="C149" s="242"/>
      <c r="D149" s="17">
        <v>6.58</v>
      </c>
      <c r="E149" s="17"/>
      <c r="F149" s="6"/>
      <c r="G149" s="93">
        <f>SUM('3:4'!G149)</f>
        <v>0</v>
      </c>
      <c r="H149" s="93">
        <f>SUM('3:4'!H149)</f>
        <v>0</v>
      </c>
      <c r="I149" s="93">
        <f>SUM('3:4'!I149)</f>
        <v>0</v>
      </c>
      <c r="J149" s="31" t="str">
        <f t="array" ref="J149">IF(ISERROR(G149/I149),"",G149/I149)</f>
        <v/>
      </c>
      <c r="K149" s="35">
        <f t="array" ref="K149">IF(ISERROR(G149/L149),"",G149/L149)</f>
        <v>0</v>
      </c>
      <c r="L149" s="87">
        <v>5</v>
      </c>
      <c r="M149" s="36">
        <f t="shared" si="50"/>
        <v>0</v>
      </c>
      <c r="N149" s="93">
        <f>SUM('3:4'!N149)</f>
        <v>0</v>
      </c>
      <c r="O149" s="93">
        <f>SUM('3:4'!O149)</f>
        <v>0</v>
      </c>
      <c r="P149" s="93">
        <f>SUM('3:4'!P149)</f>
        <v>0</v>
      </c>
      <c r="Q149" s="93">
        <f>SUM('3:4'!Q149)</f>
        <v>0</v>
      </c>
      <c r="R149" s="93">
        <f>SUM('3:4'!R149)</f>
        <v>0</v>
      </c>
      <c r="S149" s="93">
        <f>SUM('3:4'!S149)</f>
        <v>0</v>
      </c>
      <c r="T149" s="93">
        <f>SUM('3:4'!T149)</f>
        <v>0</v>
      </c>
      <c r="U149" s="93">
        <f>SUM('3:4'!U149)</f>
        <v>0</v>
      </c>
      <c r="V149" s="206">
        <f t="shared" si="51"/>
        <v>0</v>
      </c>
      <c r="W149" s="33" t="str">
        <f t="shared" si="43"/>
        <v/>
      </c>
      <c r="X149" s="93">
        <f>SUM('3:4'!X149)</f>
        <v>0</v>
      </c>
      <c r="Y149" s="93">
        <f>SUM('3:4'!Y149)</f>
        <v>0</v>
      </c>
      <c r="Z149" s="93">
        <f>SUM('3:4'!Z149)</f>
        <v>0</v>
      </c>
      <c r="AA149" s="93">
        <f>SUM('3:4'!AA149)</f>
        <v>0</v>
      </c>
      <c r="AB149" s="358">
        <v>2.0699999999999998</v>
      </c>
      <c r="AC149" s="269">
        <f t="shared" si="46"/>
        <v>0</v>
      </c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 ht="19.5" customHeight="1">
      <c r="A150" s="299">
        <v>30700016</v>
      </c>
      <c r="B150" s="64" t="s">
        <v>1</v>
      </c>
      <c r="C150" s="242"/>
      <c r="D150" s="17">
        <v>7.8</v>
      </c>
      <c r="E150" s="17"/>
      <c r="F150" s="6"/>
      <c r="G150" s="93">
        <f>SUM('3:4'!G150)</f>
        <v>0</v>
      </c>
      <c r="H150" s="93">
        <f>SUM('3:4'!H150)</f>
        <v>0</v>
      </c>
      <c r="I150" s="93">
        <f>SUM('3:4'!I150)</f>
        <v>0</v>
      </c>
      <c r="J150" s="31" t="str">
        <f t="array" ref="J150">IF(ISERROR(G150/I150),"",G150/I150)</f>
        <v/>
      </c>
      <c r="K150" s="35">
        <f t="array" ref="K150">IF(ISERROR(G150/L150),"",G150/L150)</f>
        <v>0</v>
      </c>
      <c r="L150" s="87">
        <v>4.5999999999999996</v>
      </c>
      <c r="M150" s="36">
        <f t="shared" si="50"/>
        <v>0</v>
      </c>
      <c r="N150" s="93">
        <f>SUM('3:4'!N150)</f>
        <v>0</v>
      </c>
      <c r="O150" s="93">
        <f>SUM('3:4'!O150)</f>
        <v>0</v>
      </c>
      <c r="P150" s="93">
        <f>SUM('3:4'!P150)</f>
        <v>0</v>
      </c>
      <c r="Q150" s="93">
        <f>SUM('3:4'!Q150)</f>
        <v>0</v>
      </c>
      <c r="R150" s="93">
        <f>SUM('3:4'!R150)</f>
        <v>0</v>
      </c>
      <c r="S150" s="93">
        <f>SUM('3:4'!S150)</f>
        <v>0</v>
      </c>
      <c r="T150" s="93">
        <f>SUM('3:4'!T150)</f>
        <v>0</v>
      </c>
      <c r="U150" s="93">
        <f>SUM('3:4'!U150)</f>
        <v>0</v>
      </c>
      <c r="V150" s="206">
        <f t="shared" si="51"/>
        <v>0</v>
      </c>
      <c r="W150" s="33" t="str">
        <f t="shared" si="43"/>
        <v/>
      </c>
      <c r="X150" s="93">
        <f>SUM('3:4'!X150)</f>
        <v>0</v>
      </c>
      <c r="Y150" s="93">
        <f>SUM('3:4'!Y150)</f>
        <v>0</v>
      </c>
      <c r="Z150" s="93">
        <f>SUM('3:4'!Z150)</f>
        <v>0</v>
      </c>
      <c r="AA150" s="93">
        <f>SUM('3:4'!AA150)</f>
        <v>0</v>
      </c>
      <c r="AB150" s="358">
        <v>2.25</v>
      </c>
      <c r="AC150" s="269">
        <f t="shared" si="46"/>
        <v>0</v>
      </c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5.75">
      <c r="A151" s="299">
        <v>30700017</v>
      </c>
      <c r="B151" s="64" t="s">
        <v>2</v>
      </c>
      <c r="C151" s="242"/>
      <c r="D151" s="17">
        <v>4.4000000000000004</v>
      </c>
      <c r="E151" s="17"/>
      <c r="F151" s="6"/>
      <c r="G151" s="93">
        <f>SUM('3:4'!G151)</f>
        <v>216</v>
      </c>
      <c r="H151" s="93">
        <f>SUM('3:4'!H151)</f>
        <v>950.40000000000009</v>
      </c>
      <c r="I151" s="93">
        <f>SUM('3:4'!I151)</f>
        <v>60.5</v>
      </c>
      <c r="J151" s="31">
        <f t="array" ref="J151">IF(ISERROR(G151/I151),"",G151/I151)</f>
        <v>3.5702479338842976</v>
      </c>
      <c r="K151" s="35">
        <f t="array" ref="K151">IF(ISERROR(G151/L151),"",G151/L151)</f>
        <v>37.241379310344826</v>
      </c>
      <c r="L151" s="87">
        <v>5.8</v>
      </c>
      <c r="M151" s="36">
        <f t="shared" si="50"/>
        <v>23.258620689655174</v>
      </c>
      <c r="N151" s="93">
        <f>SUM('3:4'!N151)</f>
        <v>0</v>
      </c>
      <c r="O151" s="93">
        <f>SUM('3:4'!O151)</f>
        <v>0</v>
      </c>
      <c r="P151" s="93">
        <f>SUM('3:4'!P151)</f>
        <v>0</v>
      </c>
      <c r="Q151" s="93">
        <f>SUM('3:4'!Q151)</f>
        <v>0</v>
      </c>
      <c r="R151" s="93">
        <f>SUM('3:4'!R151)</f>
        <v>0</v>
      </c>
      <c r="S151" s="93">
        <f>SUM('3:4'!S151)</f>
        <v>0</v>
      </c>
      <c r="T151" s="93">
        <f>SUM('3:4'!T151)</f>
        <v>0</v>
      </c>
      <c r="U151" s="93">
        <f>SUM('3:4'!U151)</f>
        <v>0</v>
      </c>
      <c r="V151" s="206">
        <f t="shared" si="51"/>
        <v>0</v>
      </c>
      <c r="W151" s="33">
        <f t="shared" si="43"/>
        <v>0</v>
      </c>
      <c r="X151" s="93">
        <f>SUM('3:4'!X151)</f>
        <v>0</v>
      </c>
      <c r="Y151" s="93">
        <f>SUM('3:4'!Y151)</f>
        <v>0</v>
      </c>
      <c r="Z151" s="93">
        <f>SUM('3:4'!Z151)</f>
        <v>0</v>
      </c>
      <c r="AA151" s="93">
        <f>SUM('3:4'!AA151)</f>
        <v>0</v>
      </c>
      <c r="AB151" s="358">
        <v>1.79</v>
      </c>
      <c r="AC151" s="269">
        <f t="shared" si="46"/>
        <v>386.64</v>
      </c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 ht="15.75">
      <c r="A152" s="299">
        <v>30700001</v>
      </c>
      <c r="B152" s="191" t="s">
        <v>359</v>
      </c>
      <c r="C152" s="188"/>
      <c r="D152" s="17"/>
      <c r="E152" s="17"/>
      <c r="F152" s="6"/>
      <c r="G152" s="93">
        <f>SUM('3:4'!G152)</f>
        <v>0</v>
      </c>
      <c r="H152" s="93">
        <f>SUM('3:4'!H152)</f>
        <v>0</v>
      </c>
      <c r="I152" s="93">
        <f>SUM('3:4'!I152)</f>
        <v>0</v>
      </c>
      <c r="J152" s="31"/>
      <c r="K152" s="35"/>
      <c r="L152" s="87">
        <v>6</v>
      </c>
      <c r="M152" s="36"/>
      <c r="N152" s="93">
        <f>SUM('3:4'!N152)</f>
        <v>0</v>
      </c>
      <c r="O152" s="93">
        <f>SUM('3:4'!O152)</f>
        <v>0</v>
      </c>
      <c r="P152" s="93">
        <f>SUM('3:4'!P152)</f>
        <v>0</v>
      </c>
      <c r="Q152" s="93">
        <f>SUM('3:4'!Q152)</f>
        <v>0</v>
      </c>
      <c r="R152" s="93">
        <f>SUM('3:4'!R152)</f>
        <v>0</v>
      </c>
      <c r="S152" s="93">
        <f>SUM('3:4'!S152)</f>
        <v>0</v>
      </c>
      <c r="T152" s="93">
        <f>SUM('3:4'!T152)</f>
        <v>0</v>
      </c>
      <c r="U152" s="93">
        <f>SUM('3:4'!U152)</f>
        <v>0</v>
      </c>
      <c r="V152" s="206"/>
      <c r="W152" s="33"/>
      <c r="X152" s="93">
        <f>SUM('3:4'!X152)</f>
        <v>0</v>
      </c>
      <c r="Y152" s="93">
        <f>SUM('3:4'!Y152)</f>
        <v>0</v>
      </c>
      <c r="Z152" s="93">
        <f>SUM('3:4'!Z152)</f>
        <v>0</v>
      </c>
      <c r="AA152" s="93">
        <f>SUM('3:4'!AA152)</f>
        <v>0</v>
      </c>
      <c r="AB152" s="358">
        <v>1.92</v>
      </c>
      <c r="AC152" s="269">
        <f t="shared" si="46"/>
        <v>0</v>
      </c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 ht="17.25">
      <c r="A153" s="322"/>
      <c r="B153" s="281" t="s">
        <v>239</v>
      </c>
      <c r="C153" s="242" t="s">
        <v>53</v>
      </c>
      <c r="D153" s="17">
        <v>6.04</v>
      </c>
      <c r="E153" s="17"/>
      <c r="F153" s="6"/>
      <c r="G153" s="93">
        <f>SUM('3:4'!G153)</f>
        <v>0</v>
      </c>
      <c r="H153" s="93">
        <f>SUM('3:4'!H153)</f>
        <v>0</v>
      </c>
      <c r="I153" s="93">
        <f>SUM('3:4'!I153)</f>
        <v>0</v>
      </c>
      <c r="J153" s="31" t="str">
        <f t="array" ref="J153">IF(ISERROR(G153/I153),"",G153/I153)</f>
        <v/>
      </c>
      <c r="K153" s="35">
        <f t="array" ref="K153">IF(ISERROR(G153/L153),"",G153/L153)</f>
        <v>0</v>
      </c>
      <c r="L153" s="87">
        <v>6</v>
      </c>
      <c r="M153" s="36">
        <f t="shared" ref="M153:M154" si="52">IF(ISERROR(I153-K153),"",I153-K153)</f>
        <v>0</v>
      </c>
      <c r="N153" s="93">
        <f>SUM('3:4'!N153)</f>
        <v>0</v>
      </c>
      <c r="O153" s="93">
        <f>SUM('3:4'!O153)</f>
        <v>0</v>
      </c>
      <c r="P153" s="93">
        <f>SUM('3:4'!P153)</f>
        <v>0</v>
      </c>
      <c r="Q153" s="93">
        <f>SUM('3:4'!Q153)</f>
        <v>0</v>
      </c>
      <c r="R153" s="93">
        <f>SUM('3:4'!R153)</f>
        <v>0</v>
      </c>
      <c r="S153" s="93">
        <f>SUM('3:4'!S153)</f>
        <v>0</v>
      </c>
      <c r="T153" s="93">
        <f>SUM('3:4'!T153)</f>
        <v>0</v>
      </c>
      <c r="U153" s="93">
        <f>SUM('3:4'!U153)</f>
        <v>0</v>
      </c>
      <c r="V153" s="206">
        <f t="shared" ref="V153:V154" si="53">SUM(X153:AA153)</f>
        <v>0</v>
      </c>
      <c r="W153" s="33" t="str">
        <f t="shared" ref="W153:W154" si="54">IF(ISERROR(V153/G153),"",V153/G153)</f>
        <v/>
      </c>
      <c r="X153" s="93">
        <f>SUM('3:4'!X153)</f>
        <v>0</v>
      </c>
      <c r="Y153" s="93">
        <f>SUM('3:4'!Y153)</f>
        <v>0</v>
      </c>
      <c r="Z153" s="93">
        <f>SUM('3:4'!Z153)</f>
        <v>0</v>
      </c>
      <c r="AA153" s="93">
        <f>SUM('3:4'!AA153)</f>
        <v>0</v>
      </c>
      <c r="AB153" s="358">
        <v>1.73</v>
      </c>
      <c r="AC153" s="269">
        <f t="shared" si="46"/>
        <v>0</v>
      </c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 ht="17.25">
      <c r="A154" s="322">
        <v>30700019</v>
      </c>
      <c r="B154" s="66" t="s">
        <v>104</v>
      </c>
      <c r="C154" s="242" t="s">
        <v>60</v>
      </c>
      <c r="D154" s="17">
        <v>6.04</v>
      </c>
      <c r="E154" s="17"/>
      <c r="F154" s="6"/>
      <c r="G154" s="93">
        <f>SUM('3:4'!G154)</f>
        <v>0</v>
      </c>
      <c r="H154" s="93">
        <f>SUM('3:4'!H154)</f>
        <v>0</v>
      </c>
      <c r="I154" s="93">
        <f>SUM('3:4'!I154)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 t="shared" si="52"/>
        <v>0</v>
      </c>
      <c r="N154" s="93">
        <f>SUM('3:4'!N154)</f>
        <v>0</v>
      </c>
      <c r="O154" s="93">
        <f>SUM('3:4'!O154)</f>
        <v>0</v>
      </c>
      <c r="P154" s="93">
        <f>SUM('3:4'!P154)</f>
        <v>0</v>
      </c>
      <c r="Q154" s="93">
        <f>SUM('3:4'!Q154)</f>
        <v>0</v>
      </c>
      <c r="R154" s="93">
        <f>SUM('3:4'!R154)</f>
        <v>0</v>
      </c>
      <c r="S154" s="93">
        <f>SUM('3:4'!S154)</f>
        <v>0</v>
      </c>
      <c r="T154" s="93">
        <f>SUM('3:4'!T154)</f>
        <v>0</v>
      </c>
      <c r="U154" s="93">
        <f>SUM('3:4'!U154)</f>
        <v>0</v>
      </c>
      <c r="V154" s="206">
        <f t="shared" si="53"/>
        <v>0</v>
      </c>
      <c r="W154" s="33" t="str">
        <f t="shared" si="54"/>
        <v/>
      </c>
      <c r="X154" s="93">
        <f>SUM('3:4'!X154)</f>
        <v>0</v>
      </c>
      <c r="Y154" s="93">
        <f>SUM('3:4'!Y154)</f>
        <v>0</v>
      </c>
      <c r="Z154" s="93">
        <f>SUM('3:4'!Z154)</f>
        <v>0</v>
      </c>
      <c r="AA154" s="93">
        <f>SUM('3:4'!AA154)</f>
        <v>0</v>
      </c>
      <c r="AB154" s="358">
        <v>1.73</v>
      </c>
      <c r="AC154" s="269">
        <f t="shared" si="46"/>
        <v>0</v>
      </c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 ht="15.75">
      <c r="A155" s="305">
        <v>30601015</v>
      </c>
      <c r="B155" s="281" t="s">
        <v>444</v>
      </c>
      <c r="C155" s="280" t="s">
        <v>53</v>
      </c>
      <c r="D155" s="17">
        <v>6</v>
      </c>
      <c r="E155" s="17"/>
      <c r="F155" s="6"/>
      <c r="G155" s="93">
        <f>SUM('3:4'!G155)</f>
        <v>0</v>
      </c>
      <c r="H155" s="93">
        <f>SUM('3:4'!H155)</f>
        <v>0</v>
      </c>
      <c r="I155" s="93"/>
      <c r="J155" s="31"/>
      <c r="K155" s="35"/>
      <c r="L155" s="87"/>
      <c r="M155" s="36"/>
      <c r="N155" s="93"/>
      <c r="O155" s="93"/>
      <c r="P155" s="93"/>
      <c r="Q155" s="93"/>
      <c r="R155" s="93"/>
      <c r="S155" s="93"/>
      <c r="T155" s="93"/>
      <c r="U155" s="93"/>
      <c r="V155" s="206"/>
      <c r="W155" s="33"/>
      <c r="X155" s="93"/>
      <c r="Y155" s="93"/>
      <c r="Z155" s="93"/>
      <c r="AA155" s="93"/>
      <c r="AB155" s="358">
        <v>1.73</v>
      </c>
      <c r="AC155" s="269">
        <f t="shared" si="46"/>
        <v>0</v>
      </c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 ht="15.75">
      <c r="A156" s="305">
        <v>30101016</v>
      </c>
      <c r="B156" s="281" t="s">
        <v>443</v>
      </c>
      <c r="C156" s="286" t="s">
        <v>446</v>
      </c>
      <c r="D156" s="17">
        <v>6</v>
      </c>
      <c r="E156" s="17"/>
      <c r="F156" s="6"/>
      <c r="G156" s="93">
        <f>SUM('3:4'!G156)</f>
        <v>0</v>
      </c>
      <c r="H156" s="93">
        <f>SUM('3:4'!H156)</f>
        <v>0</v>
      </c>
      <c r="I156" s="93"/>
      <c r="J156" s="31"/>
      <c r="K156" s="35"/>
      <c r="L156" s="87">
        <v>6</v>
      </c>
      <c r="M156" s="36"/>
      <c r="N156" s="93"/>
      <c r="O156" s="93"/>
      <c r="P156" s="93"/>
      <c r="Q156" s="93"/>
      <c r="R156" s="93"/>
      <c r="S156" s="93"/>
      <c r="T156" s="93"/>
      <c r="U156" s="93"/>
      <c r="V156" s="206"/>
      <c r="W156" s="33"/>
      <c r="X156" s="93"/>
      <c r="Y156" s="93"/>
      <c r="Z156" s="93"/>
      <c r="AA156" s="93"/>
      <c r="AB156" s="358">
        <v>1.73</v>
      </c>
      <c r="AC156" s="269">
        <f t="shared" si="46"/>
        <v>0</v>
      </c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 ht="15.75">
      <c r="A157" s="299">
        <v>30700018</v>
      </c>
      <c r="B157" s="61" t="s">
        <v>159</v>
      </c>
      <c r="C157" s="16"/>
      <c r="D157" s="17">
        <v>7.3</v>
      </c>
      <c r="E157" s="17"/>
      <c r="F157" s="6"/>
      <c r="G157" s="93">
        <f>SUM('3:4'!G157)</f>
        <v>0</v>
      </c>
      <c r="H157" s="93">
        <f>SUM('3:4'!H157)</f>
        <v>0</v>
      </c>
      <c r="I157" s="93">
        <f>SUM('3:4'!I157)</f>
        <v>0</v>
      </c>
      <c r="J157" s="31" t="str">
        <f t="array" ref="J157">IF(ISERROR(G157/I157),"",G157/I157)</f>
        <v/>
      </c>
      <c r="K157" s="35" t="str">
        <f t="array" ref="K157">IF(ISERROR(G157/L157),"",G157/L157)</f>
        <v/>
      </c>
      <c r="L157" s="87"/>
      <c r="M157" s="36" t="str">
        <f t="shared" ref="M157:M158" si="55">IF(ISERROR(I157-K157),"",I157-K157)</f>
        <v/>
      </c>
      <c r="N157" s="93">
        <f>SUM('3:4'!N157)</f>
        <v>0</v>
      </c>
      <c r="O157" s="93">
        <f>SUM('3:4'!O157)</f>
        <v>0</v>
      </c>
      <c r="P157" s="93">
        <f>SUM('3:4'!P157)</f>
        <v>0</v>
      </c>
      <c r="Q157" s="93">
        <f>SUM('3:4'!Q157)</f>
        <v>0</v>
      </c>
      <c r="R157" s="93">
        <f>SUM('3:4'!R157)</f>
        <v>0</v>
      </c>
      <c r="S157" s="93">
        <f>SUM('3:4'!S157)</f>
        <v>0</v>
      </c>
      <c r="T157" s="93">
        <f>SUM('3:4'!T157)</f>
        <v>0</v>
      </c>
      <c r="U157" s="93">
        <f>SUM('3:4'!U157)</f>
        <v>0</v>
      </c>
      <c r="V157" s="206">
        <f t="shared" ref="V157:V158" si="56">SUM(X157:AA157)</f>
        <v>0</v>
      </c>
      <c r="W157" s="33" t="str">
        <f t="shared" ref="W157:W158" si="57">IF(ISERROR(V157/G157),"",V157/G157)</f>
        <v/>
      </c>
      <c r="X157" s="93">
        <f>SUM('3:4'!X157)</f>
        <v>0</v>
      </c>
      <c r="Y157" s="93">
        <f>SUM('3:4'!Y157)</f>
        <v>0</v>
      </c>
      <c r="Z157" s="93">
        <f>SUM('3:4'!Z157)</f>
        <v>0</v>
      </c>
      <c r="AA157" s="93">
        <f>SUM('3:4'!AA157)</f>
        <v>0</v>
      </c>
      <c r="AB157" s="358"/>
      <c r="AC157" s="269">
        <f t="shared" si="46"/>
        <v>0</v>
      </c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 ht="15.75">
      <c r="A158" s="299">
        <v>30700010</v>
      </c>
      <c r="B158" s="61" t="s">
        <v>105</v>
      </c>
      <c r="C158" s="16"/>
      <c r="D158" s="17">
        <f>78*120/1000</f>
        <v>9.36</v>
      </c>
      <c r="E158" s="17"/>
      <c r="F158" s="6"/>
      <c r="G158" s="93">
        <f>SUM('3:4'!G158)</f>
        <v>0</v>
      </c>
      <c r="H158" s="93">
        <f>SUM('3:4'!H158)</f>
        <v>0</v>
      </c>
      <c r="I158" s="93">
        <f>SUM('3:4'!I158)</f>
        <v>0</v>
      </c>
      <c r="J158" s="31" t="str">
        <f t="array" ref="J158">IF(ISERROR(G158/I158),"",G158/I158)</f>
        <v/>
      </c>
      <c r="K158" s="35">
        <f t="array" ref="K158">IF(ISERROR(G158/L158),"",G158/L158)</f>
        <v>0</v>
      </c>
      <c r="L158" s="87">
        <v>5.5</v>
      </c>
      <c r="M158" s="36">
        <f t="shared" si="55"/>
        <v>0</v>
      </c>
      <c r="N158" s="93">
        <f>SUM('3:4'!N158)</f>
        <v>0</v>
      </c>
      <c r="O158" s="93">
        <f>SUM('3:4'!O158)</f>
        <v>0</v>
      </c>
      <c r="P158" s="93">
        <f>SUM('3:4'!P158)</f>
        <v>0</v>
      </c>
      <c r="Q158" s="93">
        <f>SUM('3:4'!Q158)</f>
        <v>0</v>
      </c>
      <c r="R158" s="93">
        <f>SUM('3:4'!R158)</f>
        <v>0</v>
      </c>
      <c r="S158" s="93">
        <f>SUM('3:4'!S158)</f>
        <v>0</v>
      </c>
      <c r="T158" s="93">
        <f>SUM('3:4'!T158)</f>
        <v>0</v>
      </c>
      <c r="U158" s="93">
        <f>SUM('3:4'!U158)</f>
        <v>0</v>
      </c>
      <c r="V158" s="206">
        <f t="shared" si="56"/>
        <v>0</v>
      </c>
      <c r="W158" s="33" t="str">
        <f t="shared" si="57"/>
        <v/>
      </c>
      <c r="X158" s="93">
        <f>SUM('3:4'!X158)</f>
        <v>0</v>
      </c>
      <c r="Y158" s="93">
        <f>SUM('3:4'!Y158)</f>
        <v>0</v>
      </c>
      <c r="Z158" s="93">
        <f>SUM('3:4'!Z158)</f>
        <v>0</v>
      </c>
      <c r="AA158" s="93">
        <f>SUM('3:4'!AA158)</f>
        <v>0</v>
      </c>
      <c r="AB158" s="358">
        <v>1.27</v>
      </c>
      <c r="AC158" s="269">
        <f t="shared" si="46"/>
        <v>0</v>
      </c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 ht="15.75">
      <c r="A159" s="299">
        <v>30700015</v>
      </c>
      <c r="B159" s="244" t="s">
        <v>159</v>
      </c>
      <c r="C159" s="16"/>
      <c r="D159" s="17">
        <v>4.5</v>
      </c>
      <c r="E159" s="17"/>
      <c r="F159" s="6"/>
      <c r="G159" s="93">
        <f>SUM('3:4'!G159)</f>
        <v>0</v>
      </c>
      <c r="H159" s="93">
        <f>SUM('3:4'!H159)</f>
        <v>0</v>
      </c>
      <c r="I159" s="93">
        <f>SUM('3:4'!I159)</f>
        <v>0</v>
      </c>
      <c r="J159" s="31"/>
      <c r="K159" s="35">
        <f t="array" ref="K159">IF(ISERROR(G159/L159),"",G159/L159)</f>
        <v>0</v>
      </c>
      <c r="L159" s="87">
        <v>6.5</v>
      </c>
      <c r="M159" s="36">
        <f>IF(ISERROR(I159-K159),"",I159-K159)</f>
        <v>0</v>
      </c>
      <c r="N159" s="93">
        <f>SUM('3:4'!N159)</f>
        <v>0</v>
      </c>
      <c r="O159" s="93">
        <f>SUM('3:4'!O159)</f>
        <v>0</v>
      </c>
      <c r="P159" s="93">
        <f>SUM('3:4'!P159)</f>
        <v>0</v>
      </c>
      <c r="Q159" s="93">
        <f>SUM('3:4'!Q159)</f>
        <v>0</v>
      </c>
      <c r="R159" s="93">
        <f>SUM('3:4'!R159)</f>
        <v>0</v>
      </c>
      <c r="S159" s="93">
        <f>SUM('3:4'!S159)</f>
        <v>0</v>
      </c>
      <c r="T159" s="93">
        <f>SUM('3:4'!T159)</f>
        <v>0</v>
      </c>
      <c r="U159" s="93">
        <f>SUM('3:4'!U159)</f>
        <v>0</v>
      </c>
      <c r="V159" s="206"/>
      <c r="W159" s="33"/>
      <c r="X159" s="93">
        <f>SUM('3:4'!X159)</f>
        <v>0</v>
      </c>
      <c r="Y159" s="93">
        <f>SUM('3:4'!Y159)</f>
        <v>0</v>
      </c>
      <c r="Z159" s="93">
        <f>SUM('3:4'!Z159)</f>
        <v>0</v>
      </c>
      <c r="AA159" s="93">
        <f>SUM('3:4'!AA159)</f>
        <v>0</v>
      </c>
      <c r="AB159" s="358"/>
      <c r="AC159" s="269">
        <f t="shared" si="46"/>
        <v>0</v>
      </c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 ht="15.75">
      <c r="A160" s="299">
        <v>30700012</v>
      </c>
      <c r="B160" s="244" t="s">
        <v>160</v>
      </c>
      <c r="C160" s="16"/>
      <c r="D160" s="17">
        <v>4.5</v>
      </c>
      <c r="E160" s="17"/>
      <c r="F160" s="6"/>
      <c r="G160" s="93">
        <f>SUM('3:4'!G160)</f>
        <v>0</v>
      </c>
      <c r="H160" s="93">
        <f>SUM('3:4'!H160)</f>
        <v>0</v>
      </c>
      <c r="I160" s="93">
        <f>SUM('3:4'!I160)</f>
        <v>0</v>
      </c>
      <c r="J160" s="31"/>
      <c r="K160" s="35">
        <f t="array" ref="K160">IF(ISERROR(G160/L160),"",G160/L160)</f>
        <v>0</v>
      </c>
      <c r="L160" s="87">
        <v>7.5</v>
      </c>
      <c r="M160" s="36">
        <f>IF(ISERROR(I160-K160),"",I160-K160)</f>
        <v>0</v>
      </c>
      <c r="N160" s="93">
        <f>SUM('3:4'!N160)</f>
        <v>0</v>
      </c>
      <c r="O160" s="93">
        <f>SUM('3:4'!O160)</f>
        <v>0</v>
      </c>
      <c r="P160" s="93">
        <f>SUM('3:4'!P160)</f>
        <v>0</v>
      </c>
      <c r="Q160" s="93">
        <f>SUM('3:4'!Q160)</f>
        <v>0</v>
      </c>
      <c r="R160" s="93">
        <f>SUM('3:4'!R160)</f>
        <v>0</v>
      </c>
      <c r="S160" s="93">
        <f>SUM('3:4'!S160)</f>
        <v>0</v>
      </c>
      <c r="T160" s="93">
        <f>SUM('3:4'!T160)</f>
        <v>0</v>
      </c>
      <c r="U160" s="93">
        <f>SUM('3:4'!U160)</f>
        <v>0</v>
      </c>
      <c r="V160" s="206"/>
      <c r="W160" s="33"/>
      <c r="X160" s="93">
        <f>SUM('3:4'!X160)</f>
        <v>0</v>
      </c>
      <c r="Y160" s="93">
        <f>SUM('3:4'!Y160)</f>
        <v>0</v>
      </c>
      <c r="Z160" s="93">
        <f>SUM('3:4'!Z160)</f>
        <v>0</v>
      </c>
      <c r="AA160" s="93">
        <f>SUM('3:4'!AA160)</f>
        <v>0</v>
      </c>
      <c r="AB160" s="358"/>
      <c r="AC160" s="269">
        <f t="shared" si="46"/>
        <v>0</v>
      </c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 ht="17.25">
      <c r="A161" s="323">
        <v>30101063</v>
      </c>
      <c r="B161" s="254" t="s">
        <v>437</v>
      </c>
      <c r="C161" s="16"/>
      <c r="D161" s="17">
        <v>5.03</v>
      </c>
      <c r="E161" s="17"/>
      <c r="F161" s="6"/>
      <c r="G161" s="93">
        <f>SUM('3:4'!G161)</f>
        <v>0</v>
      </c>
      <c r="H161" s="93">
        <f>SUM('3:4'!H161)</f>
        <v>0</v>
      </c>
      <c r="I161" s="93"/>
      <c r="J161" s="31"/>
      <c r="K161" s="35"/>
      <c r="L161" s="87"/>
      <c r="M161" s="36"/>
      <c r="N161" s="93"/>
      <c r="O161" s="93"/>
      <c r="P161" s="93"/>
      <c r="Q161" s="93"/>
      <c r="R161" s="93"/>
      <c r="S161" s="93"/>
      <c r="T161" s="93"/>
      <c r="U161" s="93"/>
      <c r="V161" s="206"/>
      <c r="W161" s="33"/>
      <c r="X161" s="93"/>
      <c r="Y161" s="93"/>
      <c r="Z161" s="93"/>
      <c r="AA161" s="93"/>
      <c r="AB161" s="358"/>
      <c r="AC161" s="269">
        <f t="shared" si="46"/>
        <v>0</v>
      </c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 ht="15.75">
      <c r="A162" s="725" t="s">
        <v>106</v>
      </c>
      <c r="B162" s="726"/>
      <c r="C162" s="243" t="s">
        <v>71</v>
      </c>
      <c r="D162" s="20"/>
      <c r="E162" s="20"/>
      <c r="F162" s="32"/>
      <c r="G162" s="94">
        <f>SUM(G148:G160)</f>
        <v>216</v>
      </c>
      <c r="H162" s="30">
        <f>SUM(H148:H160)</f>
        <v>950.40000000000009</v>
      </c>
      <c r="I162" s="30">
        <f>SUM(I148:I160)</f>
        <v>60.5</v>
      </c>
      <c r="J162" s="31">
        <f t="array" ref="J162">IF(ISERROR(G162/I162),"",G162/I162)</f>
        <v>3.5702479338842976</v>
      </c>
      <c r="K162" s="30">
        <f>SUM(K148:K158)</f>
        <v>37.241379310344826</v>
      </c>
      <c r="L162" s="98"/>
      <c r="M162" s="89">
        <f t="shared" ref="M162:V162" si="58">SUM(M148:M158)</f>
        <v>23.258620689655174</v>
      </c>
      <c r="N162" s="20">
        <f t="shared" si="58"/>
        <v>0</v>
      </c>
      <c r="O162" s="91">
        <f t="shared" si="58"/>
        <v>0</v>
      </c>
      <c r="P162" s="91">
        <f t="shared" si="58"/>
        <v>0</v>
      </c>
      <c r="Q162" s="91">
        <f t="shared" si="58"/>
        <v>0</v>
      </c>
      <c r="R162" s="91">
        <f t="shared" si="58"/>
        <v>0</v>
      </c>
      <c r="S162" s="92">
        <f t="shared" si="58"/>
        <v>0</v>
      </c>
      <c r="T162" s="91">
        <f t="shared" si="58"/>
        <v>0</v>
      </c>
      <c r="U162" s="91">
        <f t="shared" si="58"/>
        <v>0</v>
      </c>
      <c r="V162" s="206">
        <f t="shared" si="58"/>
        <v>0</v>
      </c>
      <c r="W162" s="33">
        <f t="shared" ref="W162" si="59">IF(ISERROR(V162/G162),"",V162/G162)</f>
        <v>0</v>
      </c>
      <c r="X162" s="92">
        <f>SUM(X148:X158)</f>
        <v>0</v>
      </c>
      <c r="Y162" s="92">
        <f>SUM(Y148:Y158)</f>
        <v>0</v>
      </c>
      <c r="Z162" s="92">
        <f>SUM(Z148:Z158)</f>
        <v>0</v>
      </c>
      <c r="AA162" s="92">
        <f>SUM(AA148:AA158)</f>
        <v>0</v>
      </c>
      <c r="AB162" s="358"/>
      <c r="AC162" s="91">
        <f>SUM(AC148:AC160)</f>
        <v>386.64</v>
      </c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 ht="15.75">
      <c r="A163" s="736" t="s">
        <v>108</v>
      </c>
      <c r="B163" s="737"/>
      <c r="C163" s="737"/>
      <c r="D163" s="737"/>
      <c r="E163" s="737"/>
      <c r="F163" s="738"/>
      <c r="G163" s="193">
        <f>SUM(G28,G86,G121,G137,G147,G162)</f>
        <v>1966</v>
      </c>
      <c r="H163" s="193">
        <f>SUM(H28,H86,H121,H137,H147,H162)</f>
        <v>9758.7199999999993</v>
      </c>
      <c r="I163" s="193">
        <f>SUM(I28,I86,I121,I137,I147,I162)</f>
        <v>144.5</v>
      </c>
      <c r="J163" s="52">
        <f t="array" ref="J163">IF(ISERROR(G163/I163),"",G163/I163)</f>
        <v>13.605536332179931</v>
      </c>
      <c r="K163" s="193">
        <f>SUM(K28,K86,K121,K137,K147,K162)</f>
        <v>118.70227862608284</v>
      </c>
      <c r="L163" s="52">
        <f>IF(ISERROR(G163/K163),"",G163/K163)</f>
        <v>16.562445327549124</v>
      </c>
      <c r="M163" s="193">
        <f t="shared" ref="M163:AA163" si="60">SUM(M28,M86,M121,M137,M147,M162)</f>
        <v>25.631054707250485</v>
      </c>
      <c r="N163" s="193">
        <f t="shared" si="60"/>
        <v>0</v>
      </c>
      <c r="O163" s="193">
        <f t="shared" si="60"/>
        <v>0</v>
      </c>
      <c r="P163" s="193">
        <f t="shared" si="60"/>
        <v>0</v>
      </c>
      <c r="Q163" s="193">
        <f t="shared" si="60"/>
        <v>0</v>
      </c>
      <c r="R163" s="193">
        <f t="shared" si="60"/>
        <v>0</v>
      </c>
      <c r="S163" s="193">
        <f t="shared" si="60"/>
        <v>0</v>
      </c>
      <c r="T163" s="193">
        <f t="shared" si="60"/>
        <v>0</v>
      </c>
      <c r="U163" s="193">
        <f t="shared" si="60"/>
        <v>0</v>
      </c>
      <c r="V163" s="193">
        <f t="shared" si="60"/>
        <v>0</v>
      </c>
      <c r="W163" s="193">
        <f t="shared" si="60"/>
        <v>0</v>
      </c>
      <c r="X163" s="193">
        <f t="shared" si="60"/>
        <v>0</v>
      </c>
      <c r="Y163" s="193">
        <f t="shared" si="60"/>
        <v>0</v>
      </c>
      <c r="Z163" s="193">
        <f t="shared" si="60"/>
        <v>0</v>
      </c>
      <c r="AA163" s="193">
        <f t="shared" si="60"/>
        <v>0</v>
      </c>
      <c r="AB163" s="358"/>
      <c r="AC163" s="271">
        <f>SUM(AC28,AC86,AC121,AC137,AC147,AC162)</f>
        <v>1735.08</v>
      </c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 ht="15.75" hidden="1" customHeight="1">
      <c r="A164" s="790" t="s">
        <v>109</v>
      </c>
      <c r="B164" s="245" t="s">
        <v>110</v>
      </c>
      <c r="C164" s="739" t="s">
        <v>111</v>
      </c>
      <c r="D164" s="739"/>
      <c r="E164" s="718" t="s">
        <v>112</v>
      </c>
      <c r="F164" s="718"/>
      <c r="G164" s="729" t="s">
        <v>113</v>
      </c>
      <c r="H164" s="729"/>
      <c r="I164" s="718" t="s">
        <v>114</v>
      </c>
      <c r="J164" s="718"/>
      <c r="K164" s="718" t="s">
        <v>36</v>
      </c>
      <c r="L164" s="718"/>
      <c r="M164" s="718" t="s">
        <v>115</v>
      </c>
      <c r="N164" s="718"/>
      <c r="O164" s="718" t="s">
        <v>116</v>
      </c>
      <c r="P164" s="729" t="s">
        <v>117</v>
      </c>
      <c r="Q164" s="729"/>
      <c r="R164" s="729" t="s">
        <v>36</v>
      </c>
      <c r="S164" s="729"/>
      <c r="T164" s="729" t="s">
        <v>118</v>
      </c>
      <c r="U164" s="729"/>
      <c r="V164" s="729" t="s">
        <v>119</v>
      </c>
      <c r="W164" s="729"/>
      <c r="X164" s="729" t="s">
        <v>36</v>
      </c>
      <c r="Y164" s="729"/>
      <c r="Z164" s="729" t="s">
        <v>118</v>
      </c>
      <c r="AA164" s="729"/>
      <c r="AE164" s="14"/>
      <c r="AF164" s="14"/>
      <c r="AG164" s="3"/>
      <c r="AH164" s="249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21"/>
      <c r="AV164" s="21"/>
      <c r="AW164" s="21"/>
      <c r="AX164" s="21"/>
      <c r="AY164" s="21"/>
      <c r="AZ164" s="21"/>
      <c r="BA164" s="21"/>
    </row>
    <row r="165" spans="1:106" ht="13.5" hidden="1" customHeight="1">
      <c r="A165" s="791"/>
      <c r="B165" s="245" t="s">
        <v>120</v>
      </c>
      <c r="C165" s="740">
        <f>SUM('3:4'!C165)</f>
        <v>2</v>
      </c>
      <c r="D165" s="741"/>
      <c r="E165" s="742">
        <f>D165*11</f>
        <v>0</v>
      </c>
      <c r="F165" s="742"/>
      <c r="G165" s="740">
        <f>SUM('3:4'!G165)</f>
        <v>2</v>
      </c>
      <c r="H165" s="741"/>
      <c r="I165" s="718">
        <f>G165*11</f>
        <v>22</v>
      </c>
      <c r="J165" s="718"/>
      <c r="K165" s="718">
        <f>E165-I165</f>
        <v>-22</v>
      </c>
      <c r="L165" s="718"/>
      <c r="M165" s="743" t="str">
        <f>IF(ISERROR(K165/E165),"",K165/E165)</f>
        <v/>
      </c>
      <c r="N165" s="743"/>
      <c r="O165" s="718"/>
      <c r="P165" s="729" t="s">
        <v>70</v>
      </c>
      <c r="Q165" s="729"/>
      <c r="R165" s="744">
        <f>SUM(O28:U28)</f>
        <v>0</v>
      </c>
      <c r="S165" s="744"/>
      <c r="T165" s="745" t="str">
        <f t="array" ref="T165">IF(ISERROR(R165/R172),"",R165/R172)</f>
        <v/>
      </c>
      <c r="U165" s="745"/>
      <c r="V165" s="729" t="s">
        <v>41</v>
      </c>
      <c r="W165" s="729"/>
      <c r="X165" s="744">
        <f>SUM(P27,P85,P120,P136,P146,P160)</f>
        <v>0</v>
      </c>
      <c r="Y165" s="744"/>
      <c r="Z165" s="745" t="str">
        <f t="array" ref="Z165">IF(ISERROR(X165/X172),"",X165/X172)</f>
        <v/>
      </c>
      <c r="AA165" s="745"/>
      <c r="AE165" s="14"/>
      <c r="AF165" s="14"/>
      <c r="AG165" s="3"/>
      <c r="AH165" s="251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5.75" hidden="1">
      <c r="A166" s="791"/>
      <c r="B166" s="245" t="s">
        <v>121</v>
      </c>
      <c r="C166" s="740">
        <f>SUM('3:4'!C166)</f>
        <v>2</v>
      </c>
      <c r="D166" s="741"/>
      <c r="E166" s="742">
        <f>D166*11</f>
        <v>0</v>
      </c>
      <c r="F166" s="742"/>
      <c r="G166" s="740">
        <f>SUM('3:4'!G166)</f>
        <v>2</v>
      </c>
      <c r="H166" s="741"/>
      <c r="I166" s="718">
        <f>G166*11</f>
        <v>22</v>
      </c>
      <c r="J166" s="718"/>
      <c r="K166" s="718">
        <f>E166-I166</f>
        <v>-22</v>
      </c>
      <c r="L166" s="718"/>
      <c r="M166" s="743" t="str">
        <f>IF(ISERROR(K166/E166),"",K166/E166)</f>
        <v/>
      </c>
      <c r="N166" s="743"/>
      <c r="O166" s="718"/>
      <c r="P166" s="729" t="s">
        <v>86</v>
      </c>
      <c r="Q166" s="729"/>
      <c r="R166" s="744">
        <f>SUM(O86:U86)</f>
        <v>0</v>
      </c>
      <c r="S166" s="744"/>
      <c r="T166" s="745" t="str">
        <f>IF(ISERROR(R166/R172),"",R166/R172)</f>
        <v/>
      </c>
      <c r="U166" s="745"/>
      <c r="V166" s="729" t="s">
        <v>42</v>
      </c>
      <c r="W166" s="729"/>
      <c r="X166" s="744">
        <f>SUM(P28,P86,P121,P137,P147,P162)</f>
        <v>0</v>
      </c>
      <c r="Y166" s="744"/>
      <c r="Z166" s="745" t="str">
        <f>IF(ISERROR(X166/X172),"",X166/X172)</f>
        <v/>
      </c>
      <c r="AA166" s="745"/>
      <c r="AE166" s="14"/>
      <c r="AF166" s="14"/>
      <c r="AG166" s="3"/>
      <c r="AH166" s="251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 ht="15.75" hidden="1">
      <c r="A167" s="791"/>
      <c r="B167" s="245" t="s">
        <v>122</v>
      </c>
      <c r="C167" s="740">
        <f>SUM('3:4'!C167)</f>
        <v>2</v>
      </c>
      <c r="D167" s="741"/>
      <c r="E167" s="742">
        <f>D167*11</f>
        <v>0</v>
      </c>
      <c r="F167" s="742"/>
      <c r="G167" s="740">
        <f>SUM('3:4'!G167)</f>
        <v>2</v>
      </c>
      <c r="H167" s="741"/>
      <c r="I167" s="718">
        <f>G167*8</f>
        <v>16</v>
      </c>
      <c r="J167" s="718"/>
      <c r="K167" s="718">
        <f>E167-I167</f>
        <v>-16</v>
      </c>
      <c r="L167" s="718"/>
      <c r="M167" s="743" t="str">
        <f>IF(ISERROR(K167/E167),"",K167/E167)</f>
        <v/>
      </c>
      <c r="N167" s="743"/>
      <c r="O167" s="718"/>
      <c r="P167" s="729" t="s">
        <v>92</v>
      </c>
      <c r="Q167" s="729"/>
      <c r="R167" s="744">
        <f>SUM(O121:U121)</f>
        <v>0</v>
      </c>
      <c r="S167" s="744"/>
      <c r="T167" s="745" t="str">
        <f>IF(ISERROR(R167/R172),"",R167/R172)</f>
        <v/>
      </c>
      <c r="U167" s="745"/>
      <c r="V167" s="729" t="s">
        <v>43</v>
      </c>
      <c r="W167" s="729"/>
      <c r="X167" s="744">
        <f>SUM(P29,P87,P122,P138,P148,P163)</f>
        <v>0</v>
      </c>
      <c r="Y167" s="744"/>
      <c r="Z167" s="745" t="str">
        <f>IF(ISERROR(X167/X172),"",X167/X172)</f>
        <v/>
      </c>
      <c r="AA167" s="745"/>
      <c r="AE167" s="14"/>
      <c r="AF167" s="14"/>
      <c r="AG167" s="251"/>
      <c r="AH167" s="251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 ht="15.75" hidden="1">
      <c r="A168" s="791"/>
      <c r="B168" s="245" t="s">
        <v>47</v>
      </c>
      <c r="C168" s="740">
        <f>SUM('3:4'!C168)</f>
        <v>2</v>
      </c>
      <c r="D168" s="741"/>
      <c r="E168" s="742">
        <f>D168*11</f>
        <v>0</v>
      </c>
      <c r="F168" s="742"/>
      <c r="G168" s="740">
        <f>SUM('3:4'!G168)</f>
        <v>2</v>
      </c>
      <c r="H168" s="741"/>
      <c r="I168" s="718">
        <f>G168*11</f>
        <v>22</v>
      </c>
      <c r="J168" s="718"/>
      <c r="K168" s="718">
        <f>E168-I168</f>
        <v>-22</v>
      </c>
      <c r="L168" s="718"/>
      <c r="M168" s="743" t="str">
        <f>IF(ISERROR(K168/E168),"",K168/E168)</f>
        <v/>
      </c>
      <c r="N168" s="743"/>
      <c r="O168" s="718"/>
      <c r="P168" s="729" t="s">
        <v>99</v>
      </c>
      <c r="Q168" s="729"/>
      <c r="R168" s="744">
        <f>SUM(O137:U137)</f>
        <v>0</v>
      </c>
      <c r="S168" s="744"/>
      <c r="T168" s="745" t="str">
        <f>IF(ISERROR(R168/R172),"",R168/R172)</f>
        <v/>
      </c>
      <c r="U168" s="745"/>
      <c r="V168" s="729" t="s">
        <v>44</v>
      </c>
      <c r="W168" s="729"/>
      <c r="X168" s="744">
        <f>SUM(P31,P88,P123,P139,P149,P164)</f>
        <v>0</v>
      </c>
      <c r="Y168" s="744"/>
      <c r="Z168" s="745" t="str">
        <f>IF(ISERROR(X168/X172),"",X168/X172)</f>
        <v/>
      </c>
      <c r="AA168" s="745"/>
      <c r="AE168" s="14"/>
      <c r="AF168" s="14"/>
      <c r="AG168" s="251"/>
      <c r="AH168" s="251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 ht="15.75" hidden="1">
      <c r="A169" s="792"/>
      <c r="B169" s="245" t="s">
        <v>123</v>
      </c>
      <c r="C169" s="747">
        <f>SUM(C165:D168)</f>
        <v>8</v>
      </c>
      <c r="D169" s="718"/>
      <c r="E169" s="718">
        <f>SUM(F165:F168)</f>
        <v>0</v>
      </c>
      <c r="F169" s="718"/>
      <c r="G169" s="747">
        <f>SUM(G165:H168)</f>
        <v>8</v>
      </c>
      <c r="H169" s="718"/>
      <c r="I169" s="718">
        <f>SUM(I165:J168)</f>
        <v>82</v>
      </c>
      <c r="J169" s="718"/>
      <c r="K169" s="718">
        <f>SUM(K165:L168)</f>
        <v>-82</v>
      </c>
      <c r="L169" s="718"/>
      <c r="M169" s="743" t="str">
        <f>IF(ISERROR(K169/E169),"",K169/E169)</f>
        <v/>
      </c>
      <c r="N169" s="743"/>
      <c r="O169" s="718"/>
      <c r="P169" s="729" t="s">
        <v>102</v>
      </c>
      <c r="Q169" s="729"/>
      <c r="R169" s="744">
        <f>SUM(O147:U147)</f>
        <v>0</v>
      </c>
      <c r="S169" s="744"/>
      <c r="T169" s="745" t="str">
        <f>IF(ISERROR(R169/R172),"",R169/R172)</f>
        <v/>
      </c>
      <c r="U169" s="745"/>
      <c r="V169" s="729" t="s">
        <v>45</v>
      </c>
      <c r="W169" s="729"/>
      <c r="X169" s="744">
        <f>SUM(P32,P89,P124,P140,P150,P165)</f>
        <v>0</v>
      </c>
      <c r="Y169" s="744"/>
      <c r="Z169" s="745" t="str">
        <f>IF(ISERROR(X169/X172),"",X169/X172)</f>
        <v/>
      </c>
      <c r="AA169" s="745"/>
      <c r="AE169" s="14"/>
      <c r="AF169" s="14"/>
      <c r="AG169" s="251"/>
      <c r="AH169" s="251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48"/>
      <c r="AV169" s="248"/>
      <c r="AW169" s="248"/>
      <c r="AX169" s="248"/>
      <c r="AY169" s="248"/>
      <c r="AZ169" s="248"/>
      <c r="BA169" s="248"/>
    </row>
    <row r="170" spans="1:106" ht="17.25" hidden="1">
      <c r="A170" s="324" t="s">
        <v>152</v>
      </c>
      <c r="B170" s="245">
        <f>G163</f>
        <v>1966</v>
      </c>
      <c r="C170" s="744" t="s">
        <v>155</v>
      </c>
      <c r="D170" s="744"/>
      <c r="E170" s="729">
        <f>H163</f>
        <v>9758.7199999999993</v>
      </c>
      <c r="F170" s="729"/>
      <c r="G170" s="729" t="s">
        <v>34</v>
      </c>
      <c r="H170" s="729"/>
      <c r="I170" s="746">
        <f>L163</f>
        <v>16.562445327549124</v>
      </c>
      <c r="J170" s="746"/>
      <c r="K170" s="718" t="s">
        <v>32</v>
      </c>
      <c r="L170" s="718"/>
      <c r="M170" s="746">
        <f>J163</f>
        <v>13.605536332179931</v>
      </c>
      <c r="N170" s="746"/>
      <c r="O170" s="718"/>
      <c r="P170" s="729" t="s">
        <v>106</v>
      </c>
      <c r="Q170" s="729"/>
      <c r="R170" s="744">
        <f>SUM(O162:U162)</f>
        <v>0</v>
      </c>
      <c r="S170" s="744"/>
      <c r="T170" s="745" t="str">
        <f>IF(ISERROR(R170/R172),"",R170/R172)</f>
        <v/>
      </c>
      <c r="U170" s="745"/>
      <c r="V170" s="729" t="s">
        <v>46</v>
      </c>
      <c r="W170" s="729"/>
      <c r="X170" s="744">
        <f>SUM(P33,P90,P125,P141,P151,P166)</f>
        <v>0</v>
      </c>
      <c r="Y170" s="744"/>
      <c r="Z170" s="745" t="str">
        <f>IF(ISERROR(X170/X172),"",X170/X172)</f>
        <v/>
      </c>
      <c r="AA170" s="745"/>
      <c r="AE170" s="14"/>
      <c r="AF170" s="14"/>
      <c r="AG170" s="251"/>
      <c r="AH170" s="251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248"/>
      <c r="AV170" s="248"/>
      <c r="AW170" s="248"/>
      <c r="AX170" s="248"/>
      <c r="AY170" s="248"/>
      <c r="AZ170" s="248"/>
      <c r="BA170" s="248"/>
    </row>
    <row r="171" spans="1:106" ht="17.25" hidden="1">
      <c r="A171" s="325" t="s">
        <v>153</v>
      </c>
      <c r="B171" s="245">
        <f>I163+C169</f>
        <v>152.5</v>
      </c>
      <c r="C171" s="729" t="s">
        <v>114</v>
      </c>
      <c r="D171" s="729"/>
      <c r="E171" s="739">
        <f>K163+I169</f>
        <v>200.70227862608283</v>
      </c>
      <c r="F171" s="739"/>
      <c r="G171" s="729" t="s">
        <v>150</v>
      </c>
      <c r="H171" s="729"/>
      <c r="I171" s="746">
        <f>B171-E171</f>
        <v>-48.20227862608283</v>
      </c>
      <c r="J171" s="746"/>
      <c r="K171" s="718" t="s">
        <v>151</v>
      </c>
      <c r="L171" s="718"/>
      <c r="M171" s="743">
        <f>IF(ISERROR(I171/B171),"",I171/B171)</f>
        <v>-0.31608051558087102</v>
      </c>
      <c r="N171" s="743"/>
      <c r="O171" s="718"/>
      <c r="P171" s="729" t="s">
        <v>107</v>
      </c>
      <c r="Q171" s="729"/>
      <c r="R171" s="744"/>
      <c r="S171" s="744"/>
      <c r="T171" s="745" t="str">
        <f>IF(ISERROR(R171/R172),"",R171/R172)</f>
        <v/>
      </c>
      <c r="U171" s="745"/>
      <c r="V171" s="729" t="s">
        <v>47</v>
      </c>
      <c r="W171" s="729"/>
      <c r="X171" s="744"/>
      <c r="Y171" s="744"/>
      <c r="Z171" s="745" t="str">
        <f>IF(ISERROR(X171/X172),"",X171/X172)</f>
        <v/>
      </c>
      <c r="AA171" s="745"/>
      <c r="AE171" s="14"/>
      <c r="AF171" s="14"/>
      <c r="AG171" s="251"/>
      <c r="AH171" s="251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248"/>
      <c r="AV171" s="248"/>
      <c r="AW171" s="248"/>
      <c r="AX171" s="248"/>
      <c r="AY171" s="248"/>
      <c r="AZ171" s="248"/>
      <c r="BA171" s="248"/>
    </row>
    <row r="172" spans="1:106" ht="15.75" hidden="1" customHeight="1">
      <c r="A172" s="325" t="s">
        <v>154</v>
      </c>
      <c r="B172" s="245">
        <f>N163</f>
        <v>0</v>
      </c>
      <c r="C172" s="729" t="s">
        <v>149</v>
      </c>
      <c r="D172" s="729"/>
      <c r="E172" s="745">
        <f>IF(ISERROR(B172/B171),"",B172/B171)</f>
        <v>0</v>
      </c>
      <c r="F172" s="745"/>
      <c r="G172" s="729" t="s">
        <v>158</v>
      </c>
      <c r="H172" s="729"/>
      <c r="I172" s="718">
        <f>V163</f>
        <v>0</v>
      </c>
      <c r="J172" s="718"/>
      <c r="K172" s="718" t="s">
        <v>156</v>
      </c>
      <c r="L172" s="718"/>
      <c r="M172" s="743">
        <f t="array" ref="M172">IF(ISERROR(I172/B170),"",I172/B170)</f>
        <v>0</v>
      </c>
      <c r="N172" s="743"/>
      <c r="O172" s="718"/>
      <c r="P172" s="729" t="s">
        <v>123</v>
      </c>
      <c r="Q172" s="729"/>
      <c r="R172" s="744">
        <f>SUM(R165:S171)</f>
        <v>0</v>
      </c>
      <c r="S172" s="744"/>
      <c r="T172" s="745">
        <f>SUM(T165:U171)</f>
        <v>0</v>
      </c>
      <c r="U172" s="745"/>
      <c r="V172" s="729" t="s">
        <v>123</v>
      </c>
      <c r="W172" s="729"/>
      <c r="X172" s="744">
        <f>SUM(X165:Y171)</f>
        <v>0</v>
      </c>
      <c r="Y172" s="744"/>
      <c r="Z172" s="745">
        <f>SUM(Z165:AA171)</f>
        <v>0</v>
      </c>
      <c r="AA172" s="745"/>
      <c r="AE172" s="14"/>
      <c r="AF172" s="14"/>
      <c r="AG172" s="251"/>
      <c r="AH172" s="251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248"/>
      <c r="AV172" s="248"/>
      <c r="AW172" s="248"/>
      <c r="AX172" s="248"/>
      <c r="AY172" s="248"/>
      <c r="AZ172" s="248"/>
      <c r="BA172" s="248"/>
    </row>
    <row r="173" spans="1:106" ht="15.75">
      <c r="A173" s="748" t="s">
        <v>128</v>
      </c>
      <c r="B173" s="748"/>
      <c r="C173" s="748"/>
      <c r="D173" s="748"/>
      <c r="E173" s="748"/>
      <c r="F173" s="748"/>
      <c r="G173" s="748"/>
      <c r="H173" s="748"/>
      <c r="I173" s="748"/>
      <c r="J173" s="749"/>
      <c r="K173" s="748"/>
      <c r="L173" s="748"/>
      <c r="M173" s="748"/>
      <c r="N173" s="748"/>
      <c r="O173" s="748"/>
      <c r="P173" s="748"/>
      <c r="Q173" s="748"/>
      <c r="R173" s="748"/>
      <c r="S173" s="748"/>
      <c r="T173" s="748"/>
      <c r="U173" s="748"/>
      <c r="V173" s="748"/>
      <c r="W173" s="748"/>
      <c r="X173" s="748"/>
      <c r="Y173" s="748"/>
      <c r="Z173" s="748"/>
      <c r="AA173" s="748"/>
      <c r="AB173" s="748"/>
      <c r="AC173" s="748"/>
      <c r="AD173" s="748"/>
      <c r="AE173" s="748"/>
      <c r="AF173" s="748"/>
      <c r="AG173" s="748"/>
      <c r="AH173" s="748"/>
      <c r="AI173" s="748"/>
      <c r="AJ173" s="748"/>
      <c r="AK173" s="748"/>
      <c r="AL173" s="748"/>
      <c r="AM173" s="748"/>
      <c r="AN173" s="748"/>
      <c r="AO173" s="748"/>
      <c r="AP173" s="748"/>
      <c r="AQ173" s="748"/>
      <c r="AR173" s="748"/>
      <c r="AS173" s="748"/>
      <c r="AT173" s="748"/>
      <c r="AU173" s="748"/>
      <c r="AV173" s="748"/>
      <c r="AW173" s="748"/>
      <c r="AX173" s="748"/>
      <c r="AY173" s="748"/>
      <c r="AZ173" s="748"/>
      <c r="BA173" s="748"/>
    </row>
    <row r="174" spans="1:106" ht="15.75">
      <c r="A174" s="787" t="s">
        <v>12</v>
      </c>
      <c r="B174" s="709" t="s">
        <v>25</v>
      </c>
      <c r="C174" s="709" t="s">
        <v>26</v>
      </c>
      <c r="D174" s="709" t="s">
        <v>27</v>
      </c>
      <c r="E174" s="712" t="s">
        <v>28</v>
      </c>
      <c r="F174" s="715" t="s">
        <v>29</v>
      </c>
      <c r="G174" s="718" t="s">
        <v>30</v>
      </c>
      <c r="H174" s="718"/>
      <c r="I174" s="709" t="s">
        <v>31</v>
      </c>
      <c r="J174" s="719" t="s">
        <v>32</v>
      </c>
      <c r="K174" s="730" t="s">
        <v>33</v>
      </c>
      <c r="L174" s="709" t="s">
        <v>34</v>
      </c>
      <c r="M174" s="733" t="s">
        <v>35</v>
      </c>
      <c r="N174" s="727" t="s">
        <v>36</v>
      </c>
      <c r="O174" s="718" t="s">
        <v>37</v>
      </c>
      <c r="P174" s="718"/>
      <c r="Q174" s="718"/>
      <c r="R174" s="718"/>
      <c r="S174" s="718"/>
      <c r="T174" s="718"/>
      <c r="U174" s="718"/>
      <c r="V174" s="735" t="s">
        <v>38</v>
      </c>
      <c r="W174" s="727" t="s">
        <v>39</v>
      </c>
      <c r="X174" s="718" t="s">
        <v>40</v>
      </c>
      <c r="Y174" s="718"/>
      <c r="Z174" s="718"/>
      <c r="AA174" s="718"/>
      <c r="AB174" s="784" t="s">
        <v>434</v>
      </c>
      <c r="AC174" s="786" t="s">
        <v>435</v>
      </c>
      <c r="AD174" s="21"/>
      <c r="AE174" s="21"/>
      <c r="AF174" s="21"/>
      <c r="AG174" s="21"/>
      <c r="AH174" s="21"/>
      <c r="AI174" s="752"/>
      <c r="AJ174" s="750"/>
      <c r="AK174" s="750"/>
      <c r="AL174" s="750"/>
      <c r="AM174" s="750"/>
      <c r="AN174" s="750"/>
      <c r="AO174" s="750"/>
      <c r="AP174" s="750"/>
      <c r="AQ174" s="750"/>
      <c r="AR174" s="750"/>
      <c r="AS174" s="750"/>
      <c r="AT174" s="750"/>
      <c r="AU174" s="750"/>
      <c r="AV174" s="750"/>
      <c r="AW174" s="750"/>
      <c r="AX174" s="750"/>
      <c r="AY174" s="750"/>
      <c r="AZ174" s="750"/>
      <c r="BA174" s="750"/>
    </row>
    <row r="175" spans="1:106" ht="15.75" customHeight="1">
      <c r="A175" s="788"/>
      <c r="B175" s="710"/>
      <c r="C175" s="710"/>
      <c r="D175" s="710"/>
      <c r="E175" s="713"/>
      <c r="F175" s="716"/>
      <c r="G175" s="718"/>
      <c r="H175" s="718"/>
      <c r="I175" s="710"/>
      <c r="J175" s="720"/>
      <c r="K175" s="731"/>
      <c r="L175" s="710"/>
      <c r="M175" s="734"/>
      <c r="N175" s="727"/>
      <c r="O175" s="718" t="s">
        <v>41</v>
      </c>
      <c r="P175" s="718" t="s">
        <v>42</v>
      </c>
      <c r="Q175" s="718" t="s">
        <v>43</v>
      </c>
      <c r="R175" s="728" t="s">
        <v>44</v>
      </c>
      <c r="S175" s="729" t="s">
        <v>45</v>
      </c>
      <c r="T175" s="718" t="s">
        <v>46</v>
      </c>
      <c r="U175" s="718" t="s">
        <v>47</v>
      </c>
      <c r="V175" s="735"/>
      <c r="W175" s="727"/>
      <c r="X175" s="718" t="s">
        <v>13</v>
      </c>
      <c r="Y175" s="718" t="s">
        <v>48</v>
      </c>
      <c r="Z175" s="718" t="s">
        <v>49</v>
      </c>
      <c r="AA175" s="718" t="s">
        <v>47</v>
      </c>
      <c r="AB175" s="785"/>
      <c r="AC175" s="786"/>
      <c r="AD175" s="21"/>
      <c r="AE175" s="21"/>
      <c r="AF175" s="21"/>
      <c r="AG175" s="21"/>
      <c r="AH175" s="21"/>
      <c r="AI175" s="752"/>
      <c r="AJ175" s="750"/>
      <c r="AK175" s="750"/>
      <c r="AL175" s="750"/>
      <c r="AM175" s="750"/>
      <c r="AN175" s="750"/>
      <c r="AO175" s="750"/>
      <c r="AP175" s="750"/>
      <c r="AQ175" s="750"/>
      <c r="AR175" s="750"/>
      <c r="AS175" s="751"/>
      <c r="AT175" s="751"/>
      <c r="AU175" s="751"/>
      <c r="AV175" s="751"/>
      <c r="AW175" s="751"/>
      <c r="AX175" s="751"/>
      <c r="AY175" s="751"/>
      <c r="AZ175" s="751"/>
      <c r="BA175" s="751"/>
    </row>
    <row r="176" spans="1:106" ht="15.75" customHeight="1">
      <c r="A176" s="789"/>
      <c r="B176" s="711"/>
      <c r="C176" s="711"/>
      <c r="D176" s="711"/>
      <c r="E176" s="714"/>
      <c r="F176" s="717"/>
      <c r="G176" s="242" t="s">
        <v>515</v>
      </c>
      <c r="H176" s="242" t="s">
        <v>51</v>
      </c>
      <c r="I176" s="711"/>
      <c r="J176" s="721"/>
      <c r="K176" s="732"/>
      <c r="L176" s="711"/>
      <c r="M176" s="734"/>
      <c r="N176" s="727"/>
      <c r="O176" s="718"/>
      <c r="P176" s="718"/>
      <c r="Q176" s="718"/>
      <c r="R176" s="728"/>
      <c r="S176" s="729"/>
      <c r="T176" s="718"/>
      <c r="U176" s="718"/>
      <c r="V176" s="735"/>
      <c r="W176" s="727"/>
      <c r="X176" s="718"/>
      <c r="Y176" s="718"/>
      <c r="Z176" s="718"/>
      <c r="AA176" s="718"/>
      <c r="AB176" s="785"/>
      <c r="AC176" s="786"/>
      <c r="AD176" s="21"/>
      <c r="AE176" s="21"/>
      <c r="AF176" s="21"/>
      <c r="AG176" s="21"/>
      <c r="AH176" s="21"/>
      <c r="AI176" s="752"/>
      <c r="AJ176" s="750"/>
      <c r="AK176" s="750"/>
      <c r="AL176" s="248"/>
      <c r="AM176" s="248"/>
      <c r="AN176" s="248"/>
      <c r="AO176" s="248"/>
      <c r="AP176" s="248"/>
      <c r="AQ176" s="248"/>
      <c r="AR176" s="248"/>
      <c r="AS176" s="21"/>
      <c r="AT176" s="21"/>
      <c r="AU176" s="21"/>
      <c r="AV176" s="249"/>
      <c r="AW176" s="248"/>
      <c r="AX176" s="248"/>
      <c r="AY176" s="248"/>
      <c r="AZ176" s="248"/>
      <c r="BA176" s="248"/>
    </row>
    <row r="177" spans="1:53" ht="15.75">
      <c r="A177" s="315">
        <v>30100030</v>
      </c>
      <c r="B177" s="82" t="s">
        <v>52</v>
      </c>
      <c r="C177" s="81" t="s">
        <v>53</v>
      </c>
      <c r="D177" s="80">
        <v>5.03</v>
      </c>
      <c r="E177" s="80"/>
      <c r="F177" s="83"/>
      <c r="G177" s="93">
        <f>SUM('3:4'!G177)</f>
        <v>0</v>
      </c>
      <c r="H177" s="95">
        <f t="shared" ref="H177:H182" si="61">D177*G177</f>
        <v>0</v>
      </c>
      <c r="I177" s="93">
        <f>SUM('3:4'!I177)</f>
        <v>0</v>
      </c>
      <c r="J177" s="31" t="str">
        <f t="array" ref="J177">IF(ISERROR(G177/I177),"",G177/I177)</f>
        <v/>
      </c>
      <c r="K177" s="96">
        <f t="array" ref="K177">IF(ISERROR(G177/L177),"",G177/L177)</f>
        <v>0</v>
      </c>
      <c r="L177" s="84">
        <v>16</v>
      </c>
      <c r="M177" s="97">
        <f t="shared" ref="M177:M188" si="62">IF(ISERROR(I177-K177),"",I177-K177)</f>
        <v>0</v>
      </c>
      <c r="N177" s="93">
        <f>SUM('3:4'!N177)</f>
        <v>0</v>
      </c>
      <c r="O177" s="93">
        <f>SUM('3:4'!O177)</f>
        <v>0</v>
      </c>
      <c r="P177" s="93">
        <f>SUM('3:4'!P177)</f>
        <v>0</v>
      </c>
      <c r="Q177" s="93">
        <f>SUM('3:4'!Q177)</f>
        <v>0</v>
      </c>
      <c r="R177" s="93">
        <f>SUM('3:4'!R177)</f>
        <v>0</v>
      </c>
      <c r="S177" s="93">
        <f>SUM('3:4'!S177)</f>
        <v>0</v>
      </c>
      <c r="T177" s="93">
        <f>SUM('3:4'!T177)</f>
        <v>0</v>
      </c>
      <c r="U177" s="93">
        <f>SUM('3:4'!U177)</f>
        <v>0</v>
      </c>
      <c r="V177" s="206">
        <f t="shared" ref="V177:V188" si="63">SUM(X177:AA177)</f>
        <v>0</v>
      </c>
      <c r="W177" s="33" t="str">
        <f t="shared" ref="W177:W188" si="64">IF(ISERROR(V177/G177),"",V177/G177)</f>
        <v/>
      </c>
      <c r="X177" s="93">
        <f>SUM('3:4'!X177)</f>
        <v>0</v>
      </c>
      <c r="Y177" s="93">
        <f>SUM('3:4'!Y177)</f>
        <v>0</v>
      </c>
      <c r="Z177" s="93">
        <f>SUM('3:4'!Z177)</f>
        <v>0</v>
      </c>
      <c r="AA177" s="93">
        <f>SUM('3:4'!AA177)</f>
        <v>0</v>
      </c>
      <c r="AB177" s="371">
        <v>0.65</v>
      </c>
      <c r="AC177" s="269">
        <f>AB177*G177</f>
        <v>0</v>
      </c>
      <c r="AD177" s="251"/>
      <c r="AE177" s="54"/>
      <c r="AF177" s="54"/>
      <c r="AG177" s="54"/>
      <c r="AH177" s="54"/>
      <c r="AI177" s="57"/>
      <c r="AJ177" s="57"/>
      <c r="AK177" s="57"/>
      <c r="AL177" s="250"/>
      <c r="AM177" s="54"/>
      <c r="AN177" s="250"/>
      <c r="AO177" s="250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</row>
    <row r="178" spans="1:53" ht="17.25">
      <c r="A178" s="316"/>
      <c r="B178" s="62" t="s">
        <v>54</v>
      </c>
      <c r="C178" s="16" t="s">
        <v>53</v>
      </c>
      <c r="D178" s="17">
        <v>5.03</v>
      </c>
      <c r="E178" s="17"/>
      <c r="F178" s="6"/>
      <c r="G178" s="93">
        <f>SUM('3:4'!G178)</f>
        <v>0</v>
      </c>
      <c r="H178" s="95">
        <f t="shared" si="61"/>
        <v>0</v>
      </c>
      <c r="I178" s="93">
        <f>SUM('3:4'!I178)</f>
        <v>0</v>
      </c>
      <c r="J178" s="31" t="str">
        <f t="array" ref="J178">IF(ISERROR(G178/I178),"",G178/I178)</f>
        <v/>
      </c>
      <c r="K178" s="35">
        <f t="array" ref="K178">IF(ISERROR(G178/L178),"",G178/L178)</f>
        <v>0</v>
      </c>
      <c r="L178" s="87">
        <v>19</v>
      </c>
      <c r="M178" s="36">
        <f t="shared" si="62"/>
        <v>0</v>
      </c>
      <c r="N178" s="93">
        <f>SUM('3:4'!N178)</f>
        <v>0</v>
      </c>
      <c r="O178" s="93">
        <f>SUM('3:4'!O178)</f>
        <v>0</v>
      </c>
      <c r="P178" s="93">
        <f>SUM('3:4'!P178)</f>
        <v>0</v>
      </c>
      <c r="Q178" s="93">
        <f>SUM('3:4'!Q178)</f>
        <v>0</v>
      </c>
      <c r="R178" s="93">
        <f>SUM('3:4'!R178)</f>
        <v>0</v>
      </c>
      <c r="S178" s="93">
        <f>SUM('3:4'!S178)</f>
        <v>0</v>
      </c>
      <c r="T178" s="93">
        <f>SUM('3:4'!T178)</f>
        <v>0</v>
      </c>
      <c r="U178" s="93">
        <f>SUM('3:4'!U178)</f>
        <v>0</v>
      </c>
      <c r="V178" s="206">
        <f t="shared" si="63"/>
        <v>0</v>
      </c>
      <c r="W178" s="33" t="str">
        <f t="shared" si="64"/>
        <v/>
      </c>
      <c r="X178" s="93">
        <f>SUM('3:4'!X178)</f>
        <v>0</v>
      </c>
      <c r="Y178" s="93">
        <f>SUM('3:4'!Y178)</f>
        <v>0</v>
      </c>
      <c r="Z178" s="93">
        <f>SUM('3:4'!Z178)</f>
        <v>0</v>
      </c>
      <c r="AA178" s="93">
        <f>SUM('3:4'!AA178)</f>
        <v>0</v>
      </c>
      <c r="AB178" s="358">
        <v>0.48</v>
      </c>
      <c r="AC178" s="269">
        <f t="shared" ref="AC178:AC197" si="65">AB178*G178</f>
        <v>0</v>
      </c>
      <c r="AD178" s="251"/>
      <c r="AE178" s="54"/>
      <c r="AF178" s="54"/>
      <c r="AG178" s="54"/>
      <c r="AH178" s="54"/>
      <c r="AI178" s="57"/>
      <c r="AJ178" s="57"/>
      <c r="AK178" s="57"/>
      <c r="AL178" s="54"/>
      <c r="AM178" s="54"/>
      <c r="AN178" s="250"/>
      <c r="AO178" s="54"/>
      <c r="AP178" s="250"/>
      <c r="AQ178" s="54"/>
      <c r="AR178" s="54"/>
      <c r="AS178" s="250"/>
      <c r="AT178" s="250"/>
      <c r="AU178" s="250"/>
      <c r="AV178" s="250"/>
      <c r="AW178" s="55"/>
      <c r="AX178" s="54"/>
      <c r="AY178" s="54"/>
      <c r="AZ178" s="54"/>
      <c r="BA178" s="54"/>
    </row>
    <row r="179" spans="1:53" ht="17.25">
      <c r="A179" s="317"/>
      <c r="B179" s="62" t="s">
        <v>54</v>
      </c>
      <c r="C179" s="16" t="s">
        <v>55</v>
      </c>
      <c r="D179" s="17">
        <v>5.03</v>
      </c>
      <c r="E179" s="17"/>
      <c r="F179" s="6"/>
      <c r="G179" s="93">
        <f>SUM('3:4'!G179)</f>
        <v>0</v>
      </c>
      <c r="H179" s="95">
        <f t="shared" si="61"/>
        <v>0</v>
      </c>
      <c r="I179" s="93">
        <f>SUM('3:4'!I179)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62"/>
        <v>0</v>
      </c>
      <c r="N179" s="93">
        <f>SUM('3:4'!N179)</f>
        <v>0</v>
      </c>
      <c r="O179" s="93">
        <f>SUM('3:4'!O179)</f>
        <v>0</v>
      </c>
      <c r="P179" s="93">
        <f>SUM('3:4'!P179)</f>
        <v>0</v>
      </c>
      <c r="Q179" s="93">
        <f>SUM('3:4'!Q179)</f>
        <v>0</v>
      </c>
      <c r="R179" s="93">
        <f>SUM('3:4'!R179)</f>
        <v>0</v>
      </c>
      <c r="S179" s="93">
        <f>SUM('3:4'!S179)</f>
        <v>0</v>
      </c>
      <c r="T179" s="93">
        <f>SUM('3:4'!T179)</f>
        <v>0</v>
      </c>
      <c r="U179" s="93">
        <f>SUM('3:4'!U179)</f>
        <v>0</v>
      </c>
      <c r="V179" s="206">
        <f t="shared" si="63"/>
        <v>0</v>
      </c>
      <c r="W179" s="33" t="str">
        <f t="shared" si="64"/>
        <v/>
      </c>
      <c r="X179" s="93">
        <f>SUM('3:4'!X179)</f>
        <v>0</v>
      </c>
      <c r="Y179" s="93">
        <f>SUM('3:4'!Y179)</f>
        <v>0</v>
      </c>
      <c r="Z179" s="93">
        <f>SUM('3:4'!Z179)</f>
        <v>0</v>
      </c>
      <c r="AA179" s="93">
        <f>SUM('3:4'!AA179)</f>
        <v>0</v>
      </c>
      <c r="AB179" s="358">
        <v>0.43</v>
      </c>
      <c r="AC179" s="269">
        <f t="shared" si="65"/>
        <v>0</v>
      </c>
      <c r="AD179" s="251"/>
      <c r="AE179" s="54"/>
      <c r="AF179" s="54"/>
      <c r="AG179" s="54"/>
      <c r="AH179" s="54"/>
      <c r="AI179" s="57"/>
      <c r="AJ179" s="57"/>
      <c r="AK179" s="57"/>
      <c r="AL179" s="54"/>
      <c r="AM179" s="54"/>
      <c r="AN179" s="54"/>
      <c r="AO179" s="250"/>
      <c r="AP179" s="54"/>
      <c r="AQ179" s="54"/>
      <c r="AR179" s="54"/>
      <c r="AS179" s="56"/>
      <c r="AT179" s="56"/>
      <c r="AU179" s="56"/>
      <c r="AV179" s="54"/>
      <c r="AW179" s="54"/>
      <c r="AX179" s="54"/>
      <c r="AY179" s="54"/>
      <c r="AZ179" s="54"/>
      <c r="BA179" s="54"/>
    </row>
    <row r="180" spans="1:53" ht="15.75">
      <c r="A180" s="315">
        <v>30100048</v>
      </c>
      <c r="B180" s="62" t="s">
        <v>56</v>
      </c>
      <c r="C180" s="16" t="s">
        <v>53</v>
      </c>
      <c r="D180" s="17">
        <v>5.03</v>
      </c>
      <c r="E180" s="17"/>
      <c r="F180" s="6"/>
      <c r="G180" s="93">
        <f>SUM('3:4'!G180)</f>
        <v>0</v>
      </c>
      <c r="H180" s="95">
        <f t="shared" si="61"/>
        <v>0</v>
      </c>
      <c r="I180" s="93">
        <f>SUM('3:4'!I180)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62"/>
        <v>0</v>
      </c>
      <c r="N180" s="93">
        <f>SUM('3:4'!N180)</f>
        <v>0</v>
      </c>
      <c r="O180" s="93">
        <f>SUM('3:4'!O180)</f>
        <v>0</v>
      </c>
      <c r="P180" s="93">
        <f>SUM('3:4'!P180)</f>
        <v>0</v>
      </c>
      <c r="Q180" s="93">
        <f>SUM('3:4'!Q180)</f>
        <v>0</v>
      </c>
      <c r="R180" s="93">
        <f>SUM('3:4'!R180)</f>
        <v>0</v>
      </c>
      <c r="S180" s="93">
        <f>SUM('3:4'!S180)</f>
        <v>0</v>
      </c>
      <c r="T180" s="93">
        <f>SUM('3:4'!T180)</f>
        <v>0</v>
      </c>
      <c r="U180" s="93">
        <f>SUM('3:4'!U180)</f>
        <v>0</v>
      </c>
      <c r="V180" s="206">
        <f t="shared" si="63"/>
        <v>0</v>
      </c>
      <c r="W180" s="33" t="str">
        <f t="shared" si="64"/>
        <v/>
      </c>
      <c r="X180" s="93">
        <f>SUM('3:4'!X180)</f>
        <v>0</v>
      </c>
      <c r="Y180" s="93">
        <f>SUM('3:4'!Y180)</f>
        <v>0</v>
      </c>
      <c r="Z180" s="93">
        <f>SUM('3:4'!Z180)</f>
        <v>0</v>
      </c>
      <c r="AA180" s="93">
        <f>SUM('3:4'!AA180)</f>
        <v>0</v>
      </c>
      <c r="AB180" s="358">
        <v>0.55000000000000004</v>
      </c>
      <c r="AC180" s="269">
        <f t="shared" si="65"/>
        <v>0</v>
      </c>
      <c r="AD180" s="251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5"/>
      <c r="AW180" s="55"/>
      <c r="AX180" s="55"/>
      <c r="AY180" s="54"/>
      <c r="AZ180" s="54"/>
      <c r="BA180" s="54"/>
    </row>
    <row r="181" spans="1:53" ht="15.75">
      <c r="A181" s="315">
        <v>30100047</v>
      </c>
      <c r="B181" s="62" t="s">
        <v>56</v>
      </c>
      <c r="C181" s="16" t="s">
        <v>57</v>
      </c>
      <c r="D181" s="17">
        <v>5.03</v>
      </c>
      <c r="E181" s="17"/>
      <c r="F181" s="6"/>
      <c r="G181" s="93">
        <f>SUM('3:4'!G181)</f>
        <v>0</v>
      </c>
      <c r="H181" s="95">
        <f t="shared" si="61"/>
        <v>0</v>
      </c>
      <c r="I181" s="93">
        <f>SUM('3:4'!I181)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87">
        <v>20</v>
      </c>
      <c r="M181" s="36">
        <f t="shared" si="62"/>
        <v>0</v>
      </c>
      <c r="N181" s="93">
        <f>SUM('3:4'!N181)</f>
        <v>0</v>
      </c>
      <c r="O181" s="93">
        <f>SUM('3:4'!O181)</f>
        <v>0</v>
      </c>
      <c r="P181" s="93">
        <f>SUM('3:4'!P181)</f>
        <v>0</v>
      </c>
      <c r="Q181" s="93">
        <f>SUM('3:4'!Q181)</f>
        <v>0</v>
      </c>
      <c r="R181" s="93">
        <f>SUM('3:4'!R181)</f>
        <v>0</v>
      </c>
      <c r="S181" s="93">
        <f>SUM('3:4'!S181)</f>
        <v>0</v>
      </c>
      <c r="T181" s="93">
        <f>SUM('3:4'!T181)</f>
        <v>0</v>
      </c>
      <c r="U181" s="93">
        <f>SUM('3:4'!U181)</f>
        <v>0</v>
      </c>
      <c r="V181" s="206">
        <f t="shared" si="63"/>
        <v>0</v>
      </c>
      <c r="W181" s="33" t="str">
        <f t="shared" si="64"/>
        <v/>
      </c>
      <c r="X181" s="93">
        <f>SUM('3:4'!X181)</f>
        <v>0</v>
      </c>
      <c r="Y181" s="93">
        <f>SUM('3:4'!Y181)</f>
        <v>0</v>
      </c>
      <c r="Z181" s="93">
        <f>SUM('3:4'!Z181)</f>
        <v>0</v>
      </c>
      <c r="AA181" s="93">
        <f>SUM('3:4'!AA181)</f>
        <v>0</v>
      </c>
      <c r="AB181" s="358">
        <v>0.52</v>
      </c>
      <c r="AC181" s="269">
        <f t="shared" si="65"/>
        <v>0</v>
      </c>
      <c r="AD181" s="251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</row>
    <row r="182" spans="1:53" ht="15.75">
      <c r="A182" s="315">
        <v>30100052</v>
      </c>
      <c r="B182" s="62" t="s">
        <v>58</v>
      </c>
      <c r="C182" s="16" t="s">
        <v>53</v>
      </c>
      <c r="D182" s="17">
        <v>5.04</v>
      </c>
      <c r="E182" s="17"/>
      <c r="F182" s="6"/>
      <c r="G182" s="93">
        <f>SUM('3:4'!G182)</f>
        <v>0</v>
      </c>
      <c r="H182" s="95">
        <f t="shared" si="61"/>
        <v>0</v>
      </c>
      <c r="I182" s="93">
        <f>SUM('3:4'!I182)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19</v>
      </c>
      <c r="M182" s="36">
        <f t="shared" si="62"/>
        <v>0</v>
      </c>
      <c r="N182" s="93">
        <f>SUM('3:4'!N182)</f>
        <v>0</v>
      </c>
      <c r="O182" s="93">
        <f>SUM('3:4'!O182)</f>
        <v>0</v>
      </c>
      <c r="P182" s="93">
        <f>SUM('3:4'!P182)</f>
        <v>0</v>
      </c>
      <c r="Q182" s="93">
        <f>SUM('3:4'!Q182)</f>
        <v>0</v>
      </c>
      <c r="R182" s="93">
        <f>SUM('3:4'!R182)</f>
        <v>0</v>
      </c>
      <c r="S182" s="93">
        <f>SUM('3:4'!S182)</f>
        <v>0</v>
      </c>
      <c r="T182" s="93">
        <f>SUM('3:4'!T182)</f>
        <v>0</v>
      </c>
      <c r="U182" s="93">
        <f>SUM('3:4'!U182)</f>
        <v>0</v>
      </c>
      <c r="V182" s="206">
        <f t="shared" si="63"/>
        <v>0</v>
      </c>
      <c r="W182" s="33" t="str">
        <f t="shared" si="64"/>
        <v/>
      </c>
      <c r="X182" s="93">
        <f>SUM('3:4'!X182)</f>
        <v>0</v>
      </c>
      <c r="Y182" s="93">
        <f>SUM('3:4'!Y182)</f>
        <v>0</v>
      </c>
      <c r="Z182" s="93">
        <f>SUM('3:4'!Z182)</f>
        <v>0</v>
      </c>
      <c r="AA182" s="93">
        <f>SUM('3:4'!AA182)</f>
        <v>0</v>
      </c>
      <c r="AB182" s="358">
        <v>0.55000000000000004</v>
      </c>
      <c r="AC182" s="269">
        <f t="shared" si="65"/>
        <v>0</v>
      </c>
      <c r="AD182" s="251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 ht="15.75">
      <c r="A183" s="332">
        <v>30100059</v>
      </c>
      <c r="B183" s="62" t="s">
        <v>59</v>
      </c>
      <c r="C183" s="16" t="s">
        <v>60</v>
      </c>
      <c r="D183" s="17">
        <v>5.03</v>
      </c>
      <c r="E183" s="17"/>
      <c r="F183" s="6"/>
      <c r="G183" s="93">
        <f>SUM('3:4'!G183)</f>
        <v>0</v>
      </c>
      <c r="H183" s="95">
        <f>D183*G183</f>
        <v>0</v>
      </c>
      <c r="I183" s="93">
        <f>SUM('3:4'!I183)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3</v>
      </c>
      <c r="M183" s="36">
        <f t="shared" si="62"/>
        <v>0</v>
      </c>
      <c r="N183" s="93">
        <f>SUM('3:4'!N183)</f>
        <v>0</v>
      </c>
      <c r="O183" s="93">
        <f>SUM('3:4'!O183)</f>
        <v>0</v>
      </c>
      <c r="P183" s="93">
        <f>SUM('3:4'!P183)</f>
        <v>0</v>
      </c>
      <c r="Q183" s="93">
        <f>SUM('3:4'!Q183)</f>
        <v>0</v>
      </c>
      <c r="R183" s="93">
        <f>SUM('3:4'!R183)</f>
        <v>0</v>
      </c>
      <c r="S183" s="93">
        <f>SUM('3:4'!S183)</f>
        <v>0</v>
      </c>
      <c r="T183" s="93">
        <f>SUM('3:4'!T183)</f>
        <v>0</v>
      </c>
      <c r="U183" s="93">
        <f>SUM('3:4'!U183)</f>
        <v>0</v>
      </c>
      <c r="V183" s="206">
        <f t="shared" si="63"/>
        <v>0</v>
      </c>
      <c r="W183" s="33" t="str">
        <f t="shared" si="64"/>
        <v/>
      </c>
      <c r="X183" s="93">
        <f>SUM('3:4'!X183)</f>
        <v>0</v>
      </c>
      <c r="Y183" s="93">
        <f>SUM('3:4'!Y183)</f>
        <v>0</v>
      </c>
      <c r="Z183" s="93">
        <f>SUM('3:4'!Z183)</f>
        <v>0</v>
      </c>
      <c r="AA183" s="93">
        <f>SUM('3:4'!AA183)</f>
        <v>0</v>
      </c>
      <c r="AB183" s="358">
        <v>0.45</v>
      </c>
      <c r="AC183" s="269">
        <f t="shared" si="65"/>
        <v>0</v>
      </c>
      <c r="AD183" s="251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 ht="15.75">
      <c r="A184" s="302">
        <v>30100060</v>
      </c>
      <c r="B184" s="62" t="s">
        <v>59</v>
      </c>
      <c r="C184" s="16" t="s">
        <v>61</v>
      </c>
      <c r="D184" s="17">
        <v>5.03</v>
      </c>
      <c r="E184" s="17"/>
      <c r="F184" s="6"/>
      <c r="G184" s="93">
        <f>SUM('3:4'!G184)</f>
        <v>0</v>
      </c>
      <c r="H184" s="95">
        <f t="shared" ref="H184:H197" si="66">D184*G184</f>
        <v>0</v>
      </c>
      <c r="I184" s="93">
        <f>SUM('3:4'!I184)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62"/>
        <v>0</v>
      </c>
      <c r="N184" s="93">
        <f>SUM('3:4'!N184)</f>
        <v>0</v>
      </c>
      <c r="O184" s="93">
        <f>SUM('3:4'!O184)</f>
        <v>0</v>
      </c>
      <c r="P184" s="93">
        <f>SUM('3:4'!P184)</f>
        <v>0</v>
      </c>
      <c r="Q184" s="93">
        <f>SUM('3:4'!Q184)</f>
        <v>0</v>
      </c>
      <c r="R184" s="93">
        <f>SUM('3:4'!R184)</f>
        <v>0</v>
      </c>
      <c r="S184" s="93">
        <f>SUM('3:4'!S184)</f>
        <v>0</v>
      </c>
      <c r="T184" s="93">
        <f>SUM('3:4'!T184)</f>
        <v>0</v>
      </c>
      <c r="U184" s="93">
        <f>SUM('3:4'!U184)</f>
        <v>0</v>
      </c>
      <c r="V184" s="206">
        <f t="shared" si="63"/>
        <v>0</v>
      </c>
      <c r="W184" s="33" t="str">
        <f t="shared" si="64"/>
        <v/>
      </c>
      <c r="X184" s="93">
        <f>SUM('3:4'!X184)</f>
        <v>0</v>
      </c>
      <c r="Y184" s="93">
        <f>SUM('3:4'!Y184)</f>
        <v>0</v>
      </c>
      <c r="Z184" s="93">
        <f>SUM('3:4'!Z184)</f>
        <v>0</v>
      </c>
      <c r="AA184" s="93">
        <f>SUM('3:4'!AA184)</f>
        <v>0</v>
      </c>
      <c r="AB184" s="358">
        <v>0.45</v>
      </c>
      <c r="AC184" s="269">
        <f t="shared" si="65"/>
        <v>0</v>
      </c>
      <c r="AD184" s="251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 ht="17.25">
      <c r="A185" s="316">
        <v>30200006</v>
      </c>
      <c r="B185" s="62" t="s">
        <v>62</v>
      </c>
      <c r="C185" s="16" t="s">
        <v>63</v>
      </c>
      <c r="D185" s="17">
        <v>5.04</v>
      </c>
      <c r="E185" s="17"/>
      <c r="F185" s="79"/>
      <c r="G185" s="93">
        <f>SUM('3:4'!G185)</f>
        <v>0</v>
      </c>
      <c r="H185" s="95">
        <f t="shared" si="66"/>
        <v>0</v>
      </c>
      <c r="I185" s="93">
        <f>SUM('3:4'!I185)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17</v>
      </c>
      <c r="M185" s="36">
        <f t="shared" si="62"/>
        <v>0</v>
      </c>
      <c r="N185" s="93">
        <f>SUM('3:4'!N185)</f>
        <v>0</v>
      </c>
      <c r="O185" s="93">
        <f>SUM('3:4'!O185)</f>
        <v>0</v>
      </c>
      <c r="P185" s="93">
        <f>SUM('3:4'!P185)</f>
        <v>0</v>
      </c>
      <c r="Q185" s="93">
        <f>SUM('3:4'!Q185)</f>
        <v>0</v>
      </c>
      <c r="R185" s="93">
        <f>SUM('3:4'!R185)</f>
        <v>0</v>
      </c>
      <c r="S185" s="93">
        <f>SUM('3:4'!S185)</f>
        <v>0</v>
      </c>
      <c r="T185" s="93">
        <f>SUM('3:4'!T185)</f>
        <v>0</v>
      </c>
      <c r="U185" s="93">
        <f>SUM('3:4'!U185)</f>
        <v>0</v>
      </c>
      <c r="V185" s="206">
        <f t="shared" si="63"/>
        <v>0</v>
      </c>
      <c r="W185" s="33" t="str">
        <f t="shared" si="64"/>
        <v/>
      </c>
      <c r="X185" s="93">
        <f>SUM('3:4'!X185)</f>
        <v>0</v>
      </c>
      <c r="Y185" s="93">
        <f>SUM('3:4'!Y185)</f>
        <v>0</v>
      </c>
      <c r="Z185" s="93">
        <f>SUM('3:4'!Z185)</f>
        <v>0</v>
      </c>
      <c r="AA185" s="93">
        <f>SUM('3:4'!AA185)</f>
        <v>0</v>
      </c>
      <c r="AB185" s="358">
        <v>0.61</v>
      </c>
      <c r="AC185" s="269">
        <f t="shared" si="65"/>
        <v>0</v>
      </c>
      <c r="AD185" s="251"/>
      <c r="AE185" s="54"/>
      <c r="AF185" s="54"/>
      <c r="AG185" s="54"/>
      <c r="AH185" s="54"/>
      <c r="AI185" s="57"/>
      <c r="AJ185" s="57"/>
      <c r="AK185" s="57"/>
      <c r="AL185" s="250"/>
      <c r="AM185" s="54"/>
      <c r="AN185" s="54"/>
      <c r="AO185" s="54"/>
      <c r="AP185" s="250"/>
      <c r="AQ185" s="250"/>
      <c r="AR185" s="250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 ht="17.25">
      <c r="A186" s="316">
        <v>30200005</v>
      </c>
      <c r="B186" s="62" t="s">
        <v>62</v>
      </c>
      <c r="C186" s="16" t="s">
        <v>64</v>
      </c>
      <c r="D186" s="17">
        <v>5.04</v>
      </c>
      <c r="E186" s="17"/>
      <c r="F186" s="79"/>
      <c r="G186" s="93">
        <f>SUM('3:4'!G186)</f>
        <v>0</v>
      </c>
      <c r="H186" s="95">
        <f t="shared" si="66"/>
        <v>0</v>
      </c>
      <c r="I186" s="93">
        <f>SUM('3:4'!I186)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62"/>
        <v>0</v>
      </c>
      <c r="N186" s="93">
        <f>SUM('3:4'!N186)</f>
        <v>0</v>
      </c>
      <c r="O186" s="93">
        <f>SUM('3:4'!O186)</f>
        <v>0</v>
      </c>
      <c r="P186" s="93">
        <f>SUM('3:4'!P186)</f>
        <v>0</v>
      </c>
      <c r="Q186" s="93">
        <f>SUM('3:4'!Q186)</f>
        <v>0</v>
      </c>
      <c r="R186" s="93">
        <f>SUM('3:4'!R186)</f>
        <v>0</v>
      </c>
      <c r="S186" s="93">
        <f>SUM('3:4'!S186)</f>
        <v>0</v>
      </c>
      <c r="T186" s="93">
        <f>SUM('3:4'!T186)</f>
        <v>0</v>
      </c>
      <c r="U186" s="93">
        <f>SUM('3:4'!U186)</f>
        <v>0</v>
      </c>
      <c r="V186" s="206">
        <f t="shared" si="63"/>
        <v>0</v>
      </c>
      <c r="W186" s="33" t="str">
        <f t="shared" si="64"/>
        <v/>
      </c>
      <c r="X186" s="93">
        <f>SUM('3:4'!X186)</f>
        <v>0</v>
      </c>
      <c r="Y186" s="93">
        <f>SUM('3:4'!Y186)</f>
        <v>0</v>
      </c>
      <c r="Z186" s="93">
        <f>SUM('3:4'!Z186)</f>
        <v>0</v>
      </c>
      <c r="AA186" s="93">
        <f>SUM('3:4'!AA186)</f>
        <v>0</v>
      </c>
      <c r="AB186" s="358">
        <v>0.61</v>
      </c>
      <c r="AC186" s="269">
        <f t="shared" si="65"/>
        <v>0</v>
      </c>
      <c r="AD186" s="251"/>
      <c r="AE186" s="54"/>
      <c r="AF186" s="54"/>
      <c r="AG186" s="54"/>
      <c r="AH186" s="54"/>
      <c r="AI186" s="57"/>
      <c r="AJ186" s="57"/>
      <c r="AK186" s="57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 ht="17.25">
      <c r="A187" s="318">
        <v>30100063</v>
      </c>
      <c r="B187" s="202" t="s">
        <v>171</v>
      </c>
      <c r="C187" s="16" t="s">
        <v>379</v>
      </c>
      <c r="D187" s="108"/>
      <c r="E187" s="17"/>
      <c r="F187" s="6"/>
      <c r="G187" s="93">
        <f>SUM('3:4'!G187)</f>
        <v>0</v>
      </c>
      <c r="H187" s="95">
        <f t="shared" si="66"/>
        <v>0</v>
      </c>
      <c r="I187" s="93">
        <f>SUM('3:4'!I187)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17</v>
      </c>
      <c r="M187" s="36">
        <f t="shared" si="62"/>
        <v>0</v>
      </c>
      <c r="N187" s="93">
        <f>SUM('3:4'!N187)</f>
        <v>0</v>
      </c>
      <c r="O187" s="93">
        <f>SUM('3:4'!O187)</f>
        <v>0</v>
      </c>
      <c r="P187" s="93">
        <f>SUM('3:4'!P187)</f>
        <v>0</v>
      </c>
      <c r="Q187" s="93">
        <f>SUM('3:4'!Q187)</f>
        <v>0</v>
      </c>
      <c r="R187" s="93">
        <f>SUM('3:4'!R187)</f>
        <v>0</v>
      </c>
      <c r="S187" s="93">
        <f>SUM('3:4'!S187)</f>
        <v>0</v>
      </c>
      <c r="T187" s="93">
        <f>SUM('3:4'!T187)</f>
        <v>0</v>
      </c>
      <c r="U187" s="93">
        <f>SUM('3:4'!U187)</f>
        <v>0</v>
      </c>
      <c r="V187" s="206">
        <f t="shared" si="63"/>
        <v>0</v>
      </c>
      <c r="W187" s="33" t="str">
        <f t="shared" si="64"/>
        <v/>
      </c>
      <c r="X187" s="93">
        <f>SUM('3:4'!X187)</f>
        <v>0</v>
      </c>
      <c r="Y187" s="93">
        <f>SUM('3:4'!Y187)</f>
        <v>0</v>
      </c>
      <c r="Z187" s="93">
        <f>SUM('3:4'!Z187)</f>
        <v>0</v>
      </c>
      <c r="AA187" s="93">
        <f>SUM('3:4'!AA187)</f>
        <v>0</v>
      </c>
      <c r="AB187" s="358">
        <v>0.43</v>
      </c>
      <c r="AC187" s="269">
        <f t="shared" si="65"/>
        <v>0</v>
      </c>
      <c r="AD187" s="251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 ht="15.75">
      <c r="A188" s="302">
        <v>30100061</v>
      </c>
      <c r="B188" s="202" t="s">
        <v>171</v>
      </c>
      <c r="C188" s="16" t="s">
        <v>173</v>
      </c>
      <c r="D188" s="108"/>
      <c r="E188" s="17"/>
      <c r="F188" s="6"/>
      <c r="G188" s="93">
        <f>SUM('3:4'!G188)</f>
        <v>0</v>
      </c>
      <c r="H188" s="95">
        <f t="shared" si="66"/>
        <v>0</v>
      </c>
      <c r="I188" s="93">
        <f>SUM('3:4'!I188)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62"/>
        <v>0</v>
      </c>
      <c r="N188" s="93">
        <f>SUM('3:4'!N188)</f>
        <v>0</v>
      </c>
      <c r="O188" s="93">
        <f>SUM('3:4'!O188)</f>
        <v>0</v>
      </c>
      <c r="P188" s="93">
        <f>SUM('3:4'!P188)</f>
        <v>0</v>
      </c>
      <c r="Q188" s="93">
        <f>SUM('3:4'!Q188)</f>
        <v>0</v>
      </c>
      <c r="R188" s="93">
        <f>SUM('3:4'!R188)</f>
        <v>0</v>
      </c>
      <c r="S188" s="93">
        <f>SUM('3:4'!S188)</f>
        <v>0</v>
      </c>
      <c r="T188" s="93">
        <f>SUM('3:4'!T188)</f>
        <v>0</v>
      </c>
      <c r="U188" s="93">
        <f>SUM('3:4'!U188)</f>
        <v>0</v>
      </c>
      <c r="V188" s="206">
        <f t="shared" si="63"/>
        <v>0</v>
      </c>
      <c r="W188" s="33" t="str">
        <f t="shared" si="64"/>
        <v/>
      </c>
      <c r="X188" s="93">
        <f>SUM('3:4'!X188)</f>
        <v>0</v>
      </c>
      <c r="Y188" s="93">
        <f>SUM('3:4'!Y188)</f>
        <v>0</v>
      </c>
      <c r="Z188" s="93">
        <f>SUM('3:4'!Z188)</f>
        <v>0</v>
      </c>
      <c r="AA188" s="93">
        <f>SUM('3:4'!AA188)</f>
        <v>0</v>
      </c>
      <c r="AB188" s="358">
        <v>0.43</v>
      </c>
      <c r="AC188" s="269">
        <f t="shared" si="65"/>
        <v>0</v>
      </c>
      <c r="AD188" s="251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 ht="17.25">
      <c r="A189" s="316">
        <v>30200001</v>
      </c>
      <c r="B189" s="202" t="s">
        <v>67</v>
      </c>
      <c r="C189" s="16" t="s">
        <v>63</v>
      </c>
      <c r="D189" s="108">
        <v>5.0599999999999996</v>
      </c>
      <c r="E189" s="17"/>
      <c r="F189" s="6"/>
      <c r="G189" s="93">
        <f>SUM('3:4'!G189)</f>
        <v>0</v>
      </c>
      <c r="H189" s="95">
        <f t="shared" si="66"/>
        <v>0</v>
      </c>
      <c r="I189" s="93">
        <f>SUM('3:4'!I189)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19</v>
      </c>
      <c r="M189" s="36">
        <f>IF(ISERROR(I189-K189),"",I189-K189)</f>
        <v>0</v>
      </c>
      <c r="N189" s="93">
        <f>SUM('3:4'!N189)</f>
        <v>0</v>
      </c>
      <c r="O189" s="93">
        <f>SUM('3:4'!O189)</f>
        <v>0</v>
      </c>
      <c r="P189" s="93">
        <f>SUM('3:4'!P189)</f>
        <v>0</v>
      </c>
      <c r="Q189" s="93">
        <f>SUM('3:4'!Q189)</f>
        <v>0</v>
      </c>
      <c r="R189" s="93">
        <f>SUM('3:4'!R189)</f>
        <v>0</v>
      </c>
      <c r="S189" s="93">
        <f>SUM('3:4'!S189)</f>
        <v>0</v>
      </c>
      <c r="T189" s="93">
        <f>SUM('3:4'!T189)</f>
        <v>0</v>
      </c>
      <c r="U189" s="93">
        <f>SUM('3:4'!U189)</f>
        <v>0</v>
      </c>
      <c r="V189" s="206">
        <f>SUM(X189:AA189)</f>
        <v>0</v>
      </c>
      <c r="W189" s="33" t="str">
        <f>IF(ISERROR(V189/G189),"",V189/G189)</f>
        <v/>
      </c>
      <c r="X189" s="93">
        <f>SUM('3:4'!X189)</f>
        <v>0</v>
      </c>
      <c r="Y189" s="93">
        <f>SUM('3:4'!Y189)</f>
        <v>0</v>
      </c>
      <c r="Z189" s="93">
        <f>SUM('3:4'!Z189)</f>
        <v>0</v>
      </c>
      <c r="AA189" s="93">
        <f>SUM('3:4'!AA189)</f>
        <v>0</v>
      </c>
      <c r="AB189" s="358">
        <v>0.55000000000000004</v>
      </c>
      <c r="AC189" s="269">
        <f t="shared" si="65"/>
        <v>0</v>
      </c>
      <c r="AD189" s="251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 ht="17.25">
      <c r="A190" s="316">
        <v>30200002</v>
      </c>
      <c r="B190" s="62" t="s">
        <v>68</v>
      </c>
      <c r="C190" s="16" t="s">
        <v>63</v>
      </c>
      <c r="D190" s="17">
        <v>5.09</v>
      </c>
      <c r="E190" s="17"/>
      <c r="F190" s="6"/>
      <c r="G190" s="93">
        <f>SUM('3:4'!G190)</f>
        <v>0</v>
      </c>
      <c r="H190" s="95">
        <f t="shared" si="66"/>
        <v>0</v>
      </c>
      <c r="I190" s="93">
        <f>SUM('3:4'!I190)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87">
        <v>23</v>
      </c>
      <c r="M190" s="36">
        <f t="shared" ref="M190:M193" si="67">IF(ISERROR(I190-K190),"",I190-K190)</f>
        <v>0</v>
      </c>
      <c r="N190" s="93">
        <f>SUM('3:4'!N190)</f>
        <v>0</v>
      </c>
      <c r="O190" s="93">
        <f>SUM('3:4'!O190)</f>
        <v>0</v>
      </c>
      <c r="P190" s="93">
        <f>SUM('3:4'!P190)</f>
        <v>0</v>
      </c>
      <c r="Q190" s="93">
        <f>SUM('3:4'!Q190)</f>
        <v>0</v>
      </c>
      <c r="R190" s="93">
        <f>SUM('3:4'!R190)</f>
        <v>0</v>
      </c>
      <c r="S190" s="93">
        <f>SUM('3:4'!S190)</f>
        <v>0</v>
      </c>
      <c r="T190" s="93">
        <f>SUM('3:4'!T190)</f>
        <v>0</v>
      </c>
      <c r="U190" s="93">
        <f>SUM('3:4'!U190)</f>
        <v>0</v>
      </c>
      <c r="V190" s="206">
        <f t="shared" ref="V190:V193" si="68">SUM(X190:AA190)</f>
        <v>0</v>
      </c>
      <c r="W190" s="33" t="str">
        <f t="shared" ref="W190:W193" si="69">IF(ISERROR(V190/G190),"",V190/G190)</f>
        <v/>
      </c>
      <c r="X190" s="93">
        <f>SUM('3:4'!X190)</f>
        <v>0</v>
      </c>
      <c r="Y190" s="93">
        <f>SUM('3:4'!Y190)</f>
        <v>0</v>
      </c>
      <c r="Z190" s="93">
        <f>SUM('3:4'!Z190)</f>
        <v>0</v>
      </c>
      <c r="AA190" s="93">
        <f>SUM('3:4'!AA190)</f>
        <v>0</v>
      </c>
      <c r="AB190" s="358">
        <v>0.45</v>
      </c>
      <c r="AC190" s="269">
        <f t="shared" si="65"/>
        <v>0</v>
      </c>
      <c r="AD190" s="251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 ht="17.25">
      <c r="A191" s="316">
        <v>30200003</v>
      </c>
      <c r="B191" s="62" t="s">
        <v>68</v>
      </c>
      <c r="C191" s="16" t="s">
        <v>64</v>
      </c>
      <c r="D191" s="17">
        <v>5.09</v>
      </c>
      <c r="E191" s="17"/>
      <c r="F191" s="6"/>
      <c r="G191" s="93">
        <f>SUM('3:4'!G191)</f>
        <v>0</v>
      </c>
      <c r="H191" s="95">
        <f t="shared" si="66"/>
        <v>0</v>
      </c>
      <c r="I191" s="93">
        <f>SUM('3:4'!I191)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23</v>
      </c>
      <c r="M191" s="36">
        <f t="shared" si="67"/>
        <v>0</v>
      </c>
      <c r="N191" s="93">
        <f>SUM('3:4'!N191)</f>
        <v>0</v>
      </c>
      <c r="O191" s="93">
        <f>SUM('3:4'!O191)</f>
        <v>0</v>
      </c>
      <c r="P191" s="93">
        <f>SUM('3:4'!P191)</f>
        <v>0</v>
      </c>
      <c r="Q191" s="93">
        <f>SUM('3:4'!Q191)</f>
        <v>0</v>
      </c>
      <c r="R191" s="93">
        <f>SUM('3:4'!R191)</f>
        <v>0</v>
      </c>
      <c r="S191" s="93">
        <f>SUM('3:4'!S191)</f>
        <v>0</v>
      </c>
      <c r="T191" s="93">
        <f>SUM('3:4'!T191)</f>
        <v>0</v>
      </c>
      <c r="U191" s="93">
        <f>SUM('3:4'!U191)</f>
        <v>0</v>
      </c>
      <c r="V191" s="206">
        <f t="shared" si="68"/>
        <v>0</v>
      </c>
      <c r="W191" s="33" t="str">
        <f t="shared" si="69"/>
        <v/>
      </c>
      <c r="X191" s="93">
        <f>SUM('3:4'!X191)</f>
        <v>0</v>
      </c>
      <c r="Y191" s="93">
        <f>SUM('3:4'!Y191)</f>
        <v>0</v>
      </c>
      <c r="Z191" s="93">
        <f>SUM('3:4'!Z191)</f>
        <v>0</v>
      </c>
      <c r="AA191" s="93">
        <f>SUM('3:4'!AA191)</f>
        <v>0</v>
      </c>
      <c r="AB191" s="358">
        <v>0.45</v>
      </c>
      <c r="AC191" s="269">
        <f t="shared" si="65"/>
        <v>0</v>
      </c>
      <c r="AD191" s="251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 ht="17.25">
      <c r="A192" s="316">
        <v>30100003</v>
      </c>
      <c r="B192" s="141" t="s">
        <v>198</v>
      </c>
      <c r="C192" s="241" t="s">
        <v>190</v>
      </c>
      <c r="D192" s="108">
        <v>4.8</v>
      </c>
      <c r="E192" s="17"/>
      <c r="F192" s="6"/>
      <c r="G192" s="93">
        <f>SUM('3:4'!G192)</f>
        <v>0</v>
      </c>
      <c r="H192" s="95">
        <f t="shared" si="66"/>
        <v>0</v>
      </c>
      <c r="I192" s="93">
        <f>SUM('3:4'!I192)</f>
        <v>0</v>
      </c>
      <c r="J192" s="31" t="str">
        <f t="array" ref="J192">IF(ISERROR(G192/I192),"",G192/I192)</f>
        <v/>
      </c>
      <c r="K192" s="35">
        <f t="array" ref="K192">IF(ISERROR(G192/L192),"",G192/L192)</f>
        <v>0</v>
      </c>
      <c r="L192" s="87">
        <v>4</v>
      </c>
      <c r="M192" s="36">
        <f t="shared" si="67"/>
        <v>0</v>
      </c>
      <c r="N192" s="93">
        <f>SUM('3:4'!N192)</f>
        <v>0</v>
      </c>
      <c r="O192" s="93">
        <f>SUM('3:4'!O192)</f>
        <v>0</v>
      </c>
      <c r="P192" s="93">
        <f>SUM('3:4'!P192)</f>
        <v>0</v>
      </c>
      <c r="Q192" s="93">
        <f>SUM('3:4'!Q192)</f>
        <v>0</v>
      </c>
      <c r="R192" s="93">
        <f>SUM('3:4'!R192)</f>
        <v>0</v>
      </c>
      <c r="S192" s="93">
        <f>SUM('3:4'!S192)</f>
        <v>0</v>
      </c>
      <c r="T192" s="93">
        <f>SUM('3:4'!T192)</f>
        <v>0</v>
      </c>
      <c r="U192" s="93">
        <f>SUM('3:4'!U192)</f>
        <v>0</v>
      </c>
      <c r="V192" s="206">
        <f t="shared" si="68"/>
        <v>0</v>
      </c>
      <c r="W192" s="33" t="str">
        <f t="shared" si="69"/>
        <v/>
      </c>
      <c r="X192" s="93">
        <f>SUM('3:4'!X192)</f>
        <v>0</v>
      </c>
      <c r="Y192" s="93">
        <f>SUM('3:4'!Y192)</f>
        <v>0</v>
      </c>
      <c r="Z192" s="93">
        <f>SUM('3:4'!Z192)</f>
        <v>0</v>
      </c>
      <c r="AA192" s="93">
        <f>SUM('3:4'!AA192)</f>
        <v>0</v>
      </c>
      <c r="AB192" s="358">
        <v>0.95</v>
      </c>
      <c r="AC192" s="269">
        <f t="shared" si="65"/>
        <v>0</v>
      </c>
      <c r="AD192" s="251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 ht="17.25">
      <c r="A193" s="316">
        <v>30100004</v>
      </c>
      <c r="B193" s="141" t="s">
        <v>198</v>
      </c>
      <c r="C193" s="241" t="s">
        <v>187</v>
      </c>
      <c r="D193" s="108">
        <v>4.8</v>
      </c>
      <c r="E193" s="17"/>
      <c r="F193" s="13"/>
      <c r="G193" s="93">
        <f>SUM('3:4'!G193)</f>
        <v>0</v>
      </c>
      <c r="H193" s="95">
        <f t="shared" si="66"/>
        <v>0</v>
      </c>
      <c r="I193" s="93">
        <f>SUM('3:4'!I193)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67"/>
        <v>0</v>
      </c>
      <c r="N193" s="93">
        <f>SUM('3:4'!N193)</f>
        <v>0</v>
      </c>
      <c r="O193" s="93">
        <f>SUM('3:4'!O193)</f>
        <v>0</v>
      </c>
      <c r="P193" s="93">
        <f>SUM('3:4'!P193)</f>
        <v>0</v>
      </c>
      <c r="Q193" s="93">
        <f>SUM('3:4'!Q193)</f>
        <v>0</v>
      </c>
      <c r="R193" s="93">
        <f>SUM('3:4'!R193)</f>
        <v>0</v>
      </c>
      <c r="S193" s="93">
        <f>SUM('3:4'!S193)</f>
        <v>0</v>
      </c>
      <c r="T193" s="93">
        <f>SUM('3:4'!T193)</f>
        <v>0</v>
      </c>
      <c r="U193" s="93">
        <f>SUM('3:4'!U193)</f>
        <v>0</v>
      </c>
      <c r="V193" s="206">
        <f t="shared" si="68"/>
        <v>0</v>
      </c>
      <c r="W193" s="33" t="str">
        <f t="shared" si="69"/>
        <v/>
      </c>
      <c r="X193" s="93">
        <f>SUM('3:4'!X193)</f>
        <v>0</v>
      </c>
      <c r="Y193" s="93">
        <f>SUM('3:4'!Y193)</f>
        <v>0</v>
      </c>
      <c r="Z193" s="93">
        <f>SUM('3:4'!Z193)</f>
        <v>0</v>
      </c>
      <c r="AA193" s="93">
        <f>SUM('3:4'!AA193)</f>
        <v>0</v>
      </c>
      <c r="AB193" s="358">
        <v>0.95</v>
      </c>
      <c r="AC193" s="269">
        <f t="shared" si="65"/>
        <v>0</v>
      </c>
      <c r="AD193" s="251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 ht="17.25">
      <c r="A194" s="316">
        <v>30100006</v>
      </c>
      <c r="B194" s="141" t="s">
        <v>198</v>
      </c>
      <c r="C194" s="241" t="s">
        <v>179</v>
      </c>
      <c r="D194" s="108">
        <v>4.8</v>
      </c>
      <c r="E194" s="17"/>
      <c r="F194" s="13"/>
      <c r="G194" s="93">
        <f>SUM('3:4'!G194)</f>
        <v>0</v>
      </c>
      <c r="H194" s="95">
        <f t="shared" si="66"/>
        <v>0</v>
      </c>
      <c r="I194" s="93">
        <f>SUM('3:4'!I194)</f>
        <v>0</v>
      </c>
      <c r="J194" s="31"/>
      <c r="K194" s="35">
        <f t="array" ref="K194">IF(ISERROR(G194/L194),"",G194/L194)</f>
        <v>0</v>
      </c>
      <c r="L194" s="87">
        <v>4</v>
      </c>
      <c r="M194" s="36">
        <f>IF(ISERROR(I194-K194),"",I194-K194)</f>
        <v>0</v>
      </c>
      <c r="N194" s="93">
        <f>SUM('3:4'!N194)</f>
        <v>0</v>
      </c>
      <c r="O194" s="93">
        <f>SUM('3:4'!O194)</f>
        <v>0</v>
      </c>
      <c r="P194" s="93">
        <f>SUM('3:4'!P194)</f>
        <v>0</v>
      </c>
      <c r="Q194" s="93">
        <f>SUM('3:4'!Q194)</f>
        <v>0</v>
      </c>
      <c r="R194" s="93">
        <f>SUM('3:4'!R194)</f>
        <v>0</v>
      </c>
      <c r="S194" s="93">
        <f>SUM('3:4'!S194)</f>
        <v>0</v>
      </c>
      <c r="T194" s="93">
        <f>SUM('3:4'!T194)</f>
        <v>0</v>
      </c>
      <c r="U194" s="93">
        <f>SUM('3:4'!U194)</f>
        <v>0</v>
      </c>
      <c r="V194" s="206"/>
      <c r="W194" s="33"/>
      <c r="X194" s="93">
        <f>SUM('3:4'!X194)</f>
        <v>0</v>
      </c>
      <c r="Y194" s="93">
        <f>SUM('3:4'!Y194)</f>
        <v>0</v>
      </c>
      <c r="Z194" s="93">
        <f>SUM('3:4'!Z194)</f>
        <v>0</v>
      </c>
      <c r="AA194" s="93">
        <f>SUM('3:4'!AA194)</f>
        <v>0</v>
      </c>
      <c r="AB194" s="358">
        <v>0.95</v>
      </c>
      <c r="AC194" s="269">
        <f t="shared" si="65"/>
        <v>0</v>
      </c>
      <c r="AD194" s="251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 ht="17.25">
      <c r="A195" s="316">
        <v>30100005</v>
      </c>
      <c r="B195" s="141" t="s">
        <v>198</v>
      </c>
      <c r="C195" s="241" t="s">
        <v>199</v>
      </c>
      <c r="D195" s="108">
        <v>4.8</v>
      </c>
      <c r="E195" s="17"/>
      <c r="F195" s="13"/>
      <c r="G195" s="93">
        <f>SUM('3:4'!G195)</f>
        <v>0</v>
      </c>
      <c r="H195" s="95">
        <f t="shared" si="66"/>
        <v>0</v>
      </c>
      <c r="I195" s="93">
        <f>SUM('3:4'!I195)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>IF(ISERROR(I195-K195),"",I195-K195)</f>
        <v>0</v>
      </c>
      <c r="N195" s="93">
        <f>SUM('3:4'!N195)</f>
        <v>0</v>
      </c>
      <c r="O195" s="93">
        <f>SUM('3:4'!O195)</f>
        <v>0</v>
      </c>
      <c r="P195" s="93">
        <f>SUM('3:4'!P195)</f>
        <v>0</v>
      </c>
      <c r="Q195" s="93">
        <f>SUM('3:4'!Q195)</f>
        <v>0</v>
      </c>
      <c r="R195" s="93">
        <f>SUM('3:4'!R195)</f>
        <v>0</v>
      </c>
      <c r="S195" s="93">
        <f>SUM('3:4'!S195)</f>
        <v>0</v>
      </c>
      <c r="T195" s="93">
        <f>SUM('3:4'!T195)</f>
        <v>0</v>
      </c>
      <c r="U195" s="93">
        <f>SUM('3:4'!U195)</f>
        <v>0</v>
      </c>
      <c r="V195" s="206"/>
      <c r="W195" s="33"/>
      <c r="X195" s="93">
        <f>SUM('3:4'!X195)</f>
        <v>0</v>
      </c>
      <c r="Y195" s="93">
        <f>SUM('3:4'!Y195)</f>
        <v>0</v>
      </c>
      <c r="Z195" s="93">
        <f>SUM('3:4'!Z195)</f>
        <v>0</v>
      </c>
      <c r="AA195" s="93">
        <f>SUM('3:4'!AA195)</f>
        <v>0</v>
      </c>
      <c r="AB195" s="358">
        <v>0.95</v>
      </c>
      <c r="AC195" s="269">
        <f t="shared" si="65"/>
        <v>0</v>
      </c>
      <c r="AD195" s="251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 ht="17.25">
      <c r="A196" s="316">
        <v>30100009</v>
      </c>
      <c r="B196" s="141" t="s">
        <v>200</v>
      </c>
      <c r="C196" s="126" t="s">
        <v>190</v>
      </c>
      <c r="D196" s="108">
        <v>4.99</v>
      </c>
      <c r="E196" s="17"/>
      <c r="F196" s="13"/>
      <c r="G196" s="93">
        <f>SUM('3:4'!G196)</f>
        <v>0</v>
      </c>
      <c r="H196" s="95">
        <f t="shared" si="66"/>
        <v>0</v>
      </c>
      <c r="I196" s="93">
        <f>SUM('3:4'!I196)</f>
        <v>0</v>
      </c>
      <c r="J196" s="31"/>
      <c r="K196" s="35">
        <f t="array" ref="K196">IF(ISERROR(G196/L196),"",G196/L196)</f>
        <v>0</v>
      </c>
      <c r="L196" s="87">
        <v>23.5</v>
      </c>
      <c r="M196" s="36">
        <f>IF(ISERROR(I196-K196),"",I196-K196)</f>
        <v>0</v>
      </c>
      <c r="N196" s="93">
        <f>SUM('3:4'!N196)</f>
        <v>0</v>
      </c>
      <c r="O196" s="93">
        <f>SUM('3:4'!O196)</f>
        <v>0</v>
      </c>
      <c r="P196" s="93">
        <f>SUM('3:4'!P196)</f>
        <v>0</v>
      </c>
      <c r="Q196" s="93">
        <f>SUM('3:4'!Q196)</f>
        <v>0</v>
      </c>
      <c r="R196" s="93">
        <f>SUM('3:4'!R196)</f>
        <v>0</v>
      </c>
      <c r="S196" s="93">
        <f>SUM('3:4'!S196)</f>
        <v>0</v>
      </c>
      <c r="T196" s="93">
        <f>SUM('3:4'!T196)</f>
        <v>0</v>
      </c>
      <c r="U196" s="93">
        <f>SUM('3:4'!U196)</f>
        <v>0</v>
      </c>
      <c r="V196" s="206"/>
      <c r="W196" s="33"/>
      <c r="X196" s="93">
        <f>SUM('3:4'!X196)</f>
        <v>0</v>
      </c>
      <c r="Y196" s="93">
        <f>SUM('3:4'!Y196)</f>
        <v>0</v>
      </c>
      <c r="Z196" s="93">
        <f>SUM('3:4'!Z196)</f>
        <v>0</v>
      </c>
      <c r="AA196" s="93">
        <f>SUM('3:4'!AA196)</f>
        <v>0</v>
      </c>
      <c r="AB196" s="358">
        <v>0.44</v>
      </c>
      <c r="AC196" s="269">
        <f t="shared" si="65"/>
        <v>0</v>
      </c>
      <c r="AD196" s="251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 ht="15.75">
      <c r="A197" s="299">
        <v>30200004</v>
      </c>
      <c r="B197" s="141" t="s">
        <v>200</v>
      </c>
      <c r="C197" s="126" t="s">
        <v>189</v>
      </c>
      <c r="D197" s="108">
        <v>4.99</v>
      </c>
      <c r="E197" s="17"/>
      <c r="F197" s="13"/>
      <c r="G197" s="93">
        <f>SUM('3:4'!G197)</f>
        <v>0</v>
      </c>
      <c r="H197" s="95">
        <f t="shared" si="66"/>
        <v>0</v>
      </c>
      <c r="I197" s="93">
        <f>SUM('3:4'!I197)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>IF(ISERROR(I197-K197),"",I197-K197)</f>
        <v>0</v>
      </c>
      <c r="N197" s="93">
        <f>SUM('3:4'!N197)</f>
        <v>0</v>
      </c>
      <c r="O197" s="93">
        <f>SUM('3:4'!O197)</f>
        <v>0</v>
      </c>
      <c r="P197" s="93">
        <f>SUM('3:4'!P197)</f>
        <v>0</v>
      </c>
      <c r="Q197" s="93">
        <f>SUM('3:4'!Q197)</f>
        <v>0</v>
      </c>
      <c r="R197" s="93">
        <f>SUM('3:4'!R197)</f>
        <v>0</v>
      </c>
      <c r="S197" s="93">
        <f>SUM('3:4'!S197)</f>
        <v>0</v>
      </c>
      <c r="T197" s="93">
        <f>SUM('3:4'!T197)</f>
        <v>0</v>
      </c>
      <c r="U197" s="93">
        <f>SUM('3:4'!U197)</f>
        <v>0</v>
      </c>
      <c r="V197" s="206"/>
      <c r="W197" s="33"/>
      <c r="X197" s="93">
        <f>SUM('3:4'!X197)</f>
        <v>0</v>
      </c>
      <c r="Y197" s="93">
        <f>SUM('3:4'!Y197)</f>
        <v>0</v>
      </c>
      <c r="Z197" s="93">
        <f>SUM('3:4'!Z197)</f>
        <v>0</v>
      </c>
      <c r="AA197" s="93">
        <f>SUM('3:4'!AA197)</f>
        <v>0</v>
      </c>
      <c r="AB197" s="358">
        <v>0.44</v>
      </c>
      <c r="AC197" s="269">
        <f t="shared" si="65"/>
        <v>0</v>
      </c>
      <c r="AD197" s="251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 ht="15.75">
      <c r="A198" s="722" t="s">
        <v>70</v>
      </c>
      <c r="B198" s="723"/>
      <c r="C198" s="31" t="s">
        <v>71</v>
      </c>
      <c r="D198" s="30"/>
      <c r="E198" s="30"/>
      <c r="F198" s="30"/>
      <c r="G198" s="94">
        <f>SUM(G177:G197)</f>
        <v>0</v>
      </c>
      <c r="H198" s="30">
        <f>SUM(H177:H197)</f>
        <v>0</v>
      </c>
      <c r="I198" s="30">
        <f>SUM(I177:I197)</f>
        <v>0</v>
      </c>
      <c r="J198" s="31" t="str">
        <f t="array" ref="J198">IF(ISERROR(G198/I198),"",G198/I198)</f>
        <v/>
      </c>
      <c r="K198" s="30">
        <f>SUM(K177:K197)</f>
        <v>0</v>
      </c>
      <c r="L198" s="98"/>
      <c r="M198" s="89">
        <f t="shared" ref="M198:AA198" si="70">SUM(M177:M197)</f>
        <v>0</v>
      </c>
      <c r="N198" s="30">
        <f t="shared" si="70"/>
        <v>0</v>
      </c>
      <c r="O198" s="34">
        <f t="shared" si="70"/>
        <v>0</v>
      </c>
      <c r="P198" s="34">
        <f t="shared" si="70"/>
        <v>0</v>
      </c>
      <c r="Q198" s="34">
        <f t="shared" si="70"/>
        <v>0</v>
      </c>
      <c r="R198" s="34">
        <f t="shared" si="70"/>
        <v>0</v>
      </c>
      <c r="S198" s="34">
        <f t="shared" si="70"/>
        <v>0</v>
      </c>
      <c r="T198" s="34">
        <f t="shared" si="70"/>
        <v>0</v>
      </c>
      <c r="U198" s="34">
        <f t="shared" si="70"/>
        <v>0</v>
      </c>
      <c r="V198" s="206">
        <f t="shared" si="70"/>
        <v>0</v>
      </c>
      <c r="W198" s="33">
        <f t="shared" si="70"/>
        <v>0</v>
      </c>
      <c r="X198" s="92">
        <f t="shared" si="70"/>
        <v>0</v>
      </c>
      <c r="Y198" s="92">
        <f t="shared" si="70"/>
        <v>0</v>
      </c>
      <c r="Z198" s="92">
        <f t="shared" si="70"/>
        <v>0</v>
      </c>
      <c r="AA198" s="92">
        <f t="shared" si="70"/>
        <v>0</v>
      </c>
      <c r="AB198" s="87"/>
      <c r="AC198" s="91">
        <f>SUM(AC177:AC197)</f>
        <v>0</v>
      </c>
      <c r="AD198" s="58"/>
      <c r="AE198" s="70"/>
      <c r="AF198" s="70"/>
      <c r="AG198" s="70"/>
      <c r="AH198" s="70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</row>
    <row r="199" spans="1:53" ht="17.25">
      <c r="A199" s="316">
        <v>30100012</v>
      </c>
      <c r="B199" s="61" t="s">
        <v>76</v>
      </c>
      <c r="C199" s="16" t="s">
        <v>73</v>
      </c>
      <c r="D199" s="17">
        <v>5.03</v>
      </c>
      <c r="E199" s="17"/>
      <c r="F199" s="6"/>
      <c r="G199" s="93">
        <f>SUM('3:4'!G199)</f>
        <v>0</v>
      </c>
      <c r="H199" s="246">
        <f t="shared" ref="H199:H255" si="71">D199*G199</f>
        <v>0</v>
      </c>
      <c r="I199" s="93">
        <f>SUM('3:4'!I199)</f>
        <v>0</v>
      </c>
      <c r="J199" s="31" t="str">
        <f t="array" ref="J199">IF(ISERROR(G199/I199),"",G199/I199)</f>
        <v/>
      </c>
      <c r="K199" s="35">
        <f t="array" ref="K199">IF(ISERROR(G199/L199),"",G199/L199)</f>
        <v>0</v>
      </c>
      <c r="L199" s="87">
        <v>52</v>
      </c>
      <c r="M199" s="36">
        <f t="shared" ref="M199" si="72">IF(ISERROR(I199-K199),"",I199-K199)</f>
        <v>0</v>
      </c>
      <c r="N199" s="93">
        <f>SUM('3:4'!N199)</f>
        <v>0</v>
      </c>
      <c r="O199" s="93">
        <f>SUM('3:4'!O199)</f>
        <v>0</v>
      </c>
      <c r="P199" s="93">
        <f>SUM('3:4'!P199)</f>
        <v>0</v>
      </c>
      <c r="Q199" s="93">
        <f>SUM('3:4'!Q199)</f>
        <v>0</v>
      </c>
      <c r="R199" s="93">
        <f>SUM('3:4'!R199)</f>
        <v>0</v>
      </c>
      <c r="S199" s="93">
        <f>SUM('3:4'!S199)</f>
        <v>0</v>
      </c>
      <c r="T199" s="93">
        <f>SUM('3:4'!T199)</f>
        <v>0</v>
      </c>
      <c r="U199" s="93">
        <f>SUM('3:4'!U199)</f>
        <v>0</v>
      </c>
      <c r="V199" s="206">
        <f t="shared" ref="V199" si="73">SUM(X199:AA199)</f>
        <v>0</v>
      </c>
      <c r="W199" s="33" t="str">
        <f t="shared" ref="W199" si="74">IF(ISERROR(V199/G199),"",V199/G199)</f>
        <v/>
      </c>
      <c r="X199" s="93">
        <f>SUM('3:4'!X199)</f>
        <v>0</v>
      </c>
      <c r="Y199" s="93">
        <f>SUM('3:4'!Y199)</f>
        <v>0</v>
      </c>
      <c r="Z199" s="93">
        <f>SUM('3:4'!Z199)</f>
        <v>0</v>
      </c>
      <c r="AA199" s="93">
        <f>SUM('3:4'!AA199)</f>
        <v>0</v>
      </c>
      <c r="AB199" s="358">
        <v>0.19</v>
      </c>
      <c r="AC199" s="269">
        <f t="shared" ref="AC199:AC255" si="75">AB199*G199</f>
        <v>0</v>
      </c>
      <c r="AD199" s="251"/>
      <c r="AE199" s="54"/>
      <c r="AF199" s="54"/>
      <c r="AG199" s="54"/>
      <c r="AH199" s="54"/>
      <c r="AI199" s="57"/>
      <c r="AJ199" s="57"/>
      <c r="AK199" s="57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</row>
    <row r="200" spans="1:53" ht="17.25">
      <c r="A200" s="316">
        <v>30100011</v>
      </c>
      <c r="B200" s="190" t="s">
        <v>425</v>
      </c>
      <c r="C200" s="187" t="s">
        <v>427</v>
      </c>
      <c r="D200" s="17">
        <v>5.03</v>
      </c>
      <c r="E200" s="17"/>
      <c r="F200" s="6"/>
      <c r="G200" s="93">
        <f>SUM('3:4'!G200)</f>
        <v>0</v>
      </c>
      <c r="H200" s="246">
        <f t="shared" si="71"/>
        <v>0</v>
      </c>
      <c r="I200" s="93">
        <f>SUM('3:4'!I200)</f>
        <v>0</v>
      </c>
      <c r="J200" s="31"/>
      <c r="K200" s="35"/>
      <c r="L200" s="87">
        <v>52</v>
      </c>
      <c r="M200" s="36"/>
      <c r="N200" s="93"/>
      <c r="O200" s="93"/>
      <c r="P200" s="93"/>
      <c r="Q200" s="93"/>
      <c r="R200" s="93"/>
      <c r="S200" s="93"/>
      <c r="T200" s="93"/>
      <c r="U200" s="93"/>
      <c r="V200" s="206"/>
      <c r="W200" s="33"/>
      <c r="X200" s="93"/>
      <c r="Y200" s="93"/>
      <c r="Z200" s="93"/>
      <c r="AA200" s="93"/>
      <c r="AB200" s="358">
        <v>0.19</v>
      </c>
      <c r="AC200" s="269">
        <f t="shared" si="75"/>
        <v>0</v>
      </c>
      <c r="AD200" s="251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 ht="17.25" customHeight="1">
      <c r="A201" s="316">
        <v>30100010</v>
      </c>
      <c r="B201" s="61" t="s">
        <v>76</v>
      </c>
      <c r="C201" s="16" t="s">
        <v>60</v>
      </c>
      <c r="D201" s="17">
        <v>5.03</v>
      </c>
      <c r="E201" s="17"/>
      <c r="F201" s="6"/>
      <c r="G201" s="93">
        <f>SUM('3:4'!G201)</f>
        <v>0</v>
      </c>
      <c r="H201" s="246">
        <f t="shared" si="71"/>
        <v>0</v>
      </c>
      <c r="I201" s="93">
        <f>SUM('3:4'!I201)</f>
        <v>0</v>
      </c>
      <c r="J201" s="31" t="str">
        <f t="array" ref="J201">IF(ISERROR(G201/I201),"",G201/I201)</f>
        <v/>
      </c>
      <c r="K201" s="35">
        <f t="array" ref="K201">IF(ISERROR(G201/L201),"",G201/L201)</f>
        <v>0</v>
      </c>
      <c r="L201" s="87">
        <v>52</v>
      </c>
      <c r="M201" s="36">
        <f t="shared" ref="M201" si="76">IF(ISERROR(I201-K201),"",I201-K201)</f>
        <v>0</v>
      </c>
      <c r="N201" s="93">
        <f>SUM('3:4'!N201)</f>
        <v>0</v>
      </c>
      <c r="O201" s="93">
        <f>SUM('3:4'!O201)</f>
        <v>0</v>
      </c>
      <c r="P201" s="93">
        <f>SUM('3:4'!P201)</f>
        <v>0</v>
      </c>
      <c r="Q201" s="93">
        <f>SUM('3:4'!Q201)</f>
        <v>0</v>
      </c>
      <c r="R201" s="93">
        <f>SUM('3:4'!R201)</f>
        <v>0</v>
      </c>
      <c r="S201" s="93">
        <f>SUM('3:4'!S201)</f>
        <v>0</v>
      </c>
      <c r="T201" s="93">
        <f>SUM('3:4'!T201)</f>
        <v>0</v>
      </c>
      <c r="U201" s="93">
        <f>SUM('3:4'!U201)</f>
        <v>0</v>
      </c>
      <c r="V201" s="206">
        <f t="shared" ref="V201:V203" si="77">SUM(X201:AA201)</f>
        <v>0</v>
      </c>
      <c r="W201" s="33" t="str">
        <f t="shared" ref="W201:W203" si="78">IF(ISERROR(V201/G201),"",V201/G201)</f>
        <v/>
      </c>
      <c r="X201" s="93">
        <f>SUM('3:4'!X201)</f>
        <v>0</v>
      </c>
      <c r="Y201" s="93">
        <f>SUM('3:4'!Y201)</f>
        <v>0</v>
      </c>
      <c r="Z201" s="93">
        <f>SUM('3:4'!Z201)</f>
        <v>0</v>
      </c>
      <c r="AA201" s="93">
        <f>SUM('3:4'!AA201)</f>
        <v>0</v>
      </c>
      <c r="AB201" s="358">
        <v>0.19</v>
      </c>
      <c r="AC201" s="269">
        <f t="shared" si="75"/>
        <v>0</v>
      </c>
      <c r="AD201" s="251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>
      <c r="A202" s="316">
        <v>30100014</v>
      </c>
      <c r="B202" s="61" t="s">
        <v>76</v>
      </c>
      <c r="C202" s="16" t="s">
        <v>72</v>
      </c>
      <c r="D202" s="17">
        <v>5.03</v>
      </c>
      <c r="E202" s="17"/>
      <c r="F202" s="6"/>
      <c r="G202" s="93">
        <f>SUM('3:4'!G202)</f>
        <v>0</v>
      </c>
      <c r="H202" s="246">
        <f t="shared" si="71"/>
        <v>0</v>
      </c>
      <c r="I202" s="93">
        <f>SUM('3:4'!I202)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>IF(ISERROR(I202-K202),"",I202-K202)</f>
        <v>0</v>
      </c>
      <c r="N202" s="93">
        <f>SUM('3:4'!N202)</f>
        <v>0</v>
      </c>
      <c r="O202" s="93">
        <f>SUM('3:4'!O202)</f>
        <v>0</v>
      </c>
      <c r="P202" s="93">
        <f>SUM('3:4'!P202)</f>
        <v>0</v>
      </c>
      <c r="Q202" s="93">
        <f>SUM('3:4'!Q202)</f>
        <v>0</v>
      </c>
      <c r="R202" s="93">
        <f>SUM('3:4'!R202)</f>
        <v>0</v>
      </c>
      <c r="S202" s="93">
        <f>SUM('3:4'!S202)</f>
        <v>0</v>
      </c>
      <c r="T202" s="93">
        <f>SUM('3:4'!T202)</f>
        <v>0</v>
      </c>
      <c r="U202" s="93">
        <f>SUM('3:4'!U202)</f>
        <v>0</v>
      </c>
      <c r="V202" s="206">
        <f t="shared" si="77"/>
        <v>0</v>
      </c>
      <c r="W202" s="33" t="str">
        <f t="shared" si="78"/>
        <v/>
      </c>
      <c r="X202" s="93">
        <f>SUM('3:4'!X202)</f>
        <v>0</v>
      </c>
      <c r="Y202" s="93">
        <f>SUM('3:4'!Y202)</f>
        <v>0</v>
      </c>
      <c r="Z202" s="93">
        <f>SUM('3:4'!Z202)</f>
        <v>0</v>
      </c>
      <c r="AA202" s="93">
        <f>SUM('3:4'!AA202)</f>
        <v>0</v>
      </c>
      <c r="AB202" s="358">
        <v>0.19</v>
      </c>
      <c r="AC202" s="269">
        <f t="shared" si="75"/>
        <v>0</v>
      </c>
      <c r="AD202" s="251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 ht="17.25">
      <c r="A203" s="316">
        <v>30100013</v>
      </c>
      <c r="B203" s="61" t="s">
        <v>76</v>
      </c>
      <c r="C203" s="16" t="s">
        <v>77</v>
      </c>
      <c r="D203" s="17">
        <v>5.03</v>
      </c>
      <c r="E203" s="17"/>
      <c r="F203" s="6"/>
      <c r="G203" s="93">
        <f>SUM('3:4'!G203)</f>
        <v>0</v>
      </c>
      <c r="H203" s="296">
        <f t="shared" si="71"/>
        <v>0</v>
      </c>
      <c r="I203" s="93">
        <f>SUM('3:4'!I203)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 t="shared" ref="M203" si="79">IF(ISERROR(I203-K203),"",I203-K203)</f>
        <v>0</v>
      </c>
      <c r="N203" s="93">
        <f>SUM('3:4'!N203)</f>
        <v>0</v>
      </c>
      <c r="O203" s="93">
        <f>SUM('3:4'!O203)</f>
        <v>0</v>
      </c>
      <c r="P203" s="93">
        <f>SUM('3:4'!P203)</f>
        <v>0</v>
      </c>
      <c r="Q203" s="93">
        <f>SUM('3:4'!Q203)</f>
        <v>0</v>
      </c>
      <c r="R203" s="93">
        <f>SUM('3:4'!R203)</f>
        <v>0</v>
      </c>
      <c r="S203" s="93">
        <f>SUM('3:4'!S203)</f>
        <v>0</v>
      </c>
      <c r="T203" s="93">
        <f>SUM('3:4'!T203)</f>
        <v>0</v>
      </c>
      <c r="U203" s="93">
        <f>SUM('3:4'!U203)</f>
        <v>0</v>
      </c>
      <c r="V203" s="206">
        <f t="shared" si="77"/>
        <v>0</v>
      </c>
      <c r="W203" s="33" t="str">
        <f t="shared" si="78"/>
        <v/>
      </c>
      <c r="X203" s="93">
        <f>SUM('3:4'!X203)</f>
        <v>0</v>
      </c>
      <c r="Y203" s="93">
        <f>SUM('3:4'!Y203)</f>
        <v>0</v>
      </c>
      <c r="Z203" s="93">
        <f>SUM('3:4'!Z203)</f>
        <v>0</v>
      </c>
      <c r="AA203" s="93">
        <f>SUM('3:4'!AA203)</f>
        <v>0</v>
      </c>
      <c r="AB203" s="358">
        <v>0.19</v>
      </c>
      <c r="AC203" s="269">
        <f t="shared" si="75"/>
        <v>0</v>
      </c>
      <c r="AD203" s="251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 ht="17.25">
      <c r="A204" s="316">
        <v>30100016</v>
      </c>
      <c r="B204" s="240" t="s">
        <v>414</v>
      </c>
      <c r="C204" s="187" t="s">
        <v>415</v>
      </c>
      <c r="D204" s="17">
        <v>5.03</v>
      </c>
      <c r="E204" s="17"/>
      <c r="F204" s="6"/>
      <c r="G204" s="93">
        <f>SUM('3:4'!G204)</f>
        <v>0</v>
      </c>
      <c r="H204" s="296">
        <f t="shared" si="71"/>
        <v>0</v>
      </c>
      <c r="I204" s="93">
        <f>SUM('3:4'!I204)</f>
        <v>0</v>
      </c>
      <c r="J204" s="31"/>
      <c r="K204" s="35"/>
      <c r="L204" s="87">
        <v>52</v>
      </c>
      <c r="M204" s="36"/>
      <c r="N204" s="93"/>
      <c r="O204" s="93"/>
      <c r="P204" s="93"/>
      <c r="Q204" s="93"/>
      <c r="R204" s="93"/>
      <c r="S204" s="93"/>
      <c r="T204" s="93"/>
      <c r="U204" s="93"/>
      <c r="V204" s="206"/>
      <c r="W204" s="33"/>
      <c r="X204" s="93"/>
      <c r="Y204" s="93"/>
      <c r="Z204" s="93"/>
      <c r="AA204" s="93"/>
      <c r="AB204" s="358">
        <v>0.19</v>
      </c>
      <c r="AC204" s="269">
        <f t="shared" si="75"/>
        <v>0</v>
      </c>
      <c r="AD204" s="251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 ht="17.25">
      <c r="A205" s="316">
        <v>30100017</v>
      </c>
      <c r="B205" s="240" t="s">
        <v>414</v>
      </c>
      <c r="C205" s="187" t="s">
        <v>416</v>
      </c>
      <c r="D205" s="17">
        <v>5.03</v>
      </c>
      <c r="E205" s="17"/>
      <c r="F205" s="6"/>
      <c r="G205" s="93">
        <f>SUM('3:4'!G205)</f>
        <v>0</v>
      </c>
      <c r="H205" s="296">
        <f t="shared" si="71"/>
        <v>0</v>
      </c>
      <c r="I205" s="93">
        <f>SUM('3:4'!I205)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6"/>
      <c r="W205" s="33"/>
      <c r="X205" s="93"/>
      <c r="Y205" s="93"/>
      <c r="Z205" s="93"/>
      <c r="AA205" s="93"/>
      <c r="AB205" s="358">
        <v>0.19</v>
      </c>
      <c r="AC205" s="269">
        <f t="shared" si="75"/>
        <v>0</v>
      </c>
      <c r="AD205" s="251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 ht="17.25">
      <c r="A206" s="316">
        <v>30100015</v>
      </c>
      <c r="B206" s="240" t="s">
        <v>414</v>
      </c>
      <c r="C206" s="187" t="s">
        <v>61</v>
      </c>
      <c r="D206" s="17">
        <v>5.03</v>
      </c>
      <c r="E206" s="17"/>
      <c r="F206" s="6"/>
      <c r="G206" s="93">
        <f>SUM('3:4'!G206)</f>
        <v>0</v>
      </c>
      <c r="H206" s="296">
        <f t="shared" si="71"/>
        <v>0</v>
      </c>
      <c r="I206" s="93">
        <f>SUM('3:4'!I206)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6"/>
      <c r="W206" s="33"/>
      <c r="X206" s="93"/>
      <c r="Y206" s="93"/>
      <c r="Z206" s="93"/>
      <c r="AA206" s="93"/>
      <c r="AB206" s="358">
        <v>0.19</v>
      </c>
      <c r="AC206" s="269">
        <f t="shared" si="75"/>
        <v>0</v>
      </c>
      <c r="AD206" s="251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 ht="17.25">
      <c r="A207" s="316">
        <v>30100027</v>
      </c>
      <c r="B207" s="61" t="s">
        <v>78</v>
      </c>
      <c r="C207" s="16" t="s">
        <v>53</v>
      </c>
      <c r="D207" s="17">
        <v>5.08</v>
      </c>
      <c r="E207" s="17"/>
      <c r="F207" s="6"/>
      <c r="G207" s="93">
        <f>SUM('3:4'!G207)</f>
        <v>0</v>
      </c>
      <c r="H207" s="296">
        <f t="shared" si="71"/>
        <v>0</v>
      </c>
      <c r="I207" s="93">
        <f>SUM('3:4'!I207)</f>
        <v>0</v>
      </c>
      <c r="J207" s="31" t="str">
        <f t="array" ref="J207">IF(ISERROR(G207/I207),"",G207/I207)</f>
        <v/>
      </c>
      <c r="K207" s="35">
        <f t="array" ref="K207">IF(ISERROR(G207/L207),"",G207/L207)</f>
        <v>0</v>
      </c>
      <c r="L207" s="87">
        <v>21</v>
      </c>
      <c r="M207" s="36">
        <f t="shared" ref="M207:M236" si="80">IF(ISERROR(I207-K207),"",I207-K207)</f>
        <v>0</v>
      </c>
      <c r="N207" s="93">
        <f>SUM('3:4'!N207)</f>
        <v>0</v>
      </c>
      <c r="O207" s="93">
        <f>SUM('3:4'!O207)</f>
        <v>0</v>
      </c>
      <c r="P207" s="93">
        <f>SUM('3:4'!P207)</f>
        <v>0</v>
      </c>
      <c r="Q207" s="93">
        <f>SUM('3:4'!Q207)</f>
        <v>0</v>
      </c>
      <c r="R207" s="93">
        <f>SUM('3:4'!R207)</f>
        <v>0</v>
      </c>
      <c r="S207" s="93">
        <f>SUM('3:4'!S207)</f>
        <v>0</v>
      </c>
      <c r="T207" s="93">
        <f>SUM('3:4'!T207)</f>
        <v>0</v>
      </c>
      <c r="U207" s="93">
        <f>SUM('3:4'!U207)</f>
        <v>0</v>
      </c>
      <c r="V207" s="206">
        <f t="shared" ref="V207:V218" si="81">SUM(X207:AA207)</f>
        <v>0</v>
      </c>
      <c r="W207" s="33" t="str">
        <f t="shared" ref="W207:W218" si="82">IF(ISERROR(V207/G207),"",V207/G207)</f>
        <v/>
      </c>
      <c r="X207" s="93">
        <f>SUM('3:4'!X207)</f>
        <v>0</v>
      </c>
      <c r="Y207" s="93">
        <f>SUM('3:4'!Y207)</f>
        <v>0</v>
      </c>
      <c r="Z207" s="93">
        <f>SUM('3:4'!Z207)</f>
        <v>0</v>
      </c>
      <c r="AA207" s="93">
        <f>SUM('3:4'!AA207)</f>
        <v>0</v>
      </c>
      <c r="AB207" s="358">
        <v>0.49</v>
      </c>
      <c r="AC207" s="269">
        <f t="shared" si="75"/>
        <v>0</v>
      </c>
      <c r="AD207" s="251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 ht="17.25">
      <c r="A208" s="316">
        <v>30100023</v>
      </c>
      <c r="B208" s="61" t="s">
        <v>78</v>
      </c>
      <c r="C208" s="16" t="s">
        <v>74</v>
      </c>
      <c r="D208" s="17">
        <v>5.08</v>
      </c>
      <c r="E208" s="17"/>
      <c r="F208" s="6"/>
      <c r="G208" s="93">
        <f>SUM('3:4'!G208)</f>
        <v>0</v>
      </c>
      <c r="H208" s="296">
        <f t="shared" si="71"/>
        <v>0</v>
      </c>
      <c r="I208" s="93">
        <f>SUM('3:4'!I208)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si="80"/>
        <v>0</v>
      </c>
      <c r="N208" s="93">
        <f>SUM('3:4'!N208)</f>
        <v>0</v>
      </c>
      <c r="O208" s="93">
        <f>SUM('3:4'!O208)</f>
        <v>0</v>
      </c>
      <c r="P208" s="93">
        <f>SUM('3:4'!P208)</f>
        <v>0</v>
      </c>
      <c r="Q208" s="93">
        <f>SUM('3:4'!Q208)</f>
        <v>0</v>
      </c>
      <c r="R208" s="93">
        <f>SUM('3:4'!R208)</f>
        <v>0</v>
      </c>
      <c r="S208" s="93">
        <f>SUM('3:4'!S208)</f>
        <v>0</v>
      </c>
      <c r="T208" s="93">
        <f>SUM('3:4'!T208)</f>
        <v>0</v>
      </c>
      <c r="U208" s="93">
        <f>SUM('3:4'!U208)</f>
        <v>0</v>
      </c>
      <c r="V208" s="206">
        <f t="shared" si="81"/>
        <v>0</v>
      </c>
      <c r="W208" s="33" t="str">
        <f t="shared" si="82"/>
        <v/>
      </c>
      <c r="X208" s="93">
        <f>SUM('3:4'!X208)</f>
        <v>0</v>
      </c>
      <c r="Y208" s="93">
        <f>SUM('3:4'!Y208)</f>
        <v>0</v>
      </c>
      <c r="Z208" s="93">
        <f>SUM('3:4'!Z208)</f>
        <v>0</v>
      </c>
      <c r="AA208" s="93">
        <f>SUM('3:4'!AA208)</f>
        <v>0</v>
      </c>
      <c r="AB208" s="358">
        <v>0.49</v>
      </c>
      <c r="AC208" s="269">
        <f t="shared" si="75"/>
        <v>0</v>
      </c>
      <c r="AD208" s="251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 ht="17.25">
      <c r="A209" s="316">
        <v>30100024</v>
      </c>
      <c r="B209" s="61" t="s">
        <v>78</v>
      </c>
      <c r="C209" s="16" t="s">
        <v>75</v>
      </c>
      <c r="D209" s="17">
        <v>5.08</v>
      </c>
      <c r="E209" s="17"/>
      <c r="F209" s="6"/>
      <c r="G209" s="93">
        <f>SUM('3:4'!G209)</f>
        <v>0</v>
      </c>
      <c r="H209" s="296">
        <f t="shared" si="71"/>
        <v>0</v>
      </c>
      <c r="I209" s="93">
        <f>SUM('3:4'!I209)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80"/>
        <v>0</v>
      </c>
      <c r="N209" s="93">
        <f>SUM('3:4'!N209)</f>
        <v>0</v>
      </c>
      <c r="O209" s="93">
        <f>SUM('3:4'!O209)</f>
        <v>0</v>
      </c>
      <c r="P209" s="93">
        <f>SUM('3:4'!P209)</f>
        <v>0</v>
      </c>
      <c r="Q209" s="93">
        <f>SUM('3:4'!Q209)</f>
        <v>0</v>
      </c>
      <c r="R209" s="93">
        <f>SUM('3:4'!R209)</f>
        <v>0</v>
      </c>
      <c r="S209" s="93">
        <f>SUM('3:4'!S209)</f>
        <v>0</v>
      </c>
      <c r="T209" s="93">
        <f>SUM('3:4'!T209)</f>
        <v>0</v>
      </c>
      <c r="U209" s="93">
        <f>SUM('3:4'!U209)</f>
        <v>0</v>
      </c>
      <c r="V209" s="206">
        <f t="shared" si="81"/>
        <v>0</v>
      </c>
      <c r="W209" s="33" t="str">
        <f t="shared" si="82"/>
        <v/>
      </c>
      <c r="X209" s="93">
        <f>SUM('3:4'!X209)</f>
        <v>0</v>
      </c>
      <c r="Y209" s="93">
        <f>SUM('3:4'!Y209)</f>
        <v>0</v>
      </c>
      <c r="Z209" s="93">
        <f>SUM('3:4'!Z209)</f>
        <v>0</v>
      </c>
      <c r="AA209" s="93">
        <f>SUM('3:4'!AA209)</f>
        <v>0</v>
      </c>
      <c r="AB209" s="358">
        <v>0.49</v>
      </c>
      <c r="AC209" s="269">
        <f t="shared" si="75"/>
        <v>0</v>
      </c>
      <c r="AD209" s="251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 ht="17.25">
      <c r="A210" s="316">
        <v>30100022</v>
      </c>
      <c r="B210" s="61" t="s">
        <v>78</v>
      </c>
      <c r="C210" s="16" t="s">
        <v>60</v>
      </c>
      <c r="D210" s="17">
        <v>5.08</v>
      </c>
      <c r="E210" s="17"/>
      <c r="F210" s="6"/>
      <c r="G210" s="93">
        <f>SUM('3:4'!G210)</f>
        <v>0</v>
      </c>
      <c r="H210" s="246">
        <f t="shared" si="71"/>
        <v>0</v>
      </c>
      <c r="I210" s="93">
        <f>SUM('3:4'!I210)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80"/>
        <v>0</v>
      </c>
      <c r="N210" s="93">
        <f>SUM('3:4'!N210)</f>
        <v>0</v>
      </c>
      <c r="O210" s="93">
        <f>SUM('3:4'!O210)</f>
        <v>0</v>
      </c>
      <c r="P210" s="93">
        <f>SUM('3:4'!P210)</f>
        <v>0</v>
      </c>
      <c r="Q210" s="93">
        <f>SUM('3:4'!Q210)</f>
        <v>0</v>
      </c>
      <c r="R210" s="93">
        <f>SUM('3:4'!R210)</f>
        <v>0</v>
      </c>
      <c r="S210" s="93">
        <f>SUM('3:4'!S210)</f>
        <v>0</v>
      </c>
      <c r="T210" s="93">
        <f>SUM('3:4'!T210)</f>
        <v>0</v>
      </c>
      <c r="U210" s="93">
        <f>SUM('3:4'!U210)</f>
        <v>0</v>
      </c>
      <c r="V210" s="206">
        <f t="shared" si="81"/>
        <v>0</v>
      </c>
      <c r="W210" s="33" t="str">
        <f t="shared" si="82"/>
        <v/>
      </c>
      <c r="X210" s="93">
        <f>SUM('3:4'!X210)</f>
        <v>0</v>
      </c>
      <c r="Y210" s="93">
        <f>SUM('3:4'!Y210)</f>
        <v>0</v>
      </c>
      <c r="Z210" s="93">
        <f>SUM('3:4'!Z210)</f>
        <v>0</v>
      </c>
      <c r="AA210" s="93">
        <f>SUM('3:4'!AA210)</f>
        <v>0</v>
      </c>
      <c r="AB210" s="358">
        <v>0.49</v>
      </c>
      <c r="AC210" s="269">
        <f t="shared" si="75"/>
        <v>0</v>
      </c>
      <c r="AD210" s="251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 ht="17.25">
      <c r="A211" s="316">
        <v>30100029</v>
      </c>
      <c r="B211" s="61" t="s">
        <v>78</v>
      </c>
      <c r="C211" s="16" t="s">
        <v>72</v>
      </c>
      <c r="D211" s="17">
        <v>5.08</v>
      </c>
      <c r="E211" s="17"/>
      <c r="F211" s="6"/>
      <c r="G211" s="93">
        <f>SUM('3:4'!G211)</f>
        <v>0</v>
      </c>
      <c r="H211" s="246">
        <f t="shared" si="71"/>
        <v>0</v>
      </c>
      <c r="I211" s="93">
        <f>SUM('3:4'!I211)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80"/>
        <v>0</v>
      </c>
      <c r="N211" s="93">
        <f>SUM('3:4'!N211)</f>
        <v>0</v>
      </c>
      <c r="O211" s="93">
        <f>SUM('3:4'!O211)</f>
        <v>0</v>
      </c>
      <c r="P211" s="93">
        <f>SUM('3:4'!P211)</f>
        <v>0</v>
      </c>
      <c r="Q211" s="93">
        <f>SUM('3:4'!Q211)</f>
        <v>0</v>
      </c>
      <c r="R211" s="93">
        <f>SUM('3:4'!R211)</f>
        <v>0</v>
      </c>
      <c r="S211" s="93">
        <f>SUM('3:4'!S211)</f>
        <v>0</v>
      </c>
      <c r="T211" s="93">
        <f>SUM('3:4'!T211)</f>
        <v>0</v>
      </c>
      <c r="U211" s="93">
        <f>SUM('3:4'!U211)</f>
        <v>0</v>
      </c>
      <c r="V211" s="206">
        <f t="shared" si="81"/>
        <v>0</v>
      </c>
      <c r="W211" s="33" t="str">
        <f t="shared" si="82"/>
        <v/>
      </c>
      <c r="X211" s="93">
        <f>SUM('3:4'!X211)</f>
        <v>0</v>
      </c>
      <c r="Y211" s="93">
        <f>SUM('3:4'!Y211)</f>
        <v>0</v>
      </c>
      <c r="Z211" s="93">
        <f>SUM('3:4'!Z211)</f>
        <v>0</v>
      </c>
      <c r="AA211" s="93">
        <f>SUM('3:4'!AA211)</f>
        <v>0</v>
      </c>
      <c r="AB211" s="358">
        <v>0.49</v>
      </c>
      <c r="AC211" s="269">
        <f t="shared" si="75"/>
        <v>0</v>
      </c>
      <c r="AD211" s="251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 ht="17.25">
      <c r="A212" s="316">
        <v>30100026</v>
      </c>
      <c r="B212" s="61" t="s">
        <v>78</v>
      </c>
      <c r="C212" s="16" t="s">
        <v>73</v>
      </c>
      <c r="D212" s="17">
        <v>5.08</v>
      </c>
      <c r="E212" s="17"/>
      <c r="F212" s="6"/>
      <c r="G212" s="93">
        <f>SUM('3:4'!G212)</f>
        <v>0</v>
      </c>
      <c r="H212" s="246">
        <f t="shared" si="71"/>
        <v>0</v>
      </c>
      <c r="I212" s="93">
        <f>SUM('3:4'!I212)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80"/>
        <v>0</v>
      </c>
      <c r="N212" s="93">
        <f>SUM('3:4'!N212)</f>
        <v>0</v>
      </c>
      <c r="O212" s="93">
        <f>SUM('3:4'!O212)</f>
        <v>0</v>
      </c>
      <c r="P212" s="93">
        <f>SUM('3:4'!P212)</f>
        <v>0</v>
      </c>
      <c r="Q212" s="93">
        <f>SUM('3:4'!Q212)</f>
        <v>0</v>
      </c>
      <c r="R212" s="93">
        <f>SUM('3:4'!R212)</f>
        <v>0</v>
      </c>
      <c r="S212" s="93">
        <f>SUM('3:4'!S212)</f>
        <v>0</v>
      </c>
      <c r="T212" s="93">
        <f>SUM('3:4'!T212)</f>
        <v>0</v>
      </c>
      <c r="U212" s="93">
        <f>SUM('3:4'!U212)</f>
        <v>0</v>
      </c>
      <c r="V212" s="206">
        <f t="shared" si="81"/>
        <v>0</v>
      </c>
      <c r="W212" s="33" t="str">
        <f t="shared" si="82"/>
        <v/>
      </c>
      <c r="X212" s="93">
        <f>SUM('3:4'!X212)</f>
        <v>0</v>
      </c>
      <c r="Y212" s="93">
        <f>SUM('3:4'!Y212)</f>
        <v>0</v>
      </c>
      <c r="Z212" s="93">
        <f>SUM('3:4'!Z212)</f>
        <v>0</v>
      </c>
      <c r="AA212" s="93">
        <f>SUM('3:4'!AA212)</f>
        <v>0</v>
      </c>
      <c r="AB212" s="358">
        <v>0.49</v>
      </c>
      <c r="AC212" s="269">
        <f t="shared" si="75"/>
        <v>0</v>
      </c>
      <c r="AD212" s="251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 ht="17.25">
      <c r="A213" s="316">
        <v>30100025</v>
      </c>
      <c r="B213" s="61" t="s">
        <v>78</v>
      </c>
      <c r="C213" s="16" t="s">
        <v>61</v>
      </c>
      <c r="D213" s="17">
        <v>5.08</v>
      </c>
      <c r="E213" s="17"/>
      <c r="F213" s="6"/>
      <c r="G213" s="93">
        <f>SUM('3:4'!G213)</f>
        <v>0</v>
      </c>
      <c r="H213" s="246">
        <f t="shared" si="71"/>
        <v>0</v>
      </c>
      <c r="I213" s="93">
        <f>SUM('3:4'!I213)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80"/>
        <v>0</v>
      </c>
      <c r="N213" s="93">
        <f>SUM('3:4'!N213)</f>
        <v>0</v>
      </c>
      <c r="O213" s="93">
        <f>SUM('3:4'!O213)</f>
        <v>0</v>
      </c>
      <c r="P213" s="93">
        <f>SUM('3:4'!P213)</f>
        <v>0</v>
      </c>
      <c r="Q213" s="93">
        <f>SUM('3:4'!Q213)</f>
        <v>0</v>
      </c>
      <c r="R213" s="93">
        <f>SUM('3:4'!R213)</f>
        <v>0</v>
      </c>
      <c r="S213" s="93">
        <f>SUM('3:4'!S213)</f>
        <v>0</v>
      </c>
      <c r="T213" s="93">
        <f>SUM('3:4'!T213)</f>
        <v>0</v>
      </c>
      <c r="U213" s="93">
        <f>SUM('3:4'!U213)</f>
        <v>0</v>
      </c>
      <c r="V213" s="206">
        <f t="shared" si="81"/>
        <v>0</v>
      </c>
      <c r="W213" s="33" t="str">
        <f t="shared" si="82"/>
        <v/>
      </c>
      <c r="X213" s="93">
        <f>SUM('3:4'!X213)</f>
        <v>0</v>
      </c>
      <c r="Y213" s="93">
        <f>SUM('3:4'!Y213)</f>
        <v>0</v>
      </c>
      <c r="Z213" s="93">
        <f>SUM('3:4'!Z213)</f>
        <v>0</v>
      </c>
      <c r="AA213" s="93">
        <f>SUM('3:4'!AA213)</f>
        <v>0</v>
      </c>
      <c r="AB213" s="358">
        <v>0.49</v>
      </c>
      <c r="AC213" s="269">
        <f t="shared" si="75"/>
        <v>0</v>
      </c>
      <c r="AD213" s="251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 ht="17.25">
      <c r="A214" s="316">
        <v>30100028</v>
      </c>
      <c r="B214" s="61" t="s">
        <v>78</v>
      </c>
      <c r="C214" s="16" t="s">
        <v>77</v>
      </c>
      <c r="D214" s="17">
        <v>5.08</v>
      </c>
      <c r="E214" s="17"/>
      <c r="F214" s="6"/>
      <c r="G214" s="93">
        <f>SUM('3:4'!G214)</f>
        <v>0</v>
      </c>
      <c r="H214" s="246">
        <f t="shared" si="71"/>
        <v>0</v>
      </c>
      <c r="I214" s="93">
        <f>SUM('3:4'!I214)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80"/>
        <v>0</v>
      </c>
      <c r="N214" s="93">
        <f>SUM('3:4'!N214)</f>
        <v>0</v>
      </c>
      <c r="O214" s="93">
        <f>SUM('3:4'!O214)</f>
        <v>0</v>
      </c>
      <c r="P214" s="93">
        <f>SUM('3:4'!P214)</f>
        <v>0</v>
      </c>
      <c r="Q214" s="93">
        <f>SUM('3:4'!Q214)</f>
        <v>0</v>
      </c>
      <c r="R214" s="93">
        <f>SUM('3:4'!R214)</f>
        <v>0</v>
      </c>
      <c r="S214" s="93">
        <f>SUM('3:4'!S214)</f>
        <v>0</v>
      </c>
      <c r="T214" s="93">
        <f>SUM('3:4'!T214)</f>
        <v>0</v>
      </c>
      <c r="U214" s="93">
        <f>SUM('3:4'!U214)</f>
        <v>0</v>
      </c>
      <c r="V214" s="206">
        <f t="shared" si="81"/>
        <v>0</v>
      </c>
      <c r="W214" s="33" t="str">
        <f t="shared" si="82"/>
        <v/>
      </c>
      <c r="X214" s="93">
        <f>SUM('3:4'!X214)</f>
        <v>0</v>
      </c>
      <c r="Y214" s="93">
        <f>SUM('3:4'!Y214)</f>
        <v>0</v>
      </c>
      <c r="Z214" s="93">
        <f>SUM('3:4'!Z214)</f>
        <v>0</v>
      </c>
      <c r="AA214" s="93">
        <f>SUM('3:4'!AA214)</f>
        <v>0</v>
      </c>
      <c r="AB214" s="358">
        <v>0.49</v>
      </c>
      <c r="AC214" s="269">
        <f t="shared" si="75"/>
        <v>0</v>
      </c>
      <c r="AD214" s="251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 ht="17.25">
      <c r="A215" s="316">
        <v>30100032</v>
      </c>
      <c r="B215" s="61" t="s">
        <v>79</v>
      </c>
      <c r="C215" s="16" t="s">
        <v>65</v>
      </c>
      <c r="D215" s="17">
        <v>5.03</v>
      </c>
      <c r="E215" s="17"/>
      <c r="F215" s="6"/>
      <c r="G215" s="93">
        <f>SUM('3:4'!G215)</f>
        <v>0</v>
      </c>
      <c r="H215" s="246">
        <f t="shared" si="71"/>
        <v>0</v>
      </c>
      <c r="I215" s="93">
        <f>SUM('3:4'!I215)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56</v>
      </c>
      <c r="M215" s="36">
        <f t="shared" si="80"/>
        <v>0</v>
      </c>
      <c r="N215" s="93">
        <f>SUM('3:4'!N215)</f>
        <v>0</v>
      </c>
      <c r="O215" s="93">
        <f>SUM('3:4'!O215)</f>
        <v>0</v>
      </c>
      <c r="P215" s="93">
        <f>SUM('3:4'!P215)</f>
        <v>0</v>
      </c>
      <c r="Q215" s="93">
        <f>SUM('3:4'!Q215)</f>
        <v>0</v>
      </c>
      <c r="R215" s="93">
        <f>SUM('3:4'!R215)</f>
        <v>0</v>
      </c>
      <c r="S215" s="93">
        <f>SUM('3:4'!S215)</f>
        <v>0</v>
      </c>
      <c r="T215" s="93">
        <f>SUM('3:4'!T215)</f>
        <v>0</v>
      </c>
      <c r="U215" s="93">
        <f>SUM('3:4'!U215)</f>
        <v>0</v>
      </c>
      <c r="V215" s="206">
        <f t="shared" si="81"/>
        <v>0</v>
      </c>
      <c r="W215" s="33" t="str">
        <f t="shared" si="82"/>
        <v/>
      </c>
      <c r="X215" s="93">
        <f>SUM('3:4'!X215)</f>
        <v>0</v>
      </c>
      <c r="Y215" s="93">
        <f>SUM('3:4'!Y215)</f>
        <v>0</v>
      </c>
      <c r="Z215" s="93">
        <f>SUM('3:4'!Z215)</f>
        <v>0</v>
      </c>
      <c r="AA215" s="93">
        <f>SUM('3:4'!AA215)</f>
        <v>0</v>
      </c>
      <c r="AB215" s="358">
        <v>0.18</v>
      </c>
      <c r="AC215" s="269">
        <f t="shared" si="75"/>
        <v>0</v>
      </c>
      <c r="AD215" s="251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 ht="17.25">
      <c r="A216" s="316">
        <v>30100033</v>
      </c>
      <c r="B216" s="61" t="s">
        <v>79</v>
      </c>
      <c r="C216" s="16" t="s">
        <v>53</v>
      </c>
      <c r="D216" s="17">
        <v>5.03</v>
      </c>
      <c r="E216" s="17"/>
      <c r="F216" s="6"/>
      <c r="G216" s="93">
        <f>SUM('3:4'!G216)</f>
        <v>0</v>
      </c>
      <c r="H216" s="246">
        <f t="shared" si="71"/>
        <v>0</v>
      </c>
      <c r="I216" s="93">
        <f>SUM('3:4'!I216)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87">
        <v>56</v>
      </c>
      <c r="M216" s="36">
        <f t="shared" si="80"/>
        <v>0</v>
      </c>
      <c r="N216" s="93">
        <f>SUM('3:4'!N216)</f>
        <v>0</v>
      </c>
      <c r="O216" s="93">
        <f>SUM('3:4'!O216)</f>
        <v>0</v>
      </c>
      <c r="P216" s="93">
        <f>SUM('3:4'!P216)</f>
        <v>0</v>
      </c>
      <c r="Q216" s="93">
        <f>SUM('3:4'!Q216)</f>
        <v>0</v>
      </c>
      <c r="R216" s="93">
        <f>SUM('3:4'!R216)</f>
        <v>0</v>
      </c>
      <c r="S216" s="93">
        <f>SUM('3:4'!S216)</f>
        <v>0</v>
      </c>
      <c r="T216" s="93">
        <f>SUM('3:4'!T216)</f>
        <v>0</v>
      </c>
      <c r="U216" s="93">
        <f>SUM('3:4'!U216)</f>
        <v>0</v>
      </c>
      <c r="V216" s="206">
        <f t="shared" si="81"/>
        <v>0</v>
      </c>
      <c r="W216" s="33" t="str">
        <f t="shared" si="82"/>
        <v/>
      </c>
      <c r="X216" s="93">
        <f>SUM('3:4'!X216)</f>
        <v>0</v>
      </c>
      <c r="Y216" s="93">
        <f>SUM('3:4'!Y216)</f>
        <v>0</v>
      </c>
      <c r="Z216" s="93">
        <f>SUM('3:4'!Z216)</f>
        <v>0</v>
      </c>
      <c r="AA216" s="93">
        <f>SUM('3:4'!AA216)</f>
        <v>0</v>
      </c>
      <c r="AB216" s="358">
        <v>0.18</v>
      </c>
      <c r="AC216" s="269">
        <f t="shared" si="75"/>
        <v>0</v>
      </c>
      <c r="AD216" s="251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 ht="17.25">
      <c r="A217" s="316">
        <v>30100062</v>
      </c>
      <c r="B217" s="61" t="s">
        <v>79</v>
      </c>
      <c r="C217" s="16" t="s">
        <v>66</v>
      </c>
      <c r="D217" s="17">
        <v>5.03</v>
      </c>
      <c r="E217" s="17"/>
      <c r="F217" s="6"/>
      <c r="G217" s="93">
        <f>SUM('3:4'!G217)</f>
        <v>0</v>
      </c>
      <c r="H217" s="246">
        <f t="shared" si="71"/>
        <v>0</v>
      </c>
      <c r="I217" s="93">
        <f>SUM('3:4'!I217)</f>
        <v>0</v>
      </c>
      <c r="J217" s="31" t="str">
        <f t="array" ref="J217">IF(ISERROR(G217/I217),"",G217/I217)</f>
        <v/>
      </c>
      <c r="K217" s="35">
        <f t="array" ref="K217">IF(ISERROR(G217/L217),"",G217/L217)</f>
        <v>0</v>
      </c>
      <c r="L217" s="87">
        <v>56</v>
      </c>
      <c r="M217" s="36">
        <f t="shared" si="80"/>
        <v>0</v>
      </c>
      <c r="N217" s="93">
        <f>SUM('3:4'!N217)</f>
        <v>0</v>
      </c>
      <c r="O217" s="93">
        <f>SUM('3:4'!O217)</f>
        <v>0</v>
      </c>
      <c r="P217" s="93">
        <f>SUM('3:4'!P217)</f>
        <v>0</v>
      </c>
      <c r="Q217" s="93">
        <f>SUM('3:4'!Q217)</f>
        <v>0</v>
      </c>
      <c r="R217" s="93">
        <f>SUM('3:4'!R217)</f>
        <v>0</v>
      </c>
      <c r="S217" s="93">
        <f>SUM('3:4'!S217)</f>
        <v>0</v>
      </c>
      <c r="T217" s="93">
        <f>SUM('3:4'!T217)</f>
        <v>0</v>
      </c>
      <c r="U217" s="93">
        <f>SUM('3:4'!U217)</f>
        <v>0</v>
      </c>
      <c r="V217" s="206">
        <f t="shared" si="81"/>
        <v>0</v>
      </c>
      <c r="W217" s="33" t="str">
        <f t="shared" si="82"/>
        <v/>
      </c>
      <c r="X217" s="93">
        <f>SUM('3:4'!X217)</f>
        <v>0</v>
      </c>
      <c r="Y217" s="93">
        <f>SUM('3:4'!Y217)</f>
        <v>0</v>
      </c>
      <c r="Z217" s="93">
        <f>SUM('3:4'!Z217)</f>
        <v>0</v>
      </c>
      <c r="AA217" s="93">
        <f>SUM('3:4'!AA217)</f>
        <v>0</v>
      </c>
      <c r="AB217" s="358">
        <v>0.18</v>
      </c>
      <c r="AC217" s="269">
        <f t="shared" si="75"/>
        <v>0</v>
      </c>
      <c r="AD217" s="251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 ht="17.25">
      <c r="A218" s="316">
        <v>30100031</v>
      </c>
      <c r="B218" s="61" t="s">
        <v>79</v>
      </c>
      <c r="C218" s="16" t="s">
        <v>74</v>
      </c>
      <c r="D218" s="17">
        <v>5.03</v>
      </c>
      <c r="E218" s="17"/>
      <c r="F218" s="6"/>
      <c r="G218" s="93">
        <f>SUM('3:4'!G218)</f>
        <v>0</v>
      </c>
      <c r="H218" s="246">
        <f t="shared" si="71"/>
        <v>0</v>
      </c>
      <c r="I218" s="93">
        <f>SUM('3:4'!I218)</f>
        <v>0</v>
      </c>
      <c r="J218" s="31" t="str">
        <f t="array" ref="J218">IF(ISERROR(G218/I218),"",G218/I218)</f>
        <v/>
      </c>
      <c r="K218" s="35">
        <f t="array" ref="K218">IF(ISERROR(G218/L218),"",G218/L218)</f>
        <v>0</v>
      </c>
      <c r="L218" s="87">
        <v>56</v>
      </c>
      <c r="M218" s="36">
        <f t="shared" si="80"/>
        <v>0</v>
      </c>
      <c r="N218" s="93">
        <f>SUM('3:4'!N218)</f>
        <v>0</v>
      </c>
      <c r="O218" s="93">
        <f>SUM('3:4'!O218)</f>
        <v>0</v>
      </c>
      <c r="P218" s="93">
        <f>SUM('3:4'!P218)</f>
        <v>0</v>
      </c>
      <c r="Q218" s="93">
        <f>SUM('3:4'!Q218)</f>
        <v>0</v>
      </c>
      <c r="R218" s="93">
        <f>SUM('3:4'!R218)</f>
        <v>0</v>
      </c>
      <c r="S218" s="93">
        <f>SUM('3:4'!S218)</f>
        <v>0</v>
      </c>
      <c r="T218" s="93">
        <f>SUM('3:4'!T218)</f>
        <v>0</v>
      </c>
      <c r="U218" s="93">
        <f>SUM('3:4'!U218)</f>
        <v>0</v>
      </c>
      <c r="V218" s="206">
        <f t="shared" si="81"/>
        <v>0</v>
      </c>
      <c r="W218" s="33" t="str">
        <f t="shared" si="82"/>
        <v/>
      </c>
      <c r="X218" s="93">
        <f>SUM('3:4'!X218)</f>
        <v>0</v>
      </c>
      <c r="Y218" s="93">
        <f>SUM('3:4'!Y218)</f>
        <v>0</v>
      </c>
      <c r="Z218" s="93">
        <f>SUM('3:4'!Z218)</f>
        <v>0</v>
      </c>
      <c r="AA218" s="93">
        <f>SUM('3:4'!AA218)</f>
        <v>0</v>
      </c>
      <c r="AB218" s="358">
        <v>0.18</v>
      </c>
      <c r="AC218" s="269">
        <f t="shared" si="75"/>
        <v>0</v>
      </c>
      <c r="AD218" s="251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 ht="17.25">
      <c r="A219" s="316">
        <v>30100019</v>
      </c>
      <c r="B219" s="61" t="s">
        <v>385</v>
      </c>
      <c r="C219" s="16" t="s">
        <v>386</v>
      </c>
      <c r="D219" s="17">
        <v>5.03</v>
      </c>
      <c r="E219" s="17"/>
      <c r="F219" s="6"/>
      <c r="G219" s="93">
        <f>SUM('3:4'!G219)</f>
        <v>0</v>
      </c>
      <c r="H219" s="246">
        <f t="shared" si="71"/>
        <v>0</v>
      </c>
      <c r="I219" s="93">
        <f>SUM('3:4'!I219)</f>
        <v>0</v>
      </c>
      <c r="J219" s="31"/>
      <c r="K219" s="35">
        <f t="array" ref="K219">IF(ISERROR(G219/L219),"",G219/L219)</f>
        <v>0</v>
      </c>
      <c r="L219" s="87">
        <v>54</v>
      </c>
      <c r="M219" s="36">
        <f t="shared" si="80"/>
        <v>0</v>
      </c>
      <c r="N219" s="93">
        <f>SUM('3:4'!N219)</f>
        <v>0</v>
      </c>
      <c r="O219" s="93">
        <f>SUM('3:4'!O219)</f>
        <v>0</v>
      </c>
      <c r="P219" s="93">
        <f>SUM('3:4'!P219)</f>
        <v>0</v>
      </c>
      <c r="Q219" s="93">
        <f>SUM('3:4'!Q219)</f>
        <v>0</v>
      </c>
      <c r="R219" s="93">
        <f>SUM('3:4'!R219)</f>
        <v>0</v>
      </c>
      <c r="S219" s="93">
        <f>SUM('3:4'!S219)</f>
        <v>0</v>
      </c>
      <c r="T219" s="93">
        <f>SUM('3:4'!T219)</f>
        <v>0</v>
      </c>
      <c r="U219" s="93">
        <f>SUM('3:4'!U219)</f>
        <v>0</v>
      </c>
      <c r="V219" s="206"/>
      <c r="W219" s="33"/>
      <c r="X219" s="93">
        <f>SUM('3:4'!X219)</f>
        <v>0</v>
      </c>
      <c r="Y219" s="93">
        <f>SUM('3:4'!Y219)</f>
        <v>0</v>
      </c>
      <c r="Z219" s="93">
        <f>SUM('3:4'!Z219)</f>
        <v>0</v>
      </c>
      <c r="AA219" s="93">
        <f>SUM('3:4'!AA219)</f>
        <v>0</v>
      </c>
      <c r="AB219" s="358">
        <v>0.19</v>
      </c>
      <c r="AC219" s="269">
        <f t="shared" si="75"/>
        <v>0</v>
      </c>
      <c r="AD219" s="251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 ht="17.25">
      <c r="A220" s="316">
        <v>30100020</v>
      </c>
      <c r="B220" s="61" t="s">
        <v>385</v>
      </c>
      <c r="C220" s="16" t="s">
        <v>387</v>
      </c>
      <c r="D220" s="17">
        <v>5.03</v>
      </c>
      <c r="E220" s="17"/>
      <c r="F220" s="6"/>
      <c r="G220" s="93">
        <f>SUM('3:4'!G220)</f>
        <v>0</v>
      </c>
      <c r="H220" s="246">
        <f t="shared" si="71"/>
        <v>0</v>
      </c>
      <c r="I220" s="93">
        <f>SUM('3:4'!I220)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80"/>
        <v>0</v>
      </c>
      <c r="N220" s="93">
        <f>SUM('3:4'!N220)</f>
        <v>0</v>
      </c>
      <c r="O220" s="93">
        <f>SUM('3:4'!O220)</f>
        <v>0</v>
      </c>
      <c r="P220" s="93">
        <f>SUM('3:4'!P220)</f>
        <v>0</v>
      </c>
      <c r="Q220" s="93">
        <f>SUM('3:4'!Q220)</f>
        <v>0</v>
      </c>
      <c r="R220" s="93">
        <f>SUM('3:4'!R220)</f>
        <v>0</v>
      </c>
      <c r="S220" s="93">
        <f>SUM('3:4'!S220)</f>
        <v>0</v>
      </c>
      <c r="T220" s="93">
        <f>SUM('3:4'!T220)</f>
        <v>0</v>
      </c>
      <c r="U220" s="93">
        <f>SUM('3:4'!U220)</f>
        <v>0</v>
      </c>
      <c r="V220" s="206"/>
      <c r="W220" s="33"/>
      <c r="X220" s="93">
        <f>SUM('3:4'!X220)</f>
        <v>0</v>
      </c>
      <c r="Y220" s="93">
        <f>SUM('3:4'!Y220)</f>
        <v>0</v>
      </c>
      <c r="Z220" s="93">
        <f>SUM('3:4'!Z220)</f>
        <v>0</v>
      </c>
      <c r="AA220" s="93">
        <f>SUM('3:4'!AA220)</f>
        <v>0</v>
      </c>
      <c r="AB220" s="358">
        <v>0.19</v>
      </c>
      <c r="AC220" s="269">
        <f t="shared" si="75"/>
        <v>0</v>
      </c>
      <c r="AD220" s="251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 ht="17.25">
      <c r="A221" s="316">
        <v>30100021</v>
      </c>
      <c r="B221" s="190" t="s">
        <v>382</v>
      </c>
      <c r="C221" s="16" t="s">
        <v>389</v>
      </c>
      <c r="D221" s="17">
        <v>5.03</v>
      </c>
      <c r="E221" s="17"/>
      <c r="F221" s="6"/>
      <c r="G221" s="93">
        <f>SUM('3:4'!G221)</f>
        <v>0</v>
      </c>
      <c r="H221" s="246">
        <f t="shared" si="71"/>
        <v>0</v>
      </c>
      <c r="I221" s="93">
        <f>SUM('3:4'!I221)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80"/>
        <v>0</v>
      </c>
      <c r="N221" s="93">
        <f>SUM('3:4'!N221)</f>
        <v>0</v>
      </c>
      <c r="O221" s="93">
        <f>SUM('3:4'!O221)</f>
        <v>0</v>
      </c>
      <c r="P221" s="93">
        <f>SUM('3:4'!P221)</f>
        <v>0</v>
      </c>
      <c r="Q221" s="93">
        <f>SUM('3:4'!Q221)</f>
        <v>0</v>
      </c>
      <c r="R221" s="93">
        <f>SUM('3:4'!R221)</f>
        <v>0</v>
      </c>
      <c r="S221" s="93">
        <f>SUM('3:4'!S221)</f>
        <v>0</v>
      </c>
      <c r="T221" s="93">
        <f>SUM('3:4'!T221)</f>
        <v>0</v>
      </c>
      <c r="U221" s="93">
        <f>SUM('3:4'!U221)</f>
        <v>0</v>
      </c>
      <c r="V221" s="206"/>
      <c r="W221" s="33"/>
      <c r="X221" s="93">
        <f>SUM('3:4'!X221)</f>
        <v>0</v>
      </c>
      <c r="Y221" s="93">
        <f>SUM('3:4'!Y221)</f>
        <v>0</v>
      </c>
      <c r="Z221" s="93">
        <f>SUM('3:4'!Z221)</f>
        <v>0</v>
      </c>
      <c r="AA221" s="93">
        <f>SUM('3:4'!AA221)</f>
        <v>0</v>
      </c>
      <c r="AB221" s="358">
        <v>0.19</v>
      </c>
      <c r="AC221" s="269">
        <f t="shared" si="75"/>
        <v>0</v>
      </c>
      <c r="AD221" s="251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 ht="17.25">
      <c r="A222" s="316">
        <v>30100018</v>
      </c>
      <c r="B222" s="190" t="s">
        <v>382</v>
      </c>
      <c r="C222" s="16" t="s">
        <v>391</v>
      </c>
      <c r="D222" s="17">
        <v>5.03</v>
      </c>
      <c r="E222" s="17"/>
      <c r="F222" s="6"/>
      <c r="G222" s="93">
        <f>SUM('3:4'!G222)</f>
        <v>0</v>
      </c>
      <c r="H222" s="246">
        <f t="shared" si="71"/>
        <v>0</v>
      </c>
      <c r="I222" s="93">
        <f>SUM('3:4'!I222)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80"/>
        <v>0</v>
      </c>
      <c r="N222" s="93">
        <f>SUM('3:4'!N222)</f>
        <v>0</v>
      </c>
      <c r="O222" s="93">
        <f>SUM('3:4'!O222)</f>
        <v>0</v>
      </c>
      <c r="P222" s="93">
        <f>SUM('3:4'!P222)</f>
        <v>0</v>
      </c>
      <c r="Q222" s="93">
        <f>SUM('3:4'!Q222)</f>
        <v>0</v>
      </c>
      <c r="R222" s="93">
        <f>SUM('3:4'!R222)</f>
        <v>0</v>
      </c>
      <c r="S222" s="93">
        <f>SUM('3:4'!S222)</f>
        <v>0</v>
      </c>
      <c r="T222" s="93">
        <f>SUM('3:4'!T222)</f>
        <v>0</v>
      </c>
      <c r="U222" s="93">
        <f>SUM('3:4'!U222)</f>
        <v>0</v>
      </c>
      <c r="V222" s="206"/>
      <c r="W222" s="33"/>
      <c r="X222" s="93">
        <f>SUM('3:4'!X222)</f>
        <v>0</v>
      </c>
      <c r="Y222" s="93">
        <f>SUM('3:4'!Y222)</f>
        <v>0</v>
      </c>
      <c r="Z222" s="93">
        <f>SUM('3:4'!Z222)</f>
        <v>0</v>
      </c>
      <c r="AA222" s="93">
        <f>SUM('3:4'!AA222)</f>
        <v>0</v>
      </c>
      <c r="AB222" s="358">
        <v>0.19</v>
      </c>
      <c r="AC222" s="269">
        <f t="shared" si="75"/>
        <v>0</v>
      </c>
      <c r="AD222" s="251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 ht="17.25">
      <c r="A223" s="319">
        <v>30700007</v>
      </c>
      <c r="B223" s="190" t="s">
        <v>418</v>
      </c>
      <c r="C223" s="187" t="s">
        <v>364</v>
      </c>
      <c r="D223" s="17">
        <v>5.03</v>
      </c>
      <c r="E223" s="17"/>
      <c r="F223" s="6"/>
      <c r="G223" s="93">
        <f>SUM('3:4'!G223)</f>
        <v>0</v>
      </c>
      <c r="H223" s="296">
        <f t="shared" si="71"/>
        <v>0</v>
      </c>
      <c r="I223" s="93">
        <f>SUM('3:4'!I223)</f>
        <v>0</v>
      </c>
      <c r="J223" s="31"/>
      <c r="K223" s="35">
        <f t="array" ref="K223">IF(ISERROR(G223/L223),"",G223/L223)</f>
        <v>0</v>
      </c>
      <c r="L223" s="87">
        <v>3</v>
      </c>
      <c r="M223" s="36">
        <f t="shared" si="80"/>
        <v>0</v>
      </c>
      <c r="N223" s="93">
        <f>SUM('3:4'!N223)</f>
        <v>0</v>
      </c>
      <c r="O223" s="93">
        <f>SUM('3:4'!O223)</f>
        <v>0</v>
      </c>
      <c r="P223" s="93">
        <f>SUM('3:4'!P223)</f>
        <v>0</v>
      </c>
      <c r="Q223" s="93">
        <f>SUM('3:4'!Q223)</f>
        <v>0</v>
      </c>
      <c r="R223" s="93">
        <f>SUM('3:4'!R223)</f>
        <v>0</v>
      </c>
      <c r="S223" s="93">
        <f>SUM('3:4'!S223)</f>
        <v>0</v>
      </c>
      <c r="T223" s="93">
        <f>SUM('3:4'!T223)</f>
        <v>0</v>
      </c>
      <c r="U223" s="93">
        <f>SUM('3:4'!U223)</f>
        <v>0</v>
      </c>
      <c r="V223" s="206"/>
      <c r="W223" s="33"/>
      <c r="X223" s="93">
        <f>SUM('3:4'!X223)</f>
        <v>0</v>
      </c>
      <c r="Y223" s="93">
        <f>SUM('3:4'!Y223)</f>
        <v>0</v>
      </c>
      <c r="Z223" s="93">
        <f>SUM('3:4'!Z223)</f>
        <v>0</v>
      </c>
      <c r="AA223" s="93">
        <f>SUM('3:4'!AA223)</f>
        <v>0</v>
      </c>
      <c r="AB223" s="361">
        <v>0.94</v>
      </c>
      <c r="AC223" s="269">
        <f t="shared" si="75"/>
        <v>0</v>
      </c>
      <c r="AD223" s="251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 ht="17.25">
      <c r="A224" s="319">
        <v>30700006</v>
      </c>
      <c r="B224" s="190" t="s">
        <v>418</v>
      </c>
      <c r="C224" s="187" t="s">
        <v>365</v>
      </c>
      <c r="D224" s="17">
        <v>5.03</v>
      </c>
      <c r="E224" s="17"/>
      <c r="F224" s="6"/>
      <c r="G224" s="93">
        <f>SUM('3:4'!G224)</f>
        <v>0</v>
      </c>
      <c r="H224" s="296">
        <f t="shared" si="71"/>
        <v>0</v>
      </c>
      <c r="I224" s="93">
        <f>SUM('3:4'!I224)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80"/>
        <v>0</v>
      </c>
      <c r="N224" s="93">
        <f>SUM('3:4'!N224)</f>
        <v>0</v>
      </c>
      <c r="O224" s="93">
        <f>SUM('3:4'!O224)</f>
        <v>0</v>
      </c>
      <c r="P224" s="93">
        <f>SUM('3:4'!P224)</f>
        <v>0</v>
      </c>
      <c r="Q224" s="93">
        <f>SUM('3:4'!Q224)</f>
        <v>0</v>
      </c>
      <c r="R224" s="93">
        <f>SUM('3:4'!R224)</f>
        <v>0</v>
      </c>
      <c r="S224" s="93">
        <f>SUM('3:4'!S224)</f>
        <v>0</v>
      </c>
      <c r="T224" s="93">
        <f>SUM('3:4'!T224)</f>
        <v>0</v>
      </c>
      <c r="U224" s="93">
        <f>SUM('3:4'!U224)</f>
        <v>0</v>
      </c>
      <c r="V224" s="206"/>
      <c r="W224" s="33"/>
      <c r="X224" s="93">
        <f>SUM('3:4'!X224)</f>
        <v>0</v>
      </c>
      <c r="Y224" s="93">
        <f>SUM('3:4'!Y224)</f>
        <v>0</v>
      </c>
      <c r="Z224" s="93">
        <f>SUM('3:4'!Z224)</f>
        <v>0</v>
      </c>
      <c r="AA224" s="93">
        <f>SUM('3:4'!AA224)</f>
        <v>0</v>
      </c>
      <c r="AB224" s="361">
        <v>0.94</v>
      </c>
      <c r="AC224" s="269">
        <f t="shared" si="75"/>
        <v>0</v>
      </c>
      <c r="AD224" s="251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 ht="17.25">
      <c r="A225" s="319">
        <v>30700008</v>
      </c>
      <c r="B225" s="190" t="s">
        <v>418</v>
      </c>
      <c r="C225" s="187" t="s">
        <v>366</v>
      </c>
      <c r="D225" s="17">
        <v>5.03</v>
      </c>
      <c r="E225" s="17"/>
      <c r="F225" s="6"/>
      <c r="G225" s="93">
        <f>SUM('3:4'!G225)</f>
        <v>0</v>
      </c>
      <c r="H225" s="296">
        <f t="shared" si="71"/>
        <v>0</v>
      </c>
      <c r="I225" s="93">
        <f>SUM('3:4'!I225)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80"/>
        <v>0</v>
      </c>
      <c r="N225" s="93">
        <f>SUM('3:4'!N225)</f>
        <v>0</v>
      </c>
      <c r="O225" s="93">
        <f>SUM('3:4'!O225)</f>
        <v>0</v>
      </c>
      <c r="P225" s="93">
        <f>SUM('3:4'!P225)</f>
        <v>0</v>
      </c>
      <c r="Q225" s="93">
        <f>SUM('3:4'!Q225)</f>
        <v>0</v>
      </c>
      <c r="R225" s="93">
        <f>SUM('3:4'!R225)</f>
        <v>0</v>
      </c>
      <c r="S225" s="93">
        <f>SUM('3:4'!S225)</f>
        <v>0</v>
      </c>
      <c r="T225" s="93">
        <f>SUM('3:4'!T225)</f>
        <v>0</v>
      </c>
      <c r="U225" s="93">
        <f>SUM('3:4'!U225)</f>
        <v>0</v>
      </c>
      <c r="V225" s="206"/>
      <c r="W225" s="33"/>
      <c r="X225" s="93">
        <f>SUM('3:4'!X225)</f>
        <v>0</v>
      </c>
      <c r="Y225" s="93">
        <f>SUM('3:4'!Y225)</f>
        <v>0</v>
      </c>
      <c r="Z225" s="93">
        <f>SUM('3:4'!Z225)</f>
        <v>0</v>
      </c>
      <c r="AA225" s="93">
        <f>SUM('3:4'!AA225)</f>
        <v>0</v>
      </c>
      <c r="AB225" s="361">
        <v>0.94</v>
      </c>
      <c r="AC225" s="269">
        <f t="shared" si="75"/>
        <v>0</v>
      </c>
      <c r="AD225" s="251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 ht="17.25">
      <c r="A226" s="319">
        <v>30700009</v>
      </c>
      <c r="B226" s="190" t="s">
        <v>418</v>
      </c>
      <c r="C226" s="187" t="s">
        <v>367</v>
      </c>
      <c r="D226" s="17">
        <v>5.03</v>
      </c>
      <c r="E226" s="17"/>
      <c r="F226" s="6"/>
      <c r="G226" s="93">
        <f>SUM('3:4'!G226)</f>
        <v>0</v>
      </c>
      <c r="H226" s="296">
        <f t="shared" si="71"/>
        <v>0</v>
      </c>
      <c r="I226" s="93">
        <f>SUM('3:4'!I226)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80"/>
        <v>0</v>
      </c>
      <c r="N226" s="93">
        <f>SUM('3:4'!N226)</f>
        <v>0</v>
      </c>
      <c r="O226" s="93">
        <f>SUM('3:4'!O226)</f>
        <v>0</v>
      </c>
      <c r="P226" s="93">
        <f>SUM('3:4'!P226)</f>
        <v>0</v>
      </c>
      <c r="Q226" s="93">
        <f>SUM('3:4'!Q226)</f>
        <v>0</v>
      </c>
      <c r="R226" s="93">
        <f>SUM('3:4'!R226)</f>
        <v>0</v>
      </c>
      <c r="S226" s="93">
        <f>SUM('3:4'!S226)</f>
        <v>0</v>
      </c>
      <c r="T226" s="93">
        <f>SUM('3:4'!T226)</f>
        <v>0</v>
      </c>
      <c r="U226" s="93">
        <f>SUM('3:4'!U226)</f>
        <v>0</v>
      </c>
      <c r="V226" s="206"/>
      <c r="W226" s="33"/>
      <c r="X226" s="93">
        <f>SUM('3:4'!X226)</f>
        <v>0</v>
      </c>
      <c r="Y226" s="93">
        <f>SUM('3:4'!Y226)</f>
        <v>0</v>
      </c>
      <c r="Z226" s="93">
        <f>SUM('3:4'!Z226)</f>
        <v>0</v>
      </c>
      <c r="AA226" s="93">
        <f>SUM('3:4'!AA226)</f>
        <v>0</v>
      </c>
      <c r="AB226" s="361">
        <v>0.94</v>
      </c>
      <c r="AC226" s="269">
        <f t="shared" si="75"/>
        <v>0</v>
      </c>
      <c r="AD226" s="251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 ht="17.25">
      <c r="A227" s="316">
        <v>30100036</v>
      </c>
      <c r="B227" s="62" t="s">
        <v>80</v>
      </c>
      <c r="C227" s="16" t="s">
        <v>61</v>
      </c>
      <c r="D227" s="17">
        <v>5.03</v>
      </c>
      <c r="E227" s="17"/>
      <c r="F227" s="6"/>
      <c r="G227" s="93">
        <f>SUM('3:4'!G227)</f>
        <v>0</v>
      </c>
      <c r="H227" s="296">
        <f t="shared" si="71"/>
        <v>0</v>
      </c>
      <c r="I227" s="93">
        <f>SUM('3:4'!I227)</f>
        <v>0</v>
      </c>
      <c r="J227" s="31" t="str">
        <f t="array" ref="J227">IF(ISERROR(G227/I227),"",G227/I227)</f>
        <v/>
      </c>
      <c r="K227" s="35">
        <f t="array" ref="K227">IF(ISERROR(G227/L227),"",G227/L227)</f>
        <v>0</v>
      </c>
      <c r="L227" s="87">
        <v>40</v>
      </c>
      <c r="M227" s="36">
        <f t="shared" si="80"/>
        <v>0</v>
      </c>
      <c r="N227" s="93">
        <f>SUM('3:4'!N227)</f>
        <v>0</v>
      </c>
      <c r="O227" s="93">
        <f>SUM('3:4'!O227)</f>
        <v>0</v>
      </c>
      <c r="P227" s="93">
        <f>SUM('3:4'!P227)</f>
        <v>0</v>
      </c>
      <c r="Q227" s="93">
        <f>SUM('3:4'!Q227)</f>
        <v>0</v>
      </c>
      <c r="R227" s="93">
        <f>SUM('3:4'!R227)</f>
        <v>0</v>
      </c>
      <c r="S227" s="93">
        <f>SUM('3:4'!S227)</f>
        <v>0</v>
      </c>
      <c r="T227" s="93">
        <f>SUM('3:4'!T227)</f>
        <v>0</v>
      </c>
      <c r="U227" s="93">
        <f>SUM('3:4'!U227)</f>
        <v>0</v>
      </c>
      <c r="V227" s="206">
        <f t="shared" ref="V227:V236" si="83">SUM(X227:AA227)</f>
        <v>0</v>
      </c>
      <c r="W227" s="33" t="str">
        <f t="shared" ref="W227:W236" si="84">IF(ISERROR(V227/G227),"",V227/G227)</f>
        <v/>
      </c>
      <c r="X227" s="93">
        <f>SUM('3:4'!X227)</f>
        <v>0</v>
      </c>
      <c r="Y227" s="93">
        <f>SUM('3:4'!Y227)</f>
        <v>0</v>
      </c>
      <c r="Z227" s="93">
        <f>SUM('3:4'!Z227)</f>
        <v>0</v>
      </c>
      <c r="AA227" s="93">
        <f>SUM('3:4'!AA227)</f>
        <v>0</v>
      </c>
      <c r="AB227" s="358">
        <v>0.19</v>
      </c>
      <c r="AC227" s="269">
        <f t="shared" si="75"/>
        <v>0</v>
      </c>
      <c r="AD227" s="251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 ht="17.25">
      <c r="A228" s="316">
        <v>30100034</v>
      </c>
      <c r="B228" s="62" t="s">
        <v>80</v>
      </c>
      <c r="C228" s="16" t="s">
        <v>60</v>
      </c>
      <c r="D228" s="17">
        <v>5.03</v>
      </c>
      <c r="E228" s="17"/>
      <c r="F228" s="6"/>
      <c r="G228" s="93">
        <f>SUM('3:4'!G228)</f>
        <v>0</v>
      </c>
      <c r="H228" s="296">
        <f t="shared" si="71"/>
        <v>0</v>
      </c>
      <c r="I228" s="93">
        <f>SUM('3:4'!I228)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80"/>
        <v>0</v>
      </c>
      <c r="N228" s="93">
        <f>SUM('3:4'!N228)</f>
        <v>0</v>
      </c>
      <c r="O228" s="93">
        <f>SUM('3:4'!O228)</f>
        <v>0</v>
      </c>
      <c r="P228" s="93">
        <f>SUM('3:4'!P228)</f>
        <v>0</v>
      </c>
      <c r="Q228" s="93">
        <f>SUM('3:4'!Q228)</f>
        <v>0</v>
      </c>
      <c r="R228" s="93">
        <f>SUM('3:4'!R228)</f>
        <v>0</v>
      </c>
      <c r="S228" s="93">
        <f>SUM('3:4'!S228)</f>
        <v>0</v>
      </c>
      <c r="T228" s="93">
        <f>SUM('3:4'!T228)</f>
        <v>0</v>
      </c>
      <c r="U228" s="93">
        <f>SUM('3:4'!U228)</f>
        <v>0</v>
      </c>
      <c r="V228" s="206">
        <f t="shared" si="83"/>
        <v>0</v>
      </c>
      <c r="W228" s="33" t="str">
        <f t="shared" si="84"/>
        <v/>
      </c>
      <c r="X228" s="93">
        <f>SUM('3:4'!X228)</f>
        <v>0</v>
      </c>
      <c r="Y228" s="93">
        <f>SUM('3:4'!Y228)</f>
        <v>0</v>
      </c>
      <c r="Z228" s="93">
        <f>SUM('3:4'!Z228)</f>
        <v>0</v>
      </c>
      <c r="AA228" s="93">
        <f>SUM('3:4'!AA228)</f>
        <v>0</v>
      </c>
      <c r="AB228" s="358">
        <v>0.19</v>
      </c>
      <c r="AC228" s="269">
        <f t="shared" si="75"/>
        <v>0</v>
      </c>
      <c r="AD228" s="251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 ht="17.25">
      <c r="A229" s="316">
        <v>30100035</v>
      </c>
      <c r="B229" s="62" t="s">
        <v>80</v>
      </c>
      <c r="C229" s="16" t="s">
        <v>65</v>
      </c>
      <c r="D229" s="17">
        <v>5.03</v>
      </c>
      <c r="E229" s="17"/>
      <c r="F229" s="6"/>
      <c r="G229" s="93">
        <f>SUM('3:4'!G229)</f>
        <v>0</v>
      </c>
      <c r="H229" s="246">
        <f t="shared" si="71"/>
        <v>0</v>
      </c>
      <c r="I229" s="93">
        <f>SUM('3:4'!I229)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80"/>
        <v>0</v>
      </c>
      <c r="N229" s="93">
        <f>SUM('3:4'!N229)</f>
        <v>0</v>
      </c>
      <c r="O229" s="93">
        <f>SUM('3:4'!O229)</f>
        <v>0</v>
      </c>
      <c r="P229" s="93">
        <f>SUM('3:4'!P229)</f>
        <v>0</v>
      </c>
      <c r="Q229" s="93">
        <f>SUM('3:4'!Q229)</f>
        <v>0</v>
      </c>
      <c r="R229" s="93">
        <f>SUM('3:4'!R229)</f>
        <v>0</v>
      </c>
      <c r="S229" s="93">
        <f>SUM('3:4'!S229)</f>
        <v>0</v>
      </c>
      <c r="T229" s="93">
        <f>SUM('3:4'!T229)</f>
        <v>0</v>
      </c>
      <c r="U229" s="93">
        <f>SUM('3:4'!U229)</f>
        <v>0</v>
      </c>
      <c r="V229" s="206">
        <f t="shared" si="83"/>
        <v>0</v>
      </c>
      <c r="W229" s="33" t="str">
        <f t="shared" si="84"/>
        <v/>
      </c>
      <c r="X229" s="93">
        <f>SUM('3:4'!X229)</f>
        <v>0</v>
      </c>
      <c r="Y229" s="93">
        <f>SUM('3:4'!Y229)</f>
        <v>0</v>
      </c>
      <c r="Z229" s="93">
        <f>SUM('3:4'!Z229)</f>
        <v>0</v>
      </c>
      <c r="AA229" s="93">
        <f>SUM('3:4'!AA229)</f>
        <v>0</v>
      </c>
      <c r="AB229" s="358">
        <v>0.19</v>
      </c>
      <c r="AC229" s="269">
        <f t="shared" si="75"/>
        <v>0</v>
      </c>
      <c r="AD229" s="251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 ht="17.25">
      <c r="A230" s="316">
        <v>30100040</v>
      </c>
      <c r="B230" s="62" t="s">
        <v>81</v>
      </c>
      <c r="C230" s="16" t="s">
        <v>82</v>
      </c>
      <c r="D230" s="17">
        <v>5.03</v>
      </c>
      <c r="E230" s="17"/>
      <c r="F230" s="6"/>
      <c r="G230" s="93">
        <f>SUM('3:4'!G230)</f>
        <v>0</v>
      </c>
      <c r="H230" s="246">
        <f t="shared" si="71"/>
        <v>0</v>
      </c>
      <c r="I230" s="93">
        <f>SUM('3:4'!I230)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50</v>
      </c>
      <c r="M230" s="36">
        <f t="shared" si="80"/>
        <v>0</v>
      </c>
      <c r="N230" s="93">
        <f>SUM('3:4'!N230)</f>
        <v>0</v>
      </c>
      <c r="O230" s="93">
        <f>SUM('3:4'!O230)</f>
        <v>0</v>
      </c>
      <c r="P230" s="93">
        <f>SUM('3:4'!P230)</f>
        <v>0</v>
      </c>
      <c r="Q230" s="93">
        <f>SUM('3:4'!Q230)</f>
        <v>0</v>
      </c>
      <c r="R230" s="93">
        <f>SUM('3:4'!R230)</f>
        <v>0</v>
      </c>
      <c r="S230" s="93">
        <f>SUM('3:4'!S230)</f>
        <v>0</v>
      </c>
      <c r="T230" s="93">
        <f>SUM('3:4'!T230)</f>
        <v>0</v>
      </c>
      <c r="U230" s="93">
        <f>SUM('3:4'!U230)</f>
        <v>0</v>
      </c>
      <c r="V230" s="206">
        <f t="shared" si="83"/>
        <v>0</v>
      </c>
      <c r="W230" s="33" t="str">
        <f t="shared" si="84"/>
        <v/>
      </c>
      <c r="X230" s="93">
        <f>SUM('3:4'!X230)</f>
        <v>0</v>
      </c>
      <c r="Y230" s="93">
        <f>SUM('3:4'!Y230)</f>
        <v>0</v>
      </c>
      <c r="Z230" s="93">
        <f>SUM('3:4'!Z230)</f>
        <v>0</v>
      </c>
      <c r="AA230" s="93">
        <f>SUM('3:4'!AA230)</f>
        <v>0</v>
      </c>
      <c r="AB230" s="358">
        <v>0.21</v>
      </c>
      <c r="AC230" s="269">
        <f t="shared" si="75"/>
        <v>0</v>
      </c>
      <c r="AD230" s="251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 ht="17.25">
      <c r="A231" s="316">
        <v>30100039</v>
      </c>
      <c r="B231" s="62" t="s">
        <v>81</v>
      </c>
      <c r="C231" s="16" t="s">
        <v>60</v>
      </c>
      <c r="D231" s="17">
        <v>5.03</v>
      </c>
      <c r="E231" s="17"/>
      <c r="F231" s="6"/>
      <c r="G231" s="93">
        <f>SUM('3:4'!G231)</f>
        <v>0</v>
      </c>
      <c r="H231" s="246">
        <f t="shared" si="71"/>
        <v>0</v>
      </c>
      <c r="I231" s="93">
        <f>SUM('3:4'!I231)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80"/>
        <v>0</v>
      </c>
      <c r="N231" s="93">
        <f>SUM('3:4'!N231)</f>
        <v>0</v>
      </c>
      <c r="O231" s="93">
        <f>SUM('3:4'!O231)</f>
        <v>0</v>
      </c>
      <c r="P231" s="93">
        <f>SUM('3:4'!P231)</f>
        <v>0</v>
      </c>
      <c r="Q231" s="93">
        <f>SUM('3:4'!Q231)</f>
        <v>0</v>
      </c>
      <c r="R231" s="93">
        <f>SUM('3:4'!R231)</f>
        <v>0</v>
      </c>
      <c r="S231" s="93">
        <f>SUM('3:4'!S231)</f>
        <v>0</v>
      </c>
      <c r="T231" s="93">
        <f>SUM('3:4'!T231)</f>
        <v>0</v>
      </c>
      <c r="U231" s="93">
        <f>SUM('3:4'!U231)</f>
        <v>0</v>
      </c>
      <c r="V231" s="206">
        <f t="shared" si="83"/>
        <v>0</v>
      </c>
      <c r="W231" s="33" t="str">
        <f t="shared" si="84"/>
        <v/>
      </c>
      <c r="X231" s="93">
        <f>SUM('3:4'!X231)</f>
        <v>0</v>
      </c>
      <c r="Y231" s="93">
        <f>SUM('3:4'!Y231)</f>
        <v>0</v>
      </c>
      <c r="Z231" s="93">
        <f>SUM('3:4'!Z231)</f>
        <v>0</v>
      </c>
      <c r="AA231" s="93">
        <f>SUM('3:4'!AA231)</f>
        <v>0</v>
      </c>
      <c r="AB231" s="358">
        <v>0.21</v>
      </c>
      <c r="AC231" s="269">
        <f t="shared" si="75"/>
        <v>0</v>
      </c>
      <c r="AD231" s="251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 ht="17.25">
      <c r="A232" s="316">
        <v>30100042</v>
      </c>
      <c r="B232" s="62" t="s">
        <v>81</v>
      </c>
      <c r="C232" s="16" t="s">
        <v>61</v>
      </c>
      <c r="D232" s="17">
        <v>5.03</v>
      </c>
      <c r="E232" s="17"/>
      <c r="F232" s="6"/>
      <c r="G232" s="93">
        <f>SUM('3:4'!G232)</f>
        <v>0</v>
      </c>
      <c r="H232" s="246">
        <f t="shared" si="71"/>
        <v>0</v>
      </c>
      <c r="I232" s="93">
        <f>SUM('3:4'!I232)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80"/>
        <v>0</v>
      </c>
      <c r="N232" s="93">
        <f>SUM('3:4'!N232)</f>
        <v>0</v>
      </c>
      <c r="O232" s="93">
        <f>SUM('3:4'!O232)</f>
        <v>0</v>
      </c>
      <c r="P232" s="93">
        <f>SUM('3:4'!P232)</f>
        <v>0</v>
      </c>
      <c r="Q232" s="93">
        <f>SUM('3:4'!Q232)</f>
        <v>0</v>
      </c>
      <c r="R232" s="93">
        <f>SUM('3:4'!R232)</f>
        <v>0</v>
      </c>
      <c r="S232" s="93">
        <f>SUM('3:4'!S232)</f>
        <v>0</v>
      </c>
      <c r="T232" s="93">
        <f>SUM('3:4'!T232)</f>
        <v>0</v>
      </c>
      <c r="U232" s="93">
        <f>SUM('3:4'!U232)</f>
        <v>0</v>
      </c>
      <c r="V232" s="206">
        <f t="shared" si="83"/>
        <v>0</v>
      </c>
      <c r="W232" s="33" t="str">
        <f t="shared" si="84"/>
        <v/>
      </c>
      <c r="X232" s="93">
        <f>SUM('3:4'!X232)</f>
        <v>0</v>
      </c>
      <c r="Y232" s="93">
        <f>SUM('3:4'!Y232)</f>
        <v>0</v>
      </c>
      <c r="Z232" s="93">
        <f>SUM('3:4'!Z232)</f>
        <v>0</v>
      </c>
      <c r="AA232" s="93">
        <f>SUM('3:4'!AA232)</f>
        <v>0</v>
      </c>
      <c r="AB232" s="358">
        <v>0.21</v>
      </c>
      <c r="AC232" s="269">
        <f t="shared" si="75"/>
        <v>0</v>
      </c>
      <c r="AD232" s="251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 ht="17.25">
      <c r="A233" s="316">
        <v>30100041</v>
      </c>
      <c r="B233" s="62" t="s">
        <v>81</v>
      </c>
      <c r="C233" s="16" t="s">
        <v>65</v>
      </c>
      <c r="D233" s="17">
        <v>5.03</v>
      </c>
      <c r="E233" s="17"/>
      <c r="F233" s="6"/>
      <c r="G233" s="93">
        <f>SUM('3:4'!G233)</f>
        <v>0</v>
      </c>
      <c r="H233" s="246">
        <f t="shared" si="71"/>
        <v>0</v>
      </c>
      <c r="I233" s="93">
        <f>SUM('3:4'!I233)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80"/>
        <v>0</v>
      </c>
      <c r="N233" s="93">
        <f>SUM('3:4'!N233)</f>
        <v>0</v>
      </c>
      <c r="O233" s="93">
        <f>SUM('3:4'!O233)</f>
        <v>0</v>
      </c>
      <c r="P233" s="93">
        <f>SUM('3:4'!P233)</f>
        <v>0</v>
      </c>
      <c r="Q233" s="93">
        <f>SUM('3:4'!Q233)</f>
        <v>0</v>
      </c>
      <c r="R233" s="93">
        <f>SUM('3:4'!R233)</f>
        <v>0</v>
      </c>
      <c r="S233" s="93">
        <f>SUM('3:4'!S233)</f>
        <v>0</v>
      </c>
      <c r="T233" s="93">
        <f>SUM('3:4'!T233)</f>
        <v>0</v>
      </c>
      <c r="U233" s="93">
        <f>SUM('3:4'!U233)</f>
        <v>0</v>
      </c>
      <c r="V233" s="206">
        <f t="shared" si="83"/>
        <v>0</v>
      </c>
      <c r="W233" s="33" t="str">
        <f t="shared" si="84"/>
        <v/>
      </c>
      <c r="X233" s="93">
        <f>SUM('3:4'!X233)</f>
        <v>0</v>
      </c>
      <c r="Y233" s="93">
        <f>SUM('3:4'!Y233)</f>
        <v>0</v>
      </c>
      <c r="Z233" s="93">
        <f>SUM('3:4'!Z233)</f>
        <v>0</v>
      </c>
      <c r="AA233" s="93">
        <f>SUM('3:4'!AA233)</f>
        <v>0</v>
      </c>
      <c r="AB233" s="358">
        <v>0.21</v>
      </c>
      <c r="AC233" s="269">
        <f t="shared" si="75"/>
        <v>0</v>
      </c>
      <c r="AD233" s="251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 ht="17.25">
      <c r="A234" s="316">
        <v>30100045</v>
      </c>
      <c r="B234" s="62" t="s">
        <v>83</v>
      </c>
      <c r="C234" s="16" t="s">
        <v>73</v>
      </c>
      <c r="D234" s="17">
        <v>5.03</v>
      </c>
      <c r="E234" s="17"/>
      <c r="F234" s="6"/>
      <c r="G234" s="93">
        <f>SUM('3:4'!G234)</f>
        <v>0</v>
      </c>
      <c r="H234" s="246">
        <f t="shared" si="71"/>
        <v>0</v>
      </c>
      <c r="I234" s="93">
        <f>SUM('3:4'!I234)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80"/>
        <v>0</v>
      </c>
      <c r="N234" s="93">
        <f>SUM('3:4'!N234)</f>
        <v>0</v>
      </c>
      <c r="O234" s="93">
        <f>SUM('3:4'!O234)</f>
        <v>0</v>
      </c>
      <c r="P234" s="93">
        <f>SUM('3:4'!P234)</f>
        <v>0</v>
      </c>
      <c r="Q234" s="93">
        <f>SUM('3:4'!Q234)</f>
        <v>0</v>
      </c>
      <c r="R234" s="93">
        <f>SUM('3:4'!R234)</f>
        <v>0</v>
      </c>
      <c r="S234" s="93">
        <f>SUM('3:4'!S234)</f>
        <v>0</v>
      </c>
      <c r="T234" s="93">
        <f>SUM('3:4'!T234)</f>
        <v>0</v>
      </c>
      <c r="U234" s="93">
        <f>SUM('3:4'!U234)</f>
        <v>0</v>
      </c>
      <c r="V234" s="206">
        <f t="shared" si="83"/>
        <v>0</v>
      </c>
      <c r="W234" s="33" t="str">
        <f t="shared" si="84"/>
        <v/>
      </c>
      <c r="X234" s="93">
        <f>SUM('3:4'!X234)</f>
        <v>0</v>
      </c>
      <c r="Y234" s="93">
        <f>SUM('3:4'!Y234)</f>
        <v>0</v>
      </c>
      <c r="Z234" s="93">
        <f>SUM('3:4'!Z234)</f>
        <v>0</v>
      </c>
      <c r="AA234" s="93">
        <f>SUM('3:4'!AA234)</f>
        <v>0</v>
      </c>
      <c r="AB234" s="358">
        <v>0.21</v>
      </c>
      <c r="AC234" s="269">
        <f t="shared" si="75"/>
        <v>0</v>
      </c>
      <c r="AD234" s="251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 ht="17.25">
      <c r="A235" s="316">
        <v>30100044</v>
      </c>
      <c r="B235" s="62" t="s">
        <v>83</v>
      </c>
      <c r="C235" s="16" t="s">
        <v>61</v>
      </c>
      <c r="D235" s="17">
        <v>5.03</v>
      </c>
      <c r="E235" s="17"/>
      <c r="F235" s="6"/>
      <c r="G235" s="93">
        <f>SUM('3:4'!G235)</f>
        <v>0</v>
      </c>
      <c r="H235" s="246">
        <f t="shared" si="71"/>
        <v>0</v>
      </c>
      <c r="I235" s="93">
        <f>SUM('3:4'!I235)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80"/>
        <v>0</v>
      </c>
      <c r="N235" s="93">
        <f>SUM('3:4'!N235)</f>
        <v>0</v>
      </c>
      <c r="O235" s="93">
        <f>SUM('3:4'!O235)</f>
        <v>0</v>
      </c>
      <c r="P235" s="93">
        <f>SUM('3:4'!P235)</f>
        <v>0</v>
      </c>
      <c r="Q235" s="93">
        <f>SUM('3:4'!Q235)</f>
        <v>0</v>
      </c>
      <c r="R235" s="93">
        <f>SUM('3:4'!R235)</f>
        <v>0</v>
      </c>
      <c r="S235" s="93">
        <f>SUM('3:4'!S235)</f>
        <v>0</v>
      </c>
      <c r="T235" s="93">
        <f>SUM('3:4'!T235)</f>
        <v>0</v>
      </c>
      <c r="U235" s="93">
        <f>SUM('3:4'!U235)</f>
        <v>0</v>
      </c>
      <c r="V235" s="206">
        <f t="shared" si="83"/>
        <v>0</v>
      </c>
      <c r="W235" s="33" t="str">
        <f t="shared" si="84"/>
        <v/>
      </c>
      <c r="X235" s="93">
        <f>SUM('3:4'!X235)</f>
        <v>0</v>
      </c>
      <c r="Y235" s="93">
        <f>SUM('3:4'!Y235)</f>
        <v>0</v>
      </c>
      <c r="Z235" s="93">
        <f>SUM('3:4'!Z235)</f>
        <v>0</v>
      </c>
      <c r="AA235" s="93">
        <f>SUM('3:4'!AA235)</f>
        <v>0</v>
      </c>
      <c r="AB235" s="358">
        <v>0.21</v>
      </c>
      <c r="AC235" s="269">
        <f t="shared" si="75"/>
        <v>0</v>
      </c>
      <c r="AD235" s="251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 ht="17.25">
      <c r="A236" s="316">
        <v>30100046</v>
      </c>
      <c r="B236" s="62" t="s">
        <v>83</v>
      </c>
      <c r="C236" s="16" t="s">
        <v>77</v>
      </c>
      <c r="D236" s="17">
        <v>5.03</v>
      </c>
      <c r="E236" s="17"/>
      <c r="F236" s="6"/>
      <c r="G236" s="93">
        <f>SUM('3:4'!G236)</f>
        <v>0</v>
      </c>
      <c r="H236" s="246">
        <f t="shared" si="71"/>
        <v>0</v>
      </c>
      <c r="I236" s="93">
        <f>SUM('3:4'!I236)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80"/>
        <v>0</v>
      </c>
      <c r="N236" s="93">
        <f>SUM('3:4'!N236)</f>
        <v>0</v>
      </c>
      <c r="O236" s="93">
        <f>SUM('3:4'!O236)</f>
        <v>0</v>
      </c>
      <c r="P236" s="93">
        <f>SUM('3:4'!P236)</f>
        <v>0</v>
      </c>
      <c r="Q236" s="93">
        <f>SUM('3:4'!Q236)</f>
        <v>0</v>
      </c>
      <c r="R236" s="93">
        <f>SUM('3:4'!R236)</f>
        <v>0</v>
      </c>
      <c r="S236" s="93">
        <f>SUM('3:4'!S236)</f>
        <v>0</v>
      </c>
      <c r="T236" s="93">
        <f>SUM('3:4'!T236)</f>
        <v>0</v>
      </c>
      <c r="U236" s="93">
        <f>SUM('3:4'!U236)</f>
        <v>0</v>
      </c>
      <c r="V236" s="206">
        <f t="shared" si="83"/>
        <v>0</v>
      </c>
      <c r="W236" s="33" t="str">
        <f t="shared" si="84"/>
        <v/>
      </c>
      <c r="X236" s="93">
        <f>SUM('3:4'!X236)</f>
        <v>0</v>
      </c>
      <c r="Y236" s="93">
        <f>SUM('3:4'!Y236)</f>
        <v>0</v>
      </c>
      <c r="Z236" s="93">
        <f>SUM('3:4'!Z236)</f>
        <v>0</v>
      </c>
      <c r="AA236" s="93">
        <f>SUM('3:4'!AA236)</f>
        <v>0</v>
      </c>
      <c r="AB236" s="358">
        <v>0.21</v>
      </c>
      <c r="AC236" s="269">
        <f t="shared" si="75"/>
        <v>0</v>
      </c>
      <c r="AD236" s="251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 ht="17.25">
      <c r="A237" s="316">
        <v>30100043</v>
      </c>
      <c r="B237" s="192" t="s">
        <v>429</v>
      </c>
      <c r="C237" s="187" t="s">
        <v>427</v>
      </c>
      <c r="D237" s="17">
        <v>5.03</v>
      </c>
      <c r="E237" s="17"/>
      <c r="F237" s="6"/>
      <c r="G237" s="93">
        <f>SUM('3:4'!G237)</f>
        <v>0</v>
      </c>
      <c r="H237" s="246">
        <f t="shared" si="71"/>
        <v>0</v>
      </c>
      <c r="I237" s="93">
        <f>SUM('3:4'!I237)</f>
        <v>0</v>
      </c>
      <c r="J237" s="31"/>
      <c r="K237" s="35"/>
      <c r="L237" s="87">
        <v>50</v>
      </c>
      <c r="M237" s="36"/>
      <c r="N237" s="93"/>
      <c r="O237" s="93"/>
      <c r="P237" s="93"/>
      <c r="Q237" s="93"/>
      <c r="R237" s="93"/>
      <c r="S237" s="93"/>
      <c r="T237" s="93"/>
      <c r="U237" s="93"/>
      <c r="V237" s="206"/>
      <c r="W237" s="33"/>
      <c r="X237" s="93"/>
      <c r="Y237" s="93"/>
      <c r="Z237" s="93"/>
      <c r="AA237" s="93"/>
      <c r="AB237" s="358">
        <v>0.21</v>
      </c>
      <c r="AC237" s="269">
        <f t="shared" si="75"/>
        <v>0</v>
      </c>
      <c r="AD237" s="251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 ht="17.25">
      <c r="A238" s="316">
        <v>30100064</v>
      </c>
      <c r="B238" s="192" t="s">
        <v>400</v>
      </c>
      <c r="C238" s="187" t="s">
        <v>398</v>
      </c>
      <c r="D238" s="17">
        <v>5</v>
      </c>
      <c r="E238" s="17"/>
      <c r="F238" s="6"/>
      <c r="G238" s="93">
        <f>SUM('3:4'!G238)</f>
        <v>0</v>
      </c>
      <c r="H238" s="246">
        <f t="shared" si="71"/>
        <v>0</v>
      </c>
      <c r="I238" s="93">
        <f>SUM('3:4'!I238)</f>
        <v>0</v>
      </c>
      <c r="J238" s="31"/>
      <c r="K238" s="35">
        <f t="array" ref="K238">IF(ISERROR(G238/L238),"",G238/L238)</f>
        <v>0</v>
      </c>
      <c r="L238" s="87">
        <v>50</v>
      </c>
      <c r="M238" s="36">
        <f t="shared" ref="M238:M249" si="85">IF(ISERROR(I238-K238),"",I238-K238)</f>
        <v>0</v>
      </c>
      <c r="N238" s="93">
        <f>SUM('3:4'!N238)</f>
        <v>0</v>
      </c>
      <c r="O238" s="93">
        <f>SUM('3:4'!O238)</f>
        <v>0</v>
      </c>
      <c r="P238" s="93">
        <f>SUM('3:4'!P238)</f>
        <v>0</v>
      </c>
      <c r="Q238" s="93">
        <f>SUM('3:4'!Q238)</f>
        <v>0</v>
      </c>
      <c r="R238" s="93">
        <f>SUM('3:4'!R238)</f>
        <v>0</v>
      </c>
      <c r="S238" s="93">
        <f>SUM('3:4'!S238)</f>
        <v>0</v>
      </c>
      <c r="T238" s="93">
        <f>SUM('3:4'!T238)</f>
        <v>0</v>
      </c>
      <c r="U238" s="93">
        <f>SUM('3:4'!U238)</f>
        <v>0</v>
      </c>
      <c r="V238" s="206"/>
      <c r="W238" s="33"/>
      <c r="X238" s="93">
        <f>SUM('3:4'!X238)</f>
        <v>0</v>
      </c>
      <c r="Y238" s="93">
        <f>SUM('3:4'!Y238)</f>
        <v>0</v>
      </c>
      <c r="Z238" s="93">
        <f>SUM('3:4'!Z238)</f>
        <v>0</v>
      </c>
      <c r="AA238" s="93">
        <f>SUM('3:4'!AA238)</f>
        <v>0</v>
      </c>
      <c r="AB238" s="361">
        <v>0.21</v>
      </c>
      <c r="AC238" s="269">
        <f t="shared" si="75"/>
        <v>0</v>
      </c>
      <c r="AD238" s="251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 ht="17.25">
      <c r="A239" s="316">
        <v>30100049</v>
      </c>
      <c r="B239" s="62" t="s">
        <v>84</v>
      </c>
      <c r="C239" s="16" t="s">
        <v>64</v>
      </c>
      <c r="D239" s="17">
        <v>5.03</v>
      </c>
      <c r="E239" s="17"/>
      <c r="F239" s="6"/>
      <c r="G239" s="93">
        <f>SUM('3:4'!G239)</f>
        <v>0</v>
      </c>
      <c r="H239" s="296">
        <f t="shared" si="71"/>
        <v>0</v>
      </c>
      <c r="I239" s="93">
        <f>SUM('3:4'!I239)</f>
        <v>0</v>
      </c>
      <c r="J239" s="31" t="str">
        <f t="array" ref="J239">IF(ISERROR(G239/I239),"",G239/I239)</f>
        <v/>
      </c>
      <c r="K239" s="35">
        <f t="array" ref="K239">IF(ISERROR(G239/L239),"",G239/L239)</f>
        <v>0</v>
      </c>
      <c r="L239" s="87">
        <v>21.5</v>
      </c>
      <c r="M239" s="36">
        <f t="shared" si="85"/>
        <v>0</v>
      </c>
      <c r="N239" s="93">
        <f>SUM('3:4'!N239)</f>
        <v>0</v>
      </c>
      <c r="O239" s="93">
        <f>SUM('3:4'!O239)</f>
        <v>0</v>
      </c>
      <c r="P239" s="93">
        <f>SUM('3:4'!P239)</f>
        <v>0</v>
      </c>
      <c r="Q239" s="93">
        <f>SUM('3:4'!Q239)</f>
        <v>0</v>
      </c>
      <c r="R239" s="93">
        <f>SUM('3:4'!R239)</f>
        <v>0</v>
      </c>
      <c r="S239" s="93">
        <f>SUM('3:4'!S239)</f>
        <v>0</v>
      </c>
      <c r="T239" s="93">
        <f>SUM('3:4'!T239)</f>
        <v>0</v>
      </c>
      <c r="U239" s="93">
        <f>SUM('3:4'!U239)</f>
        <v>0</v>
      </c>
      <c r="V239" s="206">
        <f t="shared" ref="V239:V240" si="86">SUM(X239:AA239)</f>
        <v>0</v>
      </c>
      <c r="W239" s="33" t="str">
        <f t="shared" ref="W239:W240" si="87">IF(ISERROR(V239/G239),"",V239/G239)</f>
        <v/>
      </c>
      <c r="X239" s="93">
        <f>SUM('3:4'!X239)</f>
        <v>0</v>
      </c>
      <c r="Y239" s="93">
        <f>SUM('3:4'!Y239)</f>
        <v>0</v>
      </c>
      <c r="Z239" s="93">
        <f>SUM('3:4'!Z239)</f>
        <v>0</v>
      </c>
      <c r="AA239" s="93">
        <f>SUM('3:4'!AA239)</f>
        <v>0</v>
      </c>
      <c r="AB239" s="358">
        <v>0.49</v>
      </c>
      <c r="AC239" s="269">
        <f t="shared" si="75"/>
        <v>0</v>
      </c>
      <c r="AD239" s="251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 ht="17.25">
      <c r="A240" s="316">
        <v>30100050</v>
      </c>
      <c r="B240" s="62" t="s">
        <v>84</v>
      </c>
      <c r="C240" s="16" t="s">
        <v>65</v>
      </c>
      <c r="D240" s="17">
        <v>5.03</v>
      </c>
      <c r="E240" s="17"/>
      <c r="F240" s="6"/>
      <c r="G240" s="93">
        <f>SUM('3:4'!G240)</f>
        <v>0</v>
      </c>
      <c r="H240" s="296">
        <f t="shared" si="71"/>
        <v>0</v>
      </c>
      <c r="I240" s="93">
        <f>SUM('3:4'!I240)</f>
        <v>0</v>
      </c>
      <c r="J240" s="31" t="str">
        <f t="array" ref="J240">IF(ISERROR(G240/I240),"",G240/I240)</f>
        <v/>
      </c>
      <c r="K240" s="35">
        <f t="array" ref="K240">IF(ISERROR(G240/L240),"",G240/L240)</f>
        <v>0</v>
      </c>
      <c r="L240" s="87">
        <v>21.5</v>
      </c>
      <c r="M240" s="36">
        <f t="shared" si="85"/>
        <v>0</v>
      </c>
      <c r="N240" s="93">
        <f>SUM('3:4'!N240)</f>
        <v>0</v>
      </c>
      <c r="O240" s="93">
        <f>SUM('3:4'!O240)</f>
        <v>0</v>
      </c>
      <c r="P240" s="93">
        <f>SUM('3:4'!P240)</f>
        <v>0</v>
      </c>
      <c r="Q240" s="93">
        <f>SUM('3:4'!Q240)</f>
        <v>0</v>
      </c>
      <c r="R240" s="93">
        <f>SUM('3:4'!R240)</f>
        <v>0</v>
      </c>
      <c r="S240" s="93">
        <f>SUM('3:4'!S240)</f>
        <v>0</v>
      </c>
      <c r="T240" s="93">
        <f>SUM('3:4'!T240)</f>
        <v>0</v>
      </c>
      <c r="U240" s="93">
        <f>SUM('3:4'!U240)</f>
        <v>0</v>
      </c>
      <c r="V240" s="206">
        <f t="shared" si="86"/>
        <v>0</v>
      </c>
      <c r="W240" s="33" t="str">
        <f t="shared" si="87"/>
        <v/>
      </c>
      <c r="X240" s="93">
        <f>SUM('3:4'!X240)</f>
        <v>0</v>
      </c>
      <c r="Y240" s="93">
        <f>SUM('3:4'!Y240)</f>
        <v>0</v>
      </c>
      <c r="Z240" s="93">
        <f>SUM('3:4'!Z240)</f>
        <v>0</v>
      </c>
      <c r="AA240" s="93">
        <f>SUM('3:4'!AA240)</f>
        <v>0</v>
      </c>
      <c r="AB240" s="358">
        <v>0.49</v>
      </c>
      <c r="AC240" s="269">
        <f t="shared" si="75"/>
        <v>0</v>
      </c>
      <c r="AD240" s="251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 ht="17.25">
      <c r="A241" s="316"/>
      <c r="B241" s="192" t="s">
        <v>360</v>
      </c>
      <c r="C241" s="187" t="s">
        <v>361</v>
      </c>
      <c r="D241" s="17"/>
      <c r="E241" s="17"/>
      <c r="F241" s="6"/>
      <c r="G241" s="93">
        <f>SUM('3:4'!G241)</f>
        <v>0</v>
      </c>
      <c r="H241" s="296">
        <f t="shared" si="71"/>
        <v>0</v>
      </c>
      <c r="I241" s="93">
        <f>SUM('3:4'!I241)</f>
        <v>0</v>
      </c>
      <c r="J241" s="31"/>
      <c r="K241" s="35"/>
      <c r="L241" s="87"/>
      <c r="M241" s="36">
        <f t="shared" si="85"/>
        <v>0</v>
      </c>
      <c r="N241" s="93">
        <f>SUM('3:4'!N241)</f>
        <v>0</v>
      </c>
      <c r="O241" s="93">
        <f>SUM('3:4'!O241)</f>
        <v>0</v>
      </c>
      <c r="P241" s="93">
        <f>SUM('3:4'!P241)</f>
        <v>0</v>
      </c>
      <c r="Q241" s="93">
        <f>SUM('3:4'!Q241)</f>
        <v>0</v>
      </c>
      <c r="R241" s="93">
        <f>SUM('3:4'!R241)</f>
        <v>0</v>
      </c>
      <c r="S241" s="93">
        <f>SUM('3:4'!S241)</f>
        <v>0</v>
      </c>
      <c r="T241" s="93">
        <f>SUM('3:4'!T241)</f>
        <v>0</v>
      </c>
      <c r="U241" s="93">
        <f>SUM('3:4'!U241)</f>
        <v>0</v>
      </c>
      <c r="V241" s="206"/>
      <c r="W241" s="33"/>
      <c r="X241" s="93">
        <f>SUM('3:4'!X241)</f>
        <v>0</v>
      </c>
      <c r="Y241" s="93">
        <f>SUM('3:4'!Y241)</f>
        <v>0</v>
      </c>
      <c r="Z241" s="93">
        <f>SUM('3:4'!Z241)</f>
        <v>0</v>
      </c>
      <c r="AA241" s="93">
        <f>SUM('3:4'!AA241)</f>
        <v>0</v>
      </c>
      <c r="AB241" s="358"/>
      <c r="AC241" s="269">
        <f t="shared" si="75"/>
        <v>0</v>
      </c>
      <c r="AD241" s="251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 ht="17.25">
      <c r="A242" s="316">
        <v>30100055</v>
      </c>
      <c r="B242" s="63" t="s">
        <v>85</v>
      </c>
      <c r="C242" s="16" t="s">
        <v>60</v>
      </c>
      <c r="D242" s="17">
        <v>5.0599999999999996</v>
      </c>
      <c r="E242" s="17"/>
      <c r="F242" s="6"/>
      <c r="G242" s="93">
        <f>SUM('3:4'!G242)</f>
        <v>0</v>
      </c>
      <c r="H242" s="296">
        <f t="shared" si="71"/>
        <v>0</v>
      </c>
      <c r="I242" s="93">
        <f>SUM('3:4'!I242)</f>
        <v>0</v>
      </c>
      <c r="J242" s="31" t="str">
        <f t="array" ref="J242">IF(ISERROR(G242/I242),"",G242/I242)</f>
        <v/>
      </c>
      <c r="K242" s="35" t="str">
        <f t="array" ref="K242">IF(ISERROR(G242/L242),"",G242/L242)</f>
        <v/>
      </c>
      <c r="L242" s="87"/>
      <c r="M242" s="36" t="str">
        <f t="shared" si="85"/>
        <v/>
      </c>
      <c r="N242" s="93">
        <f>SUM('3:4'!N242)</f>
        <v>0</v>
      </c>
      <c r="O242" s="93">
        <f>SUM('3:4'!O242)</f>
        <v>0</v>
      </c>
      <c r="P242" s="93">
        <f>SUM('3:4'!P242)</f>
        <v>0</v>
      </c>
      <c r="Q242" s="93">
        <f>SUM('3:4'!Q242)</f>
        <v>0</v>
      </c>
      <c r="R242" s="93">
        <f>SUM('3:4'!R242)</f>
        <v>0</v>
      </c>
      <c r="S242" s="93">
        <f>SUM('3:4'!S242)</f>
        <v>0</v>
      </c>
      <c r="T242" s="93">
        <f>SUM('3:4'!T242)</f>
        <v>0</v>
      </c>
      <c r="U242" s="93">
        <f>SUM('3:4'!U242)</f>
        <v>0</v>
      </c>
      <c r="V242" s="206">
        <f t="shared" ref="V242:V245" si="88">SUM(X242:AA242)</f>
        <v>0</v>
      </c>
      <c r="W242" s="33" t="str">
        <f t="shared" ref="W242:W245" si="89">IF(ISERROR(V242/G242),"",V242/G242)</f>
        <v/>
      </c>
      <c r="X242" s="93">
        <f>SUM('3:4'!X242)</f>
        <v>0</v>
      </c>
      <c r="Y242" s="93">
        <f>SUM('3:4'!Y242)</f>
        <v>0</v>
      </c>
      <c r="Z242" s="93">
        <f>SUM('3:4'!Z242)</f>
        <v>0</v>
      </c>
      <c r="AA242" s="93">
        <f>SUM('3:4'!AA242)</f>
        <v>0</v>
      </c>
      <c r="AB242" s="358">
        <v>0.43</v>
      </c>
      <c r="AC242" s="269">
        <f t="shared" si="75"/>
        <v>0</v>
      </c>
      <c r="AD242" s="251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 ht="17.25">
      <c r="A243" s="316">
        <v>30100056</v>
      </c>
      <c r="B243" s="63" t="s">
        <v>85</v>
      </c>
      <c r="C243" s="16" t="s">
        <v>74</v>
      </c>
      <c r="D243" s="17">
        <v>5.0599999999999996</v>
      </c>
      <c r="E243" s="17"/>
      <c r="F243" s="6"/>
      <c r="G243" s="93">
        <f>SUM('3:4'!G243)</f>
        <v>0</v>
      </c>
      <c r="H243" s="296">
        <f t="shared" si="71"/>
        <v>0</v>
      </c>
      <c r="I243" s="93">
        <f>SUM('3:4'!I243)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85"/>
        <v/>
      </c>
      <c r="N243" s="93">
        <f>SUM('3:4'!N243)</f>
        <v>0</v>
      </c>
      <c r="O243" s="93">
        <f>SUM('3:4'!O243)</f>
        <v>0</v>
      </c>
      <c r="P243" s="93">
        <f>SUM('3:4'!P243)</f>
        <v>0</v>
      </c>
      <c r="Q243" s="93">
        <f>SUM('3:4'!Q243)</f>
        <v>0</v>
      </c>
      <c r="R243" s="93">
        <f>SUM('3:4'!R243)</f>
        <v>0</v>
      </c>
      <c r="S243" s="93">
        <f>SUM('3:4'!S243)</f>
        <v>0</v>
      </c>
      <c r="T243" s="93">
        <f>SUM('3:4'!T243)</f>
        <v>0</v>
      </c>
      <c r="U243" s="93">
        <f>SUM('3:4'!U243)</f>
        <v>0</v>
      </c>
      <c r="V243" s="206">
        <f t="shared" si="88"/>
        <v>0</v>
      </c>
      <c r="W243" s="33" t="str">
        <f t="shared" si="89"/>
        <v/>
      </c>
      <c r="X243" s="93">
        <f>SUM('3:4'!X243)</f>
        <v>0</v>
      </c>
      <c r="Y243" s="93">
        <f>SUM('3:4'!Y243)</f>
        <v>0</v>
      </c>
      <c r="Z243" s="93">
        <f>SUM('3:4'!Z243)</f>
        <v>0</v>
      </c>
      <c r="AA243" s="93">
        <f>SUM('3:4'!AA243)</f>
        <v>0</v>
      </c>
      <c r="AB243" s="358">
        <v>0.43</v>
      </c>
      <c r="AC243" s="269">
        <f t="shared" si="75"/>
        <v>0</v>
      </c>
      <c r="AD243" s="251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 ht="17.25">
      <c r="A244" s="316">
        <v>30100057</v>
      </c>
      <c r="B244" s="63" t="s">
        <v>85</v>
      </c>
      <c r="C244" s="16" t="s">
        <v>65</v>
      </c>
      <c r="D244" s="17">
        <v>5.0599999999999996</v>
      </c>
      <c r="E244" s="17"/>
      <c r="F244" s="6"/>
      <c r="G244" s="93">
        <f>SUM('3:4'!G244)</f>
        <v>0</v>
      </c>
      <c r="H244" s="296">
        <f t="shared" si="71"/>
        <v>0</v>
      </c>
      <c r="I244" s="93">
        <f>SUM('3:4'!I244)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85"/>
        <v/>
      </c>
      <c r="N244" s="93">
        <f>SUM('3:4'!N244)</f>
        <v>0</v>
      </c>
      <c r="O244" s="93">
        <f>SUM('3:4'!O244)</f>
        <v>0</v>
      </c>
      <c r="P244" s="93">
        <f>SUM('3:4'!P244)</f>
        <v>0</v>
      </c>
      <c r="Q244" s="93">
        <f>SUM('3:4'!Q244)</f>
        <v>0</v>
      </c>
      <c r="R244" s="93">
        <f>SUM('3:4'!R244)</f>
        <v>0</v>
      </c>
      <c r="S244" s="93">
        <f>SUM('3:4'!S244)</f>
        <v>0</v>
      </c>
      <c r="T244" s="93">
        <f>SUM('3:4'!T244)</f>
        <v>0</v>
      </c>
      <c r="U244" s="93">
        <f>SUM('3:4'!U244)</f>
        <v>0</v>
      </c>
      <c r="V244" s="206">
        <f t="shared" si="88"/>
        <v>0</v>
      </c>
      <c r="W244" s="33" t="str">
        <f t="shared" si="89"/>
        <v/>
      </c>
      <c r="X244" s="93">
        <f>SUM('3:4'!X244)</f>
        <v>0</v>
      </c>
      <c r="Y244" s="93">
        <f>SUM('3:4'!Y244)</f>
        <v>0</v>
      </c>
      <c r="Z244" s="93">
        <f>SUM('3:4'!Z244)</f>
        <v>0</v>
      </c>
      <c r="AA244" s="93">
        <f>SUM('3:4'!AA244)</f>
        <v>0</v>
      </c>
      <c r="AB244" s="358">
        <v>0.43</v>
      </c>
      <c r="AC244" s="269">
        <f t="shared" si="75"/>
        <v>0</v>
      </c>
      <c r="AD244" s="251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 ht="15" customHeight="1">
      <c r="A245" s="316">
        <v>30100058</v>
      </c>
      <c r="B245" s="63" t="s">
        <v>85</v>
      </c>
      <c r="C245" s="16" t="s">
        <v>61</v>
      </c>
      <c r="D245" s="17">
        <v>5.0599999999999996</v>
      </c>
      <c r="E245" s="17"/>
      <c r="F245" s="6"/>
      <c r="G245" s="93">
        <f>SUM('3:4'!G245)</f>
        <v>0</v>
      </c>
      <c r="H245" s="296">
        <f t="shared" si="71"/>
        <v>0</v>
      </c>
      <c r="I245" s="93">
        <f>SUM('3:4'!I245)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85"/>
        <v/>
      </c>
      <c r="N245" s="93">
        <f>SUM('3:4'!N245)</f>
        <v>0</v>
      </c>
      <c r="O245" s="93">
        <f>SUM('3:4'!O245)</f>
        <v>0</v>
      </c>
      <c r="P245" s="93">
        <f>SUM('3:4'!P245)</f>
        <v>0</v>
      </c>
      <c r="Q245" s="93">
        <f>SUM('3:4'!Q245)</f>
        <v>0</v>
      </c>
      <c r="R245" s="93">
        <f>SUM('3:4'!R245)</f>
        <v>0</v>
      </c>
      <c r="S245" s="93">
        <f>SUM('3:4'!S245)</f>
        <v>0</v>
      </c>
      <c r="T245" s="93">
        <f>SUM('3:4'!T245)</f>
        <v>0</v>
      </c>
      <c r="U245" s="93">
        <f>SUM('3:4'!U245)</f>
        <v>0</v>
      </c>
      <c r="V245" s="206">
        <f t="shared" si="88"/>
        <v>0</v>
      </c>
      <c r="W245" s="33" t="str">
        <f t="shared" si="89"/>
        <v/>
      </c>
      <c r="X245" s="93">
        <f>SUM('3:4'!X245)</f>
        <v>0</v>
      </c>
      <c r="Y245" s="93">
        <f>SUM('3:4'!Y245)</f>
        <v>0</v>
      </c>
      <c r="Z245" s="93">
        <f>SUM('3:4'!Z245)</f>
        <v>0</v>
      </c>
      <c r="AA245" s="93">
        <f>SUM('3:4'!AA245)</f>
        <v>0</v>
      </c>
      <c r="AB245" s="358">
        <v>0.43</v>
      </c>
      <c r="AC245" s="269">
        <f t="shared" si="75"/>
        <v>0</v>
      </c>
      <c r="AD245" s="251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7.25">
      <c r="A246" s="318">
        <v>30600013</v>
      </c>
      <c r="B246" s="197" t="s">
        <v>377</v>
      </c>
      <c r="C246" s="187" t="s">
        <v>374</v>
      </c>
      <c r="D246" s="17"/>
      <c r="E246" s="17"/>
      <c r="F246" s="6"/>
      <c r="G246" s="93">
        <f>SUM('3:4'!G246)</f>
        <v>0</v>
      </c>
      <c r="H246" s="296">
        <f t="shared" si="71"/>
        <v>0</v>
      </c>
      <c r="I246" s="93">
        <f>SUM('3:4'!I246)</f>
        <v>0</v>
      </c>
      <c r="J246" s="31"/>
      <c r="K246" s="35">
        <f t="array" ref="K246">IF(ISERROR(G246/L246),"",G246/L246)</f>
        <v>0</v>
      </c>
      <c r="L246" s="87">
        <v>24</v>
      </c>
      <c r="M246" s="36">
        <f t="shared" si="85"/>
        <v>0</v>
      </c>
      <c r="N246" s="93">
        <f>SUM('3:4'!N246)</f>
        <v>0</v>
      </c>
      <c r="O246" s="93">
        <f>SUM('3:4'!O246)</f>
        <v>0</v>
      </c>
      <c r="P246" s="93">
        <f>SUM('3:4'!P246)</f>
        <v>0</v>
      </c>
      <c r="Q246" s="93">
        <f>SUM('3:4'!Q246)</f>
        <v>0</v>
      </c>
      <c r="R246" s="93">
        <f>SUM('3:4'!R246)</f>
        <v>0</v>
      </c>
      <c r="S246" s="93">
        <f>SUM('3:4'!S246)</f>
        <v>0</v>
      </c>
      <c r="T246" s="93">
        <f>SUM('3:4'!T246)</f>
        <v>0</v>
      </c>
      <c r="U246" s="93">
        <f>SUM('3:4'!U246)</f>
        <v>0</v>
      </c>
      <c r="V246" s="206"/>
      <c r="W246" s="33"/>
      <c r="X246" s="93">
        <f>SUM('3:4'!X246)</f>
        <v>0</v>
      </c>
      <c r="Y246" s="93">
        <f>SUM('3:4'!Y246)</f>
        <v>0</v>
      </c>
      <c r="Z246" s="93">
        <f>SUM('3:4'!Z246)</f>
        <v>0</v>
      </c>
      <c r="AA246" s="93">
        <f>SUM('3:4'!AA246)</f>
        <v>0</v>
      </c>
      <c r="AB246" s="358">
        <v>0.43</v>
      </c>
      <c r="AC246" s="269">
        <f t="shared" si="75"/>
        <v>0</v>
      </c>
      <c r="AD246" s="251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 ht="17.25">
      <c r="A247" s="318">
        <v>30600014</v>
      </c>
      <c r="B247" s="197" t="s">
        <v>377</v>
      </c>
      <c r="C247" s="187" t="s">
        <v>369</v>
      </c>
      <c r="D247" s="17"/>
      <c r="E247" s="17"/>
      <c r="F247" s="6"/>
      <c r="G247" s="93">
        <f>SUM('3:4'!G247)</f>
        <v>0</v>
      </c>
      <c r="H247" s="296">
        <f t="shared" si="71"/>
        <v>0</v>
      </c>
      <c r="I247" s="93">
        <f>SUM('3:4'!I247)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85"/>
        <v>0</v>
      </c>
      <c r="N247" s="93">
        <f>SUM('3:4'!N247)</f>
        <v>0</v>
      </c>
      <c r="O247" s="93">
        <f>SUM('3:4'!O247)</f>
        <v>0</v>
      </c>
      <c r="P247" s="93">
        <f>SUM('3:4'!P247)</f>
        <v>0</v>
      </c>
      <c r="Q247" s="93">
        <f>SUM('3:4'!Q247)</f>
        <v>0</v>
      </c>
      <c r="R247" s="93">
        <f>SUM('3:4'!R247)</f>
        <v>0</v>
      </c>
      <c r="S247" s="93">
        <f>SUM('3:4'!S247)</f>
        <v>0</v>
      </c>
      <c r="T247" s="93">
        <f>SUM('3:4'!T247)</f>
        <v>0</v>
      </c>
      <c r="U247" s="93">
        <f>SUM('3:4'!U247)</f>
        <v>0</v>
      </c>
      <c r="V247" s="206"/>
      <c r="W247" s="33"/>
      <c r="X247" s="93">
        <f>SUM('3:4'!X247)</f>
        <v>0</v>
      </c>
      <c r="Y247" s="93">
        <f>SUM('3:4'!Y247)</f>
        <v>0</v>
      </c>
      <c r="Z247" s="93">
        <f>SUM('3:4'!Z247)</f>
        <v>0</v>
      </c>
      <c r="AA247" s="93">
        <f>SUM('3:4'!AA247)</f>
        <v>0</v>
      </c>
      <c r="AB247" s="358">
        <v>0.43</v>
      </c>
      <c r="AC247" s="269">
        <f t="shared" si="75"/>
        <v>0</v>
      </c>
      <c r="AD247" s="251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 ht="17.25">
      <c r="A248" s="318">
        <v>30600012</v>
      </c>
      <c r="B248" s="197" t="s">
        <v>377</v>
      </c>
      <c r="C248" s="187" t="s">
        <v>370</v>
      </c>
      <c r="D248" s="17"/>
      <c r="E248" s="17"/>
      <c r="F248" s="6"/>
      <c r="G248" s="93">
        <f>SUM('3:4'!G248)</f>
        <v>0</v>
      </c>
      <c r="H248" s="296">
        <f t="shared" si="71"/>
        <v>0</v>
      </c>
      <c r="I248" s="93">
        <f>SUM('3:4'!I248)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85"/>
        <v>0</v>
      </c>
      <c r="N248" s="93">
        <f>SUM('3:4'!N248)</f>
        <v>0</v>
      </c>
      <c r="O248" s="93">
        <f>SUM('3:4'!O248)</f>
        <v>0</v>
      </c>
      <c r="P248" s="93">
        <f>SUM('3:4'!P248)</f>
        <v>0</v>
      </c>
      <c r="Q248" s="93">
        <f>SUM('3:4'!Q248)</f>
        <v>0</v>
      </c>
      <c r="R248" s="93">
        <f>SUM('3:4'!R248)</f>
        <v>0</v>
      </c>
      <c r="S248" s="93">
        <f>SUM('3:4'!S248)</f>
        <v>0</v>
      </c>
      <c r="T248" s="93">
        <f>SUM('3:4'!T248)</f>
        <v>0</v>
      </c>
      <c r="U248" s="93">
        <f>SUM('3:4'!U248)</f>
        <v>0</v>
      </c>
      <c r="V248" s="206"/>
      <c r="W248" s="33"/>
      <c r="X248" s="93">
        <f>SUM('3:4'!X248)</f>
        <v>0</v>
      </c>
      <c r="Y248" s="93">
        <f>SUM('3:4'!Y248)</f>
        <v>0</v>
      </c>
      <c r="Z248" s="93">
        <f>SUM('3:4'!Z248)</f>
        <v>0</v>
      </c>
      <c r="AA248" s="93">
        <f>SUM('3:4'!AA248)</f>
        <v>0</v>
      </c>
      <c r="AB248" s="358">
        <v>0.43</v>
      </c>
      <c r="AC248" s="269">
        <f t="shared" si="75"/>
        <v>0</v>
      </c>
      <c r="AD248" s="251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 ht="17.25">
      <c r="A249" s="318">
        <v>30600011</v>
      </c>
      <c r="B249" s="197" t="s">
        <v>377</v>
      </c>
      <c r="C249" s="187" t="s">
        <v>371</v>
      </c>
      <c r="D249" s="17"/>
      <c r="E249" s="17"/>
      <c r="F249" s="6"/>
      <c r="G249" s="93">
        <f>SUM('3:4'!G249)</f>
        <v>0</v>
      </c>
      <c r="H249" s="296">
        <f t="shared" si="71"/>
        <v>0</v>
      </c>
      <c r="I249" s="93">
        <f>SUM('3:4'!I249)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85"/>
        <v>0</v>
      </c>
      <c r="N249" s="93">
        <f>SUM('3:4'!N249)</f>
        <v>0</v>
      </c>
      <c r="O249" s="93">
        <f>SUM('3:4'!O249)</f>
        <v>0</v>
      </c>
      <c r="P249" s="93">
        <f>SUM('3:4'!P249)</f>
        <v>0</v>
      </c>
      <c r="Q249" s="93">
        <f>SUM('3:4'!Q249)</f>
        <v>0</v>
      </c>
      <c r="R249" s="93">
        <f>SUM('3:4'!R249)</f>
        <v>0</v>
      </c>
      <c r="S249" s="93">
        <f>SUM('3:4'!S249)</f>
        <v>0</v>
      </c>
      <c r="T249" s="93">
        <f>SUM('3:4'!T249)</f>
        <v>0</v>
      </c>
      <c r="U249" s="93">
        <f>SUM('3:4'!U249)</f>
        <v>0</v>
      </c>
      <c r="V249" s="206"/>
      <c r="W249" s="33"/>
      <c r="X249" s="93">
        <f>SUM('3:4'!X249)</f>
        <v>0</v>
      </c>
      <c r="Y249" s="93">
        <f>SUM('3:4'!Y249)</f>
        <v>0</v>
      </c>
      <c r="Z249" s="93">
        <f>SUM('3:4'!Z249)</f>
        <v>0</v>
      </c>
      <c r="AA249" s="93">
        <f>SUM('3:4'!AA249)</f>
        <v>0</v>
      </c>
      <c r="AB249" s="358">
        <v>0.43</v>
      </c>
      <c r="AC249" s="269">
        <f t="shared" si="75"/>
        <v>0</v>
      </c>
      <c r="AD249" s="251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 ht="17.25">
      <c r="A250" s="318">
        <v>30300002</v>
      </c>
      <c r="B250" s="197" t="s">
        <v>407</v>
      </c>
      <c r="C250" s="187" t="s">
        <v>408</v>
      </c>
      <c r="D250" s="17"/>
      <c r="E250" s="17"/>
      <c r="F250" s="6"/>
      <c r="G250" s="93">
        <f>SUM('3:4'!G250)</f>
        <v>0</v>
      </c>
      <c r="H250" s="296">
        <f t="shared" si="71"/>
        <v>0</v>
      </c>
      <c r="I250" s="93">
        <f>SUM('3:4'!I250)</f>
        <v>0</v>
      </c>
      <c r="J250" s="31"/>
      <c r="K250" s="35"/>
      <c r="L250" s="87">
        <v>4</v>
      </c>
      <c r="M250" s="36"/>
      <c r="N250" s="31"/>
      <c r="O250" s="93"/>
      <c r="P250" s="93"/>
      <c r="Q250" s="93"/>
      <c r="R250" s="93"/>
      <c r="S250" s="93"/>
      <c r="T250" s="93"/>
      <c r="U250" s="93"/>
      <c r="V250" s="206"/>
      <c r="W250" s="33"/>
      <c r="X250" s="93"/>
      <c r="Y250" s="93"/>
      <c r="Z250" s="93"/>
      <c r="AA250" s="93"/>
      <c r="AB250" s="361">
        <v>0.69</v>
      </c>
      <c r="AC250" s="269">
        <f t="shared" si="75"/>
        <v>0</v>
      </c>
      <c r="AD250" s="251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 ht="17.25">
      <c r="A251" s="318">
        <v>30300001</v>
      </c>
      <c r="B251" s="197" t="s">
        <v>407</v>
      </c>
      <c r="C251" s="187" t="s">
        <v>409</v>
      </c>
      <c r="D251" s="17"/>
      <c r="E251" s="17"/>
      <c r="F251" s="6"/>
      <c r="G251" s="93">
        <f>SUM('3:4'!G251)</f>
        <v>0</v>
      </c>
      <c r="H251" s="296">
        <f t="shared" si="71"/>
        <v>0</v>
      </c>
      <c r="I251" s="93">
        <f>SUM('3:4'!I251)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6"/>
      <c r="W251" s="33"/>
      <c r="X251" s="93"/>
      <c r="Y251" s="93"/>
      <c r="Z251" s="93"/>
      <c r="AA251" s="93"/>
      <c r="AB251" s="361">
        <v>0.69</v>
      </c>
      <c r="AC251" s="269">
        <f t="shared" si="75"/>
        <v>0</v>
      </c>
      <c r="AD251" s="251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 ht="17.25">
      <c r="A252" s="318">
        <v>30300003</v>
      </c>
      <c r="B252" s="197" t="s">
        <v>407</v>
      </c>
      <c r="C252" s="187" t="s">
        <v>410</v>
      </c>
      <c r="D252" s="17"/>
      <c r="E252" s="17"/>
      <c r="F252" s="6"/>
      <c r="G252" s="93">
        <f>SUM('3:4'!G252)</f>
        <v>0</v>
      </c>
      <c r="H252" s="296">
        <f t="shared" si="71"/>
        <v>0</v>
      </c>
      <c r="I252" s="93">
        <f>SUM('3:4'!I252)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6"/>
      <c r="W252" s="33"/>
      <c r="X252" s="93"/>
      <c r="Y252" s="93"/>
      <c r="Z252" s="93"/>
      <c r="AA252" s="93"/>
      <c r="AB252" s="361">
        <v>0.69</v>
      </c>
      <c r="AC252" s="269">
        <f t="shared" si="75"/>
        <v>0</v>
      </c>
      <c r="AD252" s="251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 ht="17.25">
      <c r="A253" s="318">
        <v>30300005</v>
      </c>
      <c r="B253" s="189" t="s">
        <v>363</v>
      </c>
      <c r="C253" s="16" t="s">
        <v>337</v>
      </c>
      <c r="D253" s="17"/>
      <c r="E253" s="17"/>
      <c r="F253" s="6"/>
      <c r="G253" s="93">
        <f>SUM('3:4'!G253)</f>
        <v>0</v>
      </c>
      <c r="H253" s="296">
        <f t="shared" si="71"/>
        <v>0</v>
      </c>
      <c r="I253" s="93">
        <f>SUM('3:4'!I253)</f>
        <v>0</v>
      </c>
      <c r="J253" s="31"/>
      <c r="K253" s="35"/>
      <c r="L253" s="87">
        <v>4</v>
      </c>
      <c r="M253" s="36"/>
      <c r="N253" s="31"/>
      <c r="O253" s="93">
        <f>SUM('3:4'!O253)</f>
        <v>0</v>
      </c>
      <c r="P253" s="93">
        <f>SUM('3:4'!P253)</f>
        <v>0</v>
      </c>
      <c r="Q253" s="93">
        <f>SUM('3:4'!Q253)</f>
        <v>0</v>
      </c>
      <c r="R253" s="93">
        <f>SUM('3:4'!R253)</f>
        <v>0</v>
      </c>
      <c r="S253" s="93">
        <f>SUM('3:4'!S253)</f>
        <v>0</v>
      </c>
      <c r="T253" s="93">
        <f>SUM('3:4'!T253)</f>
        <v>0</v>
      </c>
      <c r="U253" s="93">
        <f>SUM('3:4'!U253)</f>
        <v>0</v>
      </c>
      <c r="V253" s="206"/>
      <c r="W253" s="33"/>
      <c r="X253" s="93">
        <f>SUM('3:4'!X253)</f>
        <v>0</v>
      </c>
      <c r="Y253" s="93">
        <f>SUM('3:4'!Y253)</f>
        <v>0</v>
      </c>
      <c r="Z253" s="93">
        <f>SUM('3:4'!Z253)</f>
        <v>0</v>
      </c>
      <c r="AA253" s="93">
        <f>SUM('3:4'!AA253)</f>
        <v>0</v>
      </c>
      <c r="AB253" s="358">
        <v>0.95</v>
      </c>
      <c r="AC253" s="269">
        <f t="shared" si="75"/>
        <v>0</v>
      </c>
      <c r="AD253" s="251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 ht="17.25">
      <c r="A254" s="318">
        <v>30300004</v>
      </c>
      <c r="B254" s="189" t="s">
        <v>363</v>
      </c>
      <c r="C254" s="16" t="s">
        <v>339</v>
      </c>
      <c r="D254" s="17"/>
      <c r="E254" s="17"/>
      <c r="F254" s="6"/>
      <c r="G254" s="93">
        <f>SUM('3:4'!G254)</f>
        <v>0</v>
      </c>
      <c r="H254" s="296">
        <f t="shared" si="71"/>
        <v>0</v>
      </c>
      <c r="I254" s="93">
        <f>SUM('3:4'!I254)</f>
        <v>0</v>
      </c>
      <c r="J254" s="31"/>
      <c r="K254" s="35"/>
      <c r="L254" s="87">
        <v>4</v>
      </c>
      <c r="M254" s="36"/>
      <c r="N254" s="31"/>
      <c r="O254" s="93">
        <f>SUM('3:4'!O254)</f>
        <v>0</v>
      </c>
      <c r="P254" s="93">
        <f>SUM('3:4'!P254)</f>
        <v>0</v>
      </c>
      <c r="Q254" s="93">
        <f>SUM('3:4'!Q254)</f>
        <v>0</v>
      </c>
      <c r="R254" s="93">
        <f>SUM('3:4'!R254)</f>
        <v>0</v>
      </c>
      <c r="S254" s="93">
        <f>SUM('3:4'!S254)</f>
        <v>0</v>
      </c>
      <c r="T254" s="93">
        <f>SUM('3:4'!T254)</f>
        <v>0</v>
      </c>
      <c r="U254" s="93">
        <f>SUM('3:4'!U254)</f>
        <v>0</v>
      </c>
      <c r="V254" s="206"/>
      <c r="W254" s="33"/>
      <c r="X254" s="93">
        <f>SUM('3:4'!X254)</f>
        <v>0</v>
      </c>
      <c r="Y254" s="93">
        <f>SUM('3:4'!Y254)</f>
        <v>0</v>
      </c>
      <c r="Z254" s="93">
        <f>SUM('3:4'!Z254)</f>
        <v>0</v>
      </c>
      <c r="AA254" s="93">
        <f>SUM('3:4'!AA254)</f>
        <v>0</v>
      </c>
      <c r="AB254" s="358">
        <v>0.95</v>
      </c>
      <c r="AC254" s="269">
        <f t="shared" si="75"/>
        <v>0</v>
      </c>
      <c r="AD254" s="251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 ht="17.25">
      <c r="A255" s="318">
        <v>30300006</v>
      </c>
      <c r="B255" s="189" t="s">
        <v>363</v>
      </c>
      <c r="C255" s="16" t="s">
        <v>341</v>
      </c>
      <c r="D255" s="17"/>
      <c r="E255" s="17"/>
      <c r="F255" s="6"/>
      <c r="G255" s="93">
        <f>SUM('3:4'!G255)</f>
        <v>0</v>
      </c>
      <c r="H255" s="296">
        <f t="shared" si="71"/>
        <v>0</v>
      </c>
      <c r="I255" s="93">
        <f>SUM('3:4'!I255)</f>
        <v>0</v>
      </c>
      <c r="J255" s="31"/>
      <c r="K255" s="35"/>
      <c r="L255" s="87">
        <v>4</v>
      </c>
      <c r="M255" s="36"/>
      <c r="N255" s="31"/>
      <c r="O255" s="93">
        <f>SUM('3:4'!O255)</f>
        <v>0</v>
      </c>
      <c r="P255" s="93">
        <f>SUM('3:4'!P255)</f>
        <v>0</v>
      </c>
      <c r="Q255" s="93">
        <f>SUM('3:4'!Q255)</f>
        <v>0</v>
      </c>
      <c r="R255" s="93">
        <f>SUM('3:4'!R255)</f>
        <v>0</v>
      </c>
      <c r="S255" s="93">
        <f>SUM('3:4'!S255)</f>
        <v>0</v>
      </c>
      <c r="T255" s="93">
        <f>SUM('3:4'!T255)</f>
        <v>0</v>
      </c>
      <c r="U255" s="93">
        <f>SUM('3:4'!U255)</f>
        <v>0</v>
      </c>
      <c r="V255" s="206"/>
      <c r="W255" s="33"/>
      <c r="X255" s="93">
        <f>SUM('3:4'!X255)</f>
        <v>0</v>
      </c>
      <c r="Y255" s="93">
        <f>SUM('3:4'!Y255)</f>
        <v>0</v>
      </c>
      <c r="Z255" s="93">
        <f>SUM('3:4'!Z255)</f>
        <v>0</v>
      </c>
      <c r="AA255" s="93">
        <f>SUM('3:4'!AA255)</f>
        <v>0</v>
      </c>
      <c r="AB255" s="358">
        <v>0.95</v>
      </c>
      <c r="AC255" s="269">
        <f t="shared" si="75"/>
        <v>0</v>
      </c>
      <c r="AD255" s="251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 ht="15.75">
      <c r="A256" s="724" t="s">
        <v>86</v>
      </c>
      <c r="B256" s="724"/>
      <c r="C256" s="243" t="s">
        <v>71</v>
      </c>
      <c r="D256" s="20"/>
      <c r="E256" s="20"/>
      <c r="F256" s="32"/>
      <c r="G256" s="94">
        <f>SUM(G199:G255)</f>
        <v>0</v>
      </c>
      <c r="H256" s="30">
        <f>SUM(H199:H255)</f>
        <v>0</v>
      </c>
      <c r="I256" s="30">
        <f>SUM(I199:I255)</f>
        <v>0</v>
      </c>
      <c r="J256" s="31" t="str">
        <f t="array" ref="J256">IF(ISERROR(G256/I256),"",G256/I256)</f>
        <v/>
      </c>
      <c r="K256" s="30">
        <f>SUM(K199:K255)</f>
        <v>0</v>
      </c>
      <c r="L256" s="98"/>
      <c r="M256" s="89">
        <f t="shared" ref="M256:V256" si="90">SUM(M199:M255)</f>
        <v>0</v>
      </c>
      <c r="N256" s="30">
        <f t="shared" si="90"/>
        <v>0</v>
      </c>
      <c r="O256" s="91">
        <f t="shared" si="90"/>
        <v>0</v>
      </c>
      <c r="P256" s="91">
        <f t="shared" si="90"/>
        <v>0</v>
      </c>
      <c r="Q256" s="91">
        <f t="shared" si="90"/>
        <v>0</v>
      </c>
      <c r="R256" s="91">
        <f t="shared" si="90"/>
        <v>0</v>
      </c>
      <c r="S256" s="92">
        <f t="shared" si="90"/>
        <v>0</v>
      </c>
      <c r="T256" s="91">
        <f t="shared" si="90"/>
        <v>0</v>
      </c>
      <c r="U256" s="91">
        <f t="shared" si="90"/>
        <v>0</v>
      </c>
      <c r="V256" s="206">
        <f t="shared" si="90"/>
        <v>0</v>
      </c>
      <c r="W256" s="33" t="str">
        <f t="shared" ref="W256:W263" si="91">IF(ISERROR(V256/G256),"",V256/G256)</f>
        <v/>
      </c>
      <c r="X256" s="92">
        <f>SUM(X199:X255)</f>
        <v>0</v>
      </c>
      <c r="Y256" s="92">
        <f>SUM(Y199:Y255)</f>
        <v>0</v>
      </c>
      <c r="Z256" s="92">
        <f>SUM(Z199:Z255)</f>
        <v>0</v>
      </c>
      <c r="AA256" s="92">
        <f>SUM(AA199:AA255)</f>
        <v>0</v>
      </c>
      <c r="AB256" s="358"/>
      <c r="AC256" s="91">
        <f>SUM(AC199:AC255)</f>
        <v>0</v>
      </c>
      <c r="AD256" s="251"/>
      <c r="AE256" s="74"/>
      <c r="AF256" s="74"/>
      <c r="AG256" s="74"/>
      <c r="AH256" s="7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 ht="17.25">
      <c r="A257" s="320">
        <v>30400012</v>
      </c>
      <c r="B257" s="61" t="s">
        <v>87</v>
      </c>
      <c r="C257" s="16" t="s">
        <v>53</v>
      </c>
      <c r="D257" s="17">
        <v>5.03</v>
      </c>
      <c r="E257" s="17"/>
      <c r="F257" s="6"/>
      <c r="G257" s="93">
        <f>SUM('3:4'!G257)</f>
        <v>0</v>
      </c>
      <c r="H257" s="246">
        <f>D257*G257</f>
        <v>0</v>
      </c>
      <c r="I257" s="93">
        <f>SUM('3:4'!I257)</f>
        <v>0</v>
      </c>
      <c r="J257" s="31" t="str">
        <f t="array" ref="J257">IF(ISERROR(G257/I257),"",G257/I257)</f>
        <v/>
      </c>
      <c r="K257" s="35">
        <f t="array" ref="K257">IF(ISERROR(G257/L257),"",G257/L257)</f>
        <v>0</v>
      </c>
      <c r="L257" s="87">
        <v>8.8000000000000007</v>
      </c>
      <c r="M257" s="36">
        <f t="shared" ref="M257:M264" si="92">IF(ISERROR(I257-K257),"",I257-K257)</f>
        <v>0</v>
      </c>
      <c r="N257" s="31">
        <f t="shared" ref="N257:N264" si="93">SUM(O257:U257)</f>
        <v>0</v>
      </c>
      <c r="O257" s="93">
        <f>SUM('3:4'!O257)</f>
        <v>0</v>
      </c>
      <c r="P257" s="93">
        <f>SUM('3:4'!P257)</f>
        <v>0</v>
      </c>
      <c r="Q257" s="93">
        <f>SUM('3:4'!Q257)</f>
        <v>0</v>
      </c>
      <c r="R257" s="93">
        <f>SUM('3:4'!R257)</f>
        <v>0</v>
      </c>
      <c r="S257" s="93">
        <f>SUM('3:4'!S257)</f>
        <v>0</v>
      </c>
      <c r="T257" s="93">
        <f>SUM('3:4'!T257)</f>
        <v>0</v>
      </c>
      <c r="U257" s="93">
        <f>SUM('3:4'!U257)</f>
        <v>0</v>
      </c>
      <c r="V257" s="206">
        <f t="shared" ref="V257:V263" si="94">SUM(X257:AA257)</f>
        <v>0</v>
      </c>
      <c r="W257" s="33" t="str">
        <f t="shared" si="91"/>
        <v/>
      </c>
      <c r="X257" s="93">
        <f>SUM('3:4'!X257)</f>
        <v>0</v>
      </c>
      <c r="Y257" s="93">
        <f>SUM('3:4'!Y257)</f>
        <v>0</v>
      </c>
      <c r="Z257" s="93">
        <f>SUM('3:4'!Z257)</f>
        <v>0</v>
      </c>
      <c r="AA257" s="93">
        <f>SUM('3:4'!AA257)</f>
        <v>0</v>
      </c>
      <c r="AB257" s="358">
        <v>1.18</v>
      </c>
      <c r="AC257" s="269">
        <f t="shared" ref="AC257:AC290" si="95">AB257*G257</f>
        <v>0</v>
      </c>
      <c r="AD257" s="251"/>
      <c r="AE257" s="54"/>
      <c r="AF257" s="54"/>
      <c r="AG257" s="54"/>
      <c r="AH257" s="5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 ht="17.25">
      <c r="A258" s="320">
        <v>30400010</v>
      </c>
      <c r="B258" s="61" t="s">
        <v>87</v>
      </c>
      <c r="C258" s="16" t="s">
        <v>60</v>
      </c>
      <c r="D258" s="17">
        <v>5.03</v>
      </c>
      <c r="E258" s="17"/>
      <c r="F258" s="6"/>
      <c r="G258" s="93">
        <f>SUM('3:4'!G258)</f>
        <v>0</v>
      </c>
      <c r="H258" s="246">
        <f t="shared" ref="H258:H290" si="96">D258*G258</f>
        <v>0</v>
      </c>
      <c r="I258" s="93">
        <f>SUM('3:4'!I258)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si="92"/>
        <v>0</v>
      </c>
      <c r="N258" s="31">
        <f t="shared" si="93"/>
        <v>0</v>
      </c>
      <c r="O258" s="93">
        <f>SUM('3:4'!O258)</f>
        <v>0</v>
      </c>
      <c r="P258" s="93">
        <f>SUM('3:4'!P258)</f>
        <v>0</v>
      </c>
      <c r="Q258" s="93">
        <f>SUM('3:4'!Q258)</f>
        <v>0</v>
      </c>
      <c r="R258" s="93">
        <f>SUM('3:4'!R258)</f>
        <v>0</v>
      </c>
      <c r="S258" s="93">
        <f>SUM('3:4'!S258)</f>
        <v>0</v>
      </c>
      <c r="T258" s="93">
        <f>SUM('3:4'!T258)</f>
        <v>0</v>
      </c>
      <c r="U258" s="93">
        <f>SUM('3:4'!U258)</f>
        <v>0</v>
      </c>
      <c r="V258" s="206">
        <f t="shared" si="94"/>
        <v>0</v>
      </c>
      <c r="W258" s="33" t="str">
        <f t="shared" si="91"/>
        <v/>
      </c>
      <c r="X258" s="93">
        <f>SUM('3:4'!X258)</f>
        <v>0</v>
      </c>
      <c r="Y258" s="93">
        <f>SUM('3:4'!Y258)</f>
        <v>0</v>
      </c>
      <c r="Z258" s="93">
        <f>SUM('3:4'!Z258)</f>
        <v>0</v>
      </c>
      <c r="AA258" s="93">
        <f>SUM('3:4'!AA258)</f>
        <v>0</v>
      </c>
      <c r="AB258" s="358">
        <v>1.18</v>
      </c>
      <c r="AC258" s="269">
        <f t="shared" si="95"/>
        <v>0</v>
      </c>
      <c r="AD258" s="251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 ht="17.25">
      <c r="A259" s="320">
        <v>30400011</v>
      </c>
      <c r="B259" s="61" t="s">
        <v>87</v>
      </c>
      <c r="C259" s="16" t="s">
        <v>74</v>
      </c>
      <c r="D259" s="17">
        <v>5.03</v>
      </c>
      <c r="E259" s="17"/>
      <c r="F259" s="6"/>
      <c r="G259" s="93">
        <f>SUM('3:4'!G259)</f>
        <v>0</v>
      </c>
      <c r="H259" s="246">
        <f t="shared" si="96"/>
        <v>0</v>
      </c>
      <c r="I259" s="93">
        <f>SUM('3:4'!I259)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92"/>
        <v>0</v>
      </c>
      <c r="N259" s="31">
        <f t="shared" si="93"/>
        <v>0</v>
      </c>
      <c r="O259" s="93">
        <f>SUM('3:4'!O259)</f>
        <v>0</v>
      </c>
      <c r="P259" s="93">
        <f>SUM('3:4'!P259)</f>
        <v>0</v>
      </c>
      <c r="Q259" s="93">
        <f>SUM('3:4'!Q259)</f>
        <v>0</v>
      </c>
      <c r="R259" s="93">
        <f>SUM('3:4'!R259)</f>
        <v>0</v>
      </c>
      <c r="S259" s="93">
        <f>SUM('3:4'!S259)</f>
        <v>0</v>
      </c>
      <c r="T259" s="93">
        <f>SUM('3:4'!T259)</f>
        <v>0</v>
      </c>
      <c r="U259" s="93">
        <f>SUM('3:4'!U259)</f>
        <v>0</v>
      </c>
      <c r="V259" s="206">
        <f t="shared" si="94"/>
        <v>0</v>
      </c>
      <c r="W259" s="33" t="str">
        <f t="shared" si="91"/>
        <v/>
      </c>
      <c r="X259" s="93">
        <f>SUM('3:4'!X259)</f>
        <v>0</v>
      </c>
      <c r="Y259" s="93">
        <f>SUM('3:4'!Y259)</f>
        <v>0</v>
      </c>
      <c r="Z259" s="93">
        <f>SUM('3:4'!Z259)</f>
        <v>0</v>
      </c>
      <c r="AA259" s="93">
        <f>SUM('3:4'!AA259)</f>
        <v>0</v>
      </c>
      <c r="AB259" s="358">
        <v>1.18</v>
      </c>
      <c r="AC259" s="269">
        <f t="shared" si="95"/>
        <v>0</v>
      </c>
      <c r="AD259" s="251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 ht="17.25">
      <c r="A260" s="320">
        <v>30400014</v>
      </c>
      <c r="B260" s="215" t="s">
        <v>513</v>
      </c>
      <c r="C260" s="16" t="s">
        <v>53</v>
      </c>
      <c r="D260" s="17">
        <v>5.03</v>
      </c>
      <c r="E260" s="17"/>
      <c r="F260" s="6"/>
      <c r="G260" s="93">
        <f>SUM('3:4'!G260)</f>
        <v>0</v>
      </c>
      <c r="H260" s="246">
        <f t="shared" si="96"/>
        <v>0</v>
      </c>
      <c r="I260" s="93">
        <f>SUM('3:4'!I260)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9.3000000000000007</v>
      </c>
      <c r="M260" s="36">
        <f t="shared" si="92"/>
        <v>0</v>
      </c>
      <c r="N260" s="31">
        <f t="shared" si="93"/>
        <v>0</v>
      </c>
      <c r="O260" s="93">
        <f>SUM('3:4'!O260)</f>
        <v>0</v>
      </c>
      <c r="P260" s="93">
        <f>SUM('3:4'!P260)</f>
        <v>0</v>
      </c>
      <c r="Q260" s="93">
        <f>SUM('3:4'!Q260)</f>
        <v>0</v>
      </c>
      <c r="R260" s="93">
        <f>SUM('3:4'!R260)</f>
        <v>0</v>
      </c>
      <c r="S260" s="93">
        <f>SUM('3:4'!S260)</f>
        <v>0</v>
      </c>
      <c r="T260" s="93">
        <f>SUM('3:4'!T260)</f>
        <v>0</v>
      </c>
      <c r="U260" s="93">
        <f>SUM('3:4'!U260)</f>
        <v>0</v>
      </c>
      <c r="V260" s="206">
        <f t="shared" si="94"/>
        <v>0</v>
      </c>
      <c r="W260" s="33" t="str">
        <f t="shared" si="91"/>
        <v/>
      </c>
      <c r="X260" s="93">
        <f>SUM('3:4'!X260)</f>
        <v>0</v>
      </c>
      <c r="Y260" s="93">
        <f>SUM('3:4'!Y260)</f>
        <v>0</v>
      </c>
      <c r="Z260" s="93">
        <f>SUM('3:4'!Z260)</f>
        <v>0</v>
      </c>
      <c r="AA260" s="93">
        <f>SUM('3:4'!AA260)</f>
        <v>0</v>
      </c>
      <c r="AB260" s="358">
        <v>1.1100000000000001</v>
      </c>
      <c r="AC260" s="269">
        <f t="shared" si="95"/>
        <v>0</v>
      </c>
      <c r="AD260" s="251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 ht="17.25">
      <c r="A261" s="320">
        <v>30400013</v>
      </c>
      <c r="B261" s="215" t="s">
        <v>473</v>
      </c>
      <c r="C261" s="16" t="s">
        <v>72</v>
      </c>
      <c r="D261" s="17">
        <v>5.03</v>
      </c>
      <c r="E261" s="17"/>
      <c r="F261" s="6"/>
      <c r="G261" s="93">
        <f>SUM('3:4'!G261)</f>
        <v>33</v>
      </c>
      <c r="H261" s="246">
        <f t="shared" si="96"/>
        <v>165.99</v>
      </c>
      <c r="I261" s="93">
        <f>SUM('3:4'!I261)</f>
        <v>6</v>
      </c>
      <c r="J261" s="31">
        <f t="array" ref="J261">IF(ISERROR(G261/I261),"",G261/I261)</f>
        <v>5.5</v>
      </c>
      <c r="K261" s="35">
        <f t="array" ref="K261">IF(ISERROR(G261/L261),"",G261/L261)</f>
        <v>3.5483870967741931</v>
      </c>
      <c r="L261" s="87">
        <v>9.3000000000000007</v>
      </c>
      <c r="M261" s="36">
        <f t="shared" si="92"/>
        <v>2.4516129032258069</v>
      </c>
      <c r="N261" s="31">
        <f t="shared" si="93"/>
        <v>0</v>
      </c>
      <c r="O261" s="93">
        <f>SUM('3:4'!O261)</f>
        <v>0</v>
      </c>
      <c r="P261" s="93">
        <f>SUM('3:4'!P261)</f>
        <v>0</v>
      </c>
      <c r="Q261" s="93">
        <f>SUM('3:4'!Q261)</f>
        <v>0</v>
      </c>
      <c r="R261" s="93">
        <f>SUM('3:4'!R261)</f>
        <v>0</v>
      </c>
      <c r="S261" s="93">
        <f>SUM('3:4'!S261)</f>
        <v>0</v>
      </c>
      <c r="T261" s="93">
        <f>SUM('3:4'!T261)</f>
        <v>0</v>
      </c>
      <c r="U261" s="93">
        <f>SUM('3:4'!U261)</f>
        <v>0</v>
      </c>
      <c r="V261" s="206">
        <f t="shared" si="94"/>
        <v>0</v>
      </c>
      <c r="W261" s="33">
        <f t="shared" si="91"/>
        <v>0</v>
      </c>
      <c r="X261" s="93">
        <f>SUM('3:4'!X261)</f>
        <v>0</v>
      </c>
      <c r="Y261" s="93">
        <f>SUM('3:4'!Y261)</f>
        <v>0</v>
      </c>
      <c r="Z261" s="93">
        <f>SUM('3:4'!Z261)</f>
        <v>0</v>
      </c>
      <c r="AA261" s="93">
        <f>SUM('3:4'!AA261)</f>
        <v>0</v>
      </c>
      <c r="AB261" s="358">
        <v>1.1100000000000001</v>
      </c>
      <c r="AC261" s="269">
        <f t="shared" si="95"/>
        <v>36.630000000000003</v>
      </c>
      <c r="AD261" s="251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 ht="17.25">
      <c r="A262" s="320">
        <v>30400016</v>
      </c>
      <c r="B262" s="215" t="s">
        <v>513</v>
      </c>
      <c r="C262" s="16" t="s">
        <v>60</v>
      </c>
      <c r="D262" s="17">
        <v>5.03</v>
      </c>
      <c r="E262" s="17"/>
      <c r="F262" s="6"/>
      <c r="G262" s="93">
        <f>SUM('3:4'!G262)</f>
        <v>0</v>
      </c>
      <c r="H262" s="246">
        <f t="shared" si="96"/>
        <v>0</v>
      </c>
      <c r="I262" s="93">
        <f>SUM('3:4'!I262)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92"/>
        <v>0</v>
      </c>
      <c r="N262" s="31">
        <f t="shared" si="93"/>
        <v>0</v>
      </c>
      <c r="O262" s="93">
        <f>SUM('3:4'!O262)</f>
        <v>0</v>
      </c>
      <c r="P262" s="93">
        <f>SUM('3:4'!P262)</f>
        <v>0</v>
      </c>
      <c r="Q262" s="93">
        <f>SUM('3:4'!Q262)</f>
        <v>0</v>
      </c>
      <c r="R262" s="93">
        <f>SUM('3:4'!R262)</f>
        <v>0</v>
      </c>
      <c r="S262" s="93">
        <f>SUM('3:4'!S262)</f>
        <v>0</v>
      </c>
      <c r="T262" s="93">
        <f>SUM('3:4'!T262)</f>
        <v>0</v>
      </c>
      <c r="U262" s="93">
        <f>SUM('3:4'!U262)</f>
        <v>0</v>
      </c>
      <c r="V262" s="206">
        <f t="shared" si="94"/>
        <v>0</v>
      </c>
      <c r="W262" s="33" t="str">
        <f t="shared" si="91"/>
        <v/>
      </c>
      <c r="X262" s="93">
        <f>SUM('3:4'!X262)</f>
        <v>0</v>
      </c>
      <c r="Y262" s="93">
        <f>SUM('3:4'!Y262)</f>
        <v>0</v>
      </c>
      <c r="Z262" s="93">
        <f>SUM('3:4'!Z262)</f>
        <v>0</v>
      </c>
      <c r="AA262" s="93">
        <f>SUM('3:4'!AA262)</f>
        <v>0</v>
      </c>
      <c r="AB262" s="358">
        <v>1.1100000000000001</v>
      </c>
      <c r="AC262" s="269">
        <f t="shared" si="95"/>
        <v>0</v>
      </c>
      <c r="AD262" s="251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 ht="17.25">
      <c r="A263" s="320">
        <v>30400017</v>
      </c>
      <c r="B263" s="215" t="s">
        <v>513</v>
      </c>
      <c r="C263" s="16" t="s">
        <v>66</v>
      </c>
      <c r="D263" s="17">
        <v>5.03</v>
      </c>
      <c r="E263" s="17"/>
      <c r="F263" s="6"/>
      <c r="G263" s="93">
        <f>SUM('3:4'!G263)</f>
        <v>0</v>
      </c>
      <c r="H263" s="246">
        <f t="shared" si="96"/>
        <v>0</v>
      </c>
      <c r="I263" s="93">
        <f>SUM('3:4'!I263)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92"/>
        <v>0</v>
      </c>
      <c r="N263" s="31">
        <f t="shared" si="93"/>
        <v>0</v>
      </c>
      <c r="O263" s="93">
        <f>SUM('3:4'!O263)</f>
        <v>0</v>
      </c>
      <c r="P263" s="93">
        <f>SUM('3:4'!P263)</f>
        <v>0</v>
      </c>
      <c r="Q263" s="93">
        <f>SUM('3:4'!Q263)</f>
        <v>0</v>
      </c>
      <c r="R263" s="93">
        <f>SUM('3:4'!R263)</f>
        <v>0</v>
      </c>
      <c r="S263" s="93">
        <f>SUM('3:4'!S263)</f>
        <v>0</v>
      </c>
      <c r="T263" s="93">
        <f>SUM('3:4'!T263)</f>
        <v>0</v>
      </c>
      <c r="U263" s="93">
        <f>SUM('3:4'!U263)</f>
        <v>0</v>
      </c>
      <c r="V263" s="206">
        <f t="shared" si="94"/>
        <v>0</v>
      </c>
      <c r="W263" s="33" t="str">
        <f t="shared" si="91"/>
        <v/>
      </c>
      <c r="X263" s="93">
        <f>SUM('3:4'!X263)</f>
        <v>0</v>
      </c>
      <c r="Y263" s="93">
        <f>SUM('3:4'!Y263)</f>
        <v>0</v>
      </c>
      <c r="Z263" s="93">
        <f>SUM('3:4'!Z263)</f>
        <v>0</v>
      </c>
      <c r="AA263" s="93">
        <f>SUM('3:4'!AA263)</f>
        <v>0</v>
      </c>
      <c r="AB263" s="358">
        <v>1.1100000000000001</v>
      </c>
      <c r="AC263" s="269">
        <f t="shared" si="95"/>
        <v>0</v>
      </c>
      <c r="AD263" s="251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 ht="17.25">
      <c r="A264" s="320">
        <v>30400015</v>
      </c>
      <c r="B264" s="65" t="s">
        <v>512</v>
      </c>
      <c r="C264" s="16" t="s">
        <v>177</v>
      </c>
      <c r="D264" s="17">
        <v>5.03</v>
      </c>
      <c r="E264" s="17"/>
      <c r="F264" s="6"/>
      <c r="G264" s="93">
        <f>SUM('3:4'!G264)</f>
        <v>0</v>
      </c>
      <c r="H264" s="246">
        <f t="shared" si="96"/>
        <v>0</v>
      </c>
      <c r="I264" s="93">
        <f>SUM('3:4'!I264)</f>
        <v>0</v>
      </c>
      <c r="J264" s="31"/>
      <c r="K264" s="35">
        <f t="array" ref="K264">IF(ISERROR(G264/L264),"",G264/L264)</f>
        <v>0</v>
      </c>
      <c r="L264" s="87">
        <v>9.3000000000000007</v>
      </c>
      <c r="M264" s="36">
        <f t="shared" si="92"/>
        <v>0</v>
      </c>
      <c r="N264" s="31">
        <f t="shared" si="93"/>
        <v>0</v>
      </c>
      <c r="O264" s="93">
        <f>SUM('3:4'!O264)</f>
        <v>0</v>
      </c>
      <c r="P264" s="93">
        <f>SUM('3:4'!P264)</f>
        <v>0</v>
      </c>
      <c r="Q264" s="93">
        <f>SUM('3:4'!Q264)</f>
        <v>0</v>
      </c>
      <c r="R264" s="93">
        <f>SUM('3:4'!R264)</f>
        <v>0</v>
      </c>
      <c r="S264" s="93">
        <f>SUM('3:4'!S264)</f>
        <v>0</v>
      </c>
      <c r="T264" s="93">
        <f>SUM('3:4'!T264)</f>
        <v>0</v>
      </c>
      <c r="U264" s="93">
        <f>SUM('3:4'!U264)</f>
        <v>0</v>
      </c>
      <c r="V264" s="207"/>
      <c r="W264" s="33"/>
      <c r="X264" s="93">
        <f>SUM('3:4'!X264)</f>
        <v>0</v>
      </c>
      <c r="Y264" s="93">
        <f>SUM('3:4'!Y264)</f>
        <v>0</v>
      </c>
      <c r="Z264" s="93">
        <f>SUM('3:4'!Z264)</f>
        <v>0</v>
      </c>
      <c r="AA264" s="93">
        <f>SUM('3:4'!AA264)</f>
        <v>0</v>
      </c>
      <c r="AB264" s="358">
        <v>0.84</v>
      </c>
      <c r="AC264" s="269">
        <f t="shared" si="95"/>
        <v>0</v>
      </c>
      <c r="AD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</row>
    <row r="265" spans="1:53" ht="17.25">
      <c r="A265" s="321">
        <v>30600004</v>
      </c>
      <c r="B265" s="65" t="s">
        <v>162</v>
      </c>
      <c r="C265" s="16" t="s">
        <v>53</v>
      </c>
      <c r="D265" s="17">
        <v>5.03</v>
      </c>
      <c r="E265" s="17"/>
      <c r="F265" s="6"/>
      <c r="G265" s="93">
        <f>SUM('3:4'!G265)</f>
        <v>0</v>
      </c>
      <c r="H265" s="246">
        <f t="shared" si="96"/>
        <v>0</v>
      </c>
      <c r="I265" s="93">
        <f>SUM('3:4'!I265)</f>
        <v>0</v>
      </c>
      <c r="J265" s="31" t="str">
        <f t="array" ref="J265">IF(ISERROR(G265/I265),"",G265/I265)</f>
        <v/>
      </c>
      <c r="K265" s="35">
        <f t="array" ref="K265">IF(ISERROR(G265/L265),"",G265/L265)</f>
        <v>0</v>
      </c>
      <c r="L265" s="87">
        <v>8</v>
      </c>
      <c r="M265" s="36">
        <f>IF(ISERROR(I265-K265),"",I265-K265)</f>
        <v>0</v>
      </c>
      <c r="N265" s="31">
        <f>SUM(O265:U265)</f>
        <v>0</v>
      </c>
      <c r="O265" s="93">
        <f>SUM('3:4'!O265)</f>
        <v>0</v>
      </c>
      <c r="P265" s="93">
        <f>SUM('3:4'!P265)</f>
        <v>0</v>
      </c>
      <c r="Q265" s="93">
        <f>SUM('3:4'!Q265)</f>
        <v>0</v>
      </c>
      <c r="R265" s="93">
        <f>SUM('3:4'!R265)</f>
        <v>0</v>
      </c>
      <c r="S265" s="93">
        <f>SUM('3:4'!S265)</f>
        <v>0</v>
      </c>
      <c r="T265" s="93">
        <f>SUM('3:4'!T265)</f>
        <v>0</v>
      </c>
      <c r="U265" s="93">
        <f>SUM('3:4'!U265)</f>
        <v>0</v>
      </c>
      <c r="V265" s="207">
        <f>SUM(X265:AA265)</f>
        <v>0</v>
      </c>
      <c r="W265" s="33" t="str">
        <f>IF(ISERROR(V265/G265),"",V265/G265)</f>
        <v/>
      </c>
      <c r="X265" s="93">
        <f>SUM('3:4'!X265)</f>
        <v>0</v>
      </c>
      <c r="Y265" s="93">
        <f>SUM('3:4'!Y265)</f>
        <v>0</v>
      </c>
      <c r="Z265" s="93">
        <f>SUM('3:4'!Z265)</f>
        <v>0</v>
      </c>
      <c r="AA265" s="93">
        <f>SUM('3:4'!AA265)</f>
        <v>0</v>
      </c>
      <c r="AB265" s="358">
        <v>1.06</v>
      </c>
      <c r="AC265" s="269">
        <f t="shared" si="95"/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 ht="17.25">
      <c r="A266" s="321">
        <v>30600001</v>
      </c>
      <c r="B266" s="65" t="s">
        <v>162</v>
      </c>
      <c r="C266" s="16" t="s">
        <v>55</v>
      </c>
      <c r="D266" s="17">
        <v>5.03</v>
      </c>
      <c r="E266" s="17"/>
      <c r="F266" s="6"/>
      <c r="G266" s="93">
        <f>SUM('3:4'!G266)</f>
        <v>0</v>
      </c>
      <c r="H266" s="246">
        <f t="shared" si="96"/>
        <v>0</v>
      </c>
      <c r="I266" s="93">
        <f>SUM('3:4'!I266)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SUM('3:4'!O266)</f>
        <v>0</v>
      </c>
      <c r="P266" s="93">
        <f>SUM('3:4'!P266)</f>
        <v>0</v>
      </c>
      <c r="Q266" s="93">
        <f>SUM('3:4'!Q266)</f>
        <v>0</v>
      </c>
      <c r="R266" s="93">
        <f>SUM('3:4'!R266)</f>
        <v>0</v>
      </c>
      <c r="S266" s="93">
        <f>SUM('3:4'!S266)</f>
        <v>0</v>
      </c>
      <c r="T266" s="93">
        <f>SUM('3:4'!T266)</f>
        <v>0</v>
      </c>
      <c r="U266" s="93">
        <f>SUM('3:4'!U266)</f>
        <v>0</v>
      </c>
      <c r="V266" s="207">
        <f>SUM(X266:AA266)</f>
        <v>0</v>
      </c>
      <c r="W266" s="33" t="str">
        <f>IF(ISERROR(V266/G266),"",V266/G266)</f>
        <v/>
      </c>
      <c r="X266" s="93">
        <f>SUM('3:4'!X266)</f>
        <v>0</v>
      </c>
      <c r="Y266" s="93">
        <f>SUM('3:4'!Y266)</f>
        <v>0</v>
      </c>
      <c r="Z266" s="93">
        <f>SUM('3:4'!Z266)</f>
        <v>0</v>
      </c>
      <c r="AA266" s="93">
        <f>SUM('3:4'!AA266)</f>
        <v>0</v>
      </c>
      <c r="AB266" s="358">
        <v>1.06</v>
      </c>
      <c r="AC266" s="269">
        <f t="shared" si="95"/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 ht="17.25">
      <c r="A267" s="321">
        <v>30600002</v>
      </c>
      <c r="B267" s="65" t="s">
        <v>162</v>
      </c>
      <c r="C267" s="16" t="s">
        <v>60</v>
      </c>
      <c r="D267" s="17">
        <v>5.03</v>
      </c>
      <c r="E267" s="17"/>
      <c r="F267" s="6"/>
      <c r="G267" s="93">
        <f>SUM('3:4'!G267)</f>
        <v>0</v>
      </c>
      <c r="H267" s="246">
        <f t="shared" si="96"/>
        <v>0</v>
      </c>
      <c r="I267" s="93">
        <f>SUM('3:4'!I267)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SUM('3:4'!O267)</f>
        <v>0</v>
      </c>
      <c r="P267" s="93">
        <f>SUM('3:4'!P267)</f>
        <v>0</v>
      </c>
      <c r="Q267" s="93">
        <f>SUM('3:4'!Q267)</f>
        <v>0</v>
      </c>
      <c r="R267" s="93">
        <f>SUM('3:4'!R267)</f>
        <v>0</v>
      </c>
      <c r="S267" s="93">
        <f>SUM('3:4'!S267)</f>
        <v>0</v>
      </c>
      <c r="T267" s="93">
        <f>SUM('3:4'!T267)</f>
        <v>0</v>
      </c>
      <c r="U267" s="93">
        <f>SUM('3:4'!U267)</f>
        <v>0</v>
      </c>
      <c r="V267" s="207">
        <f>SUM(X267:AA267)</f>
        <v>0</v>
      </c>
      <c r="W267" s="33" t="str">
        <f>IF(ISERROR(V267/G267),"",V267/G267)</f>
        <v/>
      </c>
      <c r="X267" s="93">
        <f>SUM('3:4'!X267)</f>
        <v>0</v>
      </c>
      <c r="Y267" s="93">
        <f>SUM('3:4'!Y267)</f>
        <v>0</v>
      </c>
      <c r="Z267" s="93">
        <f>SUM('3:4'!Z267)</f>
        <v>0</v>
      </c>
      <c r="AA267" s="93">
        <f>SUM('3:4'!AA267)</f>
        <v>0</v>
      </c>
      <c r="AB267" s="358">
        <v>1.06</v>
      </c>
      <c r="AC267" s="269">
        <f t="shared" si="95"/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 ht="17.25">
      <c r="A268" s="321">
        <v>30600003</v>
      </c>
      <c r="B268" s="65" t="s">
        <v>162</v>
      </c>
      <c r="C268" s="195" t="s">
        <v>89</v>
      </c>
      <c r="D268" s="17">
        <v>5.03</v>
      </c>
      <c r="E268" s="17"/>
      <c r="F268" s="6"/>
      <c r="G268" s="93">
        <f>SUM('3:4'!G268)</f>
        <v>0</v>
      </c>
      <c r="H268" s="246">
        <f t="shared" si="96"/>
        <v>0</v>
      </c>
      <c r="I268" s="93">
        <f>SUM('3:4'!I268)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SUM('3:4'!O268)</f>
        <v>0</v>
      </c>
      <c r="P268" s="93">
        <f>SUM('3:4'!P268)</f>
        <v>0</v>
      </c>
      <c r="Q268" s="93">
        <f>SUM('3:4'!Q268)</f>
        <v>0</v>
      </c>
      <c r="R268" s="93">
        <f>SUM('3:4'!R268)</f>
        <v>0</v>
      </c>
      <c r="S268" s="93">
        <f>SUM('3:4'!S268)</f>
        <v>0</v>
      </c>
      <c r="T268" s="93">
        <f>SUM('3:4'!T268)</f>
        <v>0</v>
      </c>
      <c r="U268" s="93">
        <f>SUM('3:4'!U268)</f>
        <v>0</v>
      </c>
      <c r="V268" s="207">
        <f>SUM(X268:AA268)</f>
        <v>0</v>
      </c>
      <c r="W268" s="33" t="str">
        <f>IF(ISERROR(V268/G268),"",V268/G268)</f>
        <v/>
      </c>
      <c r="X268" s="93">
        <f>SUM('3:4'!X268)</f>
        <v>0</v>
      </c>
      <c r="Y268" s="93">
        <f>SUM('3:4'!Y268)</f>
        <v>0</v>
      </c>
      <c r="Z268" s="93">
        <f>SUM('3:4'!Z268)</f>
        <v>0</v>
      </c>
      <c r="AA268" s="93">
        <f>SUM('3:4'!AA268)</f>
        <v>0</v>
      </c>
      <c r="AB268" s="358">
        <v>1.06</v>
      </c>
      <c r="AC268" s="269">
        <f t="shared" si="95"/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 ht="17.25">
      <c r="A269" s="321">
        <v>30400030</v>
      </c>
      <c r="B269" s="65" t="s">
        <v>88</v>
      </c>
      <c r="C269" s="16" t="s">
        <v>53</v>
      </c>
      <c r="D269" s="17">
        <v>5.03</v>
      </c>
      <c r="E269" s="17"/>
      <c r="F269" s="6"/>
      <c r="G269" s="93">
        <f>SUM('3:4'!G269)</f>
        <v>0</v>
      </c>
      <c r="H269" s="246">
        <f t="shared" si="96"/>
        <v>0</v>
      </c>
      <c r="I269" s="93">
        <f>SUM('3:4'!I269)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10</v>
      </c>
      <c r="M269" s="36">
        <f t="shared" ref="M269:M284" si="97">IF(ISERROR(I269-K269),"",I269-K269)</f>
        <v>0</v>
      </c>
      <c r="N269" s="31">
        <f t="shared" ref="N269:N284" si="98">SUM(O269:U269)</f>
        <v>0</v>
      </c>
      <c r="O269" s="93">
        <f>SUM('3:4'!O269)</f>
        <v>0</v>
      </c>
      <c r="P269" s="93">
        <f>SUM('3:4'!P269)</f>
        <v>0</v>
      </c>
      <c r="Q269" s="93">
        <f>SUM('3:4'!Q269)</f>
        <v>0</v>
      </c>
      <c r="R269" s="93">
        <f>SUM('3:4'!R269)</f>
        <v>0</v>
      </c>
      <c r="S269" s="93">
        <f>SUM('3:4'!S269)</f>
        <v>0</v>
      </c>
      <c r="T269" s="93">
        <f>SUM('3:4'!T269)</f>
        <v>0</v>
      </c>
      <c r="U269" s="93">
        <f>SUM('3:4'!U269)</f>
        <v>0</v>
      </c>
      <c r="V269" s="206">
        <f t="shared" ref="V269:V276" si="99">SUM(X269:AA269)</f>
        <v>0</v>
      </c>
      <c r="W269" s="33" t="str">
        <f t="shared" ref="W269:W276" si="100">IF(ISERROR(V269/G269),"",V269/G269)</f>
        <v/>
      </c>
      <c r="X269" s="93">
        <f>SUM('3:4'!X269)</f>
        <v>0</v>
      </c>
      <c r="Y269" s="93">
        <f>SUM('3:4'!Y269)</f>
        <v>0</v>
      </c>
      <c r="Z269" s="93">
        <f>SUM('3:4'!Z269)</f>
        <v>0</v>
      </c>
      <c r="AA269" s="93">
        <f>SUM('3:4'!AA269)</f>
        <v>0</v>
      </c>
      <c r="AB269" s="358">
        <v>1.04</v>
      </c>
      <c r="AC269" s="269">
        <f t="shared" si="95"/>
        <v>0</v>
      </c>
      <c r="AD269" s="251"/>
      <c r="AE269" s="54"/>
      <c r="AF269" s="54"/>
      <c r="AG269" s="54"/>
      <c r="AH269" s="54"/>
      <c r="AI269" s="57"/>
      <c r="AJ269" s="57"/>
      <c r="AK269" s="57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</row>
    <row r="270" spans="1:53" ht="17.25">
      <c r="A270" s="321"/>
      <c r="B270" s="65" t="s">
        <v>88</v>
      </c>
      <c r="C270" s="16" t="s">
        <v>72</v>
      </c>
      <c r="D270" s="17">
        <v>5.03</v>
      </c>
      <c r="E270" s="17"/>
      <c r="F270" s="6"/>
      <c r="G270" s="93">
        <f>SUM('3:4'!G270)</f>
        <v>0</v>
      </c>
      <c r="H270" s="246">
        <f t="shared" si="96"/>
        <v>0</v>
      </c>
      <c r="I270" s="93">
        <f>SUM('3:4'!I270)</f>
        <v>0</v>
      </c>
      <c r="J270" s="31" t="str">
        <f t="array" ref="J270">IF(ISERROR(G270/I270),"",G270/I270)</f>
        <v/>
      </c>
      <c r="K270" s="35" t="str">
        <f t="array" ref="K270">IF(ISERROR(G270/L270),"",G270/L270)</f>
        <v/>
      </c>
      <c r="L270" s="87"/>
      <c r="M270" s="36" t="str">
        <f t="shared" si="97"/>
        <v/>
      </c>
      <c r="N270" s="31">
        <f t="shared" si="98"/>
        <v>0</v>
      </c>
      <c r="O270" s="93">
        <f>SUM('3:4'!O270)</f>
        <v>0</v>
      </c>
      <c r="P270" s="93">
        <f>SUM('3:4'!P270)</f>
        <v>0</v>
      </c>
      <c r="Q270" s="93">
        <f>SUM('3:4'!Q270)</f>
        <v>0</v>
      </c>
      <c r="R270" s="93">
        <f>SUM('3:4'!R270)</f>
        <v>0</v>
      </c>
      <c r="S270" s="93">
        <f>SUM('3:4'!S270)</f>
        <v>0</v>
      </c>
      <c r="T270" s="93">
        <f>SUM('3:4'!T270)</f>
        <v>0</v>
      </c>
      <c r="U270" s="93">
        <f>SUM('3:4'!U270)</f>
        <v>0</v>
      </c>
      <c r="V270" s="206">
        <f t="shared" si="99"/>
        <v>0</v>
      </c>
      <c r="W270" s="33" t="str">
        <f t="shared" si="100"/>
        <v/>
      </c>
      <c r="X270" s="93">
        <f>SUM('3:4'!X270)</f>
        <v>0</v>
      </c>
      <c r="Y270" s="93">
        <f>SUM('3:4'!Y270)</f>
        <v>0</v>
      </c>
      <c r="Z270" s="93">
        <f>SUM('3:4'!Z270)</f>
        <v>0</v>
      </c>
      <c r="AA270" s="93">
        <f>SUM('3:4'!AA270)</f>
        <v>0</v>
      </c>
      <c r="AB270" s="358">
        <v>1.04</v>
      </c>
      <c r="AC270" s="269">
        <f t="shared" si="95"/>
        <v>0</v>
      </c>
      <c r="AD270" s="251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 ht="17.25">
      <c r="A271" s="321"/>
      <c r="B271" s="65" t="s">
        <v>88</v>
      </c>
      <c r="C271" s="16" t="s">
        <v>60</v>
      </c>
      <c r="D271" s="17">
        <v>5.03</v>
      </c>
      <c r="E271" s="17"/>
      <c r="F271" s="6"/>
      <c r="G271" s="93">
        <f>SUM('3:4'!G271)</f>
        <v>0</v>
      </c>
      <c r="H271" s="246">
        <f t="shared" si="96"/>
        <v>0</v>
      </c>
      <c r="I271" s="93">
        <f>SUM('3:4'!I271)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97"/>
        <v/>
      </c>
      <c r="N271" s="31">
        <f t="shared" si="98"/>
        <v>0</v>
      </c>
      <c r="O271" s="93">
        <f>SUM('3:4'!O271)</f>
        <v>0</v>
      </c>
      <c r="P271" s="93">
        <f>SUM('3:4'!P271)</f>
        <v>0</v>
      </c>
      <c r="Q271" s="93">
        <f>SUM('3:4'!Q271)</f>
        <v>0</v>
      </c>
      <c r="R271" s="93">
        <f>SUM('3:4'!R271)</f>
        <v>0</v>
      </c>
      <c r="S271" s="93">
        <f>SUM('3:4'!S271)</f>
        <v>0</v>
      </c>
      <c r="T271" s="93">
        <f>SUM('3:4'!T271)</f>
        <v>0</v>
      </c>
      <c r="U271" s="93">
        <f>SUM('3:4'!U271)</f>
        <v>0</v>
      </c>
      <c r="V271" s="206">
        <f t="shared" si="99"/>
        <v>0</v>
      </c>
      <c r="W271" s="33" t="str">
        <f t="shared" si="100"/>
        <v/>
      </c>
      <c r="X271" s="93">
        <f>SUM('3:4'!X271)</f>
        <v>0</v>
      </c>
      <c r="Y271" s="93">
        <f>SUM('3:4'!Y271)</f>
        <v>0</v>
      </c>
      <c r="Z271" s="93">
        <f>SUM('3:4'!Z271)</f>
        <v>0</v>
      </c>
      <c r="AA271" s="93">
        <f>SUM('3:4'!AA271)</f>
        <v>0</v>
      </c>
      <c r="AB271" s="358">
        <v>1.04</v>
      </c>
      <c r="AC271" s="269">
        <f t="shared" si="95"/>
        <v>0</v>
      </c>
      <c r="AD271" s="251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 ht="17.25">
      <c r="A272" s="321">
        <v>30401031</v>
      </c>
      <c r="B272" s="65" t="s">
        <v>88</v>
      </c>
      <c r="C272" s="16" t="s">
        <v>66</v>
      </c>
      <c r="D272" s="17">
        <v>5.03</v>
      </c>
      <c r="E272" s="17"/>
      <c r="F272" s="6"/>
      <c r="G272" s="93">
        <f>SUM('3:4'!G272)</f>
        <v>0</v>
      </c>
      <c r="H272" s="246">
        <f t="shared" si="96"/>
        <v>0</v>
      </c>
      <c r="I272" s="93">
        <f>SUM('3:4'!I272)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97"/>
        <v/>
      </c>
      <c r="N272" s="31">
        <f t="shared" si="98"/>
        <v>0</v>
      </c>
      <c r="O272" s="93">
        <f>SUM('3:4'!O272)</f>
        <v>0</v>
      </c>
      <c r="P272" s="93">
        <f>SUM('3:4'!P272)</f>
        <v>0</v>
      </c>
      <c r="Q272" s="93">
        <f>SUM('3:4'!Q272)</f>
        <v>0</v>
      </c>
      <c r="R272" s="93">
        <f>SUM('3:4'!R272)</f>
        <v>0</v>
      </c>
      <c r="S272" s="93">
        <f>SUM('3:4'!S272)</f>
        <v>0</v>
      </c>
      <c r="T272" s="93">
        <f>SUM('3:4'!T272)</f>
        <v>0</v>
      </c>
      <c r="U272" s="93">
        <f>SUM('3:4'!U272)</f>
        <v>0</v>
      </c>
      <c r="V272" s="206">
        <f t="shared" si="99"/>
        <v>0</v>
      </c>
      <c r="W272" s="33" t="str">
        <f t="shared" si="100"/>
        <v/>
      </c>
      <c r="X272" s="93">
        <f>SUM('3:4'!X272)</f>
        <v>0</v>
      </c>
      <c r="Y272" s="93">
        <f>SUM('3:4'!Y272)</f>
        <v>0</v>
      </c>
      <c r="Z272" s="93">
        <f>SUM('3:4'!Z272)</f>
        <v>0</v>
      </c>
      <c r="AA272" s="93">
        <f>SUM('3:4'!AA272)</f>
        <v>0</v>
      </c>
      <c r="AB272" s="358">
        <v>1.04</v>
      </c>
      <c r="AC272" s="269">
        <f t="shared" si="95"/>
        <v>0</v>
      </c>
      <c r="AD272" s="251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 ht="17.25">
      <c r="A273" s="321">
        <v>30600005</v>
      </c>
      <c r="B273" s="61" t="s">
        <v>90</v>
      </c>
      <c r="C273" s="16" t="s">
        <v>55</v>
      </c>
      <c r="D273" s="17">
        <v>9.36</v>
      </c>
      <c r="E273" s="17"/>
      <c r="F273" s="6"/>
      <c r="G273" s="93">
        <f>SUM('3:4'!G273)</f>
        <v>0</v>
      </c>
      <c r="H273" s="246">
        <f t="shared" si="96"/>
        <v>0</v>
      </c>
      <c r="I273" s="93">
        <f>SUM('3:4'!I273)</f>
        <v>0</v>
      </c>
      <c r="J273" s="31" t="str">
        <f t="array" ref="J273">IF(ISERROR(G273/I273),"",G273/I273)</f>
        <v/>
      </c>
      <c r="K273" s="35">
        <f t="array" ref="K273">IF(ISERROR(G273/L273),"",G273/L273)</f>
        <v>0</v>
      </c>
      <c r="L273" s="87">
        <v>6</v>
      </c>
      <c r="M273" s="36">
        <f t="shared" si="97"/>
        <v>0</v>
      </c>
      <c r="N273" s="31">
        <f t="shared" si="98"/>
        <v>0</v>
      </c>
      <c r="O273" s="93">
        <f>SUM('3:4'!O273)</f>
        <v>0</v>
      </c>
      <c r="P273" s="93">
        <f>SUM('3:4'!P273)</f>
        <v>0</v>
      </c>
      <c r="Q273" s="93">
        <f>SUM('3:4'!Q273)</f>
        <v>0</v>
      </c>
      <c r="R273" s="93">
        <f>SUM('3:4'!R273)</f>
        <v>0</v>
      </c>
      <c r="S273" s="93">
        <f>SUM('3:4'!S273)</f>
        <v>0</v>
      </c>
      <c r="T273" s="93">
        <f>SUM('3:4'!T273)</f>
        <v>0</v>
      </c>
      <c r="U273" s="93">
        <f>SUM('3:4'!U273)</f>
        <v>0</v>
      </c>
      <c r="V273" s="206">
        <f t="shared" si="99"/>
        <v>0</v>
      </c>
      <c r="W273" s="33" t="str">
        <f t="shared" si="100"/>
        <v/>
      </c>
      <c r="X273" s="93">
        <f>SUM('3:4'!X273)</f>
        <v>0</v>
      </c>
      <c r="Y273" s="93">
        <f>SUM('3:4'!Y273)</f>
        <v>0</v>
      </c>
      <c r="Z273" s="93">
        <f>SUM('3:4'!Z273)</f>
        <v>0</v>
      </c>
      <c r="AA273" s="93">
        <f>SUM('3:4'!AA273)</f>
        <v>0</v>
      </c>
      <c r="AB273" s="358">
        <v>1.29</v>
      </c>
      <c r="AC273" s="269">
        <f t="shared" si="95"/>
        <v>0</v>
      </c>
      <c r="AD273" s="251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 ht="17.25">
      <c r="A274" s="321">
        <v>30600008</v>
      </c>
      <c r="B274" s="61" t="s">
        <v>90</v>
      </c>
      <c r="C274" s="16" t="s">
        <v>53</v>
      </c>
      <c r="D274" s="17">
        <v>9.36</v>
      </c>
      <c r="E274" s="17"/>
      <c r="F274" s="6"/>
      <c r="G274" s="93">
        <f>SUM('3:4'!G274)</f>
        <v>0</v>
      </c>
      <c r="H274" s="246">
        <f t="shared" si="96"/>
        <v>0</v>
      </c>
      <c r="I274" s="93">
        <f>SUM('3:4'!I274)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97"/>
        <v>0</v>
      </c>
      <c r="N274" s="31">
        <f t="shared" si="98"/>
        <v>0</v>
      </c>
      <c r="O274" s="93">
        <f>SUM('3:4'!O274)</f>
        <v>0</v>
      </c>
      <c r="P274" s="93">
        <f>SUM('3:4'!P274)</f>
        <v>0</v>
      </c>
      <c r="Q274" s="93">
        <f>SUM('3:4'!Q274)</f>
        <v>0</v>
      </c>
      <c r="R274" s="93">
        <f>SUM('3:4'!R274)</f>
        <v>0</v>
      </c>
      <c r="S274" s="93">
        <f>SUM('3:4'!S274)</f>
        <v>0</v>
      </c>
      <c r="T274" s="93">
        <f>SUM('3:4'!T274)</f>
        <v>0</v>
      </c>
      <c r="U274" s="93">
        <f>SUM('3:4'!U274)</f>
        <v>0</v>
      </c>
      <c r="V274" s="206">
        <f t="shared" si="99"/>
        <v>0</v>
      </c>
      <c r="W274" s="33" t="str">
        <f t="shared" si="100"/>
        <v/>
      </c>
      <c r="X274" s="93">
        <f>SUM('3:4'!X274)</f>
        <v>0</v>
      </c>
      <c r="Y274" s="93">
        <f>SUM('3:4'!Y274)</f>
        <v>0</v>
      </c>
      <c r="Z274" s="93">
        <f>SUM('3:4'!Z274)</f>
        <v>0</v>
      </c>
      <c r="AA274" s="93">
        <f>SUM('3:4'!AA274)</f>
        <v>0</v>
      </c>
      <c r="AB274" s="358">
        <v>1.29</v>
      </c>
      <c r="AC274" s="269">
        <f t="shared" si="95"/>
        <v>0</v>
      </c>
      <c r="AD274" s="251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 ht="17.25">
      <c r="A275" s="321">
        <v>30600007</v>
      </c>
      <c r="B275" s="61" t="s">
        <v>90</v>
      </c>
      <c r="C275" s="16" t="s">
        <v>89</v>
      </c>
      <c r="D275" s="17">
        <v>9.36</v>
      </c>
      <c r="E275" s="17"/>
      <c r="F275" s="6"/>
      <c r="G275" s="93">
        <f>SUM('3:4'!G275)</f>
        <v>0</v>
      </c>
      <c r="H275" s="246">
        <f t="shared" si="96"/>
        <v>0</v>
      </c>
      <c r="I275" s="93">
        <f>SUM('3:4'!I275)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97"/>
        <v>0</v>
      </c>
      <c r="N275" s="31">
        <f t="shared" si="98"/>
        <v>0</v>
      </c>
      <c r="O275" s="93">
        <f>SUM('3:4'!O275)</f>
        <v>0</v>
      </c>
      <c r="P275" s="93">
        <f>SUM('3:4'!P275)</f>
        <v>0</v>
      </c>
      <c r="Q275" s="93">
        <f>SUM('3:4'!Q275)</f>
        <v>0</v>
      </c>
      <c r="R275" s="93">
        <f>SUM('3:4'!R275)</f>
        <v>0</v>
      </c>
      <c r="S275" s="93">
        <f>SUM('3:4'!S275)</f>
        <v>0</v>
      </c>
      <c r="T275" s="93">
        <f>SUM('3:4'!T275)</f>
        <v>0</v>
      </c>
      <c r="U275" s="93">
        <f>SUM('3:4'!U275)</f>
        <v>0</v>
      </c>
      <c r="V275" s="206">
        <f t="shared" si="99"/>
        <v>0</v>
      </c>
      <c r="W275" s="33" t="str">
        <f t="shared" si="100"/>
        <v/>
      </c>
      <c r="X275" s="93">
        <f>SUM('3:4'!X275)</f>
        <v>0</v>
      </c>
      <c r="Y275" s="93">
        <f>SUM('3:4'!Y275)</f>
        <v>0</v>
      </c>
      <c r="Z275" s="93">
        <f>SUM('3:4'!Z275)</f>
        <v>0</v>
      </c>
      <c r="AA275" s="93">
        <f>SUM('3:4'!AA275)</f>
        <v>0</v>
      </c>
      <c r="AB275" s="358">
        <v>1.29</v>
      </c>
      <c r="AC275" s="269">
        <f t="shared" si="95"/>
        <v>0</v>
      </c>
      <c r="AD275" s="251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 ht="17.25">
      <c r="A276" s="321">
        <v>30600006</v>
      </c>
      <c r="B276" s="61" t="s">
        <v>90</v>
      </c>
      <c r="C276" s="16" t="s">
        <v>60</v>
      </c>
      <c r="D276" s="17">
        <v>9.36</v>
      </c>
      <c r="E276" s="17"/>
      <c r="F276" s="6"/>
      <c r="G276" s="93">
        <f>SUM('3:4'!G276)</f>
        <v>0</v>
      </c>
      <c r="H276" s="246">
        <f t="shared" si="96"/>
        <v>0</v>
      </c>
      <c r="I276" s="93">
        <f>SUM('3:4'!I276)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97"/>
        <v>0</v>
      </c>
      <c r="N276" s="31">
        <f t="shared" si="98"/>
        <v>0</v>
      </c>
      <c r="O276" s="93">
        <f>SUM('3:4'!O276)</f>
        <v>0</v>
      </c>
      <c r="P276" s="93">
        <f>SUM('3:4'!P276)</f>
        <v>0</v>
      </c>
      <c r="Q276" s="93">
        <f>SUM('3:4'!Q276)</f>
        <v>0</v>
      </c>
      <c r="R276" s="93">
        <f>SUM('3:4'!R276)</f>
        <v>0</v>
      </c>
      <c r="S276" s="93">
        <f>SUM('3:4'!S276)</f>
        <v>0</v>
      </c>
      <c r="T276" s="93">
        <f>SUM('3:4'!T276)</f>
        <v>0</v>
      </c>
      <c r="U276" s="93">
        <f>SUM('3:4'!U276)</f>
        <v>0</v>
      </c>
      <c r="V276" s="206">
        <f t="shared" si="99"/>
        <v>0</v>
      </c>
      <c r="W276" s="33" t="str">
        <f t="shared" si="100"/>
        <v/>
      </c>
      <c r="X276" s="93">
        <f>SUM('3:4'!X276)</f>
        <v>0</v>
      </c>
      <c r="Y276" s="93">
        <f>SUM('3:4'!Y276)</f>
        <v>0</v>
      </c>
      <c r="Z276" s="93">
        <f>SUM('3:4'!Z276)</f>
        <v>0</v>
      </c>
      <c r="AA276" s="93">
        <f>SUM('3:4'!AA276)</f>
        <v>0</v>
      </c>
      <c r="AB276" s="358">
        <v>1.29</v>
      </c>
      <c r="AC276" s="269">
        <f t="shared" si="95"/>
        <v>0</v>
      </c>
      <c r="AD276" s="251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 ht="17.25">
      <c r="A277" s="320">
        <v>30400026</v>
      </c>
      <c r="B277" s="190" t="s">
        <v>393</v>
      </c>
      <c r="C277" s="187" t="s">
        <v>395</v>
      </c>
      <c r="D277" s="17">
        <v>5</v>
      </c>
      <c r="E277" s="17"/>
      <c r="F277" s="6"/>
      <c r="G277" s="93">
        <f>SUM('3:4'!G277)</f>
        <v>0</v>
      </c>
      <c r="H277" s="246">
        <f t="shared" si="96"/>
        <v>0</v>
      </c>
      <c r="I277" s="93">
        <f>SUM('3:4'!I277)</f>
        <v>0</v>
      </c>
      <c r="J277" s="31"/>
      <c r="K277" s="35">
        <f t="array" ref="K277">IF(ISERROR(G277/L277),"",G277/L277)</f>
        <v>0</v>
      </c>
      <c r="L277" s="87">
        <v>5</v>
      </c>
      <c r="M277" s="36">
        <f t="shared" si="97"/>
        <v>0</v>
      </c>
      <c r="N277" s="31">
        <f t="shared" si="98"/>
        <v>0</v>
      </c>
      <c r="O277" s="93">
        <f>SUM('3:4'!O277)</f>
        <v>0</v>
      </c>
      <c r="P277" s="93">
        <f>SUM('3:4'!P277)</f>
        <v>0</v>
      </c>
      <c r="Q277" s="93">
        <f>SUM('3:4'!Q277)</f>
        <v>0</v>
      </c>
      <c r="R277" s="93">
        <f>SUM('3:4'!R277)</f>
        <v>0</v>
      </c>
      <c r="S277" s="93">
        <f>SUM('3:4'!S277)</f>
        <v>0</v>
      </c>
      <c r="T277" s="93">
        <f>SUM('3:4'!T277)</f>
        <v>0</v>
      </c>
      <c r="U277" s="93">
        <f>SUM('3:4'!U277)</f>
        <v>0</v>
      </c>
      <c r="V277" s="206"/>
      <c r="W277" s="33"/>
      <c r="X277" s="93">
        <f>SUM('3:4'!X277)</f>
        <v>0</v>
      </c>
      <c r="Y277" s="93">
        <f>SUM('3:4'!Y277)</f>
        <v>0</v>
      </c>
      <c r="Z277" s="93">
        <f>SUM('3:4'!Z277)</f>
        <v>0</v>
      </c>
      <c r="AA277" s="93">
        <f>SUM('3:4'!AA277)</f>
        <v>0</v>
      </c>
      <c r="AB277" s="358">
        <v>2.0699999999999998</v>
      </c>
      <c r="AC277" s="269">
        <f t="shared" si="95"/>
        <v>0</v>
      </c>
      <c r="AD277" s="251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 ht="17.25">
      <c r="A278" s="320">
        <v>30400028</v>
      </c>
      <c r="B278" s="190" t="s">
        <v>393</v>
      </c>
      <c r="C278" s="187" t="s">
        <v>402</v>
      </c>
      <c r="D278" s="17">
        <v>5</v>
      </c>
      <c r="E278" s="17"/>
      <c r="F278" s="6"/>
      <c r="G278" s="93">
        <f>SUM('3:4'!G278)</f>
        <v>0</v>
      </c>
      <c r="H278" s="246">
        <f t="shared" si="96"/>
        <v>0</v>
      </c>
      <c r="I278" s="93">
        <f>SUM('3:4'!I278)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97"/>
        <v>0</v>
      </c>
      <c r="N278" s="31">
        <f t="shared" si="98"/>
        <v>0</v>
      </c>
      <c r="O278" s="93">
        <f>SUM('3:4'!O278)</f>
        <v>0</v>
      </c>
      <c r="P278" s="93">
        <f>SUM('3:4'!P278)</f>
        <v>0</v>
      </c>
      <c r="Q278" s="93">
        <f>SUM('3:4'!Q278)</f>
        <v>0</v>
      </c>
      <c r="R278" s="93">
        <f>SUM('3:4'!R278)</f>
        <v>0</v>
      </c>
      <c r="S278" s="93">
        <f>SUM('3:4'!S278)</f>
        <v>0</v>
      </c>
      <c r="T278" s="93">
        <f>SUM('3:4'!T278)</f>
        <v>0</v>
      </c>
      <c r="U278" s="93">
        <f>SUM('3:4'!U278)</f>
        <v>0</v>
      </c>
      <c r="V278" s="206"/>
      <c r="W278" s="33"/>
      <c r="X278" s="93">
        <f>SUM('3:4'!X278)</f>
        <v>0</v>
      </c>
      <c r="Y278" s="93">
        <f>SUM('3:4'!Y278)</f>
        <v>0</v>
      </c>
      <c r="Z278" s="93">
        <f>SUM('3:4'!Z278)</f>
        <v>0</v>
      </c>
      <c r="AA278" s="93">
        <f>SUM('3:4'!AA278)</f>
        <v>0</v>
      </c>
      <c r="AB278" s="358">
        <v>2.0699999999999998</v>
      </c>
      <c r="AC278" s="269">
        <f t="shared" si="95"/>
        <v>0</v>
      </c>
      <c r="AD278" s="251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 ht="17.25">
      <c r="A279" s="320">
        <v>30400027</v>
      </c>
      <c r="B279" s="190" t="s">
        <v>404</v>
      </c>
      <c r="C279" s="187" t="s">
        <v>405</v>
      </c>
      <c r="D279" s="17">
        <v>5</v>
      </c>
      <c r="E279" s="17"/>
      <c r="F279" s="6"/>
      <c r="G279" s="93">
        <f>SUM('3:4'!G279)</f>
        <v>0</v>
      </c>
      <c r="H279" s="246">
        <f t="shared" si="96"/>
        <v>0</v>
      </c>
      <c r="I279" s="93">
        <f>SUM('3:4'!I279)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97"/>
        <v>0</v>
      </c>
      <c r="N279" s="31">
        <f t="shared" si="98"/>
        <v>0</v>
      </c>
      <c r="O279" s="93">
        <f>SUM('3:4'!O279)</f>
        <v>0</v>
      </c>
      <c r="P279" s="93">
        <f>SUM('3:4'!P279)</f>
        <v>0</v>
      </c>
      <c r="Q279" s="93">
        <f>SUM('3:4'!Q279)</f>
        <v>0</v>
      </c>
      <c r="R279" s="93">
        <f>SUM('3:4'!R279)</f>
        <v>0</v>
      </c>
      <c r="S279" s="93">
        <f>SUM('3:4'!S279)</f>
        <v>0</v>
      </c>
      <c r="T279" s="93">
        <f>SUM('3:4'!T279)</f>
        <v>0</v>
      </c>
      <c r="U279" s="93">
        <f>SUM('3:4'!U279)</f>
        <v>0</v>
      </c>
      <c r="V279" s="206"/>
      <c r="W279" s="33"/>
      <c r="X279" s="93">
        <f>SUM('3:4'!X279)</f>
        <v>0</v>
      </c>
      <c r="Y279" s="93">
        <f>SUM('3:4'!Y279)</f>
        <v>0</v>
      </c>
      <c r="Z279" s="93">
        <f>SUM('3:4'!Z279)</f>
        <v>0</v>
      </c>
      <c r="AA279" s="93">
        <f>SUM('3:4'!AA279)</f>
        <v>0</v>
      </c>
      <c r="AB279" s="358">
        <v>2.0699999999999998</v>
      </c>
      <c r="AC279" s="269">
        <f t="shared" si="95"/>
        <v>0</v>
      </c>
      <c r="AD279" s="251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 ht="17.25">
      <c r="A280" s="320"/>
      <c r="B280" s="61" t="s">
        <v>342</v>
      </c>
      <c r="C280" s="187" t="s">
        <v>372</v>
      </c>
      <c r="D280" s="17">
        <v>5</v>
      </c>
      <c r="E280" s="17"/>
      <c r="F280" s="6"/>
      <c r="G280" s="93">
        <f>SUM('3:4'!G280)</f>
        <v>0</v>
      </c>
      <c r="H280" s="246">
        <f t="shared" si="96"/>
        <v>0</v>
      </c>
      <c r="I280" s="93">
        <f>SUM('3:4'!I280)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97"/>
        <v>0</v>
      </c>
      <c r="N280" s="31">
        <f t="shared" si="98"/>
        <v>0</v>
      </c>
      <c r="O280" s="93">
        <f>SUM('3:4'!O280)</f>
        <v>0</v>
      </c>
      <c r="P280" s="93">
        <f>SUM('3:4'!P280)</f>
        <v>0</v>
      </c>
      <c r="Q280" s="93">
        <f>SUM('3:4'!Q280)</f>
        <v>0</v>
      </c>
      <c r="R280" s="93">
        <f>SUM('3:4'!R280)</f>
        <v>0</v>
      </c>
      <c r="S280" s="93">
        <f>SUM('3:4'!S280)</f>
        <v>0</v>
      </c>
      <c r="T280" s="93">
        <f>SUM('3:4'!T280)</f>
        <v>0</v>
      </c>
      <c r="U280" s="93">
        <f>SUM('3:4'!U280)</f>
        <v>0</v>
      </c>
      <c r="V280" s="206"/>
      <c r="W280" s="33"/>
      <c r="X280" s="93">
        <f>SUM('3:4'!X280)</f>
        <v>0</v>
      </c>
      <c r="Y280" s="93">
        <f>SUM('3:4'!Y280)</f>
        <v>0</v>
      </c>
      <c r="Z280" s="93">
        <f>SUM('3:4'!Z280)</f>
        <v>0</v>
      </c>
      <c r="AA280" s="93">
        <f>SUM('3:4'!AA280)</f>
        <v>0</v>
      </c>
      <c r="AB280" s="358">
        <v>2.0699999999999998</v>
      </c>
      <c r="AC280" s="269">
        <f t="shared" si="95"/>
        <v>0</v>
      </c>
      <c r="AD280" s="251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 ht="17.25">
      <c r="A281" s="320">
        <v>30600009</v>
      </c>
      <c r="B281" s="61" t="s">
        <v>343</v>
      </c>
      <c r="C281" s="16" t="s">
        <v>345</v>
      </c>
      <c r="D281" s="17">
        <v>5</v>
      </c>
      <c r="E281" s="17"/>
      <c r="F281" s="6"/>
      <c r="G281" s="93">
        <f>SUM('3:4'!G281)</f>
        <v>0</v>
      </c>
      <c r="H281" s="246">
        <f t="shared" si="96"/>
        <v>0</v>
      </c>
      <c r="I281" s="93">
        <f>SUM('3:4'!I281)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97"/>
        <v>0</v>
      </c>
      <c r="N281" s="31">
        <f t="shared" si="98"/>
        <v>0</v>
      </c>
      <c r="O281" s="93">
        <f>SUM('3:4'!O281)</f>
        <v>0</v>
      </c>
      <c r="P281" s="93">
        <f>SUM('3:4'!P281)</f>
        <v>0</v>
      </c>
      <c r="Q281" s="93">
        <f>SUM('3:4'!Q281)</f>
        <v>0</v>
      </c>
      <c r="R281" s="93">
        <f>SUM('3:4'!R281)</f>
        <v>0</v>
      </c>
      <c r="S281" s="93">
        <f>SUM('3:4'!S281)</f>
        <v>0</v>
      </c>
      <c r="T281" s="93">
        <f>SUM('3:4'!T281)</f>
        <v>0</v>
      </c>
      <c r="U281" s="93">
        <f>SUM('3:4'!U281)</f>
        <v>0</v>
      </c>
      <c r="V281" s="206"/>
      <c r="W281" s="33"/>
      <c r="X281" s="93">
        <f>SUM('3:4'!X281)</f>
        <v>0</v>
      </c>
      <c r="Y281" s="93">
        <f>SUM('3:4'!Y281)</f>
        <v>0</v>
      </c>
      <c r="Z281" s="93">
        <f>SUM('3:4'!Z281)</f>
        <v>0</v>
      </c>
      <c r="AA281" s="93">
        <f>SUM('3:4'!AA281)</f>
        <v>0</v>
      </c>
      <c r="AB281" s="358">
        <v>2.0699999999999998</v>
      </c>
      <c r="AC281" s="269">
        <f t="shared" si="95"/>
        <v>0</v>
      </c>
      <c r="AD281" s="251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 ht="17.25">
      <c r="A282" s="320">
        <v>30600010</v>
      </c>
      <c r="B282" s="61" t="s">
        <v>343</v>
      </c>
      <c r="C282" s="16" t="s">
        <v>347</v>
      </c>
      <c r="D282" s="17">
        <v>5</v>
      </c>
      <c r="E282" s="17"/>
      <c r="F282" s="6"/>
      <c r="G282" s="93">
        <f>SUM('3:4'!G282)</f>
        <v>0</v>
      </c>
      <c r="H282" s="246">
        <f t="shared" si="96"/>
        <v>0</v>
      </c>
      <c r="I282" s="93">
        <f>SUM('3:4'!I282)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97"/>
        <v>0</v>
      </c>
      <c r="N282" s="31">
        <f t="shared" si="98"/>
        <v>0</v>
      </c>
      <c r="O282" s="93">
        <f>SUM('3:4'!O282)</f>
        <v>0</v>
      </c>
      <c r="P282" s="93">
        <f>SUM('3:4'!P282)</f>
        <v>0</v>
      </c>
      <c r="Q282" s="93">
        <f>SUM('3:4'!Q282)</f>
        <v>0</v>
      </c>
      <c r="R282" s="93">
        <f>SUM('3:4'!R282)</f>
        <v>0</v>
      </c>
      <c r="S282" s="93">
        <f>SUM('3:4'!S282)</f>
        <v>0</v>
      </c>
      <c r="T282" s="93">
        <f>SUM('3:4'!T282)</f>
        <v>0</v>
      </c>
      <c r="U282" s="93">
        <f>SUM('3:4'!U282)</f>
        <v>0</v>
      </c>
      <c r="V282" s="206"/>
      <c r="W282" s="33"/>
      <c r="X282" s="93">
        <f>SUM('3:4'!X282)</f>
        <v>0</v>
      </c>
      <c r="Y282" s="93">
        <f>SUM('3:4'!Y282)</f>
        <v>0</v>
      </c>
      <c r="Z282" s="93">
        <f>SUM('3:4'!Z282)</f>
        <v>0</v>
      </c>
      <c r="AA282" s="93">
        <f>SUM('3:4'!AA282)</f>
        <v>0</v>
      </c>
      <c r="AB282" s="358">
        <v>2.0699999999999998</v>
      </c>
      <c r="AC282" s="269">
        <f t="shared" si="95"/>
        <v>0</v>
      </c>
      <c r="AD282" s="251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 ht="17.25">
      <c r="A283" s="320">
        <v>30400001</v>
      </c>
      <c r="B283" s="65" t="s">
        <v>514</v>
      </c>
      <c r="C283" s="16" t="s">
        <v>61</v>
      </c>
      <c r="D283" s="17">
        <v>5.0599999999999996</v>
      </c>
      <c r="E283" s="17"/>
      <c r="F283" s="6"/>
      <c r="G283" s="93">
        <f>SUM('3:4'!G283)</f>
        <v>172</v>
      </c>
      <c r="H283" s="246">
        <f t="shared" si="96"/>
        <v>870.31999999999994</v>
      </c>
      <c r="I283" s="93">
        <f>SUM('3:4'!I283)</f>
        <v>11</v>
      </c>
      <c r="J283" s="31">
        <f t="array" ref="J283">IF(ISERROR(G283/I283),"",G283/I283)</f>
        <v>15.636363636363637</v>
      </c>
      <c r="K283" s="35">
        <f t="array" ref="K283">IF(ISERROR(G283/L283),"",G283/L283)</f>
        <v>11.096774193548388</v>
      </c>
      <c r="L283" s="87">
        <v>15.5</v>
      </c>
      <c r="M283" s="36">
        <f t="shared" si="97"/>
        <v>-9.6774193548387899E-2</v>
      </c>
      <c r="N283" s="31">
        <f t="shared" si="98"/>
        <v>0</v>
      </c>
      <c r="O283" s="93">
        <f>SUM('3:4'!O283)</f>
        <v>0</v>
      </c>
      <c r="P283" s="93">
        <f>SUM('3:4'!P283)</f>
        <v>0</v>
      </c>
      <c r="Q283" s="93">
        <f>SUM('3:4'!Q283)</f>
        <v>0</v>
      </c>
      <c r="R283" s="93">
        <f>SUM('3:4'!R283)</f>
        <v>0</v>
      </c>
      <c r="S283" s="93">
        <f>SUM('3:4'!S283)</f>
        <v>0</v>
      </c>
      <c r="T283" s="93">
        <f>SUM('3:4'!T283)</f>
        <v>0</v>
      </c>
      <c r="U283" s="93">
        <f>SUM('3:4'!U283)</f>
        <v>0</v>
      </c>
      <c r="V283" s="206">
        <f t="shared" ref="V283:V284" si="101">SUM(X283:AA283)</f>
        <v>0</v>
      </c>
      <c r="W283" s="33">
        <f t="shared" ref="W283:W284" si="102">IF(ISERROR(V283/G283),"",V283/G283)</f>
        <v>0</v>
      </c>
      <c r="X283" s="93">
        <f>SUM('3:4'!X283)</f>
        <v>0</v>
      </c>
      <c r="Y283" s="93">
        <f>SUM('3:4'!Y283)</f>
        <v>0</v>
      </c>
      <c r="Z283" s="93">
        <f>SUM('3:4'!Z283)</f>
        <v>0</v>
      </c>
      <c r="AA283" s="93">
        <f>SUM('3:4'!AA283)</f>
        <v>0</v>
      </c>
      <c r="AB283" s="358">
        <v>0.67</v>
      </c>
      <c r="AC283" s="269">
        <f t="shared" si="95"/>
        <v>115.24000000000001</v>
      </c>
      <c r="AD283" s="251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 ht="17.25">
      <c r="A284" s="320">
        <v>30400002</v>
      </c>
      <c r="B284" s="65" t="s">
        <v>514</v>
      </c>
      <c r="C284" s="16" t="s">
        <v>72</v>
      </c>
      <c r="D284" s="17">
        <v>5.0599999999999996</v>
      </c>
      <c r="E284" s="17"/>
      <c r="F284" s="6"/>
      <c r="G284" s="93">
        <f>SUM('3:4'!G284)</f>
        <v>67</v>
      </c>
      <c r="H284" s="246">
        <f t="shared" si="96"/>
        <v>339.02</v>
      </c>
      <c r="I284" s="93">
        <f>SUM('3:4'!I284)</f>
        <v>4.3</v>
      </c>
      <c r="J284" s="31">
        <f t="array" ref="J284">IF(ISERROR(G284/I284),"",G284/I284)</f>
        <v>15.58139534883721</v>
      </c>
      <c r="K284" s="35">
        <f t="array" ref="K284">IF(ISERROR(G284/L284),"",G284/L284)</f>
        <v>4.32258064516129</v>
      </c>
      <c r="L284" s="87">
        <v>15.5</v>
      </c>
      <c r="M284" s="36">
        <f t="shared" si="97"/>
        <v>-2.2580645161290214E-2</v>
      </c>
      <c r="N284" s="31">
        <f t="shared" si="98"/>
        <v>0</v>
      </c>
      <c r="O284" s="93">
        <f>SUM('3:4'!O284)</f>
        <v>0</v>
      </c>
      <c r="P284" s="93">
        <f>SUM('3:4'!P284)</f>
        <v>0</v>
      </c>
      <c r="Q284" s="93">
        <f>SUM('3:4'!Q284)</f>
        <v>0</v>
      </c>
      <c r="R284" s="93">
        <f>SUM('3:4'!R284)</f>
        <v>0</v>
      </c>
      <c r="S284" s="93">
        <f>SUM('3:4'!S284)</f>
        <v>0</v>
      </c>
      <c r="T284" s="93">
        <f>SUM('3:4'!T284)</f>
        <v>0</v>
      </c>
      <c r="U284" s="93">
        <f>SUM('3:4'!U284)</f>
        <v>0</v>
      </c>
      <c r="V284" s="206">
        <f t="shared" si="101"/>
        <v>0</v>
      </c>
      <c r="W284" s="33">
        <f t="shared" si="102"/>
        <v>0</v>
      </c>
      <c r="X284" s="93">
        <f>SUM('3:4'!X284)</f>
        <v>0</v>
      </c>
      <c r="Y284" s="93">
        <f>SUM('3:4'!Y284)</f>
        <v>0</v>
      </c>
      <c r="Z284" s="93">
        <f>SUM('3:4'!Z284)</f>
        <v>0</v>
      </c>
      <c r="AA284" s="93">
        <f>SUM('3:4'!AA284)</f>
        <v>0</v>
      </c>
      <c r="AB284" s="358">
        <v>0.67</v>
      </c>
      <c r="AC284" s="269">
        <f t="shared" si="95"/>
        <v>44.89</v>
      </c>
      <c r="AD284" s="251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 ht="17.25">
      <c r="A285" s="320">
        <v>30400004</v>
      </c>
      <c r="B285" s="215" t="s">
        <v>419</v>
      </c>
      <c r="C285" s="187" t="s">
        <v>73</v>
      </c>
      <c r="D285" s="17"/>
      <c r="E285" s="17"/>
      <c r="F285" s="6"/>
      <c r="G285" s="93">
        <f>SUM('3:4'!G285)</f>
        <v>768</v>
      </c>
      <c r="H285" s="246">
        <f t="shared" si="96"/>
        <v>0</v>
      </c>
      <c r="I285" s="93">
        <f>SUM('3:4'!I285)</f>
        <v>75</v>
      </c>
      <c r="J285" s="31"/>
      <c r="K285" s="35"/>
      <c r="L285" s="87">
        <v>24</v>
      </c>
      <c r="M285" s="36"/>
      <c r="N285" s="31"/>
      <c r="O285" s="93"/>
      <c r="P285" s="93"/>
      <c r="Q285" s="93"/>
      <c r="R285" s="93"/>
      <c r="S285" s="93"/>
      <c r="T285" s="93"/>
      <c r="U285" s="93"/>
      <c r="V285" s="206"/>
      <c r="W285" s="33"/>
      <c r="X285" s="93"/>
      <c r="Y285" s="93"/>
      <c r="Z285" s="93"/>
      <c r="AA285" s="93"/>
      <c r="AB285" s="358">
        <v>1.73</v>
      </c>
      <c r="AC285" s="269">
        <f t="shared" si="95"/>
        <v>1328.6399999999999</v>
      </c>
      <c r="AD285" s="251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 ht="17.25">
      <c r="A286" s="320">
        <v>30400003</v>
      </c>
      <c r="B286" s="215" t="s">
        <v>419</v>
      </c>
      <c r="C286" s="187" t="s">
        <v>60</v>
      </c>
      <c r="D286" s="17"/>
      <c r="E286" s="17"/>
      <c r="F286" s="6"/>
      <c r="G286" s="93">
        <f>SUM('3:4'!G286)</f>
        <v>70</v>
      </c>
      <c r="H286" s="246">
        <f t="shared" si="96"/>
        <v>0</v>
      </c>
      <c r="I286" s="93">
        <f>SUM('3:4'!I286)</f>
        <v>140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6"/>
      <c r="W286" s="33"/>
      <c r="X286" s="93"/>
      <c r="Y286" s="93"/>
      <c r="Z286" s="93"/>
      <c r="AA286" s="93"/>
      <c r="AB286" s="358">
        <v>1.73</v>
      </c>
      <c r="AC286" s="269">
        <f t="shared" si="95"/>
        <v>121.1</v>
      </c>
      <c r="AD286" s="251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 ht="17.25">
      <c r="A287" s="320">
        <v>30400005</v>
      </c>
      <c r="B287" s="215" t="s">
        <v>419</v>
      </c>
      <c r="C287" s="187" t="s">
        <v>422</v>
      </c>
      <c r="D287" s="17"/>
      <c r="E287" s="17"/>
      <c r="F287" s="6"/>
      <c r="G287" s="93">
        <f>SUM('3:4'!G287)</f>
        <v>484</v>
      </c>
      <c r="H287" s="246">
        <f t="shared" si="96"/>
        <v>0</v>
      </c>
      <c r="I287" s="93">
        <f>SUM('3:4'!I287)</f>
        <v>74.5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6"/>
      <c r="W287" s="33"/>
      <c r="X287" s="93"/>
      <c r="Y287" s="93"/>
      <c r="Z287" s="93"/>
      <c r="AA287" s="93"/>
      <c r="AB287" s="358">
        <v>1.73</v>
      </c>
      <c r="AC287" s="269">
        <f t="shared" si="95"/>
        <v>837.31999999999994</v>
      </c>
      <c r="AD287" s="251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 ht="17.25">
      <c r="A288" s="320">
        <v>30400007</v>
      </c>
      <c r="B288" s="65" t="s">
        <v>91</v>
      </c>
      <c r="C288" s="16" t="s">
        <v>74</v>
      </c>
      <c r="D288" s="17">
        <v>5.07</v>
      </c>
      <c r="E288" s="17"/>
      <c r="F288" s="6"/>
      <c r="G288" s="93">
        <f>SUM('3:4'!G288)</f>
        <v>0</v>
      </c>
      <c r="H288" s="246">
        <f t="shared" si="96"/>
        <v>0</v>
      </c>
      <c r="I288" s="93">
        <f>SUM('3:4'!I288)</f>
        <v>0</v>
      </c>
      <c r="J288" s="31" t="str">
        <f t="array" ref="J288">IF(ISERROR(G288/I288),"",G288/I288)</f>
        <v/>
      </c>
      <c r="K288" s="35">
        <f t="array" ref="K288">IF(ISERROR(G288/L288),"",G288/L288)</f>
        <v>0</v>
      </c>
      <c r="L288" s="87">
        <v>9</v>
      </c>
      <c r="M288" s="36">
        <f t="shared" ref="M288:M290" si="103">IF(ISERROR(I288-K288),"",I288-K288)</f>
        <v>0</v>
      </c>
      <c r="N288" s="31">
        <f t="shared" ref="N288:N290" si="104">SUM(O288:U288)</f>
        <v>0</v>
      </c>
      <c r="O288" s="93">
        <f>SUM('3:4'!O288)</f>
        <v>0</v>
      </c>
      <c r="P288" s="93">
        <f>SUM('3:4'!P288)</f>
        <v>0</v>
      </c>
      <c r="Q288" s="93">
        <f>SUM('3:4'!Q288)</f>
        <v>0</v>
      </c>
      <c r="R288" s="93">
        <f>SUM('3:4'!R288)</f>
        <v>0</v>
      </c>
      <c r="S288" s="93">
        <f>SUM('3:4'!S288)</f>
        <v>0</v>
      </c>
      <c r="T288" s="93">
        <f>SUM('3:4'!T288)</f>
        <v>0</v>
      </c>
      <c r="U288" s="93">
        <f>SUM('3:4'!U288)</f>
        <v>0</v>
      </c>
      <c r="V288" s="206">
        <f t="shared" ref="V288:V290" si="105">SUM(X288:AA288)</f>
        <v>0</v>
      </c>
      <c r="W288" s="33" t="str">
        <f t="shared" ref="W288:W321" si="106">IF(ISERROR(V288/G288),"",V288/G288)</f>
        <v/>
      </c>
      <c r="X288" s="93">
        <f>SUM('3:4'!X288)</f>
        <v>0</v>
      </c>
      <c r="Y288" s="93">
        <f>SUM('3:4'!Y288)</f>
        <v>0</v>
      </c>
      <c r="Z288" s="93">
        <f>SUM('3:4'!Z288)</f>
        <v>0</v>
      </c>
      <c r="AA288" s="93">
        <f>SUM('3:4'!AA288)</f>
        <v>0</v>
      </c>
      <c r="AB288" s="358">
        <v>1.22</v>
      </c>
      <c r="AC288" s="269">
        <f t="shared" si="95"/>
        <v>0</v>
      </c>
      <c r="AD288" s="251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 ht="17.25">
      <c r="A289" s="320">
        <v>30400006</v>
      </c>
      <c r="B289" s="65" t="s">
        <v>91</v>
      </c>
      <c r="C289" s="16" t="s">
        <v>53</v>
      </c>
      <c r="D289" s="17">
        <v>5.07</v>
      </c>
      <c r="E289" s="17"/>
      <c r="F289" s="6"/>
      <c r="G289" s="93">
        <f>SUM('3:4'!G289)</f>
        <v>0</v>
      </c>
      <c r="H289" s="246">
        <f t="shared" si="96"/>
        <v>0</v>
      </c>
      <c r="I289" s="93">
        <f>SUM('3:4'!I289)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 t="shared" si="103"/>
        <v>0</v>
      </c>
      <c r="N289" s="31">
        <f t="shared" si="104"/>
        <v>0</v>
      </c>
      <c r="O289" s="93">
        <f>SUM('3:4'!O289)</f>
        <v>0</v>
      </c>
      <c r="P289" s="93">
        <f>SUM('3:4'!P289)</f>
        <v>0</v>
      </c>
      <c r="Q289" s="93">
        <f>SUM('3:4'!Q289)</f>
        <v>0</v>
      </c>
      <c r="R289" s="93">
        <f>SUM('3:4'!R289)</f>
        <v>0</v>
      </c>
      <c r="S289" s="93">
        <f>SUM('3:4'!S289)</f>
        <v>0</v>
      </c>
      <c r="T289" s="93">
        <f>SUM('3:4'!T289)</f>
        <v>0</v>
      </c>
      <c r="U289" s="93">
        <f>SUM('3:4'!U289)</f>
        <v>0</v>
      </c>
      <c r="V289" s="206">
        <f t="shared" si="105"/>
        <v>0</v>
      </c>
      <c r="W289" s="33" t="str">
        <f t="shared" si="106"/>
        <v/>
      </c>
      <c r="X289" s="93">
        <f>SUM('3:4'!X289)</f>
        <v>0</v>
      </c>
      <c r="Y289" s="93">
        <f>SUM('3:4'!Y289)</f>
        <v>0</v>
      </c>
      <c r="Z289" s="93">
        <f>SUM('3:4'!Z289)</f>
        <v>0</v>
      </c>
      <c r="AA289" s="93">
        <f>SUM('3:4'!AA289)</f>
        <v>0</v>
      </c>
      <c r="AB289" s="358">
        <v>1.22</v>
      </c>
      <c r="AC289" s="269">
        <f t="shared" si="95"/>
        <v>0</v>
      </c>
      <c r="AD289" s="251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 ht="17.25">
      <c r="A290" s="320">
        <v>30400006</v>
      </c>
      <c r="B290" s="65" t="s">
        <v>91</v>
      </c>
      <c r="C290" s="16" t="s">
        <v>60</v>
      </c>
      <c r="D290" s="17">
        <v>5.0599999999999996</v>
      </c>
      <c r="E290" s="17"/>
      <c r="F290" s="53"/>
      <c r="G290" s="93">
        <f>SUM('3:4'!G290)</f>
        <v>0</v>
      </c>
      <c r="H290" s="246">
        <f t="shared" si="96"/>
        <v>0</v>
      </c>
      <c r="I290" s="93">
        <f>SUM('3:4'!I290)</f>
        <v>0</v>
      </c>
      <c r="J290" s="31" t="str">
        <f t="array" ref="J290">IF(ISERROR(G290/I290),"",G290/I290)</f>
        <v/>
      </c>
      <c r="K290" s="246">
        <f t="array" ref="K290">IF(ISERROR(G290/L290),"",G290/L290)</f>
        <v>0</v>
      </c>
      <c r="L290" s="87">
        <v>9</v>
      </c>
      <c r="M290" s="36">
        <f t="shared" si="103"/>
        <v>0</v>
      </c>
      <c r="N290" s="31">
        <f t="shared" si="104"/>
        <v>0</v>
      </c>
      <c r="O290" s="93">
        <f>SUM('3:4'!O290)</f>
        <v>0</v>
      </c>
      <c r="P290" s="93">
        <f>SUM('3:4'!P290)</f>
        <v>0</v>
      </c>
      <c r="Q290" s="93">
        <f>SUM('3:4'!Q290)</f>
        <v>0</v>
      </c>
      <c r="R290" s="93">
        <f>SUM('3:4'!R290)</f>
        <v>0</v>
      </c>
      <c r="S290" s="93">
        <f>SUM('3:4'!S290)</f>
        <v>0</v>
      </c>
      <c r="T290" s="93">
        <f>SUM('3:4'!T290)</f>
        <v>0</v>
      </c>
      <c r="U290" s="93">
        <f>SUM('3:4'!U290)</f>
        <v>0</v>
      </c>
      <c r="V290" s="206">
        <f t="shared" si="105"/>
        <v>0</v>
      </c>
      <c r="W290" s="33" t="str">
        <f t="shared" si="106"/>
        <v/>
      </c>
      <c r="X290" s="93">
        <f>SUM('3:4'!X290)</f>
        <v>0</v>
      </c>
      <c r="Y290" s="93">
        <f>SUM('3:4'!Y290)</f>
        <v>0</v>
      </c>
      <c r="Z290" s="93">
        <f>SUM('3:4'!Z290)</f>
        <v>0</v>
      </c>
      <c r="AA290" s="93">
        <f>SUM('3:4'!AA290)</f>
        <v>0</v>
      </c>
      <c r="AB290" s="358">
        <v>1.22</v>
      </c>
      <c r="AC290" s="269">
        <f t="shared" si="95"/>
        <v>0</v>
      </c>
      <c r="AD290" s="251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 ht="15.75">
      <c r="A291" s="725" t="s">
        <v>92</v>
      </c>
      <c r="B291" s="726"/>
      <c r="C291" s="243" t="s">
        <v>71</v>
      </c>
      <c r="D291" s="20"/>
      <c r="E291" s="20"/>
      <c r="F291" s="32"/>
      <c r="G291" s="30">
        <f>SUM(G257:G290)</f>
        <v>1594</v>
      </c>
      <c r="H291" s="30">
        <f>SUM(H257:H290)</f>
        <v>1375.33</v>
      </c>
      <c r="I291" s="30">
        <f>SUM(I257:I290)</f>
        <v>310.8</v>
      </c>
      <c r="J291" s="31">
        <f t="array" ref="J291">IF(ISERROR(G291/I291),"",G291/I291)</f>
        <v>5.1287001287001281</v>
      </c>
      <c r="K291" s="30">
        <f>SUM(K257:K290)</f>
        <v>18.967741935483872</v>
      </c>
      <c r="L291" s="98"/>
      <c r="M291" s="89">
        <f t="shared" ref="M291:V291" si="107">SUM(M257:M290)</f>
        <v>2.3322580645161288</v>
      </c>
      <c r="N291" s="30">
        <f t="shared" si="107"/>
        <v>0</v>
      </c>
      <c r="O291" s="91">
        <f t="shared" si="107"/>
        <v>0</v>
      </c>
      <c r="P291" s="91">
        <f t="shared" si="107"/>
        <v>0</v>
      </c>
      <c r="Q291" s="91">
        <f t="shared" si="107"/>
        <v>0</v>
      </c>
      <c r="R291" s="91">
        <f t="shared" si="107"/>
        <v>0</v>
      </c>
      <c r="S291" s="92">
        <f t="shared" si="107"/>
        <v>0</v>
      </c>
      <c r="T291" s="91">
        <f t="shared" si="107"/>
        <v>0</v>
      </c>
      <c r="U291" s="91">
        <f t="shared" si="107"/>
        <v>0</v>
      </c>
      <c r="V291" s="206">
        <f t="shared" si="107"/>
        <v>0</v>
      </c>
      <c r="W291" s="33">
        <f t="shared" si="106"/>
        <v>0</v>
      </c>
      <c r="X291" s="92">
        <f>SUM(X257:X290)</f>
        <v>0</v>
      </c>
      <c r="Y291" s="92">
        <f>SUM(Y257:Y290)</f>
        <v>0</v>
      </c>
      <c r="Z291" s="92">
        <f>SUM(Z257:Z290)</f>
        <v>0</v>
      </c>
      <c r="AA291" s="92">
        <f>SUM(AA257:AA290)</f>
        <v>0</v>
      </c>
      <c r="AB291" s="358"/>
      <c r="AC291" s="270">
        <f>SUM(AC257:AC290)</f>
        <v>2483.8199999999997</v>
      </c>
      <c r="AD291" s="251"/>
      <c r="AE291" s="74"/>
      <c r="AF291" s="74"/>
      <c r="AG291" s="74"/>
      <c r="AH291" s="7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 ht="17.25">
      <c r="A292" s="320">
        <v>30100038</v>
      </c>
      <c r="B292" s="62" t="s">
        <v>93</v>
      </c>
      <c r="C292" s="16" t="s">
        <v>94</v>
      </c>
      <c r="D292" s="17">
        <v>5.03</v>
      </c>
      <c r="E292" s="17"/>
      <c r="F292" s="6"/>
      <c r="G292" s="93">
        <f>SUM('3:4'!G292)</f>
        <v>0</v>
      </c>
      <c r="H292" s="246">
        <f>D292*G292</f>
        <v>0</v>
      </c>
      <c r="I292" s="93">
        <f>SUM('3:4'!I292)</f>
        <v>0</v>
      </c>
      <c r="J292" s="31" t="str">
        <f t="array" ref="J292">IF(ISERROR(G292/I292),"",G292/I292)</f>
        <v/>
      </c>
      <c r="K292" s="35">
        <f t="array" ref="K292">IF(ISERROR(G292/L292),"",G292/L292)</f>
        <v>0</v>
      </c>
      <c r="L292" s="87">
        <v>25</v>
      </c>
      <c r="M292" s="36">
        <f t="shared" ref="M292:M306" si="108">IF(ISERROR(I292-K292),"",I292-K292)</f>
        <v>0</v>
      </c>
      <c r="N292" s="31">
        <f t="shared" ref="N292:N306" si="109">SUM(O292:U292)</f>
        <v>0</v>
      </c>
      <c r="O292" s="93">
        <f>SUM('3:4'!O292)</f>
        <v>0</v>
      </c>
      <c r="P292" s="93">
        <f>SUM('3:4'!P292)</f>
        <v>0</v>
      </c>
      <c r="Q292" s="93">
        <f>SUM('3:4'!Q292)</f>
        <v>0</v>
      </c>
      <c r="R292" s="93">
        <f>SUM('3:4'!R292)</f>
        <v>0</v>
      </c>
      <c r="S292" s="93">
        <f>SUM('3:4'!S292)</f>
        <v>0</v>
      </c>
      <c r="T292" s="93">
        <f>SUM('3:4'!T292)</f>
        <v>0</v>
      </c>
      <c r="U292" s="93">
        <f>SUM('3:4'!U292)</f>
        <v>0</v>
      </c>
      <c r="V292" s="206">
        <f t="shared" ref="V292:V306" si="110">SUM(X292:AA292)</f>
        <v>0</v>
      </c>
      <c r="W292" s="33" t="str">
        <f t="shared" si="106"/>
        <v/>
      </c>
      <c r="X292" s="93">
        <f>SUM('3:4'!X292)</f>
        <v>0</v>
      </c>
      <c r="Y292" s="93">
        <f>SUM('3:4'!Y292)</f>
        <v>0</v>
      </c>
      <c r="Z292" s="93">
        <f>SUM('3:4'!Z292)</f>
        <v>0</v>
      </c>
      <c r="AA292" s="93">
        <f>SUM('3:4'!AA292)</f>
        <v>0</v>
      </c>
      <c r="AB292" s="358">
        <v>0.41</v>
      </c>
      <c r="AC292" s="269">
        <f t="shared" ref="AC292:AC306" si="111">AB292*G292</f>
        <v>0</v>
      </c>
      <c r="AD292" s="251"/>
      <c r="AE292" s="54"/>
      <c r="AF292" s="54"/>
      <c r="AG292" s="54"/>
      <c r="AH292" s="5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 ht="17.25">
      <c r="A293" s="320">
        <v>30100037</v>
      </c>
      <c r="B293" s="62" t="s">
        <v>93</v>
      </c>
      <c r="C293" s="16" t="s">
        <v>74</v>
      </c>
      <c r="D293" s="17">
        <v>5.03</v>
      </c>
      <c r="E293" s="17"/>
      <c r="F293" s="6"/>
      <c r="G293" s="93">
        <f>SUM('3:4'!G293)</f>
        <v>0</v>
      </c>
      <c r="H293" s="246">
        <f t="shared" ref="H293:H306" si="112">D293*G293</f>
        <v>0</v>
      </c>
      <c r="I293" s="93">
        <f>SUM('3:4'!I293)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si="108"/>
        <v>0</v>
      </c>
      <c r="N293" s="31">
        <f t="shared" si="109"/>
        <v>0</v>
      </c>
      <c r="O293" s="93">
        <f>SUM('3:4'!O293)</f>
        <v>0</v>
      </c>
      <c r="P293" s="93">
        <f>SUM('3:4'!P293)</f>
        <v>0</v>
      </c>
      <c r="Q293" s="93">
        <f>SUM('3:4'!Q293)</f>
        <v>0</v>
      </c>
      <c r="R293" s="93">
        <f>SUM('3:4'!R293)</f>
        <v>0</v>
      </c>
      <c r="S293" s="93">
        <f>SUM('3:4'!S293)</f>
        <v>0</v>
      </c>
      <c r="T293" s="93">
        <f>SUM('3:4'!T293)</f>
        <v>0</v>
      </c>
      <c r="U293" s="93">
        <f>SUM('3:4'!U293)</f>
        <v>0</v>
      </c>
      <c r="V293" s="206">
        <f t="shared" si="110"/>
        <v>0</v>
      </c>
      <c r="W293" s="33" t="str">
        <f t="shared" si="106"/>
        <v/>
      </c>
      <c r="X293" s="93">
        <f>SUM('3:4'!X293)</f>
        <v>0</v>
      </c>
      <c r="Y293" s="93">
        <f>SUM('3:4'!Y293)</f>
        <v>0</v>
      </c>
      <c r="Z293" s="93">
        <f>SUM('3:4'!Z293)</f>
        <v>0</v>
      </c>
      <c r="AA293" s="93">
        <f>SUM('3:4'!AA293)</f>
        <v>0</v>
      </c>
      <c r="AB293" s="358">
        <v>0.41</v>
      </c>
      <c r="AC293" s="269">
        <f t="shared" si="111"/>
        <v>0</v>
      </c>
      <c r="AD293" s="251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 ht="17.25">
      <c r="A294" s="320">
        <v>30100051</v>
      </c>
      <c r="B294" s="62" t="s">
        <v>58</v>
      </c>
      <c r="C294" s="16" t="s">
        <v>65</v>
      </c>
      <c r="D294" s="17">
        <v>5.04</v>
      </c>
      <c r="E294" s="17"/>
      <c r="F294" s="6"/>
      <c r="G294" s="93">
        <f>SUM('3:4'!G294)</f>
        <v>0</v>
      </c>
      <c r="H294" s="246">
        <f t="shared" si="112"/>
        <v>0</v>
      </c>
      <c r="I294" s="93">
        <f>SUM('3:4'!I294)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20</v>
      </c>
      <c r="M294" s="36">
        <f t="shared" si="108"/>
        <v>0</v>
      </c>
      <c r="N294" s="31">
        <f t="shared" si="109"/>
        <v>0</v>
      </c>
      <c r="O294" s="93">
        <f>SUM('3:4'!O294)</f>
        <v>0</v>
      </c>
      <c r="P294" s="93">
        <f>SUM('3:4'!P294)</f>
        <v>0</v>
      </c>
      <c r="Q294" s="93">
        <f>SUM('3:4'!Q294)</f>
        <v>0</v>
      </c>
      <c r="R294" s="93">
        <f>SUM('3:4'!R294)</f>
        <v>0</v>
      </c>
      <c r="S294" s="93">
        <f>SUM('3:4'!S294)</f>
        <v>0</v>
      </c>
      <c r="T294" s="93">
        <f>SUM('3:4'!T294)</f>
        <v>0</v>
      </c>
      <c r="U294" s="93">
        <f>SUM('3:4'!U294)</f>
        <v>0</v>
      </c>
      <c r="V294" s="206">
        <f t="shared" si="110"/>
        <v>0</v>
      </c>
      <c r="W294" s="33" t="str">
        <f t="shared" si="106"/>
        <v/>
      </c>
      <c r="X294" s="93">
        <f>SUM('3:4'!X294)</f>
        <v>0</v>
      </c>
      <c r="Y294" s="93">
        <f>SUM('3:4'!Y294)</f>
        <v>0</v>
      </c>
      <c r="Z294" s="93">
        <f>SUM('3:4'!Z294)</f>
        <v>0</v>
      </c>
      <c r="AA294" s="93">
        <f>SUM('3:4'!AA294)</f>
        <v>0</v>
      </c>
      <c r="AB294" s="358">
        <v>0.52</v>
      </c>
      <c r="AC294" s="269">
        <f t="shared" si="111"/>
        <v>0</v>
      </c>
      <c r="AD294" s="251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 ht="17.25">
      <c r="A295" s="320"/>
      <c r="B295" s="63" t="s">
        <v>95</v>
      </c>
      <c r="C295" s="16" t="s">
        <v>82</v>
      </c>
      <c r="D295" s="17">
        <v>5.03</v>
      </c>
      <c r="E295" s="17"/>
      <c r="F295" s="6"/>
      <c r="G295" s="93">
        <f>SUM('3:4'!G295)</f>
        <v>0</v>
      </c>
      <c r="H295" s="246">
        <f t="shared" si="112"/>
        <v>0</v>
      </c>
      <c r="I295" s="93">
        <f>SUM('3:4'!I295)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87">
        <v>4</v>
      </c>
      <c r="M295" s="36">
        <f t="shared" si="108"/>
        <v>0</v>
      </c>
      <c r="N295" s="31">
        <f t="shared" si="109"/>
        <v>0</v>
      </c>
      <c r="O295" s="93">
        <f>SUM('3:4'!O295)</f>
        <v>0</v>
      </c>
      <c r="P295" s="93">
        <f>SUM('3:4'!P295)</f>
        <v>0</v>
      </c>
      <c r="Q295" s="93">
        <f>SUM('3:4'!Q295)</f>
        <v>0</v>
      </c>
      <c r="R295" s="93">
        <f>SUM('3:4'!R295)</f>
        <v>0</v>
      </c>
      <c r="S295" s="93">
        <f>SUM('3:4'!S295)</f>
        <v>0</v>
      </c>
      <c r="T295" s="93">
        <f>SUM('3:4'!T295)</f>
        <v>0</v>
      </c>
      <c r="U295" s="93">
        <f>SUM('3:4'!U295)</f>
        <v>0</v>
      </c>
      <c r="V295" s="206">
        <f t="shared" si="110"/>
        <v>0</v>
      </c>
      <c r="W295" s="33" t="str">
        <f t="shared" si="106"/>
        <v/>
      </c>
      <c r="X295" s="93">
        <f>SUM('3:4'!X295)</f>
        <v>0</v>
      </c>
      <c r="Y295" s="93">
        <f>SUM('3:4'!Y295)</f>
        <v>0</v>
      </c>
      <c r="Z295" s="93">
        <f>SUM('3:4'!Z295)</f>
        <v>0</v>
      </c>
      <c r="AA295" s="93">
        <f>SUM('3:4'!AA295)</f>
        <v>0</v>
      </c>
      <c r="AB295" s="358">
        <v>0.59</v>
      </c>
      <c r="AC295" s="269">
        <f t="shared" si="111"/>
        <v>0</v>
      </c>
      <c r="AD295" s="251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 ht="15.75">
      <c r="A296" s="299">
        <v>30100054</v>
      </c>
      <c r="B296" s="63" t="s">
        <v>95</v>
      </c>
      <c r="C296" s="247" t="s">
        <v>72</v>
      </c>
      <c r="D296" s="17">
        <v>5.03</v>
      </c>
      <c r="E296" s="17"/>
      <c r="F296" s="6"/>
      <c r="G296" s="93">
        <f>SUM('3:4'!G296)</f>
        <v>0</v>
      </c>
      <c r="H296" s="246">
        <f t="shared" si="112"/>
        <v>0</v>
      </c>
      <c r="I296" s="93">
        <f>SUM('3:4'!I296)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108"/>
        <v>0</v>
      </c>
      <c r="N296" s="31">
        <f t="shared" si="109"/>
        <v>0</v>
      </c>
      <c r="O296" s="93">
        <f>SUM('3:4'!O296)</f>
        <v>0</v>
      </c>
      <c r="P296" s="93">
        <f>SUM('3:4'!P296)</f>
        <v>0</v>
      </c>
      <c r="Q296" s="93">
        <f>SUM('3:4'!Q296)</f>
        <v>0</v>
      </c>
      <c r="R296" s="93">
        <f>SUM('3:4'!R296)</f>
        <v>0</v>
      </c>
      <c r="S296" s="93">
        <f>SUM('3:4'!S296)</f>
        <v>0</v>
      </c>
      <c r="T296" s="93">
        <f>SUM('3:4'!T296)</f>
        <v>0</v>
      </c>
      <c r="U296" s="93">
        <f>SUM('3:4'!U296)</f>
        <v>0</v>
      </c>
      <c r="V296" s="206">
        <f t="shared" si="110"/>
        <v>0</v>
      </c>
      <c r="W296" s="33" t="str">
        <f t="shared" si="106"/>
        <v/>
      </c>
      <c r="X296" s="93">
        <f>SUM('3:4'!X296)</f>
        <v>0</v>
      </c>
      <c r="Y296" s="93">
        <f>SUM('3:4'!Y296)</f>
        <v>0</v>
      </c>
      <c r="Z296" s="93">
        <f>SUM('3:4'!Z296)</f>
        <v>0</v>
      </c>
      <c r="AA296" s="93">
        <f>SUM('3:4'!AA296)</f>
        <v>0</v>
      </c>
      <c r="AB296" s="358">
        <v>0.59</v>
      </c>
      <c r="AC296" s="269">
        <f t="shared" si="111"/>
        <v>0</v>
      </c>
      <c r="AD296" s="251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 ht="15.75">
      <c r="A297" s="299">
        <v>30100053</v>
      </c>
      <c r="B297" s="63" t="s">
        <v>95</v>
      </c>
      <c r="C297" s="16" t="s">
        <v>73</v>
      </c>
      <c r="D297" s="17">
        <v>5.03</v>
      </c>
      <c r="E297" s="17"/>
      <c r="F297" s="6"/>
      <c r="G297" s="93">
        <f>SUM('3:4'!G297)</f>
        <v>0</v>
      </c>
      <c r="H297" s="246">
        <f t="shared" si="112"/>
        <v>0</v>
      </c>
      <c r="I297" s="93">
        <f>SUM('3:4'!I297)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108"/>
        <v>0</v>
      </c>
      <c r="N297" s="31">
        <f t="shared" si="109"/>
        <v>0</v>
      </c>
      <c r="O297" s="93">
        <f>SUM('3:4'!O297)</f>
        <v>0</v>
      </c>
      <c r="P297" s="93">
        <f>SUM('3:4'!P297)</f>
        <v>0</v>
      </c>
      <c r="Q297" s="93">
        <f>SUM('3:4'!Q297)</f>
        <v>0</v>
      </c>
      <c r="R297" s="93">
        <f>SUM('3:4'!R297)</f>
        <v>0</v>
      </c>
      <c r="S297" s="93">
        <f>SUM('3:4'!S297)</f>
        <v>0</v>
      </c>
      <c r="T297" s="93">
        <f>SUM('3:4'!T297)</f>
        <v>0</v>
      </c>
      <c r="U297" s="93">
        <f>SUM('3:4'!U297)</f>
        <v>0</v>
      </c>
      <c r="V297" s="206">
        <f t="shared" si="110"/>
        <v>0</v>
      </c>
      <c r="W297" s="33" t="str">
        <f t="shared" si="106"/>
        <v/>
      </c>
      <c r="X297" s="93">
        <f>SUM('3:4'!X297)</f>
        <v>0</v>
      </c>
      <c r="Y297" s="93">
        <f>SUM('3:4'!Y297)</f>
        <v>0</v>
      </c>
      <c r="Z297" s="93">
        <f>SUM('3:4'!Z297)</f>
        <v>0</v>
      </c>
      <c r="AA297" s="93">
        <f>SUM('3:4'!AA297)</f>
        <v>0</v>
      </c>
      <c r="AB297" s="358">
        <v>0.59</v>
      </c>
      <c r="AC297" s="269">
        <f t="shared" si="111"/>
        <v>0</v>
      </c>
      <c r="AD297" s="251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 ht="17.25">
      <c r="A298" s="320"/>
      <c r="B298" s="63" t="s">
        <v>95</v>
      </c>
      <c r="C298" s="16" t="s">
        <v>60</v>
      </c>
      <c r="D298" s="17">
        <v>5.03</v>
      </c>
      <c r="E298" s="17"/>
      <c r="F298" s="6"/>
      <c r="G298" s="93">
        <f>SUM('3:4'!G298)</f>
        <v>0</v>
      </c>
      <c r="H298" s="246">
        <f t="shared" si="112"/>
        <v>0</v>
      </c>
      <c r="I298" s="93">
        <f>SUM('3:4'!I298)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108"/>
        <v>0</v>
      </c>
      <c r="N298" s="31">
        <f t="shared" si="109"/>
        <v>0</v>
      </c>
      <c r="O298" s="93">
        <f>SUM('3:4'!O298)</f>
        <v>0</v>
      </c>
      <c r="P298" s="93">
        <f>SUM('3:4'!P298)</f>
        <v>0</v>
      </c>
      <c r="Q298" s="93">
        <f>SUM('3:4'!Q298)</f>
        <v>0</v>
      </c>
      <c r="R298" s="93">
        <f>SUM('3:4'!R298)</f>
        <v>0</v>
      </c>
      <c r="S298" s="93">
        <f>SUM('3:4'!S298)</f>
        <v>0</v>
      </c>
      <c r="T298" s="93">
        <f>SUM('3:4'!T298)</f>
        <v>0</v>
      </c>
      <c r="U298" s="93">
        <f>SUM('3:4'!U298)</f>
        <v>0</v>
      </c>
      <c r="V298" s="206">
        <f t="shared" si="110"/>
        <v>0</v>
      </c>
      <c r="W298" s="33" t="str">
        <f t="shared" si="106"/>
        <v/>
      </c>
      <c r="X298" s="93">
        <f>SUM('3:4'!X298)</f>
        <v>0</v>
      </c>
      <c r="Y298" s="93">
        <f>SUM('3:4'!Y298)</f>
        <v>0</v>
      </c>
      <c r="Z298" s="93">
        <f>SUM('3:4'!Z298)</f>
        <v>0</v>
      </c>
      <c r="AA298" s="93">
        <f>SUM('3:4'!AA298)</f>
        <v>0</v>
      </c>
      <c r="AB298" s="358">
        <v>0.59</v>
      </c>
      <c r="AC298" s="269">
        <f t="shared" si="111"/>
        <v>0</v>
      </c>
      <c r="AD298" s="251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 ht="17.25">
      <c r="A299" s="320"/>
      <c r="B299" s="63" t="s">
        <v>95</v>
      </c>
      <c r="C299" s="247" t="s">
        <v>96</v>
      </c>
      <c r="D299" s="17">
        <v>5.03</v>
      </c>
      <c r="E299" s="17"/>
      <c r="F299" s="6"/>
      <c r="G299" s="93">
        <f>SUM('3:4'!G299)</f>
        <v>0</v>
      </c>
      <c r="H299" s="246">
        <f t="shared" si="112"/>
        <v>0</v>
      </c>
      <c r="I299" s="93">
        <f>SUM('3:4'!I299)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108"/>
        <v>0</v>
      </c>
      <c r="N299" s="31">
        <f t="shared" si="109"/>
        <v>0</v>
      </c>
      <c r="O299" s="93">
        <f>SUM('3:4'!O299)</f>
        <v>0</v>
      </c>
      <c r="P299" s="93">
        <f>SUM('3:4'!P299)</f>
        <v>0</v>
      </c>
      <c r="Q299" s="93">
        <f>SUM('3:4'!Q299)</f>
        <v>0</v>
      </c>
      <c r="R299" s="93">
        <f>SUM('3:4'!R299)</f>
        <v>0</v>
      </c>
      <c r="S299" s="93">
        <f>SUM('3:4'!S299)</f>
        <v>0</v>
      </c>
      <c r="T299" s="93">
        <f>SUM('3:4'!T299)</f>
        <v>0</v>
      </c>
      <c r="U299" s="93">
        <f>SUM('3:4'!U299)</f>
        <v>0</v>
      </c>
      <c r="V299" s="206">
        <f t="shared" si="110"/>
        <v>0</v>
      </c>
      <c r="W299" s="33" t="str">
        <f t="shared" si="106"/>
        <v/>
      </c>
      <c r="X299" s="93">
        <f>SUM('3:4'!X299)</f>
        <v>0</v>
      </c>
      <c r="Y299" s="93">
        <f>SUM('3:4'!Y299)</f>
        <v>0</v>
      </c>
      <c r="Z299" s="93">
        <f>SUM('3:4'!Z299)</f>
        <v>0</v>
      </c>
      <c r="AA299" s="93">
        <f>SUM('3:4'!AA299)</f>
        <v>0</v>
      </c>
      <c r="AB299" s="358">
        <v>0.59</v>
      </c>
      <c r="AC299" s="269">
        <f t="shared" si="111"/>
        <v>0</v>
      </c>
      <c r="AD299" s="251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 ht="17.25">
      <c r="A300" s="320">
        <v>30101067</v>
      </c>
      <c r="B300" s="63" t="s">
        <v>97</v>
      </c>
      <c r="C300" s="247" t="s">
        <v>82</v>
      </c>
      <c r="D300" s="17">
        <v>5.03</v>
      </c>
      <c r="E300" s="17"/>
      <c r="F300" s="6"/>
      <c r="G300" s="93">
        <f>SUM('3:4'!G300)</f>
        <v>0</v>
      </c>
      <c r="H300" s="246">
        <f t="shared" si="112"/>
        <v>0</v>
      </c>
      <c r="I300" s="93">
        <f>SUM('3:4'!I300)</f>
        <v>0</v>
      </c>
      <c r="J300" s="31" t="str">
        <f t="array" ref="J300">IF(ISERROR(G300/I300),"",G300/I300)</f>
        <v/>
      </c>
      <c r="K300" s="35" t="str">
        <f t="array" ref="K300">IF(ISERROR(G300/L300),"",G300/L300)</f>
        <v/>
      </c>
      <c r="L300" s="87"/>
      <c r="M300" s="36" t="str">
        <f t="shared" si="108"/>
        <v/>
      </c>
      <c r="N300" s="31">
        <f t="shared" si="109"/>
        <v>0</v>
      </c>
      <c r="O300" s="93">
        <f>SUM('3:4'!O300)</f>
        <v>0</v>
      </c>
      <c r="P300" s="93">
        <f>SUM('3:4'!P300)</f>
        <v>0</v>
      </c>
      <c r="Q300" s="93">
        <f>SUM('3:4'!Q300)</f>
        <v>0</v>
      </c>
      <c r="R300" s="93">
        <f>SUM('3:4'!R300)</f>
        <v>0</v>
      </c>
      <c r="S300" s="93">
        <f>SUM('3:4'!S300)</f>
        <v>0</v>
      </c>
      <c r="T300" s="93">
        <f>SUM('3:4'!T300)</f>
        <v>0</v>
      </c>
      <c r="U300" s="93">
        <f>SUM('3:4'!U300)</f>
        <v>0</v>
      </c>
      <c r="V300" s="206">
        <f t="shared" si="110"/>
        <v>0</v>
      </c>
      <c r="W300" s="33" t="str">
        <f t="shared" si="106"/>
        <v/>
      </c>
      <c r="X300" s="93">
        <f>SUM('3:4'!X300)</f>
        <v>0</v>
      </c>
      <c r="Y300" s="93">
        <f>SUM('3:4'!Y300)</f>
        <v>0</v>
      </c>
      <c r="Z300" s="93">
        <f>SUM('3:4'!Z300)</f>
        <v>0</v>
      </c>
      <c r="AA300" s="93">
        <f>SUM('3:4'!AA300)</f>
        <v>0</v>
      </c>
      <c r="AB300" s="358"/>
      <c r="AC300" s="269">
        <f t="shared" si="111"/>
        <v>0</v>
      </c>
      <c r="AD300" s="251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 ht="17.25">
      <c r="A301" s="320">
        <v>30101068</v>
      </c>
      <c r="B301" s="63" t="s">
        <v>97</v>
      </c>
      <c r="C301" s="247" t="s">
        <v>72</v>
      </c>
      <c r="D301" s="17">
        <v>5.03</v>
      </c>
      <c r="E301" s="17"/>
      <c r="F301" s="6"/>
      <c r="G301" s="93">
        <f>SUM('3:4'!G301)</f>
        <v>0</v>
      </c>
      <c r="H301" s="246">
        <f t="shared" si="112"/>
        <v>0</v>
      </c>
      <c r="I301" s="93">
        <f>SUM('3:4'!I301)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108"/>
        <v/>
      </c>
      <c r="N301" s="31">
        <f t="shared" si="109"/>
        <v>0</v>
      </c>
      <c r="O301" s="93">
        <f>SUM('3:4'!O301)</f>
        <v>0</v>
      </c>
      <c r="P301" s="93">
        <f>SUM('3:4'!P301)</f>
        <v>0</v>
      </c>
      <c r="Q301" s="93">
        <f>SUM('3:4'!Q301)</f>
        <v>0</v>
      </c>
      <c r="R301" s="93">
        <f>SUM('3:4'!R301)</f>
        <v>0</v>
      </c>
      <c r="S301" s="93">
        <f>SUM('3:4'!S301)</f>
        <v>0</v>
      </c>
      <c r="T301" s="93">
        <f>SUM('3:4'!T301)</f>
        <v>0</v>
      </c>
      <c r="U301" s="93">
        <f>SUM('3:4'!U301)</f>
        <v>0</v>
      </c>
      <c r="V301" s="206">
        <f t="shared" si="110"/>
        <v>0</v>
      </c>
      <c r="W301" s="33" t="str">
        <f t="shared" si="106"/>
        <v/>
      </c>
      <c r="X301" s="93">
        <f>SUM('3:4'!X301)</f>
        <v>0</v>
      </c>
      <c r="Y301" s="93">
        <f>SUM('3:4'!Y301)</f>
        <v>0</v>
      </c>
      <c r="Z301" s="93">
        <f>SUM('3:4'!Z301)</f>
        <v>0</v>
      </c>
      <c r="AA301" s="93">
        <f>SUM('3:4'!AA301)</f>
        <v>0</v>
      </c>
      <c r="AB301" s="358">
        <v>0.59</v>
      </c>
      <c r="AC301" s="269">
        <f t="shared" si="111"/>
        <v>0</v>
      </c>
      <c r="AD301" s="251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 ht="17.25">
      <c r="A302" s="320">
        <v>30101069</v>
      </c>
      <c r="B302" s="63" t="s">
        <v>97</v>
      </c>
      <c r="C302" s="247" t="s">
        <v>60</v>
      </c>
      <c r="D302" s="17">
        <v>5.03</v>
      </c>
      <c r="E302" s="17"/>
      <c r="F302" s="6"/>
      <c r="G302" s="93">
        <f>SUM('3:4'!G302)</f>
        <v>0</v>
      </c>
      <c r="H302" s="246">
        <f t="shared" si="112"/>
        <v>0</v>
      </c>
      <c r="I302" s="93">
        <f>SUM('3:4'!I302)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108"/>
        <v/>
      </c>
      <c r="N302" s="31">
        <f t="shared" si="109"/>
        <v>0</v>
      </c>
      <c r="O302" s="93">
        <f>SUM('3:4'!O302)</f>
        <v>0</v>
      </c>
      <c r="P302" s="93">
        <f>SUM('3:4'!P302)</f>
        <v>0</v>
      </c>
      <c r="Q302" s="93">
        <f>SUM('3:4'!Q302)</f>
        <v>0</v>
      </c>
      <c r="R302" s="93">
        <f>SUM('3:4'!R302)</f>
        <v>0</v>
      </c>
      <c r="S302" s="93">
        <f>SUM('3:4'!S302)</f>
        <v>0</v>
      </c>
      <c r="T302" s="93">
        <f>SUM('3:4'!T302)</f>
        <v>0</v>
      </c>
      <c r="U302" s="93">
        <f>SUM('3:4'!U302)</f>
        <v>0</v>
      </c>
      <c r="V302" s="206">
        <f t="shared" si="110"/>
        <v>0</v>
      </c>
      <c r="W302" s="33" t="str">
        <f t="shared" si="106"/>
        <v/>
      </c>
      <c r="X302" s="93">
        <f>SUM('3:4'!X302)</f>
        <v>0</v>
      </c>
      <c r="Y302" s="93">
        <f>SUM('3:4'!Y302)</f>
        <v>0</v>
      </c>
      <c r="Z302" s="93">
        <f>SUM('3:4'!Z302)</f>
        <v>0</v>
      </c>
      <c r="AA302" s="93">
        <f>SUM('3:4'!AA302)</f>
        <v>0</v>
      </c>
      <c r="AB302" s="358"/>
      <c r="AC302" s="269">
        <f t="shared" si="111"/>
        <v>0</v>
      </c>
      <c r="AD302" s="251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 ht="17.25">
      <c r="A303" s="320">
        <v>30101070</v>
      </c>
      <c r="B303" s="63" t="s">
        <v>97</v>
      </c>
      <c r="C303" s="247" t="s">
        <v>96</v>
      </c>
      <c r="D303" s="17">
        <v>5.03</v>
      </c>
      <c r="E303" s="17"/>
      <c r="F303" s="6"/>
      <c r="G303" s="93">
        <f>SUM('3:4'!G303)</f>
        <v>0</v>
      </c>
      <c r="H303" s="246">
        <f t="shared" si="112"/>
        <v>0</v>
      </c>
      <c r="I303" s="93">
        <f>SUM('3:4'!I303)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108"/>
        <v/>
      </c>
      <c r="N303" s="31">
        <f t="shared" si="109"/>
        <v>0</v>
      </c>
      <c r="O303" s="93">
        <f>SUM('3:4'!O303)</f>
        <v>0</v>
      </c>
      <c r="P303" s="93">
        <f>SUM('3:4'!P303)</f>
        <v>0</v>
      </c>
      <c r="Q303" s="93">
        <f>SUM('3:4'!Q303)</f>
        <v>0</v>
      </c>
      <c r="R303" s="93">
        <f>SUM('3:4'!R303)</f>
        <v>0</v>
      </c>
      <c r="S303" s="93">
        <f>SUM('3:4'!S303)</f>
        <v>0</v>
      </c>
      <c r="T303" s="93">
        <f>SUM('3:4'!T303)</f>
        <v>0</v>
      </c>
      <c r="U303" s="93">
        <f>SUM('3:4'!U303)</f>
        <v>0</v>
      </c>
      <c r="V303" s="206">
        <f t="shared" si="110"/>
        <v>0</v>
      </c>
      <c r="W303" s="33" t="str">
        <f t="shared" si="106"/>
        <v/>
      </c>
      <c r="X303" s="93">
        <f>SUM('3:4'!X303)</f>
        <v>0</v>
      </c>
      <c r="Y303" s="93">
        <f>SUM('3:4'!Y303)</f>
        <v>0</v>
      </c>
      <c r="Z303" s="93">
        <f>SUM('3:4'!Z303)</f>
        <v>0</v>
      </c>
      <c r="AA303" s="93">
        <f>SUM('3:4'!AA303)</f>
        <v>0</v>
      </c>
      <c r="AB303" s="358"/>
      <c r="AC303" s="269">
        <f t="shared" si="111"/>
        <v>0</v>
      </c>
      <c r="AD303" s="251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 ht="17.25">
      <c r="A304" s="320">
        <v>30101071</v>
      </c>
      <c r="B304" s="63" t="s">
        <v>97</v>
      </c>
      <c r="C304" s="247" t="s">
        <v>73</v>
      </c>
      <c r="D304" s="17">
        <v>5.03</v>
      </c>
      <c r="E304" s="17"/>
      <c r="F304" s="6"/>
      <c r="G304" s="93">
        <f>SUM('3:4'!G304)</f>
        <v>0</v>
      </c>
      <c r="H304" s="246">
        <f t="shared" si="112"/>
        <v>0</v>
      </c>
      <c r="I304" s="93">
        <f>SUM('3:4'!I304)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108"/>
        <v/>
      </c>
      <c r="N304" s="31">
        <f t="shared" si="109"/>
        <v>0</v>
      </c>
      <c r="O304" s="93">
        <f>SUM('3:4'!O304)</f>
        <v>0</v>
      </c>
      <c r="P304" s="93">
        <f>SUM('3:4'!P304)</f>
        <v>0</v>
      </c>
      <c r="Q304" s="93">
        <f>SUM('3:4'!Q304)</f>
        <v>0</v>
      </c>
      <c r="R304" s="93">
        <f>SUM('3:4'!R304)</f>
        <v>0</v>
      </c>
      <c r="S304" s="93">
        <f>SUM('3:4'!S304)</f>
        <v>0</v>
      </c>
      <c r="T304" s="93">
        <f>SUM('3:4'!T304)</f>
        <v>0</v>
      </c>
      <c r="U304" s="93">
        <f>SUM('3:4'!U304)</f>
        <v>0</v>
      </c>
      <c r="V304" s="206">
        <f t="shared" si="110"/>
        <v>0</v>
      </c>
      <c r="W304" s="33" t="str">
        <f t="shared" si="106"/>
        <v/>
      </c>
      <c r="X304" s="93">
        <f>SUM('3:4'!X304)</f>
        <v>0</v>
      </c>
      <c r="Y304" s="93">
        <f>SUM('3:4'!Y304)</f>
        <v>0</v>
      </c>
      <c r="Z304" s="93">
        <f>SUM('3:4'!Z304)</f>
        <v>0</v>
      </c>
      <c r="AA304" s="93">
        <f>SUM('3:4'!AA304)</f>
        <v>0</v>
      </c>
      <c r="AB304" s="358"/>
      <c r="AC304" s="269">
        <f t="shared" si="111"/>
        <v>0</v>
      </c>
      <c r="AD304" s="251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 ht="17.25">
      <c r="A305" s="316">
        <v>30100001</v>
      </c>
      <c r="B305" s="62" t="s">
        <v>98</v>
      </c>
      <c r="C305" s="16" t="s">
        <v>74</v>
      </c>
      <c r="D305" s="17">
        <v>5.0599999999999996</v>
      </c>
      <c r="E305" s="17"/>
      <c r="F305" s="6"/>
      <c r="G305" s="93">
        <f>SUM('3:4'!G305)</f>
        <v>0</v>
      </c>
      <c r="H305" s="246">
        <f t="shared" si="112"/>
        <v>0</v>
      </c>
      <c r="I305" s="93">
        <f>SUM('3:4'!I305)</f>
        <v>0</v>
      </c>
      <c r="J305" s="31" t="str">
        <f t="array" ref="J305">IF(ISERROR(G305/I305),"",G305/I305)</f>
        <v/>
      </c>
      <c r="K305" s="35">
        <f t="array" ref="K305">IF(ISERROR(G305/L305),"",G305/L305)</f>
        <v>0</v>
      </c>
      <c r="L305" s="87">
        <v>25</v>
      </c>
      <c r="M305" s="36">
        <f t="shared" si="108"/>
        <v>0</v>
      </c>
      <c r="N305" s="31">
        <f t="shared" si="109"/>
        <v>0</v>
      </c>
      <c r="O305" s="93">
        <f>SUM('3:4'!O305)</f>
        <v>0</v>
      </c>
      <c r="P305" s="93">
        <f>SUM('3:4'!P305)</f>
        <v>0</v>
      </c>
      <c r="Q305" s="93">
        <f>SUM('3:4'!Q305)</f>
        <v>0</v>
      </c>
      <c r="R305" s="93">
        <f>SUM('3:4'!R305)</f>
        <v>0</v>
      </c>
      <c r="S305" s="93">
        <f>SUM('3:4'!S305)</f>
        <v>0</v>
      </c>
      <c r="T305" s="93">
        <f>SUM('3:4'!T305)</f>
        <v>0</v>
      </c>
      <c r="U305" s="93">
        <f>SUM('3:4'!U305)</f>
        <v>0</v>
      </c>
      <c r="V305" s="206">
        <f t="shared" si="110"/>
        <v>0</v>
      </c>
      <c r="W305" s="33" t="str">
        <f t="shared" si="106"/>
        <v/>
      </c>
      <c r="X305" s="93">
        <f>SUM('3:4'!X305)</f>
        <v>0</v>
      </c>
      <c r="Y305" s="93">
        <f>SUM('3:4'!Y305)</f>
        <v>0</v>
      </c>
      <c r="Z305" s="93">
        <f>SUM('3:4'!Z305)</f>
        <v>0</v>
      </c>
      <c r="AA305" s="93">
        <f>SUM('3:4'!AA305)</f>
        <v>0</v>
      </c>
      <c r="AB305" s="358">
        <v>0.43</v>
      </c>
      <c r="AC305" s="269">
        <f t="shared" si="111"/>
        <v>0</v>
      </c>
      <c r="AD305" s="251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 ht="17.25">
      <c r="A306" s="316">
        <v>30100002</v>
      </c>
      <c r="B306" s="62" t="s">
        <v>98</v>
      </c>
      <c r="C306" s="16" t="s">
        <v>94</v>
      </c>
      <c r="D306" s="17">
        <v>5.0599999999999996</v>
      </c>
      <c r="E306" s="17"/>
      <c r="F306" s="6"/>
      <c r="G306" s="93">
        <f>SUM('3:4'!G306)</f>
        <v>0</v>
      </c>
      <c r="H306" s="246">
        <f t="shared" si="112"/>
        <v>0</v>
      </c>
      <c r="I306" s="93">
        <f>SUM('3:4'!I306)</f>
        <v>0</v>
      </c>
      <c r="J306" s="31" t="str">
        <f t="array" ref="J306">IF(ISERROR(G306/I306),"",G306/I306)</f>
        <v/>
      </c>
      <c r="K306" s="35">
        <f t="array" ref="K306">IF(ISERROR(G306/L306),"",G306/L306)</f>
        <v>0</v>
      </c>
      <c r="L306" s="87">
        <v>25</v>
      </c>
      <c r="M306" s="36">
        <f t="shared" si="108"/>
        <v>0</v>
      </c>
      <c r="N306" s="31">
        <f t="shared" si="109"/>
        <v>0</v>
      </c>
      <c r="O306" s="93">
        <f>SUM('3:4'!O306)</f>
        <v>0</v>
      </c>
      <c r="P306" s="93">
        <f>SUM('3:4'!P306)</f>
        <v>0</v>
      </c>
      <c r="Q306" s="93">
        <f>SUM('3:4'!Q306)</f>
        <v>0</v>
      </c>
      <c r="R306" s="93">
        <f>SUM('3:4'!R306)</f>
        <v>0</v>
      </c>
      <c r="S306" s="93">
        <f>SUM('3:4'!S306)</f>
        <v>0</v>
      </c>
      <c r="T306" s="93">
        <f>SUM('3:4'!T306)</f>
        <v>0</v>
      </c>
      <c r="U306" s="93">
        <f>SUM('3:4'!U306)</f>
        <v>0</v>
      </c>
      <c r="V306" s="206">
        <f t="shared" si="110"/>
        <v>0</v>
      </c>
      <c r="W306" s="33" t="str">
        <f t="shared" si="106"/>
        <v/>
      </c>
      <c r="X306" s="93">
        <f>SUM('3:4'!X306)</f>
        <v>0</v>
      </c>
      <c r="Y306" s="93">
        <f>SUM('3:4'!Y306)</f>
        <v>0</v>
      </c>
      <c r="Z306" s="93">
        <f>SUM('3:4'!Z306)</f>
        <v>0</v>
      </c>
      <c r="AA306" s="93">
        <f>SUM('3:4'!AA306)</f>
        <v>0</v>
      </c>
      <c r="AB306" s="358">
        <v>0.43</v>
      </c>
      <c r="AC306" s="269">
        <f t="shared" si="111"/>
        <v>0</v>
      </c>
      <c r="AD306" s="251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 ht="15.75">
      <c r="A307" s="725" t="s">
        <v>99</v>
      </c>
      <c r="B307" s="726"/>
      <c r="C307" s="243" t="s">
        <v>71</v>
      </c>
      <c r="D307" s="20"/>
      <c r="E307" s="20"/>
      <c r="F307" s="32"/>
      <c r="G307" s="99">
        <f>SUM(G292:G306)</f>
        <v>0</v>
      </c>
      <c r="H307" s="30">
        <f>SUM(H292:H306)</f>
        <v>0</v>
      </c>
      <c r="I307" s="30">
        <f>SUM(I292:I306)</f>
        <v>0</v>
      </c>
      <c r="J307" s="31" t="str">
        <f t="array" ref="J307">IF(ISERROR(G307/I307),"",G307/I307)</f>
        <v/>
      </c>
      <c r="K307" s="30">
        <f>SUM(K292:K306)</f>
        <v>0</v>
      </c>
      <c r="L307" s="30"/>
      <c r="M307" s="89">
        <f t="shared" ref="M307:V307" si="113">SUM(M292:M306)</f>
        <v>0</v>
      </c>
      <c r="N307" s="30">
        <f t="shared" si="113"/>
        <v>0</v>
      </c>
      <c r="O307" s="30">
        <f t="shared" si="113"/>
        <v>0</v>
      </c>
      <c r="P307" s="30">
        <f t="shared" si="113"/>
        <v>0</v>
      </c>
      <c r="Q307" s="30">
        <f t="shared" si="113"/>
        <v>0</v>
      </c>
      <c r="R307" s="30">
        <f t="shared" si="113"/>
        <v>0</v>
      </c>
      <c r="S307" s="30">
        <f t="shared" si="113"/>
        <v>0</v>
      </c>
      <c r="T307" s="30">
        <f t="shared" si="113"/>
        <v>0</v>
      </c>
      <c r="U307" s="30">
        <f t="shared" si="113"/>
        <v>0</v>
      </c>
      <c r="V307" s="208">
        <f t="shared" si="113"/>
        <v>0</v>
      </c>
      <c r="W307" s="33" t="str">
        <f t="shared" si="106"/>
        <v/>
      </c>
      <c r="X307" s="94">
        <f>SUM(X292:X306)</f>
        <v>0</v>
      </c>
      <c r="Y307" s="94">
        <f>SUM(Y292:Y306)</f>
        <v>0</v>
      </c>
      <c r="Z307" s="94">
        <f>SUM(Z292:Z306)</f>
        <v>0</v>
      </c>
      <c r="AA307" s="94">
        <f>SUM(AA292:AA306)</f>
        <v>0</v>
      </c>
      <c r="AB307" s="358"/>
      <c r="AC307" s="270">
        <f>SUM(AC292:AC306)</f>
        <v>0</v>
      </c>
      <c r="AD307" s="251"/>
      <c r="AE307" s="74"/>
      <c r="AF307" s="74"/>
      <c r="AG307" s="74"/>
      <c r="AH307" s="7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 ht="15.75">
      <c r="A308" s="300">
        <v>30400025</v>
      </c>
      <c r="B308" s="62" t="s">
        <v>100</v>
      </c>
      <c r="C308" s="16" t="s">
        <v>53</v>
      </c>
      <c r="D308" s="17">
        <v>5.04</v>
      </c>
      <c r="E308" s="17"/>
      <c r="F308" s="6"/>
      <c r="G308" s="93">
        <f>SUM('3:4'!G308)</f>
        <v>498</v>
      </c>
      <c r="H308" s="246">
        <f t="shared" ref="H308:H316" si="114">D308*G308</f>
        <v>2509.92</v>
      </c>
      <c r="I308" s="93">
        <f>SUM('3:4'!I308)</f>
        <v>22</v>
      </c>
      <c r="J308" s="31">
        <f t="array" ref="J308">IF(ISERROR(G308/I308),"",G308/I308)</f>
        <v>22.636363636363637</v>
      </c>
      <c r="K308" s="35">
        <f t="array" ref="K308">IF(ISERROR(G308/L308),"",G308/L308)</f>
        <v>22.636363636363637</v>
      </c>
      <c r="L308" s="87">
        <v>22</v>
      </c>
      <c r="M308" s="36">
        <f t="shared" ref="M308:M316" si="115">IF(ISERROR(I308-K308),"",I308-K308)</f>
        <v>-0.63636363636363669</v>
      </c>
      <c r="N308" s="31">
        <f t="shared" ref="N308:N316" si="116">SUM(O308:U308)</f>
        <v>0</v>
      </c>
      <c r="O308" s="93">
        <f>SUM('3:4'!O308)</f>
        <v>0</v>
      </c>
      <c r="P308" s="93">
        <f>SUM('3:4'!P308)</f>
        <v>0</v>
      </c>
      <c r="Q308" s="93">
        <f>SUM('3:4'!Q308)</f>
        <v>0</v>
      </c>
      <c r="R308" s="93">
        <f>SUM('3:4'!R308)</f>
        <v>0</v>
      </c>
      <c r="S308" s="93">
        <f>SUM('3:4'!S308)</f>
        <v>0</v>
      </c>
      <c r="T308" s="93">
        <f>SUM('3:4'!T308)</f>
        <v>0</v>
      </c>
      <c r="U308" s="93">
        <f>SUM('3:4'!U308)</f>
        <v>0</v>
      </c>
      <c r="V308" s="206">
        <f t="shared" ref="V308:V316" si="117">SUM(X308:AA308)</f>
        <v>0</v>
      </c>
      <c r="W308" s="33">
        <f t="shared" si="106"/>
        <v>0</v>
      </c>
      <c r="X308" s="93">
        <f>SUM('3:4'!X308)</f>
        <v>0</v>
      </c>
      <c r="Y308" s="93">
        <f>SUM('3:4'!Y308)</f>
        <v>0</v>
      </c>
      <c r="Z308" s="93">
        <f>SUM('3:4'!Z308)</f>
        <v>0</v>
      </c>
      <c r="AA308" s="93">
        <f>SUM('3:4'!AA308)</f>
        <v>0</v>
      </c>
      <c r="AB308" s="358">
        <v>0.48</v>
      </c>
      <c r="AC308" s="269">
        <f t="shared" ref="AC308:AC316" si="118">AB308*G308</f>
        <v>239.04</v>
      </c>
      <c r="AD308" s="251"/>
      <c r="AE308" s="54"/>
      <c r="AF308" s="54"/>
      <c r="AG308" s="54"/>
      <c r="AH308" s="5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 ht="17.25">
      <c r="A309" s="316">
        <v>30400023</v>
      </c>
      <c r="B309" s="62" t="s">
        <v>100</v>
      </c>
      <c r="C309" s="16" t="s">
        <v>60</v>
      </c>
      <c r="D309" s="17">
        <v>5.04</v>
      </c>
      <c r="E309" s="17"/>
      <c r="F309" s="6"/>
      <c r="G309" s="93">
        <f>SUM('3:4'!G309)</f>
        <v>0</v>
      </c>
      <c r="H309" s="246">
        <f t="shared" si="114"/>
        <v>0</v>
      </c>
      <c r="I309" s="93">
        <f>SUM('3:4'!I309)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si="115"/>
        <v>0</v>
      </c>
      <c r="N309" s="31">
        <f t="shared" si="116"/>
        <v>0</v>
      </c>
      <c r="O309" s="93">
        <f>SUM('3:4'!O309)</f>
        <v>0</v>
      </c>
      <c r="P309" s="93">
        <f>SUM('3:4'!P309)</f>
        <v>0</v>
      </c>
      <c r="Q309" s="93">
        <f>SUM('3:4'!Q309)</f>
        <v>0</v>
      </c>
      <c r="R309" s="93">
        <f>SUM('3:4'!R309)</f>
        <v>0</v>
      </c>
      <c r="S309" s="93">
        <f>SUM('3:4'!S309)</f>
        <v>0</v>
      </c>
      <c r="T309" s="93">
        <f>SUM('3:4'!T309)</f>
        <v>0</v>
      </c>
      <c r="U309" s="93">
        <f>SUM('3:4'!U309)</f>
        <v>0</v>
      </c>
      <c r="V309" s="206">
        <f t="shared" si="117"/>
        <v>0</v>
      </c>
      <c r="W309" s="33" t="str">
        <f t="shared" si="106"/>
        <v/>
      </c>
      <c r="X309" s="93">
        <f>SUM('3:4'!X309)</f>
        <v>0</v>
      </c>
      <c r="Y309" s="93">
        <f>SUM('3:4'!Y309)</f>
        <v>0</v>
      </c>
      <c r="Z309" s="93">
        <f>SUM('3:4'!Z309)</f>
        <v>0</v>
      </c>
      <c r="AA309" s="93">
        <f>SUM('3:4'!AA309)</f>
        <v>0</v>
      </c>
      <c r="AB309" s="358">
        <v>0.48</v>
      </c>
      <c r="AC309" s="269">
        <f t="shared" si="118"/>
        <v>0</v>
      </c>
      <c r="AD309" s="251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 ht="17.25">
      <c r="A310" s="316">
        <v>30400024</v>
      </c>
      <c r="B310" s="62" t="s">
        <v>100</v>
      </c>
      <c r="C310" s="16" t="s">
        <v>74</v>
      </c>
      <c r="D310" s="17">
        <v>5.04</v>
      </c>
      <c r="E310" s="17"/>
      <c r="F310" s="6"/>
      <c r="G310" s="93">
        <f>SUM('3:4'!G310)</f>
        <v>410</v>
      </c>
      <c r="H310" s="246">
        <f t="shared" si="114"/>
        <v>2066.4</v>
      </c>
      <c r="I310" s="93">
        <f>SUM('3:4'!I310)</f>
        <v>24</v>
      </c>
      <c r="J310" s="31">
        <f t="array" ref="J310">IF(ISERROR(G310/I310),"",G310/I310)</f>
        <v>17.083333333333332</v>
      </c>
      <c r="K310" s="35">
        <f t="array" ref="K310">IF(ISERROR(G310/L310),"",G310/L310)</f>
        <v>18.636363636363637</v>
      </c>
      <c r="L310" s="87">
        <v>22</v>
      </c>
      <c r="M310" s="36">
        <f t="shared" si="115"/>
        <v>5.3636363636363633</v>
      </c>
      <c r="N310" s="31">
        <f t="shared" si="116"/>
        <v>0</v>
      </c>
      <c r="O310" s="93">
        <f>SUM('3:4'!O310)</f>
        <v>0</v>
      </c>
      <c r="P310" s="93">
        <f>SUM('3:4'!P310)</f>
        <v>0</v>
      </c>
      <c r="Q310" s="93">
        <f>SUM('3:4'!Q310)</f>
        <v>0</v>
      </c>
      <c r="R310" s="93">
        <f>SUM('3:4'!R310)</f>
        <v>0</v>
      </c>
      <c r="S310" s="93">
        <f>SUM('3:4'!S310)</f>
        <v>0</v>
      </c>
      <c r="T310" s="93">
        <f>SUM('3:4'!T310)</f>
        <v>0</v>
      </c>
      <c r="U310" s="93">
        <f>SUM('3:4'!U310)</f>
        <v>0</v>
      </c>
      <c r="V310" s="206">
        <f t="shared" si="117"/>
        <v>0</v>
      </c>
      <c r="W310" s="33">
        <f t="shared" si="106"/>
        <v>0</v>
      </c>
      <c r="X310" s="93">
        <f>SUM('3:4'!X310)</f>
        <v>0</v>
      </c>
      <c r="Y310" s="93">
        <f>SUM('3:4'!Y310)</f>
        <v>0</v>
      </c>
      <c r="Z310" s="93">
        <f>SUM('3:4'!Z310)</f>
        <v>0</v>
      </c>
      <c r="AA310" s="93">
        <f>SUM('3:4'!AA310)</f>
        <v>0</v>
      </c>
      <c r="AB310" s="358">
        <v>0.48</v>
      </c>
      <c r="AC310" s="269">
        <f t="shared" si="118"/>
        <v>196.79999999999998</v>
      </c>
      <c r="AD310" s="251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 ht="17.25">
      <c r="A311" s="316"/>
      <c r="B311" s="62" t="s">
        <v>100</v>
      </c>
      <c r="C311" s="16" t="s">
        <v>66</v>
      </c>
      <c r="D311" s="17">
        <v>5.04</v>
      </c>
      <c r="E311" s="17"/>
      <c r="F311" s="6"/>
      <c r="G311" s="93">
        <f>SUM('3:4'!G311)</f>
        <v>0</v>
      </c>
      <c r="H311" s="246">
        <f t="shared" si="114"/>
        <v>0</v>
      </c>
      <c r="I311" s="93">
        <f>SUM('3:4'!I311)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115"/>
        <v>0</v>
      </c>
      <c r="N311" s="31">
        <f t="shared" si="116"/>
        <v>0</v>
      </c>
      <c r="O311" s="93">
        <f>SUM('3:4'!O311)</f>
        <v>0</v>
      </c>
      <c r="P311" s="93">
        <f>SUM('3:4'!P311)</f>
        <v>0</v>
      </c>
      <c r="Q311" s="93">
        <f>SUM('3:4'!Q311)</f>
        <v>0</v>
      </c>
      <c r="R311" s="93">
        <f>SUM('3:4'!R311)</f>
        <v>0</v>
      </c>
      <c r="S311" s="93">
        <f>SUM('3:4'!S311)</f>
        <v>0</v>
      </c>
      <c r="T311" s="93">
        <f>SUM('3:4'!T311)</f>
        <v>0</v>
      </c>
      <c r="U311" s="93">
        <f>SUM('3:4'!U311)</f>
        <v>0</v>
      </c>
      <c r="V311" s="206">
        <f t="shared" si="117"/>
        <v>0</v>
      </c>
      <c r="W311" s="33" t="str">
        <f t="shared" si="106"/>
        <v/>
      </c>
      <c r="X311" s="93">
        <f>SUM('3:4'!X311)</f>
        <v>0</v>
      </c>
      <c r="Y311" s="93">
        <f>SUM('3:4'!Y311)</f>
        <v>0</v>
      </c>
      <c r="Z311" s="93">
        <f>SUM('3:4'!Z311)</f>
        <v>0</v>
      </c>
      <c r="AA311" s="93">
        <f>SUM('3:4'!AA311)</f>
        <v>0</v>
      </c>
      <c r="AB311" s="358">
        <v>0.48</v>
      </c>
      <c r="AC311" s="269">
        <f t="shared" si="118"/>
        <v>0</v>
      </c>
      <c r="AD311" s="251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 ht="17.25">
      <c r="A312" s="316"/>
      <c r="B312" s="62" t="s">
        <v>100</v>
      </c>
      <c r="C312" s="16" t="s">
        <v>101</v>
      </c>
      <c r="D312" s="17">
        <v>5.04</v>
      </c>
      <c r="E312" s="17"/>
      <c r="F312" s="6"/>
      <c r="G312" s="93">
        <f>SUM('3:4'!G312)</f>
        <v>0</v>
      </c>
      <c r="H312" s="246">
        <f t="shared" si="114"/>
        <v>0</v>
      </c>
      <c r="I312" s="93">
        <f>SUM('3:4'!I312)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115"/>
        <v>0</v>
      </c>
      <c r="N312" s="31">
        <f t="shared" si="116"/>
        <v>0</v>
      </c>
      <c r="O312" s="93">
        <f>SUM('3:4'!O312)</f>
        <v>0</v>
      </c>
      <c r="P312" s="93">
        <f>SUM('3:4'!P312)</f>
        <v>0</v>
      </c>
      <c r="Q312" s="93">
        <f>SUM('3:4'!Q312)</f>
        <v>0</v>
      </c>
      <c r="R312" s="93">
        <f>SUM('3:4'!R312)</f>
        <v>0</v>
      </c>
      <c r="S312" s="93">
        <f>SUM('3:4'!S312)</f>
        <v>0</v>
      </c>
      <c r="T312" s="93">
        <f>SUM('3:4'!T312)</f>
        <v>0</v>
      </c>
      <c r="U312" s="93">
        <f>SUM('3:4'!U312)</f>
        <v>0</v>
      </c>
      <c r="V312" s="206">
        <f t="shared" si="117"/>
        <v>0</v>
      </c>
      <c r="W312" s="33" t="str">
        <f t="shared" si="106"/>
        <v/>
      </c>
      <c r="X312" s="93">
        <f>SUM('3:4'!X312)</f>
        <v>0</v>
      </c>
      <c r="Y312" s="93">
        <f>SUM('3:4'!Y312)</f>
        <v>0</v>
      </c>
      <c r="Z312" s="93">
        <f>SUM('3:4'!Z312)</f>
        <v>0</v>
      </c>
      <c r="AA312" s="93">
        <f>SUM('3:4'!AA312)</f>
        <v>0</v>
      </c>
      <c r="AB312" s="358">
        <v>0.48</v>
      </c>
      <c r="AC312" s="269">
        <f t="shared" si="118"/>
        <v>0</v>
      </c>
      <c r="AD312" s="251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 ht="17.25">
      <c r="A313" s="316">
        <v>30400019</v>
      </c>
      <c r="B313" s="192" t="s">
        <v>440</v>
      </c>
      <c r="C313" s="187" t="s">
        <v>442</v>
      </c>
      <c r="D313" s="17">
        <v>5.03</v>
      </c>
      <c r="E313" s="17"/>
      <c r="F313" s="6"/>
      <c r="G313" s="93">
        <f>SUM('3:4'!G313)</f>
        <v>0</v>
      </c>
      <c r="H313" s="481">
        <f t="shared" si="114"/>
        <v>0</v>
      </c>
      <c r="I313" s="93"/>
      <c r="J313" s="31"/>
      <c r="K313" s="35"/>
      <c r="L313" s="87">
        <v>13.5</v>
      </c>
      <c r="M313" s="36"/>
      <c r="N313" s="31"/>
      <c r="O313" s="93"/>
      <c r="P313" s="93"/>
      <c r="Q313" s="93"/>
      <c r="R313" s="93"/>
      <c r="S313" s="93"/>
      <c r="T313" s="93"/>
      <c r="U313" s="93"/>
      <c r="V313" s="206"/>
      <c r="W313" s="33"/>
      <c r="X313" s="93"/>
      <c r="Y313" s="93"/>
      <c r="Z313" s="93"/>
      <c r="AA313" s="93"/>
      <c r="AB313" s="361">
        <v>0.56000000000000005</v>
      </c>
      <c r="AC313" s="269">
        <f t="shared" si="118"/>
        <v>0</v>
      </c>
      <c r="AD313" s="262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 ht="17.25">
      <c r="A314" s="316">
        <v>30400020</v>
      </c>
      <c r="B314" s="192" t="s">
        <v>439</v>
      </c>
      <c r="C314" s="187" t="s">
        <v>523</v>
      </c>
      <c r="D314" s="17">
        <v>5.03</v>
      </c>
      <c r="E314" s="17"/>
      <c r="F314" s="6"/>
      <c r="G314" s="93"/>
      <c r="H314" s="481">
        <f t="shared" si="114"/>
        <v>0</v>
      </c>
      <c r="I314" s="93"/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6"/>
      <c r="W314" s="33"/>
      <c r="X314" s="93"/>
      <c r="Y314" s="93"/>
      <c r="Z314" s="93"/>
      <c r="AA314" s="93"/>
      <c r="AB314" s="480"/>
      <c r="AC314" s="269"/>
      <c r="AD314" s="482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 ht="17.25">
      <c r="A315" s="316">
        <v>30400021</v>
      </c>
      <c r="B315" s="192" t="s">
        <v>439</v>
      </c>
      <c r="C315" s="187" t="s">
        <v>525</v>
      </c>
      <c r="D315" s="17">
        <v>5.03</v>
      </c>
      <c r="E315" s="17"/>
      <c r="F315" s="6"/>
      <c r="G315" s="93"/>
      <c r="H315" s="508">
        <f t="shared" si="114"/>
        <v>0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6"/>
      <c r="W315" s="33"/>
      <c r="X315" s="93"/>
      <c r="Y315" s="93"/>
      <c r="Z315" s="93"/>
      <c r="AA315" s="93"/>
      <c r="AB315" s="507"/>
      <c r="AC315" s="269"/>
      <c r="AD315" s="509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 ht="17.25">
      <c r="A316" s="316">
        <v>30400022</v>
      </c>
      <c r="B316" s="62" t="s">
        <v>100</v>
      </c>
      <c r="C316" s="16" t="s">
        <v>55</v>
      </c>
      <c r="D316" s="17">
        <v>5.04</v>
      </c>
      <c r="E316" s="17"/>
      <c r="F316" s="6"/>
      <c r="G316" s="93">
        <f>SUM('3:4'!G316)</f>
        <v>808</v>
      </c>
      <c r="H316" s="246">
        <f t="shared" si="114"/>
        <v>4072.32</v>
      </c>
      <c r="I316" s="93">
        <f>SUM('3:4'!I316)</f>
        <v>49</v>
      </c>
      <c r="J316" s="31">
        <f t="array" ref="J316">IF(ISERROR(G316/I316),"",G316/I316)</f>
        <v>16.489795918367346</v>
      </c>
      <c r="K316" s="35">
        <f t="array" ref="K316">IF(ISERROR(G316/L316),"",G316/L316)</f>
        <v>36.727272727272727</v>
      </c>
      <c r="L316" s="87">
        <v>22</v>
      </c>
      <c r="M316" s="36">
        <f t="shared" si="115"/>
        <v>12.272727272727273</v>
      </c>
      <c r="N316" s="31">
        <f t="shared" si="116"/>
        <v>0</v>
      </c>
      <c r="O316" s="93">
        <f>SUM('3:4'!O316)</f>
        <v>0</v>
      </c>
      <c r="P316" s="93">
        <f>SUM('3:4'!P316)</f>
        <v>0</v>
      </c>
      <c r="Q316" s="93">
        <f>SUM('3:4'!Q316)</f>
        <v>0</v>
      </c>
      <c r="R316" s="93">
        <f>SUM('3:4'!R316)</f>
        <v>0</v>
      </c>
      <c r="S316" s="93">
        <f>SUM('3:4'!S316)</f>
        <v>0</v>
      </c>
      <c r="T316" s="93">
        <f>SUM('3:4'!T316)</f>
        <v>0</v>
      </c>
      <c r="U316" s="93">
        <f>SUM('3:4'!U316)</f>
        <v>0</v>
      </c>
      <c r="V316" s="206">
        <f t="shared" si="117"/>
        <v>0</v>
      </c>
      <c r="W316" s="33">
        <f t="shared" si="106"/>
        <v>0</v>
      </c>
      <c r="X316" s="93">
        <f>SUM('3:4'!X316)</f>
        <v>0</v>
      </c>
      <c r="Y316" s="93">
        <f>SUM('3:4'!Y316)</f>
        <v>0</v>
      </c>
      <c r="Z316" s="93">
        <f>SUM('3:4'!Z316)</f>
        <v>0</v>
      </c>
      <c r="AA316" s="93">
        <f>SUM('3:4'!AA316)</f>
        <v>0</v>
      </c>
      <c r="AB316" s="358">
        <v>0.48</v>
      </c>
      <c r="AC316" s="269">
        <f t="shared" si="118"/>
        <v>387.84</v>
      </c>
      <c r="AD316" s="251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 ht="15.75">
      <c r="A317" s="725" t="s">
        <v>102</v>
      </c>
      <c r="B317" s="726"/>
      <c r="C317" s="243" t="s">
        <v>71</v>
      </c>
      <c r="D317" s="20"/>
      <c r="E317" s="20"/>
      <c r="F317" s="32"/>
      <c r="G317" s="103">
        <f>SUM(G308:G316)</f>
        <v>1716</v>
      </c>
      <c r="H317" s="30">
        <f>SUM(H308:H316)</f>
        <v>8648.64</v>
      </c>
      <c r="I317" s="30">
        <f>SUM(I308:I316)</f>
        <v>95</v>
      </c>
      <c r="J317" s="31">
        <f t="array" ref="J317">IF(ISERROR(G317/I317),"",G317/I317)</f>
        <v>18.063157894736843</v>
      </c>
      <c r="K317" s="30">
        <f>SUM(K308:K316)</f>
        <v>78</v>
      </c>
      <c r="L317" s="98"/>
      <c r="M317" s="89">
        <f>SUM(M308:M316)</f>
        <v>17</v>
      </c>
      <c r="N317" s="30">
        <f>SUM(N308:N316)</f>
        <v>0</v>
      </c>
      <c r="O317" s="91">
        <f>SUM(O308:O316)</f>
        <v>0</v>
      </c>
      <c r="P317" s="91">
        <f>SUM(P308:P316)</f>
        <v>0</v>
      </c>
      <c r="Q317" s="91">
        <f>SUM(Q308:Q316)</f>
        <v>0</v>
      </c>
      <c r="R317" s="91"/>
      <c r="S317" s="92">
        <f>SUM(S308:S316)</f>
        <v>0</v>
      </c>
      <c r="T317" s="91">
        <f>SUM(T308:T316)</f>
        <v>0</v>
      </c>
      <c r="U317" s="91">
        <f>SUM(U308:U316)</f>
        <v>0</v>
      </c>
      <c r="V317" s="206">
        <f>SUM(V308:V316)</f>
        <v>0</v>
      </c>
      <c r="W317" s="33">
        <f t="shared" si="106"/>
        <v>0</v>
      </c>
      <c r="X317" s="92">
        <f>SUM(X308:X316)</f>
        <v>0</v>
      </c>
      <c r="Y317" s="92">
        <f>SUM(Y308:Y316)</f>
        <v>0</v>
      </c>
      <c r="Z317" s="92">
        <f>SUM(Z308:Z316)</f>
        <v>0</v>
      </c>
      <c r="AA317" s="92">
        <f>SUM(AA308:AA316)</f>
        <v>0</v>
      </c>
      <c r="AB317" s="358"/>
      <c r="AC317" s="270">
        <f>SUM(AC308:AC316)</f>
        <v>823.68</v>
      </c>
      <c r="AD317" s="251"/>
      <c r="AE317" s="74"/>
      <c r="AF317" s="74"/>
      <c r="AG317" s="74"/>
      <c r="AH317" s="7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 ht="15.75">
      <c r="A318" s="299">
        <v>30700013</v>
      </c>
      <c r="B318" s="64" t="s">
        <v>103</v>
      </c>
      <c r="C318" s="242"/>
      <c r="D318" s="17">
        <v>3.65</v>
      </c>
      <c r="E318" s="17"/>
      <c r="F318" s="53"/>
      <c r="G318" s="93">
        <f>SUM('3:4'!G318)</f>
        <v>0</v>
      </c>
      <c r="H318" s="246">
        <f>D318*G318</f>
        <v>0</v>
      </c>
      <c r="I318" s="93">
        <f>SUM('3:4'!I318)</f>
        <v>0</v>
      </c>
      <c r="J318" s="31" t="str">
        <f t="array" ref="J318">IF(ISERROR(G318/I318),"",G318/I318)</f>
        <v/>
      </c>
      <c r="K318" s="246">
        <f t="array" ref="K318">IF(ISERROR(G318/L318),"",G318/L318)</f>
        <v>0</v>
      </c>
      <c r="L318" s="87">
        <v>5</v>
      </c>
      <c r="M318" s="36">
        <f t="shared" ref="M318:M321" si="119">IF(ISERROR(I318-K318),"",I318-K318)</f>
        <v>0</v>
      </c>
      <c r="N318" s="31">
        <f t="shared" ref="N318:N321" si="120">SUM(O318:U318)</f>
        <v>0</v>
      </c>
      <c r="O318" s="93">
        <f>SUM('3:4'!O318)</f>
        <v>0</v>
      </c>
      <c r="P318" s="93">
        <f>SUM('3:4'!P318)</f>
        <v>0</v>
      </c>
      <c r="Q318" s="93">
        <f>SUM('3:4'!Q318)</f>
        <v>0</v>
      </c>
      <c r="R318" s="93">
        <f>SUM('3:4'!R318)</f>
        <v>0</v>
      </c>
      <c r="S318" s="93">
        <f>SUM('3:4'!S318)</f>
        <v>0</v>
      </c>
      <c r="T318" s="93">
        <f>SUM('3:4'!T318)</f>
        <v>0</v>
      </c>
      <c r="U318" s="93">
        <f>SUM('3:4'!U318)</f>
        <v>0</v>
      </c>
      <c r="V318" s="206">
        <f t="shared" ref="V318:V321" si="121">SUM(X318:AA318)</f>
        <v>0</v>
      </c>
      <c r="W318" s="33" t="str">
        <f t="shared" si="106"/>
        <v/>
      </c>
      <c r="X318" s="93">
        <f>SUM('3:4'!X318)</f>
        <v>0</v>
      </c>
      <c r="Y318" s="93">
        <f>SUM('3:4'!Y318)</f>
        <v>0</v>
      </c>
      <c r="Z318" s="93">
        <f>SUM('3:4'!Z318)</f>
        <v>0</v>
      </c>
      <c r="AA318" s="93">
        <f>SUM('3:4'!AA318)</f>
        <v>0</v>
      </c>
      <c r="AB318" s="358">
        <v>2.0699999999999998</v>
      </c>
      <c r="AC318" s="269">
        <f t="shared" ref="AC318:AC331" si="122">AB318*G318</f>
        <v>0</v>
      </c>
      <c r="AD318" s="251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 ht="15.75">
      <c r="A319" s="299">
        <v>30700014</v>
      </c>
      <c r="B319" s="64" t="s">
        <v>0</v>
      </c>
      <c r="C319" s="242"/>
      <c r="D319" s="17">
        <v>6.58</v>
      </c>
      <c r="E319" s="17"/>
      <c r="F319" s="6"/>
      <c r="G319" s="93">
        <f>SUM('3:4'!G319)</f>
        <v>0</v>
      </c>
      <c r="H319" s="246">
        <f t="shared" ref="H319:H327" si="123">D319*G319</f>
        <v>0</v>
      </c>
      <c r="I319" s="93">
        <f>SUM('3:4'!I319)</f>
        <v>0</v>
      </c>
      <c r="J319" s="31" t="str">
        <f t="array" ref="J319">IF(ISERROR(G319/I319),"",G319/I319)</f>
        <v/>
      </c>
      <c r="K319" s="35">
        <f t="array" ref="K319">IF(ISERROR(G319/L319),"",G319/L319)</f>
        <v>0</v>
      </c>
      <c r="L319" s="87">
        <v>5</v>
      </c>
      <c r="M319" s="36">
        <f t="shared" si="119"/>
        <v>0</v>
      </c>
      <c r="N319" s="31">
        <f t="shared" si="120"/>
        <v>0</v>
      </c>
      <c r="O319" s="93">
        <f>SUM('3:4'!O319)</f>
        <v>0</v>
      </c>
      <c r="P319" s="93">
        <f>SUM('3:4'!P319)</f>
        <v>0</v>
      </c>
      <c r="Q319" s="93">
        <f>SUM('3:4'!Q319)</f>
        <v>0</v>
      </c>
      <c r="R319" s="93">
        <f>SUM('3:4'!R319)</f>
        <v>0</v>
      </c>
      <c r="S319" s="93">
        <f>SUM('3:4'!S319)</f>
        <v>0</v>
      </c>
      <c r="T319" s="93">
        <f>SUM('3:4'!T319)</f>
        <v>0</v>
      </c>
      <c r="U319" s="93">
        <f>SUM('3:4'!U319)</f>
        <v>0</v>
      </c>
      <c r="V319" s="206">
        <f t="shared" si="121"/>
        <v>0</v>
      </c>
      <c r="W319" s="33" t="str">
        <f t="shared" si="106"/>
        <v/>
      </c>
      <c r="X319" s="93">
        <f>SUM('3:4'!X319)</f>
        <v>0</v>
      </c>
      <c r="Y319" s="93">
        <f>SUM('3:4'!Y319)</f>
        <v>0</v>
      </c>
      <c r="Z319" s="93">
        <f>SUM('3:4'!Z319)</f>
        <v>0</v>
      </c>
      <c r="AA319" s="93">
        <f>SUM('3:4'!AA319)</f>
        <v>0</v>
      </c>
      <c r="AB319" s="358">
        <v>2.0699999999999998</v>
      </c>
      <c r="AC319" s="269">
        <f t="shared" si="122"/>
        <v>0</v>
      </c>
      <c r="AD319" s="251"/>
      <c r="AE319" s="54"/>
      <c r="AF319" s="54"/>
      <c r="AG319" s="54"/>
      <c r="AH319" s="5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 ht="15.75">
      <c r="A320" s="299">
        <v>30700016</v>
      </c>
      <c r="B320" s="64" t="s">
        <v>1</v>
      </c>
      <c r="C320" s="242"/>
      <c r="D320" s="17">
        <v>7.8</v>
      </c>
      <c r="E320" s="17"/>
      <c r="F320" s="6"/>
      <c r="G320" s="93">
        <f>SUM('3:4'!G320)</f>
        <v>278</v>
      </c>
      <c r="H320" s="246">
        <f t="shared" si="123"/>
        <v>2168.4</v>
      </c>
      <c r="I320" s="93">
        <f>SUM('3:4'!I320)</f>
        <v>134.5</v>
      </c>
      <c r="J320" s="31">
        <f t="array" ref="J320">IF(ISERROR(G320/I320),"",G320/I320)</f>
        <v>2.0669144981412639</v>
      </c>
      <c r="K320" s="35">
        <f t="array" ref="K320">IF(ISERROR(G320/L320),"",G320/L320)</f>
        <v>60.434782608695656</v>
      </c>
      <c r="L320" s="87">
        <v>4.5999999999999996</v>
      </c>
      <c r="M320" s="36">
        <f t="shared" si="119"/>
        <v>74.065217391304344</v>
      </c>
      <c r="N320" s="31">
        <f t="shared" si="120"/>
        <v>0</v>
      </c>
      <c r="O320" s="93">
        <f>SUM('3:4'!O320)</f>
        <v>0</v>
      </c>
      <c r="P320" s="93">
        <f>SUM('3:4'!P320)</f>
        <v>0</v>
      </c>
      <c r="Q320" s="93">
        <f>SUM('3:4'!Q320)</f>
        <v>0</v>
      </c>
      <c r="R320" s="93">
        <f>SUM('3:4'!R320)</f>
        <v>0</v>
      </c>
      <c r="S320" s="93">
        <f>SUM('3:4'!S320)</f>
        <v>0</v>
      </c>
      <c r="T320" s="93">
        <f>SUM('3:4'!T320)</f>
        <v>0</v>
      </c>
      <c r="U320" s="93">
        <f>SUM('3:4'!U320)</f>
        <v>0</v>
      </c>
      <c r="V320" s="206">
        <f t="shared" si="121"/>
        <v>0</v>
      </c>
      <c r="W320" s="33">
        <f t="shared" si="106"/>
        <v>0</v>
      </c>
      <c r="X320" s="93">
        <f>SUM('3:4'!X320)</f>
        <v>0</v>
      </c>
      <c r="Y320" s="93">
        <f>SUM('3:4'!Y320)</f>
        <v>0</v>
      </c>
      <c r="Z320" s="93">
        <f>SUM('3:4'!Z320)</f>
        <v>0</v>
      </c>
      <c r="AA320" s="93">
        <f>SUM('3:4'!AA320)</f>
        <v>0</v>
      </c>
      <c r="AB320" s="358">
        <v>2.25</v>
      </c>
      <c r="AC320" s="269">
        <f t="shared" si="122"/>
        <v>625.5</v>
      </c>
      <c r="AD320" s="251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 ht="15.75">
      <c r="A321" s="299">
        <v>30700017</v>
      </c>
      <c r="B321" s="64" t="s">
        <v>2</v>
      </c>
      <c r="C321" s="242"/>
      <c r="D321" s="17">
        <v>4.4000000000000004</v>
      </c>
      <c r="E321" s="17"/>
      <c r="F321" s="6"/>
      <c r="G321" s="93">
        <f>SUM('3:4'!G321)</f>
        <v>243</v>
      </c>
      <c r="H321" s="246">
        <f t="shared" si="123"/>
        <v>1069.2</v>
      </c>
      <c r="I321" s="93">
        <f>SUM('3:4'!I321)</f>
        <v>42</v>
      </c>
      <c r="J321" s="31">
        <f t="array" ref="J321">IF(ISERROR(G321/I321),"",G321/I321)</f>
        <v>5.7857142857142856</v>
      </c>
      <c r="K321" s="35">
        <f t="array" ref="K321">IF(ISERROR(G321/L321),"",G321/L321)</f>
        <v>41.896551724137929</v>
      </c>
      <c r="L321" s="87">
        <v>5.8</v>
      </c>
      <c r="M321" s="36">
        <f t="shared" si="119"/>
        <v>0.10344827586207117</v>
      </c>
      <c r="N321" s="31">
        <f t="shared" si="120"/>
        <v>0</v>
      </c>
      <c r="O321" s="93">
        <f>SUM('3:4'!O321)</f>
        <v>0</v>
      </c>
      <c r="P321" s="93">
        <f>SUM('3:4'!P321)</f>
        <v>0</v>
      </c>
      <c r="Q321" s="93">
        <f>SUM('3:4'!Q321)</f>
        <v>0</v>
      </c>
      <c r="R321" s="93">
        <f>SUM('3:4'!R321)</f>
        <v>0</v>
      </c>
      <c r="S321" s="93">
        <f>SUM('3:4'!S321)</f>
        <v>0</v>
      </c>
      <c r="T321" s="93">
        <f>SUM('3:4'!T321)</f>
        <v>0</v>
      </c>
      <c r="U321" s="93">
        <f>SUM('3:4'!U321)</f>
        <v>0</v>
      </c>
      <c r="V321" s="206">
        <f t="shared" si="121"/>
        <v>0</v>
      </c>
      <c r="W321" s="33">
        <f t="shared" si="106"/>
        <v>0</v>
      </c>
      <c r="X321" s="93">
        <f>SUM('3:4'!X321)</f>
        <v>0</v>
      </c>
      <c r="Y321" s="93">
        <f>SUM('3:4'!Y321)</f>
        <v>0</v>
      </c>
      <c r="Z321" s="93">
        <f>SUM('3:4'!Z321)</f>
        <v>0</v>
      </c>
      <c r="AA321" s="93">
        <f>SUM('3:4'!AA321)</f>
        <v>0</v>
      </c>
      <c r="AB321" s="358">
        <v>1.79</v>
      </c>
      <c r="AC321" s="269">
        <f t="shared" si="122"/>
        <v>434.97</v>
      </c>
      <c r="AD321" s="251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 ht="15.75">
      <c r="A322" s="299">
        <v>30700001</v>
      </c>
      <c r="B322" s="191" t="s">
        <v>359</v>
      </c>
      <c r="C322" s="242"/>
      <c r="D322" s="17"/>
      <c r="E322" s="17"/>
      <c r="F322" s="6"/>
      <c r="G322" s="93">
        <f>SUM('3:4'!G322)</f>
        <v>0</v>
      </c>
      <c r="H322" s="296">
        <f t="shared" si="123"/>
        <v>0</v>
      </c>
      <c r="I322" s="93">
        <f>SUM('3:4'!I322)</f>
        <v>0</v>
      </c>
      <c r="J322" s="31"/>
      <c r="K322" s="35"/>
      <c r="L322" s="87">
        <v>6</v>
      </c>
      <c r="M322" s="36"/>
      <c r="N322" s="31"/>
      <c r="O322" s="93">
        <f>SUM('3:4'!O322)</f>
        <v>0</v>
      </c>
      <c r="P322" s="93">
        <f>SUM('3:4'!P322)</f>
        <v>0</v>
      </c>
      <c r="Q322" s="93">
        <f>SUM('3:4'!Q322)</f>
        <v>0</v>
      </c>
      <c r="R322" s="93">
        <f>SUM('3:4'!R322)</f>
        <v>0</v>
      </c>
      <c r="S322" s="93">
        <f>SUM('3:4'!S322)</f>
        <v>0</v>
      </c>
      <c r="T322" s="93">
        <f>SUM('3:4'!T322)</f>
        <v>0</v>
      </c>
      <c r="U322" s="93">
        <f>SUM('3:4'!U322)</f>
        <v>0</v>
      </c>
      <c r="V322" s="206"/>
      <c r="W322" s="33"/>
      <c r="X322" s="93">
        <f>SUM('3:4'!X322)</f>
        <v>0</v>
      </c>
      <c r="Y322" s="93">
        <f>SUM('3:4'!Y322)</f>
        <v>0</v>
      </c>
      <c r="Z322" s="93">
        <f>SUM('3:4'!Z322)</f>
        <v>0</v>
      </c>
      <c r="AA322" s="93">
        <f>SUM('3:4'!AA322)</f>
        <v>0</v>
      </c>
      <c r="AB322" s="358">
        <v>1.92</v>
      </c>
      <c r="AC322" s="269">
        <f t="shared" si="122"/>
        <v>0</v>
      </c>
      <c r="AD322" s="251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 ht="17.25">
      <c r="A323" s="322"/>
      <c r="B323" s="66" t="s">
        <v>104</v>
      </c>
      <c r="C323" s="242" t="s">
        <v>53</v>
      </c>
      <c r="D323" s="17">
        <v>6.04</v>
      </c>
      <c r="E323" s="17"/>
      <c r="F323" s="6"/>
      <c r="G323" s="93">
        <f>SUM('3:4'!G323)</f>
        <v>0</v>
      </c>
      <c r="H323" s="296">
        <f t="shared" si="123"/>
        <v>0</v>
      </c>
      <c r="I323" s="93">
        <f>SUM('3:4'!I323)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6</v>
      </c>
      <c r="M323" s="36">
        <f t="shared" ref="M323:M324" si="124">IF(ISERROR(I323-K323),"",I323-K323)</f>
        <v>0</v>
      </c>
      <c r="N323" s="31">
        <f t="shared" ref="N323:N324" si="125">SUM(O323:U323)</f>
        <v>0</v>
      </c>
      <c r="O323" s="93">
        <f>SUM('3:4'!O323)</f>
        <v>0</v>
      </c>
      <c r="P323" s="93">
        <f>SUM('3:4'!P323)</f>
        <v>0</v>
      </c>
      <c r="Q323" s="93">
        <f>SUM('3:4'!Q323)</f>
        <v>0</v>
      </c>
      <c r="R323" s="93">
        <f>SUM('3:4'!R323)</f>
        <v>0</v>
      </c>
      <c r="S323" s="93">
        <f>SUM('3:4'!S323)</f>
        <v>0</v>
      </c>
      <c r="T323" s="93">
        <f>SUM('3:4'!T323)</f>
        <v>0</v>
      </c>
      <c r="U323" s="93">
        <f>SUM('3:4'!U323)</f>
        <v>0</v>
      </c>
      <c r="V323" s="206">
        <f t="shared" ref="V323:V324" si="126">SUM(X323:AA323)</f>
        <v>0</v>
      </c>
      <c r="W323" s="33" t="str">
        <f t="shared" ref="W323:W324" si="127">IF(ISERROR(V323/G323),"",V323/G323)</f>
        <v/>
      </c>
      <c r="X323" s="93">
        <f>SUM('3:4'!X323)</f>
        <v>0</v>
      </c>
      <c r="Y323" s="93">
        <f>SUM('3:4'!Y323)</f>
        <v>0</v>
      </c>
      <c r="Z323" s="93">
        <f>SUM('3:4'!Z323)</f>
        <v>0</v>
      </c>
      <c r="AA323" s="93">
        <f>SUM('3:4'!AA323)</f>
        <v>0</v>
      </c>
      <c r="AB323" s="358">
        <v>1.73</v>
      </c>
      <c r="AC323" s="269">
        <f t="shared" si="122"/>
        <v>0</v>
      </c>
      <c r="AD323" s="251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 ht="17.25">
      <c r="A324" s="322">
        <v>30700019</v>
      </c>
      <c r="B324" s="66" t="s">
        <v>104</v>
      </c>
      <c r="C324" s="242" t="s">
        <v>60</v>
      </c>
      <c r="D324" s="17">
        <v>6.04</v>
      </c>
      <c r="E324" s="17"/>
      <c r="F324" s="6"/>
      <c r="G324" s="93">
        <f>SUM('3:4'!G324)</f>
        <v>0</v>
      </c>
      <c r="H324" s="296">
        <f t="shared" si="123"/>
        <v>0</v>
      </c>
      <c r="I324" s="93">
        <f>SUM('3:4'!I324)</f>
        <v>0</v>
      </c>
      <c r="J324" s="31" t="str">
        <f t="array" ref="J324">IF(ISERROR(G324/I324),"",G324/I324)</f>
        <v/>
      </c>
      <c r="K324" s="35">
        <f t="array" ref="K324">IF(ISERROR(G324/L324),"",G324/L324)</f>
        <v>0</v>
      </c>
      <c r="L324" s="87">
        <v>6</v>
      </c>
      <c r="M324" s="36">
        <f t="shared" si="124"/>
        <v>0</v>
      </c>
      <c r="N324" s="31">
        <f t="shared" si="125"/>
        <v>0</v>
      </c>
      <c r="O324" s="93">
        <f>SUM('3:4'!O324)</f>
        <v>0</v>
      </c>
      <c r="P324" s="93">
        <f>SUM('3:4'!P324)</f>
        <v>0</v>
      </c>
      <c r="Q324" s="93">
        <f>SUM('3:4'!Q324)</f>
        <v>0</v>
      </c>
      <c r="R324" s="93">
        <f>SUM('3:4'!R324)</f>
        <v>0</v>
      </c>
      <c r="S324" s="93">
        <f>SUM('3:4'!S324)</f>
        <v>0</v>
      </c>
      <c r="T324" s="93">
        <f>SUM('3:4'!T324)</f>
        <v>0</v>
      </c>
      <c r="U324" s="93">
        <f>SUM('3:4'!U324)</f>
        <v>0</v>
      </c>
      <c r="V324" s="206">
        <f t="shared" si="126"/>
        <v>0</v>
      </c>
      <c r="W324" s="33" t="str">
        <f t="shared" si="127"/>
        <v/>
      </c>
      <c r="X324" s="93">
        <f>SUM('3:4'!X324)</f>
        <v>0</v>
      </c>
      <c r="Y324" s="93">
        <f>SUM('3:4'!Y324)</f>
        <v>0</v>
      </c>
      <c r="Z324" s="93">
        <f>SUM('3:4'!Z324)</f>
        <v>0</v>
      </c>
      <c r="AA324" s="93">
        <f>SUM('3:4'!AA324)</f>
        <v>0</v>
      </c>
      <c r="AB324" s="358">
        <v>1.73</v>
      </c>
      <c r="AC324" s="269">
        <f t="shared" si="122"/>
        <v>0</v>
      </c>
      <c r="AD324" s="251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 ht="15.75">
      <c r="A325" s="305">
        <v>30601015</v>
      </c>
      <c r="B325" s="281" t="s">
        <v>444</v>
      </c>
      <c r="C325" s="280" t="s">
        <v>53</v>
      </c>
      <c r="D325" s="17">
        <v>6</v>
      </c>
      <c r="E325" s="17"/>
      <c r="F325" s="6"/>
      <c r="G325" s="93">
        <f>SUM('3:4'!G325)</f>
        <v>0</v>
      </c>
      <c r="H325" s="296">
        <f t="shared" si="123"/>
        <v>0</v>
      </c>
      <c r="I325" s="93"/>
      <c r="J325" s="31"/>
      <c r="K325" s="35"/>
      <c r="L325" s="87"/>
      <c r="M325" s="36"/>
      <c r="N325" s="31"/>
      <c r="O325" s="93"/>
      <c r="P325" s="93"/>
      <c r="Q325" s="93"/>
      <c r="R325" s="93"/>
      <c r="S325" s="93"/>
      <c r="T325" s="93"/>
      <c r="U325" s="93"/>
      <c r="V325" s="206"/>
      <c r="W325" s="33"/>
      <c r="X325" s="93"/>
      <c r="Y325" s="93"/>
      <c r="Z325" s="93"/>
      <c r="AA325" s="93"/>
      <c r="AB325" s="358">
        <v>1.73</v>
      </c>
      <c r="AC325" s="269">
        <f t="shared" si="122"/>
        <v>0</v>
      </c>
      <c r="AD325" s="279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 ht="15.75">
      <c r="A326" s="305">
        <v>30101016</v>
      </c>
      <c r="B326" s="281" t="s">
        <v>443</v>
      </c>
      <c r="C326" s="283" t="s">
        <v>445</v>
      </c>
      <c r="D326" s="17">
        <v>6</v>
      </c>
      <c r="E326" s="17"/>
      <c r="F326" s="6"/>
      <c r="G326" s="93">
        <f>SUM('3:4'!G326)</f>
        <v>0</v>
      </c>
      <c r="H326" s="296">
        <f t="shared" si="123"/>
        <v>0</v>
      </c>
      <c r="I326" s="93">
        <f>SUM('3:4'!I326)</f>
        <v>0</v>
      </c>
      <c r="J326" s="31"/>
      <c r="K326" s="35">
        <f t="array" ref="K326">IF(ISERROR(G326/L326),"",G326/L326)</f>
        <v>0</v>
      </c>
      <c r="L326" s="87">
        <v>6</v>
      </c>
      <c r="M326" s="36"/>
      <c r="N326" s="31"/>
      <c r="O326" s="93">
        <f>SUM('3:4'!O326)</f>
        <v>0</v>
      </c>
      <c r="P326" s="93">
        <f>SUM('3:4'!P326)</f>
        <v>0</v>
      </c>
      <c r="Q326" s="93">
        <f>SUM('3:4'!Q326)</f>
        <v>0</v>
      </c>
      <c r="R326" s="93">
        <f>SUM('3:4'!R326)</f>
        <v>0</v>
      </c>
      <c r="S326" s="93">
        <f>SUM('3:4'!S326)</f>
        <v>0</v>
      </c>
      <c r="T326" s="93">
        <f>SUM('3:4'!T326)</f>
        <v>0</v>
      </c>
      <c r="U326" s="93">
        <f>SUM('3:4'!U326)</f>
        <v>0</v>
      </c>
      <c r="V326" s="206"/>
      <c r="W326" s="33"/>
      <c r="X326" s="93">
        <f>SUM('3:4'!X326)</f>
        <v>0</v>
      </c>
      <c r="Y326" s="93">
        <f>SUM('3:4'!Y326)</f>
        <v>0</v>
      </c>
      <c r="Z326" s="93">
        <f>SUM('3:4'!Z326)</f>
        <v>0</v>
      </c>
      <c r="AA326" s="93">
        <f>SUM('3:4'!AA326)</f>
        <v>0</v>
      </c>
      <c r="AB326" s="358">
        <v>1.73</v>
      </c>
      <c r="AC326" s="269">
        <f t="shared" si="122"/>
        <v>0</v>
      </c>
      <c r="AD326" s="251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 ht="15.75">
      <c r="A327" s="299">
        <v>30700018</v>
      </c>
      <c r="B327" s="61" t="s">
        <v>159</v>
      </c>
      <c r="C327" s="16"/>
      <c r="D327" s="17">
        <v>7.3</v>
      </c>
      <c r="E327" s="17"/>
      <c r="F327" s="6"/>
      <c r="G327" s="93"/>
      <c r="H327" s="296">
        <f t="shared" si="123"/>
        <v>0</v>
      </c>
      <c r="I327" s="93"/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6"/>
      <c r="W327" s="33"/>
      <c r="X327" s="93"/>
      <c r="Y327" s="93"/>
      <c r="Z327" s="93"/>
      <c r="AA327" s="93"/>
      <c r="AB327" s="358"/>
      <c r="AC327" s="269"/>
      <c r="AD327" s="295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 ht="15.75">
      <c r="A328" s="299">
        <v>30700010</v>
      </c>
      <c r="B328" s="61" t="s">
        <v>105</v>
      </c>
      <c r="C328" s="16"/>
      <c r="D328" s="17">
        <f>78*120/1000</f>
        <v>9.36</v>
      </c>
      <c r="E328" s="17"/>
      <c r="F328" s="6"/>
      <c r="G328" s="93">
        <f>SUM('3:4'!G328)</f>
        <v>0</v>
      </c>
      <c r="H328" s="256">
        <f t="shared" ref="H328:H331" si="128">D328*G328</f>
        <v>0</v>
      </c>
      <c r="I328" s="93">
        <f>SUM('3:4'!I328)</f>
        <v>0</v>
      </c>
      <c r="J328" s="31" t="str">
        <f t="array" ref="J328">IF(ISERROR(G328/I328),"",G328/I328)</f>
        <v/>
      </c>
      <c r="K328" s="35">
        <f t="array" ref="K328">IF(ISERROR(G328/L328),"",G328/L328)</f>
        <v>0</v>
      </c>
      <c r="L328" s="87">
        <v>7.5</v>
      </c>
      <c r="M328" s="36">
        <f t="shared" ref="M328" si="129">IF(ISERROR(I328-K328),"",I328-K328)</f>
        <v>0</v>
      </c>
      <c r="N328" s="31">
        <f t="shared" ref="N328" si="130">SUM(O328:U328)</f>
        <v>0</v>
      </c>
      <c r="O328" s="93">
        <f>SUM('3:4'!O328)</f>
        <v>0</v>
      </c>
      <c r="P328" s="93">
        <f>SUM('3:4'!P328)</f>
        <v>0</v>
      </c>
      <c r="Q328" s="93">
        <f>SUM('3:4'!Q328)</f>
        <v>0</v>
      </c>
      <c r="R328" s="93">
        <f>SUM('3:4'!R328)</f>
        <v>0</v>
      </c>
      <c r="S328" s="93">
        <f>SUM('3:4'!S328)</f>
        <v>0</v>
      </c>
      <c r="T328" s="93">
        <f>SUM('3:4'!T328)</f>
        <v>0</v>
      </c>
      <c r="U328" s="93">
        <f>SUM('3:4'!U328)</f>
        <v>0</v>
      </c>
      <c r="V328" s="206">
        <f t="shared" ref="V328" si="131">SUM(X328:AA328)</f>
        <v>0</v>
      </c>
      <c r="W328" s="33" t="str">
        <f t="shared" ref="W328" si="132">IF(ISERROR(V328/G328),"",V328/G328)</f>
        <v/>
      </c>
      <c r="X328" s="93">
        <f>SUM('3:4'!X328)</f>
        <v>0</v>
      </c>
      <c r="Y328" s="93">
        <f>SUM('3:4'!Y328)</f>
        <v>0</v>
      </c>
      <c r="Z328" s="93">
        <f>SUM('3:4'!Z328)</f>
        <v>0</v>
      </c>
      <c r="AA328" s="93">
        <f>SUM('3:4'!AA328)</f>
        <v>0</v>
      </c>
      <c r="AB328" s="358">
        <v>1.27</v>
      </c>
      <c r="AC328" s="269">
        <f t="shared" si="122"/>
        <v>0</v>
      </c>
      <c r="AD328" s="251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 ht="15.75">
      <c r="A329" s="299">
        <v>30700015</v>
      </c>
      <c r="B329" s="294" t="s">
        <v>159</v>
      </c>
      <c r="C329" s="16"/>
      <c r="D329" s="17">
        <v>4.5</v>
      </c>
      <c r="E329" s="17"/>
      <c r="F329" s="6"/>
      <c r="G329" s="93">
        <f>SUM('3:4'!G329)</f>
        <v>0</v>
      </c>
      <c r="H329" s="256">
        <f t="shared" si="128"/>
        <v>0</v>
      </c>
      <c r="I329" s="93">
        <f>SUM('3:4'!I329)</f>
        <v>0</v>
      </c>
      <c r="J329" s="31"/>
      <c r="K329" s="35" t="str">
        <f t="array" ref="K329">IF(ISERROR(G329/L329),"",G329/L329)</f>
        <v/>
      </c>
      <c r="L329" s="87"/>
      <c r="M329" s="36"/>
      <c r="N329" s="31"/>
      <c r="O329" s="93">
        <f>SUM('3:4'!O329)</f>
        <v>0</v>
      </c>
      <c r="P329" s="93">
        <f>SUM('3:4'!P329)</f>
        <v>0</v>
      </c>
      <c r="Q329" s="93">
        <f>SUM('3:4'!Q329)</f>
        <v>0</v>
      </c>
      <c r="R329" s="93">
        <f>SUM('3:4'!R329)</f>
        <v>0</v>
      </c>
      <c r="S329" s="93">
        <f>SUM('3:4'!S329)</f>
        <v>0</v>
      </c>
      <c r="T329" s="93">
        <f>SUM('3:4'!T329)</f>
        <v>0</v>
      </c>
      <c r="U329" s="93">
        <f>SUM('3:4'!U329)</f>
        <v>0</v>
      </c>
      <c r="V329" s="206"/>
      <c r="W329" s="33"/>
      <c r="X329" s="93">
        <f>SUM('3:4'!X329)</f>
        <v>0</v>
      </c>
      <c r="Y329" s="93">
        <f>SUM('3:4'!Y329)</f>
        <v>0</v>
      </c>
      <c r="Z329" s="93">
        <f>SUM('3:4'!Z329)</f>
        <v>0</v>
      </c>
      <c r="AA329" s="93">
        <f>SUM('3:4'!AA329)</f>
        <v>0</v>
      </c>
      <c r="AB329" s="358"/>
      <c r="AC329" s="269">
        <f t="shared" si="122"/>
        <v>0</v>
      </c>
      <c r="AD329" s="251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 ht="15.75">
      <c r="A330" s="299">
        <v>30700012</v>
      </c>
      <c r="B330" s="294" t="s">
        <v>160</v>
      </c>
      <c r="C330" s="16"/>
      <c r="D330" s="17">
        <v>4.5</v>
      </c>
      <c r="E330" s="17"/>
      <c r="F330" s="6"/>
      <c r="G330" s="93">
        <f>SUM('3:4'!G330)</f>
        <v>0</v>
      </c>
      <c r="H330" s="256">
        <f t="shared" si="128"/>
        <v>0</v>
      </c>
      <c r="I330" s="93">
        <f>SUM('3:4'!I330)</f>
        <v>0</v>
      </c>
      <c r="J330" s="31"/>
      <c r="K330" s="35">
        <f t="array" ref="K330">IF(ISERROR(G330/L330),"",G330/L330)</f>
        <v>0</v>
      </c>
      <c r="L330" s="87">
        <v>6.5</v>
      </c>
      <c r="M330" s="36">
        <f>IF(ISERROR(I330-K330),"",I330-K330)</f>
        <v>0</v>
      </c>
      <c r="N330" s="31"/>
      <c r="O330" s="93">
        <f>SUM('3:4'!O330)</f>
        <v>0</v>
      </c>
      <c r="P330" s="93">
        <f>SUM('3:4'!P330)</f>
        <v>0</v>
      </c>
      <c r="Q330" s="93">
        <f>SUM('3:4'!Q330)</f>
        <v>0</v>
      </c>
      <c r="R330" s="93">
        <f>SUM('3:4'!R330)</f>
        <v>0</v>
      </c>
      <c r="S330" s="93">
        <f>SUM('3:4'!S330)</f>
        <v>0</v>
      </c>
      <c r="T330" s="93">
        <f>SUM('3:4'!T330)</f>
        <v>0</v>
      </c>
      <c r="U330" s="93">
        <f>SUM('3:4'!U330)</f>
        <v>0</v>
      </c>
      <c r="V330" s="206"/>
      <c r="W330" s="33"/>
      <c r="X330" s="93">
        <f>SUM('3:4'!X330)</f>
        <v>0</v>
      </c>
      <c r="Y330" s="93">
        <f>SUM('3:4'!Y330)</f>
        <v>0</v>
      </c>
      <c r="Z330" s="93">
        <f>SUM('3:4'!Z330)</f>
        <v>0</v>
      </c>
      <c r="AA330" s="93">
        <f>SUM('3:4'!AA330)</f>
        <v>0</v>
      </c>
      <c r="AB330" s="358"/>
      <c r="AC330" s="269">
        <f t="shared" si="122"/>
        <v>0</v>
      </c>
      <c r="AD330" s="251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 ht="17.25">
      <c r="A331" s="320"/>
      <c r="B331" s="199" t="s">
        <v>438</v>
      </c>
      <c r="C331" s="16"/>
      <c r="D331" s="17">
        <v>4.5</v>
      </c>
      <c r="E331" s="17"/>
      <c r="F331" s="6"/>
      <c r="G331" s="93">
        <f>SUM('3:4'!G331)</f>
        <v>0</v>
      </c>
      <c r="H331" s="256">
        <f t="shared" si="128"/>
        <v>0</v>
      </c>
      <c r="I331" s="93">
        <f>SUM('3:4'!I331)</f>
        <v>0</v>
      </c>
      <c r="J331" s="31"/>
      <c r="K331" s="35">
        <f t="array" ref="K331">IF(ISERROR(G331/L331),"",G331/L331)</f>
        <v>0</v>
      </c>
      <c r="L331" s="87">
        <v>7.5</v>
      </c>
      <c r="M331" s="36">
        <f>IF(ISERROR(I331-K331),"",I331-K331)</f>
        <v>0</v>
      </c>
      <c r="N331" s="31"/>
      <c r="O331" s="93">
        <f>SUM('3:4'!O331)</f>
        <v>0</v>
      </c>
      <c r="P331" s="93">
        <f>SUM('3:4'!P331)</f>
        <v>0</v>
      </c>
      <c r="Q331" s="93">
        <f>SUM('3:4'!Q331)</f>
        <v>0</v>
      </c>
      <c r="R331" s="93">
        <f>SUM('3:4'!R331)</f>
        <v>0</v>
      </c>
      <c r="S331" s="93">
        <f>SUM('3:4'!S331)</f>
        <v>0</v>
      </c>
      <c r="T331" s="93">
        <f>SUM('3:4'!T331)</f>
        <v>0</v>
      </c>
      <c r="U331" s="93">
        <f>SUM('3:4'!U331)</f>
        <v>0</v>
      </c>
      <c r="V331" s="206"/>
      <c r="W331" s="33"/>
      <c r="X331" s="93">
        <f>SUM('3:4'!X331)</f>
        <v>0</v>
      </c>
      <c r="Y331" s="93">
        <f>SUM('3:4'!Y331)</f>
        <v>0</v>
      </c>
      <c r="Z331" s="93">
        <f>SUM('3:4'!Z331)</f>
        <v>0</v>
      </c>
      <c r="AA331" s="93">
        <f>SUM('3:4'!AA331)</f>
        <v>0</v>
      </c>
      <c r="AB331" s="358"/>
      <c r="AC331" s="269">
        <f t="shared" si="122"/>
        <v>0</v>
      </c>
      <c r="AD331" s="251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 ht="13.5" customHeight="1">
      <c r="A332" s="725" t="s">
        <v>106</v>
      </c>
      <c r="B332" s="726"/>
      <c r="C332" s="243" t="s">
        <v>71</v>
      </c>
      <c r="D332" s="20"/>
      <c r="E332" s="20"/>
      <c r="F332" s="32"/>
      <c r="G332" s="94">
        <f>SUM(G318:G331)</f>
        <v>521</v>
      </c>
      <c r="H332" s="30">
        <f>SUM(H318:H331)</f>
        <v>3237.6000000000004</v>
      </c>
      <c r="I332" s="30">
        <f>SUM(I318:I331)</f>
        <v>176.5</v>
      </c>
      <c r="J332" s="31">
        <f t="array" ref="J332">IF(ISERROR(G332/I332),"",G332/I332)</f>
        <v>2.951841359773371</v>
      </c>
      <c r="K332" s="30">
        <f>SUM(K318:K328)</f>
        <v>102.33133433283359</v>
      </c>
      <c r="L332" s="98"/>
      <c r="M332" s="89">
        <f t="shared" ref="M332:V332" si="133">SUM(M318:M328)</f>
        <v>74.168665667166408</v>
      </c>
      <c r="N332" s="20">
        <f t="shared" si="133"/>
        <v>0</v>
      </c>
      <c r="O332" s="91">
        <f t="shared" si="133"/>
        <v>0</v>
      </c>
      <c r="P332" s="91">
        <f t="shared" si="133"/>
        <v>0</v>
      </c>
      <c r="Q332" s="91">
        <f t="shared" si="133"/>
        <v>0</v>
      </c>
      <c r="R332" s="91">
        <f t="shared" si="133"/>
        <v>0</v>
      </c>
      <c r="S332" s="92">
        <f t="shared" si="133"/>
        <v>0</v>
      </c>
      <c r="T332" s="91">
        <f t="shared" si="133"/>
        <v>0</v>
      </c>
      <c r="U332" s="91">
        <f t="shared" si="133"/>
        <v>0</v>
      </c>
      <c r="V332" s="206">
        <f t="shared" si="133"/>
        <v>0</v>
      </c>
      <c r="W332" s="33">
        <f t="shared" ref="W332" si="134">IF(ISERROR(V332/G332),"",V332/G332)</f>
        <v>0</v>
      </c>
      <c r="X332" s="92">
        <f>SUM(X318:X328)</f>
        <v>0</v>
      </c>
      <c r="Y332" s="92">
        <f>SUM(Y318:Y328)</f>
        <v>0</v>
      </c>
      <c r="Z332" s="92">
        <f>SUM(Z318:Z328)</f>
        <v>0</v>
      </c>
      <c r="AA332" s="92">
        <f>SUM(AA318:AA328)</f>
        <v>0</v>
      </c>
      <c r="AB332" s="358"/>
      <c r="AC332" s="91">
        <f>SUM(AC318:AC331)</f>
        <v>1060.47</v>
      </c>
      <c r="AD332" s="58"/>
      <c r="AE332" s="70"/>
      <c r="AF332" s="70"/>
      <c r="AG332" s="70"/>
      <c r="AH332" s="70"/>
      <c r="AI332" s="58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  <c r="AU332" s="58"/>
      <c r="AV332" s="58"/>
      <c r="AW332" s="58"/>
      <c r="AX332" s="58"/>
      <c r="AY332" s="58"/>
      <c r="AZ332" s="58"/>
      <c r="BA332" s="58"/>
    </row>
    <row r="333" spans="1:53" ht="13.5" customHeight="1">
      <c r="A333" s="736" t="s">
        <v>108</v>
      </c>
      <c r="B333" s="737"/>
      <c r="C333" s="737"/>
      <c r="D333" s="737"/>
      <c r="E333" s="737"/>
      <c r="F333" s="738"/>
      <c r="G333" s="193">
        <f>SUM(G198,G256,G291,G307,G317,G332)</f>
        <v>3831</v>
      </c>
      <c r="H333" s="193">
        <f>SUM(H198,H256,H291,H307,H317,H332)</f>
        <v>13261.57</v>
      </c>
      <c r="I333" s="193">
        <f>SUM(I198,I256,I291,I307,I317,I332)</f>
        <v>582.29999999999995</v>
      </c>
      <c r="J333" s="52">
        <f t="array" ref="J333">IF(ISERROR(G333/I333),"",G333/I333)</f>
        <v>6.5790829469345704</v>
      </c>
      <c r="K333" s="193">
        <f>SUM(K198,K256,K291,K307,K317,K332)</f>
        <v>199.29907626831746</v>
      </c>
      <c r="L333" s="52">
        <f>IF(ISERROR(G333/K333),"",G333/K333)</f>
        <v>19.22236706627934</v>
      </c>
      <c r="M333" s="193">
        <f t="shared" ref="M333:AA333" si="135">SUM(M198,M256,M291,M307,M317,M332)</f>
        <v>93.500923731682533</v>
      </c>
      <c r="N333" s="193">
        <f t="shared" si="135"/>
        <v>0</v>
      </c>
      <c r="O333" s="193">
        <f t="shared" si="135"/>
        <v>0</v>
      </c>
      <c r="P333" s="193">
        <f t="shared" si="135"/>
        <v>0</v>
      </c>
      <c r="Q333" s="193">
        <f t="shared" si="135"/>
        <v>0</v>
      </c>
      <c r="R333" s="193">
        <f t="shared" si="135"/>
        <v>0</v>
      </c>
      <c r="S333" s="193">
        <f t="shared" si="135"/>
        <v>0</v>
      </c>
      <c r="T333" s="193">
        <f t="shared" si="135"/>
        <v>0</v>
      </c>
      <c r="U333" s="193">
        <f t="shared" si="135"/>
        <v>0</v>
      </c>
      <c r="V333" s="193">
        <f t="shared" si="135"/>
        <v>0</v>
      </c>
      <c r="W333" s="193">
        <f t="shared" si="135"/>
        <v>0</v>
      </c>
      <c r="X333" s="193">
        <f t="shared" si="135"/>
        <v>0</v>
      </c>
      <c r="Y333" s="193">
        <f t="shared" si="135"/>
        <v>0</v>
      </c>
      <c r="Z333" s="193">
        <f t="shared" si="135"/>
        <v>0</v>
      </c>
      <c r="AA333" s="193">
        <f t="shared" si="135"/>
        <v>0</v>
      </c>
      <c r="AB333" s="358"/>
      <c r="AC333" s="271">
        <f>SUM(AC198,AC256,AC291,AC307,AC317,AC332)</f>
        <v>4367.9699999999993</v>
      </c>
      <c r="AD333" s="251"/>
      <c r="AE333" s="77"/>
      <c r="AF333" s="77"/>
      <c r="AG333" s="77"/>
      <c r="AH333" s="77"/>
      <c r="AI333" s="57"/>
      <c r="AJ333" s="57"/>
      <c r="AK333" s="57"/>
      <c r="AL333" s="753"/>
      <c r="AM333" s="753"/>
      <c r="AN333" s="753"/>
      <c r="AO333" s="753"/>
      <c r="AP333" s="753"/>
      <c r="AQ333" s="753"/>
      <c r="AR333" s="753"/>
      <c r="AS333" s="753"/>
      <c r="AT333" s="753"/>
      <c r="AU333" s="753"/>
      <c r="AV333" s="753"/>
      <c r="AW333" s="753"/>
      <c r="AX333" s="753"/>
      <c r="AY333" s="753"/>
      <c r="AZ333" s="753"/>
      <c r="BA333" s="753"/>
    </row>
    <row r="334" spans="1:53" ht="13.5" hidden="1" customHeight="1">
      <c r="A334" s="790" t="s">
        <v>109</v>
      </c>
      <c r="B334" s="245" t="s">
        <v>110</v>
      </c>
      <c r="C334" s="739" t="s">
        <v>111</v>
      </c>
      <c r="D334" s="739"/>
      <c r="E334" s="718" t="s">
        <v>112</v>
      </c>
      <c r="F334" s="718"/>
      <c r="G334" s="729" t="s">
        <v>113</v>
      </c>
      <c r="H334" s="729"/>
      <c r="I334" s="718" t="s">
        <v>114</v>
      </c>
      <c r="J334" s="718"/>
      <c r="K334" s="718" t="s">
        <v>36</v>
      </c>
      <c r="L334" s="718"/>
      <c r="M334" s="718" t="s">
        <v>115</v>
      </c>
      <c r="N334" s="718"/>
      <c r="O334" s="718" t="s">
        <v>116</v>
      </c>
      <c r="P334" s="729" t="s">
        <v>117</v>
      </c>
      <c r="Q334" s="729"/>
      <c r="R334" s="729" t="s">
        <v>36</v>
      </c>
      <c r="S334" s="729"/>
      <c r="T334" s="729" t="s">
        <v>118</v>
      </c>
      <c r="U334" s="729"/>
      <c r="V334" s="729" t="s">
        <v>119</v>
      </c>
      <c r="W334" s="729"/>
      <c r="X334" s="729" t="s">
        <v>36</v>
      </c>
      <c r="Y334" s="729"/>
      <c r="Z334" s="729" t="s">
        <v>118</v>
      </c>
      <c r="AA334" s="729"/>
      <c r="AB334" s="368"/>
      <c r="AC334" s="26"/>
      <c r="AD334" s="12"/>
      <c r="AE334" s="3"/>
      <c r="AF334" s="3"/>
      <c r="AG334" s="3"/>
      <c r="AH334" s="249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21"/>
      <c r="AV334" s="21"/>
      <c r="AW334" s="21"/>
      <c r="AX334" s="21"/>
      <c r="AY334" s="21"/>
      <c r="AZ334" s="21"/>
      <c r="BA334" s="21"/>
    </row>
    <row r="335" spans="1:53" ht="13.5" hidden="1" customHeight="1">
      <c r="A335" s="791"/>
      <c r="B335" s="245" t="s">
        <v>120</v>
      </c>
      <c r="C335" s="740">
        <f>SUM('3:4'!C335)</f>
        <v>2</v>
      </c>
      <c r="D335" s="741"/>
      <c r="E335" s="742">
        <f>D335*11</f>
        <v>0</v>
      </c>
      <c r="F335" s="742"/>
      <c r="G335" s="740">
        <f>SUM('3:4'!G335)</f>
        <v>2</v>
      </c>
      <c r="H335" s="741"/>
      <c r="I335" s="718">
        <f>G335*11</f>
        <v>22</v>
      </c>
      <c r="J335" s="718"/>
      <c r="K335" s="718">
        <f>E335-I335</f>
        <v>-22</v>
      </c>
      <c r="L335" s="718"/>
      <c r="M335" s="743" t="str">
        <f>IF(ISERROR(K335/E335),"",K335/E335)</f>
        <v/>
      </c>
      <c r="N335" s="743"/>
      <c r="O335" s="718"/>
      <c r="P335" s="729" t="s">
        <v>70</v>
      </c>
      <c r="Q335" s="729"/>
      <c r="R335" s="744">
        <f>SUM(O198:U198)</f>
        <v>0</v>
      </c>
      <c r="S335" s="744"/>
      <c r="T335" s="745" t="str">
        <f t="array" ref="T335">IF(ISERROR(R335/R342),"",R335/R342)</f>
        <v/>
      </c>
      <c r="U335" s="745"/>
      <c r="V335" s="729" t="s">
        <v>41</v>
      </c>
      <c r="W335" s="729"/>
      <c r="X335" s="754">
        <f>SUM(P197,P255,P290,P306,P316,P331)</f>
        <v>0</v>
      </c>
      <c r="Y335" s="755"/>
      <c r="Z335" s="745" t="str">
        <f t="array" ref="Z335">IF(ISERROR(X335/X342),"",X335/X342)</f>
        <v/>
      </c>
      <c r="AA335" s="745"/>
      <c r="AB335" s="368"/>
      <c r="AC335" s="26"/>
      <c r="AD335" s="22"/>
      <c r="AE335" s="3"/>
      <c r="AF335" s="3"/>
      <c r="AG335" s="3"/>
      <c r="AH335" s="251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21"/>
      <c r="AV335" s="21"/>
      <c r="AW335" s="21"/>
      <c r="AX335" s="21"/>
      <c r="AY335" s="21"/>
      <c r="AZ335" s="21"/>
      <c r="BA335" s="21"/>
    </row>
    <row r="336" spans="1:53" ht="13.5" hidden="1" customHeight="1">
      <c r="A336" s="791"/>
      <c r="B336" s="245" t="s">
        <v>121</v>
      </c>
      <c r="C336" s="740">
        <f>SUM('3:4'!C336)</f>
        <v>0</v>
      </c>
      <c r="D336" s="741"/>
      <c r="E336" s="742">
        <f>D336*11</f>
        <v>0</v>
      </c>
      <c r="F336" s="742"/>
      <c r="G336" s="740">
        <f>SUM('3:4'!G336)</f>
        <v>0</v>
      </c>
      <c r="H336" s="741"/>
      <c r="I336" s="718">
        <f>G336*11</f>
        <v>0</v>
      </c>
      <c r="J336" s="718"/>
      <c r="K336" s="718">
        <f>E336-I336</f>
        <v>0</v>
      </c>
      <c r="L336" s="718"/>
      <c r="M336" s="743" t="str">
        <f>IF(ISERROR(K336/E336),"",K336/E336)</f>
        <v/>
      </c>
      <c r="N336" s="743"/>
      <c r="O336" s="718"/>
      <c r="P336" s="729" t="s">
        <v>86</v>
      </c>
      <c r="Q336" s="729"/>
      <c r="R336" s="744">
        <f>SUM(O256:U256)</f>
        <v>0</v>
      </c>
      <c r="S336" s="744"/>
      <c r="T336" s="745" t="str">
        <f>IF(ISERROR(R336/R342),"",R336/R342)</f>
        <v/>
      </c>
      <c r="U336" s="745"/>
      <c r="V336" s="729" t="s">
        <v>42</v>
      </c>
      <c r="W336" s="729"/>
      <c r="X336" s="754">
        <f>SUM(P198,P256,P291,P307,P317,P332)</f>
        <v>0</v>
      </c>
      <c r="Y336" s="755"/>
      <c r="Z336" s="745" t="str">
        <f>IF(ISERROR(X336/X342),"",X336/X342)</f>
        <v/>
      </c>
      <c r="AA336" s="745"/>
      <c r="AB336" s="368"/>
      <c r="AC336" s="26"/>
      <c r="AD336" s="22"/>
      <c r="AE336" s="3"/>
      <c r="AF336" s="3"/>
      <c r="AG336" s="3"/>
      <c r="AH336" s="251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3.5" hidden="1" customHeight="1">
      <c r="A337" s="791"/>
      <c r="B337" s="245" t="s">
        <v>122</v>
      </c>
      <c r="C337" s="740">
        <f>SUM('3:4'!C337)</f>
        <v>0</v>
      </c>
      <c r="D337" s="741"/>
      <c r="E337" s="742">
        <f>D337*11</f>
        <v>0</v>
      </c>
      <c r="F337" s="742"/>
      <c r="G337" s="740">
        <f>SUM('3:4'!G337)</f>
        <v>2</v>
      </c>
      <c r="H337" s="741"/>
      <c r="I337" s="718">
        <f>G337*8</f>
        <v>16</v>
      </c>
      <c r="J337" s="718"/>
      <c r="K337" s="718">
        <f>E337-I337</f>
        <v>-16</v>
      </c>
      <c r="L337" s="718"/>
      <c r="M337" s="743" t="str">
        <f>IF(ISERROR(K337/E337),"",K337/E337)</f>
        <v/>
      </c>
      <c r="N337" s="743"/>
      <c r="O337" s="718"/>
      <c r="P337" s="729" t="s">
        <v>92</v>
      </c>
      <c r="Q337" s="729"/>
      <c r="R337" s="744">
        <f>SUM(O291:U291)</f>
        <v>0</v>
      </c>
      <c r="S337" s="744"/>
      <c r="T337" s="745" t="str">
        <f>IF(ISERROR(R337/R342),"",R337/R342)</f>
        <v/>
      </c>
      <c r="U337" s="745"/>
      <c r="V337" s="729" t="s">
        <v>43</v>
      </c>
      <c r="W337" s="729"/>
      <c r="X337" s="754">
        <f>SUM(P199,P257,P292,P308,P318,P333)</f>
        <v>0</v>
      </c>
      <c r="Y337" s="755"/>
      <c r="Z337" s="745" t="str">
        <f>IF(ISERROR(X337/X342),"",X337/X342)</f>
        <v/>
      </c>
      <c r="AA337" s="745"/>
      <c r="AB337" s="368"/>
      <c r="AC337" s="26"/>
      <c r="AD337" s="22"/>
      <c r="AE337" s="3"/>
      <c r="AF337" s="3"/>
      <c r="AG337" s="251"/>
      <c r="AH337" s="251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 ht="13.5" hidden="1" customHeight="1">
      <c r="A338" s="791"/>
      <c r="B338" s="245" t="s">
        <v>47</v>
      </c>
      <c r="C338" s="740">
        <f>SUM('3:4'!C338)</f>
        <v>2</v>
      </c>
      <c r="D338" s="741"/>
      <c r="E338" s="742">
        <f>D338*11</f>
        <v>0</v>
      </c>
      <c r="F338" s="742"/>
      <c r="G338" s="740">
        <f>SUM('3:4'!G338)</f>
        <v>2</v>
      </c>
      <c r="H338" s="741"/>
      <c r="I338" s="718">
        <f>G338*11</f>
        <v>22</v>
      </c>
      <c r="J338" s="718"/>
      <c r="K338" s="718">
        <f>E338-I338</f>
        <v>-22</v>
      </c>
      <c r="L338" s="718"/>
      <c r="M338" s="743" t="str">
        <f>IF(ISERROR(K338/E338),"",K338/E338)</f>
        <v/>
      </c>
      <c r="N338" s="743"/>
      <c r="O338" s="718"/>
      <c r="P338" s="729" t="s">
        <v>99</v>
      </c>
      <c r="Q338" s="729"/>
      <c r="R338" s="744">
        <f>SUM(O307:U307)</f>
        <v>0</v>
      </c>
      <c r="S338" s="744"/>
      <c r="T338" s="745" t="str">
        <f>IF(ISERROR(R338/R342),"",R338/R342)</f>
        <v/>
      </c>
      <c r="U338" s="745"/>
      <c r="V338" s="729" t="s">
        <v>44</v>
      </c>
      <c r="W338" s="729"/>
      <c r="X338" s="754">
        <f>SUM(P201,P258,P293,P309,P319,P334)</f>
        <v>0</v>
      </c>
      <c r="Y338" s="755"/>
      <c r="Z338" s="745" t="str">
        <f>IF(ISERROR(X338/X342),"",X338/X342)</f>
        <v/>
      </c>
      <c r="AA338" s="745"/>
      <c r="AB338" s="368"/>
      <c r="AC338" s="26"/>
      <c r="AD338" s="22"/>
      <c r="AE338" s="3"/>
      <c r="AF338" s="3"/>
      <c r="AG338" s="251"/>
      <c r="AH338" s="251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 ht="13.5" hidden="1" customHeight="1">
      <c r="A339" s="792"/>
      <c r="B339" s="245" t="s">
        <v>123</v>
      </c>
      <c r="C339" s="747">
        <f>SUM(C335:D338)</f>
        <v>4</v>
      </c>
      <c r="D339" s="718"/>
      <c r="E339" s="742">
        <f>SUM(F335:F338)</f>
        <v>0</v>
      </c>
      <c r="F339" s="718"/>
      <c r="G339" s="747">
        <f>SUM(G335:H338)</f>
        <v>6</v>
      </c>
      <c r="H339" s="718"/>
      <c r="I339" s="718">
        <f>SUM(I335:J338)</f>
        <v>60</v>
      </c>
      <c r="J339" s="718"/>
      <c r="K339" s="718">
        <f>SUM(K335:L338)</f>
        <v>-60</v>
      </c>
      <c r="L339" s="718"/>
      <c r="M339" s="743" t="str">
        <f>IF(ISERROR(K339/E339),"",K339/E339)</f>
        <v/>
      </c>
      <c r="N339" s="743"/>
      <c r="O339" s="718"/>
      <c r="P339" s="729" t="s">
        <v>102</v>
      </c>
      <c r="Q339" s="729"/>
      <c r="R339" s="744">
        <f>SUM(O317:U317)</f>
        <v>0</v>
      </c>
      <c r="S339" s="744"/>
      <c r="T339" s="745" t="str">
        <f>IF(ISERROR(R339/R342),"",R339/R342)</f>
        <v/>
      </c>
      <c r="U339" s="745"/>
      <c r="V339" s="729" t="s">
        <v>45</v>
      </c>
      <c r="W339" s="729"/>
      <c r="X339" s="754">
        <f>SUM(P202,P259,P294,P310,P320,P335)</f>
        <v>0</v>
      </c>
      <c r="Y339" s="755"/>
      <c r="Z339" s="745" t="str">
        <f>IF(ISERROR(X339/X342),"",X339/X342)</f>
        <v/>
      </c>
      <c r="AA339" s="745"/>
      <c r="AB339" s="368"/>
      <c r="AC339" s="26"/>
      <c r="AD339" s="22"/>
      <c r="AE339" s="3"/>
      <c r="AF339" s="3"/>
      <c r="AG339" s="251"/>
      <c r="AH339" s="251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48"/>
      <c r="AV339" s="248"/>
      <c r="AW339" s="248"/>
      <c r="AX339" s="248"/>
      <c r="AY339" s="248"/>
      <c r="AZ339" s="248"/>
      <c r="BA339" s="248"/>
    </row>
    <row r="340" spans="1:53" ht="13.5" hidden="1" customHeight="1">
      <c r="A340" s="324" t="s">
        <v>152</v>
      </c>
      <c r="B340" s="245">
        <f>G333</f>
        <v>3831</v>
      </c>
      <c r="C340" s="744" t="s">
        <v>155</v>
      </c>
      <c r="D340" s="744"/>
      <c r="E340" s="729">
        <f>H333</f>
        <v>13261.57</v>
      </c>
      <c r="F340" s="729"/>
      <c r="G340" s="729" t="s">
        <v>34</v>
      </c>
      <c r="H340" s="729"/>
      <c r="I340" s="746">
        <f>L333</f>
        <v>19.22236706627934</v>
      </c>
      <c r="J340" s="746"/>
      <c r="K340" s="718" t="s">
        <v>32</v>
      </c>
      <c r="L340" s="718"/>
      <c r="M340" s="746">
        <f>J333</f>
        <v>6.5790829469345704</v>
      </c>
      <c r="N340" s="746"/>
      <c r="O340" s="718"/>
      <c r="P340" s="729" t="s">
        <v>106</v>
      </c>
      <c r="Q340" s="729"/>
      <c r="R340" s="744">
        <f>SUM(O332:U332)</f>
        <v>0</v>
      </c>
      <c r="S340" s="744"/>
      <c r="T340" s="745" t="str">
        <f>IF(ISERROR(R340/R342),"",R340/R342)</f>
        <v/>
      </c>
      <c r="U340" s="745"/>
      <c r="V340" s="729" t="s">
        <v>46</v>
      </c>
      <c r="W340" s="729"/>
      <c r="X340" s="754">
        <f>SUM(P203,P260,P295,P311,P321,P336)</f>
        <v>0</v>
      </c>
      <c r="Y340" s="755"/>
      <c r="Z340" s="745" t="str">
        <f>IF(ISERROR(X340/X342),"",X340/X342)</f>
        <v/>
      </c>
      <c r="AA340" s="745"/>
      <c r="AB340" s="368"/>
      <c r="AC340" s="26"/>
      <c r="AD340" s="22"/>
      <c r="AE340" s="3"/>
      <c r="AF340" s="3"/>
      <c r="AG340" s="251"/>
      <c r="AH340" s="251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48"/>
      <c r="AV340" s="248"/>
      <c r="AW340" s="248"/>
      <c r="AX340" s="248"/>
      <c r="AY340" s="248"/>
      <c r="AZ340" s="248"/>
      <c r="BA340" s="248"/>
    </row>
    <row r="341" spans="1:53" ht="13.5" hidden="1" customHeight="1">
      <c r="A341" s="325" t="s">
        <v>153</v>
      </c>
      <c r="B341" s="245">
        <f>I333+C339</f>
        <v>586.29999999999995</v>
      </c>
      <c r="C341" s="729" t="s">
        <v>114</v>
      </c>
      <c r="D341" s="729"/>
      <c r="E341" s="739">
        <f>K333+I339</f>
        <v>259.29907626831744</v>
      </c>
      <c r="F341" s="739"/>
      <c r="G341" s="729" t="s">
        <v>150</v>
      </c>
      <c r="H341" s="729"/>
      <c r="I341" s="746">
        <f>B341-E341</f>
        <v>327.00092373168252</v>
      </c>
      <c r="J341" s="746"/>
      <c r="K341" s="718" t="s">
        <v>151</v>
      </c>
      <c r="L341" s="718"/>
      <c r="M341" s="743">
        <f>IF(ISERROR(I341/B341),"",I341/B341)</f>
        <v>0.55773652350619574</v>
      </c>
      <c r="N341" s="743"/>
      <c r="O341" s="718"/>
      <c r="P341" s="729" t="s">
        <v>107</v>
      </c>
      <c r="Q341" s="729"/>
      <c r="R341" s="744"/>
      <c r="S341" s="744"/>
      <c r="T341" s="745" t="str">
        <f>IF(ISERROR(R341/R342),"",R341/R342)</f>
        <v/>
      </c>
      <c r="U341" s="745"/>
      <c r="V341" s="729" t="s">
        <v>47</v>
      </c>
      <c r="W341" s="729"/>
      <c r="X341" s="754">
        <f>SUM(P204,P261,P296,P312,P322,P337)</f>
        <v>0</v>
      </c>
      <c r="Y341" s="755"/>
      <c r="Z341" s="745" t="str">
        <f>IF(ISERROR(X341/X342),"",X341/X342)</f>
        <v/>
      </c>
      <c r="AA341" s="745"/>
      <c r="AB341" s="368"/>
      <c r="AC341" s="26"/>
      <c r="AD341" s="22"/>
      <c r="AE341" s="3"/>
      <c r="AF341" s="3"/>
      <c r="AG341" s="251"/>
      <c r="AH341" s="251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248"/>
      <c r="AV341" s="248"/>
      <c r="AW341" s="248"/>
      <c r="AX341" s="248"/>
      <c r="AY341" s="248"/>
      <c r="AZ341" s="248"/>
      <c r="BA341" s="248"/>
    </row>
    <row r="342" spans="1:53" ht="13.5" hidden="1" customHeight="1">
      <c r="A342" s="325" t="s">
        <v>154</v>
      </c>
      <c r="B342" s="245">
        <f>N333</f>
        <v>0</v>
      </c>
      <c r="C342" s="729" t="s">
        <v>149</v>
      </c>
      <c r="D342" s="729"/>
      <c r="E342" s="745">
        <f>IF(ISERROR(B342/B341),"",B342/B341)</f>
        <v>0</v>
      </c>
      <c r="F342" s="745"/>
      <c r="G342" s="729" t="s">
        <v>158</v>
      </c>
      <c r="H342" s="729"/>
      <c r="I342" s="718">
        <f>V333</f>
        <v>0</v>
      </c>
      <c r="J342" s="718"/>
      <c r="K342" s="718" t="s">
        <v>156</v>
      </c>
      <c r="L342" s="718"/>
      <c r="M342" s="743">
        <f t="array" ref="M342">IF(ISERROR(I342/B340),"",I342/B340)</f>
        <v>0</v>
      </c>
      <c r="N342" s="743"/>
      <c r="O342" s="718"/>
      <c r="P342" s="729" t="s">
        <v>123</v>
      </c>
      <c r="Q342" s="729"/>
      <c r="R342" s="744">
        <f>SUM(R335:S341)</f>
        <v>0</v>
      </c>
      <c r="S342" s="744"/>
      <c r="T342" s="745">
        <f>SUM(T335:U341)</f>
        <v>0</v>
      </c>
      <c r="U342" s="745"/>
      <c r="V342" s="729" t="s">
        <v>123</v>
      </c>
      <c r="W342" s="729"/>
      <c r="X342" s="744">
        <f>SUM(X335:Y341)</f>
        <v>0</v>
      </c>
      <c r="Y342" s="744"/>
      <c r="Z342" s="745">
        <f>SUM(Z335:AA341)</f>
        <v>0</v>
      </c>
      <c r="AA342" s="745"/>
      <c r="AB342" s="368"/>
      <c r="AC342" s="26"/>
      <c r="AD342" s="22"/>
      <c r="AE342" s="3"/>
      <c r="AF342" s="3"/>
      <c r="AG342" s="251"/>
      <c r="AH342" s="251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248"/>
      <c r="AV342" s="248"/>
      <c r="AW342" s="248"/>
      <c r="AX342" s="248"/>
      <c r="AY342" s="248"/>
      <c r="AZ342" s="248"/>
      <c r="BA342" s="248"/>
    </row>
    <row r="343" spans="1:53" ht="13.5" customHeight="1">
      <c r="A343" s="748" t="s">
        <v>129</v>
      </c>
      <c r="B343" s="748"/>
      <c r="C343" s="748"/>
      <c r="D343" s="748"/>
      <c r="E343" s="748"/>
      <c r="F343" s="748"/>
      <c r="G343" s="748"/>
      <c r="H343" s="748"/>
      <c r="I343" s="748"/>
      <c r="J343" s="748"/>
      <c r="K343" s="748"/>
      <c r="L343" s="748"/>
      <c r="M343" s="748"/>
      <c r="N343" s="748"/>
      <c r="O343" s="748"/>
      <c r="P343" s="748"/>
      <c r="Q343" s="748"/>
      <c r="R343" s="748"/>
      <c r="S343" s="748"/>
      <c r="T343" s="748"/>
      <c r="U343" s="748"/>
      <c r="V343" s="748"/>
      <c r="W343" s="748"/>
      <c r="X343" s="748"/>
      <c r="Y343" s="748"/>
      <c r="Z343" s="748"/>
      <c r="AA343" s="748"/>
      <c r="AB343" s="748"/>
      <c r="AC343" s="748"/>
      <c r="AD343" s="748"/>
      <c r="AE343" s="748"/>
      <c r="AF343" s="748"/>
      <c r="AG343" s="748"/>
      <c r="AH343" s="748"/>
      <c r="AI343" s="748"/>
      <c r="AJ343" s="748"/>
      <c r="AK343" s="748"/>
      <c r="AL343" s="748"/>
      <c r="AM343" s="748"/>
      <c r="AN343" s="748"/>
      <c r="AO343" s="748"/>
      <c r="AP343" s="748"/>
      <c r="AQ343" s="748"/>
      <c r="AR343" s="748"/>
      <c r="AS343" s="748"/>
      <c r="AT343" s="748"/>
      <c r="AU343" s="748"/>
      <c r="AV343" s="748"/>
      <c r="AW343" s="748"/>
      <c r="AX343" s="748"/>
      <c r="AY343" s="748"/>
      <c r="AZ343" s="748"/>
      <c r="BA343" s="748"/>
    </row>
    <row r="344" spans="1:53" ht="15.75">
      <c r="A344" s="787" t="s">
        <v>12</v>
      </c>
      <c r="B344" s="709" t="s">
        <v>25</v>
      </c>
      <c r="C344" s="709" t="s">
        <v>26</v>
      </c>
      <c r="D344" s="709" t="s">
        <v>27</v>
      </c>
      <c r="E344" s="712" t="s">
        <v>28</v>
      </c>
      <c r="F344" s="715" t="s">
        <v>29</v>
      </c>
      <c r="G344" s="718" t="s">
        <v>30</v>
      </c>
      <c r="H344" s="718"/>
      <c r="I344" s="709" t="s">
        <v>31</v>
      </c>
      <c r="J344" s="719" t="s">
        <v>32</v>
      </c>
      <c r="K344" s="730" t="s">
        <v>33</v>
      </c>
      <c r="L344" s="709" t="s">
        <v>34</v>
      </c>
      <c r="M344" s="733" t="s">
        <v>35</v>
      </c>
      <c r="N344" s="727" t="s">
        <v>36</v>
      </c>
      <c r="O344" s="718" t="s">
        <v>37</v>
      </c>
      <c r="P344" s="718"/>
      <c r="Q344" s="718"/>
      <c r="R344" s="718"/>
      <c r="S344" s="718"/>
      <c r="T344" s="718"/>
      <c r="U344" s="718"/>
      <c r="V344" s="735" t="s">
        <v>38</v>
      </c>
      <c r="W344" s="727" t="s">
        <v>39</v>
      </c>
      <c r="X344" s="718" t="s">
        <v>40</v>
      </c>
      <c r="Y344" s="718"/>
      <c r="Z344" s="718"/>
      <c r="AA344" s="718"/>
      <c r="AB344" s="784" t="s">
        <v>434</v>
      </c>
      <c r="AC344" s="786" t="s">
        <v>435</v>
      </c>
      <c r="AD344" s="21"/>
      <c r="AE344" s="21"/>
      <c r="AF344" s="21"/>
      <c r="AG344" s="21"/>
      <c r="AH344" s="21"/>
      <c r="AI344" s="752"/>
      <c r="AJ344" s="750"/>
      <c r="AK344" s="750"/>
      <c r="AL344" s="750"/>
      <c r="AM344" s="750"/>
      <c r="AN344" s="750"/>
      <c r="AO344" s="750"/>
      <c r="AP344" s="750"/>
      <c r="AQ344" s="750"/>
      <c r="AR344" s="750"/>
      <c r="AS344" s="750"/>
      <c r="AT344" s="750"/>
      <c r="AU344" s="750"/>
      <c r="AV344" s="750"/>
      <c r="AW344" s="750"/>
      <c r="AX344" s="750"/>
      <c r="AY344" s="750"/>
      <c r="AZ344" s="750"/>
      <c r="BA344" s="750"/>
    </row>
    <row r="345" spans="1:53" ht="15.75">
      <c r="A345" s="788"/>
      <c r="B345" s="710"/>
      <c r="C345" s="710"/>
      <c r="D345" s="710"/>
      <c r="E345" s="713"/>
      <c r="F345" s="716"/>
      <c r="G345" s="718"/>
      <c r="H345" s="718"/>
      <c r="I345" s="710"/>
      <c r="J345" s="720"/>
      <c r="K345" s="731"/>
      <c r="L345" s="710"/>
      <c r="M345" s="734"/>
      <c r="N345" s="727"/>
      <c r="O345" s="718" t="s">
        <v>41</v>
      </c>
      <c r="P345" s="718" t="s">
        <v>42</v>
      </c>
      <c r="Q345" s="718" t="s">
        <v>43</v>
      </c>
      <c r="R345" s="728" t="s">
        <v>44</v>
      </c>
      <c r="S345" s="729" t="s">
        <v>45</v>
      </c>
      <c r="T345" s="718" t="s">
        <v>46</v>
      </c>
      <c r="U345" s="718" t="s">
        <v>47</v>
      </c>
      <c r="V345" s="735"/>
      <c r="W345" s="727"/>
      <c r="X345" s="718" t="s">
        <v>13</v>
      </c>
      <c r="Y345" s="718" t="s">
        <v>48</v>
      </c>
      <c r="Z345" s="718" t="s">
        <v>49</v>
      </c>
      <c r="AA345" s="718" t="s">
        <v>47</v>
      </c>
      <c r="AB345" s="785"/>
      <c r="AC345" s="786"/>
      <c r="AD345" s="21"/>
      <c r="AE345" s="21"/>
      <c r="AF345" s="21"/>
      <c r="AG345" s="21"/>
      <c r="AH345" s="21"/>
      <c r="AI345" s="752"/>
      <c r="AJ345" s="750"/>
      <c r="AK345" s="750"/>
      <c r="AL345" s="750"/>
      <c r="AM345" s="750"/>
      <c r="AN345" s="750"/>
      <c r="AO345" s="750"/>
      <c r="AP345" s="750"/>
      <c r="AQ345" s="750"/>
      <c r="AR345" s="750"/>
      <c r="AS345" s="751"/>
      <c r="AT345" s="751"/>
      <c r="AU345" s="751"/>
      <c r="AV345" s="751"/>
      <c r="AW345" s="751"/>
      <c r="AX345" s="751"/>
      <c r="AY345" s="751"/>
      <c r="AZ345" s="751"/>
      <c r="BA345" s="751"/>
    </row>
    <row r="346" spans="1:53" ht="15.75" customHeight="1">
      <c r="A346" s="789"/>
      <c r="B346" s="711"/>
      <c r="C346" s="711"/>
      <c r="D346" s="711"/>
      <c r="E346" s="714"/>
      <c r="F346" s="717"/>
      <c r="G346" s="242" t="s">
        <v>50</v>
      </c>
      <c r="H346" s="242" t="s">
        <v>51</v>
      </c>
      <c r="I346" s="711"/>
      <c r="J346" s="721"/>
      <c r="K346" s="732"/>
      <c r="L346" s="711"/>
      <c r="M346" s="734"/>
      <c r="N346" s="727"/>
      <c r="O346" s="718"/>
      <c r="P346" s="718"/>
      <c r="Q346" s="718"/>
      <c r="R346" s="728"/>
      <c r="S346" s="729"/>
      <c r="T346" s="718"/>
      <c r="U346" s="718"/>
      <c r="V346" s="735"/>
      <c r="W346" s="727"/>
      <c r="X346" s="718"/>
      <c r="Y346" s="718"/>
      <c r="Z346" s="718"/>
      <c r="AA346" s="718"/>
      <c r="AB346" s="785"/>
      <c r="AC346" s="786"/>
      <c r="AD346" s="21"/>
      <c r="AE346" s="21"/>
      <c r="AF346" s="21"/>
      <c r="AG346" s="21"/>
      <c r="AH346" s="21"/>
      <c r="AI346" s="752"/>
      <c r="AJ346" s="750"/>
      <c r="AK346" s="750"/>
      <c r="AL346" s="248"/>
      <c r="AM346" s="248"/>
      <c r="AN346" s="248"/>
      <c r="AO346" s="248"/>
      <c r="AP346" s="248"/>
      <c r="AQ346" s="248"/>
      <c r="AR346" s="248"/>
      <c r="AS346" s="21"/>
      <c r="AT346" s="21"/>
      <c r="AU346" s="21"/>
      <c r="AV346" s="249"/>
      <c r="AW346" s="248"/>
      <c r="AX346" s="248"/>
      <c r="AY346" s="248"/>
      <c r="AZ346" s="248"/>
      <c r="BA346" s="248"/>
    </row>
    <row r="347" spans="1:53" ht="17.25">
      <c r="A347" s="326">
        <v>30100030</v>
      </c>
      <c r="B347" s="82" t="s">
        <v>52</v>
      </c>
      <c r="C347" s="81" t="s">
        <v>53</v>
      </c>
      <c r="D347" s="80">
        <v>5.03</v>
      </c>
      <c r="E347" s="80"/>
      <c r="F347" s="83"/>
      <c r="G347" s="93">
        <f>SUM('3:4'!G347)</f>
        <v>0</v>
      </c>
      <c r="H347" s="95">
        <f t="shared" ref="H347:H367" si="136">D347*G347</f>
        <v>0</v>
      </c>
      <c r="I347" s="93">
        <f>SUM('3:4'!I347)</f>
        <v>0</v>
      </c>
      <c r="J347" s="31" t="str">
        <f t="array" ref="J347">IF(ISERROR(G347/I347),"",G347/I347)</f>
        <v/>
      </c>
      <c r="K347" s="96">
        <f t="array" ref="K347">IF(ISERROR(G347/L347),"",G347/L347)</f>
        <v>0</v>
      </c>
      <c r="L347" s="84">
        <v>16</v>
      </c>
      <c r="M347" s="97">
        <f t="shared" ref="M347:M362" si="137">IF(ISERROR(I347-K347),"",I347-K347)</f>
        <v>0</v>
      </c>
      <c r="N347" s="84">
        <f>SUM(O347:U347)</f>
        <v>0</v>
      </c>
      <c r="O347" s="93">
        <f>SUM('3:4'!O347)</f>
        <v>0</v>
      </c>
      <c r="P347" s="93">
        <f>SUM('3:4'!P347)</f>
        <v>0</v>
      </c>
      <c r="Q347" s="93">
        <f>SUM('3:4'!Q347)</f>
        <v>0</v>
      </c>
      <c r="R347" s="93">
        <f>SUM('3:4'!R347)</f>
        <v>0</v>
      </c>
      <c r="S347" s="93">
        <f>SUM('3:4'!S347)</f>
        <v>0</v>
      </c>
      <c r="T347" s="93">
        <f>SUM('3:4'!T347)</f>
        <v>0</v>
      </c>
      <c r="U347" s="93">
        <f>SUM('3:4'!U347)</f>
        <v>0</v>
      </c>
      <c r="V347" s="206">
        <f t="shared" ref="V347:V362" si="138">SUM(X347:AA347)</f>
        <v>0</v>
      </c>
      <c r="W347" s="33" t="str">
        <f t="shared" ref="W347:W362" si="139">IF(ISERROR(V347/G347),"",V347/G347)</f>
        <v/>
      </c>
      <c r="X347" s="93">
        <f>SUM('3:4'!X347)</f>
        <v>0</v>
      </c>
      <c r="Y347" s="93">
        <f>SUM('3:4'!Y347)</f>
        <v>0</v>
      </c>
      <c r="Z347" s="93">
        <f>SUM('3:4'!Z347)</f>
        <v>0</v>
      </c>
      <c r="AA347" s="93">
        <f>SUM('3:4'!AA347)</f>
        <v>0</v>
      </c>
      <c r="AB347" s="371">
        <v>0.65</v>
      </c>
      <c r="AC347" s="269">
        <f t="shared" ref="AC347:AC412" si="140">AB347*G347</f>
        <v>0</v>
      </c>
      <c r="AD347" s="251"/>
      <c r="AE347" s="54"/>
      <c r="AF347" s="54"/>
      <c r="AG347" s="54"/>
      <c r="AH347" s="54"/>
      <c r="AI347" s="57"/>
      <c r="AJ347" s="57"/>
      <c r="AK347" s="57"/>
      <c r="AL347" s="250"/>
      <c r="AM347" s="54"/>
      <c r="AN347" s="250"/>
      <c r="AO347" s="250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</row>
    <row r="348" spans="1:53" ht="17.25">
      <c r="A348" s="316"/>
      <c r="B348" s="62" t="s">
        <v>54</v>
      </c>
      <c r="C348" s="16" t="s">
        <v>53</v>
      </c>
      <c r="D348" s="17">
        <v>5.03</v>
      </c>
      <c r="E348" s="17"/>
      <c r="F348" s="6"/>
      <c r="G348" s="93">
        <f>SUM('3:4'!G348)</f>
        <v>0</v>
      </c>
      <c r="H348" s="95">
        <f t="shared" si="136"/>
        <v>0</v>
      </c>
      <c r="I348" s="93">
        <f>SUM('3:4'!I348)</f>
        <v>0</v>
      </c>
      <c r="J348" s="31" t="str">
        <f t="array" ref="J348">IF(ISERROR(G348/I348),"",G348/I348)</f>
        <v/>
      </c>
      <c r="K348" s="35">
        <f>IF(ISERROR(G348/L348),"",G348/L348)</f>
        <v>0</v>
      </c>
      <c r="L348" s="87">
        <v>19</v>
      </c>
      <c r="M348" s="36">
        <f t="shared" si="137"/>
        <v>0</v>
      </c>
      <c r="N348" s="31">
        <f t="shared" ref="N348:N362" si="141">SUM(O348:U348)</f>
        <v>0</v>
      </c>
      <c r="O348" s="93">
        <f>SUM('3:4'!O348)</f>
        <v>0</v>
      </c>
      <c r="P348" s="93">
        <f>SUM('3:4'!P348)</f>
        <v>0</v>
      </c>
      <c r="Q348" s="93">
        <f>SUM('3:4'!Q348)</f>
        <v>0</v>
      </c>
      <c r="R348" s="93">
        <f>SUM('3:4'!R348)</f>
        <v>0</v>
      </c>
      <c r="S348" s="93">
        <f>SUM('3:4'!S348)</f>
        <v>0</v>
      </c>
      <c r="T348" s="93">
        <f>SUM('3:4'!T348)</f>
        <v>0</v>
      </c>
      <c r="U348" s="93">
        <f>SUM('3:4'!U348)</f>
        <v>0</v>
      </c>
      <c r="V348" s="206">
        <f t="shared" si="138"/>
        <v>0</v>
      </c>
      <c r="W348" s="33" t="str">
        <f t="shared" si="139"/>
        <v/>
      </c>
      <c r="X348" s="93">
        <f>SUM('3:4'!X348)</f>
        <v>0</v>
      </c>
      <c r="Y348" s="93">
        <f>SUM('3:4'!Y348)</f>
        <v>0</v>
      </c>
      <c r="Z348" s="93">
        <f>SUM('3:4'!Z348)</f>
        <v>0</v>
      </c>
      <c r="AA348" s="93">
        <f>SUM('3:4'!AA348)</f>
        <v>0</v>
      </c>
      <c r="AB348" s="358">
        <v>0.48</v>
      </c>
      <c r="AC348" s="269">
        <f t="shared" si="140"/>
        <v>0</v>
      </c>
      <c r="AD348" s="251"/>
      <c r="AE348" s="54"/>
      <c r="AF348" s="54"/>
      <c r="AG348" s="54"/>
      <c r="AH348" s="54"/>
      <c r="AI348" s="57"/>
      <c r="AJ348" s="57"/>
      <c r="AK348" s="57"/>
      <c r="AL348" s="54"/>
      <c r="AM348" s="54"/>
      <c r="AN348" s="250"/>
      <c r="AO348" s="54"/>
      <c r="AP348" s="250"/>
      <c r="AQ348" s="54"/>
      <c r="AR348" s="54"/>
      <c r="AS348" s="250"/>
      <c r="AT348" s="250"/>
      <c r="AU348" s="250"/>
      <c r="AV348" s="250"/>
      <c r="AW348" s="55"/>
      <c r="AX348" s="54"/>
      <c r="AY348" s="54"/>
      <c r="AZ348" s="54"/>
      <c r="BA348" s="54"/>
    </row>
    <row r="349" spans="1:53" ht="17.25">
      <c r="A349" s="317"/>
      <c r="B349" s="62" t="s">
        <v>54</v>
      </c>
      <c r="C349" s="16" t="s">
        <v>55</v>
      </c>
      <c r="D349" s="17">
        <v>5.03</v>
      </c>
      <c r="E349" s="17"/>
      <c r="F349" s="6"/>
      <c r="G349" s="93">
        <f>SUM('3:4'!G349)</f>
        <v>0</v>
      </c>
      <c r="H349" s="95">
        <f t="shared" si="136"/>
        <v>0</v>
      </c>
      <c r="I349" s="93">
        <f>SUM('3:4'!I349)</f>
        <v>0</v>
      </c>
      <c r="J349" s="31" t="str">
        <f t="array" ref="J349">IF(ISERROR(G349/I349),"",G349/I349)</f>
        <v/>
      </c>
      <c r="K349" s="35">
        <f>IF(ISERROR(G349/L349),"",G349/L349)</f>
        <v>0</v>
      </c>
      <c r="L349" s="87">
        <v>19</v>
      </c>
      <c r="M349" s="36">
        <f t="shared" si="137"/>
        <v>0</v>
      </c>
      <c r="N349" s="31">
        <f t="shared" si="141"/>
        <v>0</v>
      </c>
      <c r="O349" s="93">
        <f>SUM('3:4'!O349)</f>
        <v>0</v>
      </c>
      <c r="P349" s="93">
        <f>SUM('3:4'!P349)</f>
        <v>0</v>
      </c>
      <c r="Q349" s="93">
        <f>SUM('3:4'!Q349)</f>
        <v>0</v>
      </c>
      <c r="R349" s="93">
        <f>SUM('3:4'!R349)</f>
        <v>0</v>
      </c>
      <c r="S349" s="93">
        <f>SUM('3:4'!S349)</f>
        <v>0</v>
      </c>
      <c r="T349" s="93">
        <f>SUM('3:4'!T349)</f>
        <v>0</v>
      </c>
      <c r="U349" s="93">
        <f>SUM('3:4'!U349)</f>
        <v>0</v>
      </c>
      <c r="V349" s="206">
        <f t="shared" si="138"/>
        <v>0</v>
      </c>
      <c r="W349" s="33" t="str">
        <f t="shared" si="139"/>
        <v/>
      </c>
      <c r="X349" s="93">
        <f>SUM('3:4'!X349)</f>
        <v>0</v>
      </c>
      <c r="Y349" s="93">
        <f>SUM('3:4'!Y349)</f>
        <v>0</v>
      </c>
      <c r="Z349" s="93">
        <f>SUM('3:4'!Z349)</f>
        <v>0</v>
      </c>
      <c r="AA349" s="93">
        <f>SUM('3:4'!AA349)</f>
        <v>0</v>
      </c>
      <c r="AB349" s="358">
        <v>0.43</v>
      </c>
      <c r="AC349" s="269">
        <f t="shared" si="140"/>
        <v>0</v>
      </c>
      <c r="AD349" s="251"/>
      <c r="AE349" s="54"/>
      <c r="AF349" s="54"/>
      <c r="AG349" s="54"/>
      <c r="AH349" s="54"/>
      <c r="AI349" s="57"/>
      <c r="AJ349" s="57"/>
      <c r="AK349" s="57"/>
      <c r="AL349" s="54"/>
      <c r="AM349" s="54"/>
      <c r="AN349" s="54"/>
      <c r="AO349" s="250"/>
      <c r="AP349" s="54"/>
      <c r="AQ349" s="54"/>
      <c r="AR349" s="54"/>
      <c r="AS349" s="56"/>
      <c r="AT349" s="56"/>
      <c r="AU349" s="56"/>
      <c r="AV349" s="54"/>
      <c r="AW349" s="54"/>
      <c r="AX349" s="54"/>
      <c r="AY349" s="54"/>
      <c r="AZ349" s="54"/>
      <c r="BA349" s="54"/>
    </row>
    <row r="350" spans="1:53" ht="15.75">
      <c r="A350" s="315">
        <v>30100048</v>
      </c>
      <c r="B350" s="62" t="s">
        <v>56</v>
      </c>
      <c r="C350" s="16" t="s">
        <v>53</v>
      </c>
      <c r="D350" s="17">
        <v>5.03</v>
      </c>
      <c r="E350" s="17"/>
      <c r="F350" s="6"/>
      <c r="G350" s="93">
        <f>SUM('3:4'!G350)</f>
        <v>0</v>
      </c>
      <c r="H350" s="95">
        <f t="shared" si="136"/>
        <v>0</v>
      </c>
      <c r="I350" s="93">
        <f>SUM('3:4'!I350)</f>
        <v>0</v>
      </c>
      <c r="J350" s="31" t="str">
        <f t="array" ref="J350">IF(ISERROR(G350/I350),"",G350/I350)</f>
        <v/>
      </c>
      <c r="K350" s="35">
        <f t="array" ref="K350">IF(ISERROR(G350/L350),"",G350/L350)</f>
        <v>0</v>
      </c>
      <c r="L350" s="87">
        <v>19</v>
      </c>
      <c r="M350" s="36">
        <f t="shared" si="137"/>
        <v>0</v>
      </c>
      <c r="N350" s="31">
        <f t="shared" si="141"/>
        <v>0</v>
      </c>
      <c r="O350" s="93">
        <f>SUM('3:4'!O350)</f>
        <v>0</v>
      </c>
      <c r="P350" s="93">
        <f>SUM('3:4'!P350)</f>
        <v>0</v>
      </c>
      <c r="Q350" s="93">
        <f>SUM('3:4'!Q350)</f>
        <v>0</v>
      </c>
      <c r="R350" s="93">
        <f>SUM('3:4'!R350)</f>
        <v>0</v>
      </c>
      <c r="S350" s="93">
        <f>SUM('3:4'!S350)</f>
        <v>0</v>
      </c>
      <c r="T350" s="93">
        <f>SUM('3:4'!T350)</f>
        <v>0</v>
      </c>
      <c r="U350" s="93">
        <f>SUM('3:4'!U350)</f>
        <v>0</v>
      </c>
      <c r="V350" s="206">
        <f t="shared" si="138"/>
        <v>0</v>
      </c>
      <c r="W350" s="33" t="str">
        <f t="shared" si="139"/>
        <v/>
      </c>
      <c r="X350" s="93">
        <f>SUM('3:4'!X350)</f>
        <v>0</v>
      </c>
      <c r="Y350" s="93">
        <f>SUM('3:4'!Y350)</f>
        <v>0</v>
      </c>
      <c r="Z350" s="93">
        <f>SUM('3:4'!Z350)</f>
        <v>0</v>
      </c>
      <c r="AA350" s="93">
        <f>SUM('3:4'!AA350)</f>
        <v>0</v>
      </c>
      <c r="AB350" s="358">
        <v>0.55000000000000004</v>
      </c>
      <c r="AC350" s="269">
        <f t="shared" si="140"/>
        <v>0</v>
      </c>
      <c r="AD350" s="251"/>
      <c r="AE350" s="54"/>
      <c r="AF350" s="54"/>
      <c r="AG350" s="54"/>
      <c r="AH350" s="54"/>
      <c r="AI350" s="57"/>
      <c r="AJ350" s="57"/>
      <c r="AK350" s="57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5"/>
      <c r="AW350" s="55"/>
      <c r="AX350" s="55"/>
      <c r="AY350" s="54"/>
      <c r="AZ350" s="54"/>
      <c r="BA350" s="54"/>
    </row>
    <row r="351" spans="1:53" ht="15.75">
      <c r="A351" s="315">
        <v>30100047</v>
      </c>
      <c r="B351" s="62" t="s">
        <v>56</v>
      </c>
      <c r="C351" s="16" t="s">
        <v>57</v>
      </c>
      <c r="D351" s="17">
        <v>5.03</v>
      </c>
      <c r="E351" s="17"/>
      <c r="F351" s="6"/>
      <c r="G351" s="93">
        <f>SUM('3:4'!G351)</f>
        <v>0</v>
      </c>
      <c r="H351" s="95">
        <f t="shared" si="136"/>
        <v>0</v>
      </c>
      <c r="I351" s="93">
        <f>SUM('3:4'!I351)</f>
        <v>0</v>
      </c>
      <c r="J351" s="31" t="str">
        <f t="array" ref="J351">IF(ISERROR(G351/I351),"",G351/I351)</f>
        <v/>
      </c>
      <c r="K351" s="35">
        <f t="array" ref="K351">IF(ISERROR(G351/L351),"",G351/L351)</f>
        <v>0</v>
      </c>
      <c r="L351" s="87">
        <v>20</v>
      </c>
      <c r="M351" s="36">
        <f t="shared" si="137"/>
        <v>0</v>
      </c>
      <c r="N351" s="31">
        <f t="shared" si="141"/>
        <v>0</v>
      </c>
      <c r="O351" s="93">
        <f>SUM('3:4'!O351)</f>
        <v>0</v>
      </c>
      <c r="P351" s="93">
        <f>SUM('3:4'!P351)</f>
        <v>0</v>
      </c>
      <c r="Q351" s="93">
        <f>SUM('3:4'!Q351)</f>
        <v>0</v>
      </c>
      <c r="R351" s="93">
        <f>SUM('3:4'!R351)</f>
        <v>0</v>
      </c>
      <c r="S351" s="93">
        <f>SUM('3:4'!S351)</f>
        <v>0</v>
      </c>
      <c r="T351" s="93">
        <f>SUM('3:4'!T351)</f>
        <v>0</v>
      </c>
      <c r="U351" s="93">
        <f>SUM('3:4'!U351)</f>
        <v>0</v>
      </c>
      <c r="V351" s="206">
        <f t="shared" si="138"/>
        <v>0</v>
      </c>
      <c r="W351" s="33" t="str">
        <f t="shared" si="139"/>
        <v/>
      </c>
      <c r="X351" s="93">
        <f>SUM('3:4'!X351)</f>
        <v>0</v>
      </c>
      <c r="Y351" s="93">
        <f>SUM('3:4'!Y351)</f>
        <v>0</v>
      </c>
      <c r="Z351" s="93">
        <f>SUM('3:4'!Z351)</f>
        <v>0</v>
      </c>
      <c r="AA351" s="93">
        <f>SUM('3:4'!AA351)</f>
        <v>0</v>
      </c>
      <c r="AB351" s="358">
        <v>0.52</v>
      </c>
      <c r="AC351" s="269">
        <f t="shared" si="140"/>
        <v>0</v>
      </c>
      <c r="AD351" s="251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</row>
    <row r="352" spans="1:53" ht="15.75">
      <c r="A352" s="315">
        <v>30100052</v>
      </c>
      <c r="B352" s="62" t="s">
        <v>58</v>
      </c>
      <c r="C352" s="16" t="s">
        <v>53</v>
      </c>
      <c r="D352" s="17">
        <v>5.04</v>
      </c>
      <c r="E352" s="17"/>
      <c r="F352" s="6"/>
      <c r="G352" s="93">
        <f>SUM('3:4'!G352)</f>
        <v>0</v>
      </c>
      <c r="H352" s="95">
        <f t="shared" si="136"/>
        <v>0</v>
      </c>
      <c r="I352" s="93">
        <f>SUM('3:4'!I352)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137"/>
        <v>0</v>
      </c>
      <c r="N352" s="31">
        <f t="shared" si="141"/>
        <v>0</v>
      </c>
      <c r="O352" s="93">
        <f>SUM('3:4'!O352)</f>
        <v>0</v>
      </c>
      <c r="P352" s="93">
        <f>SUM('3:4'!P352)</f>
        <v>0</v>
      </c>
      <c r="Q352" s="93">
        <f>SUM('3:4'!Q352)</f>
        <v>0</v>
      </c>
      <c r="R352" s="93">
        <f>SUM('3:4'!R352)</f>
        <v>0</v>
      </c>
      <c r="S352" s="93">
        <f>SUM('3:4'!S352)</f>
        <v>0</v>
      </c>
      <c r="T352" s="93">
        <f>SUM('3:4'!T352)</f>
        <v>0</v>
      </c>
      <c r="U352" s="93">
        <f>SUM('3:4'!U352)</f>
        <v>0</v>
      </c>
      <c r="V352" s="206">
        <f t="shared" si="138"/>
        <v>0</v>
      </c>
      <c r="W352" s="33" t="str">
        <f t="shared" si="139"/>
        <v/>
      </c>
      <c r="X352" s="93">
        <f>SUM('3:4'!X352)</f>
        <v>0</v>
      </c>
      <c r="Y352" s="93">
        <f>SUM('3:4'!Y352)</f>
        <v>0</v>
      </c>
      <c r="Z352" s="93">
        <f>SUM('3:4'!Z352)</f>
        <v>0</v>
      </c>
      <c r="AA352" s="93">
        <f>SUM('3:4'!AA352)</f>
        <v>0</v>
      </c>
      <c r="AB352" s="358">
        <v>0.55000000000000004</v>
      </c>
      <c r="AC352" s="269">
        <f t="shared" si="140"/>
        <v>0</v>
      </c>
      <c r="AD352" s="251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</row>
    <row r="353" spans="1:53" ht="15.75">
      <c r="A353" s="332">
        <v>30100059</v>
      </c>
      <c r="B353" s="62" t="s">
        <v>59</v>
      </c>
      <c r="C353" s="16" t="s">
        <v>60</v>
      </c>
      <c r="D353" s="17">
        <v>5.03</v>
      </c>
      <c r="E353" s="17"/>
      <c r="F353" s="6"/>
      <c r="G353" s="93">
        <f>SUM('3:4'!G353)</f>
        <v>0</v>
      </c>
      <c r="H353" s="95">
        <f t="shared" si="136"/>
        <v>0</v>
      </c>
      <c r="I353" s="93">
        <f>SUM('3:4'!I353)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3</v>
      </c>
      <c r="M353" s="36">
        <f t="shared" si="137"/>
        <v>0</v>
      </c>
      <c r="N353" s="31">
        <f t="shared" si="141"/>
        <v>0</v>
      </c>
      <c r="O353" s="93">
        <f>SUM('3:4'!O353)</f>
        <v>0</v>
      </c>
      <c r="P353" s="93">
        <f>SUM('3:4'!P353)</f>
        <v>0</v>
      </c>
      <c r="Q353" s="93">
        <f>SUM('3:4'!Q353)</f>
        <v>0</v>
      </c>
      <c r="R353" s="93">
        <f>SUM('3:4'!R353)</f>
        <v>0</v>
      </c>
      <c r="S353" s="93">
        <f>SUM('3:4'!S353)</f>
        <v>0</v>
      </c>
      <c r="T353" s="93">
        <f>SUM('3:4'!T353)</f>
        <v>0</v>
      </c>
      <c r="U353" s="93">
        <f>SUM('3:4'!U353)</f>
        <v>0</v>
      </c>
      <c r="V353" s="206">
        <f t="shared" si="138"/>
        <v>0</v>
      </c>
      <c r="W353" s="33" t="str">
        <f t="shared" si="139"/>
        <v/>
      </c>
      <c r="X353" s="93">
        <f>SUM('3:4'!X353)</f>
        <v>0</v>
      </c>
      <c r="Y353" s="93">
        <f>SUM('3:4'!Y353)</f>
        <v>0</v>
      </c>
      <c r="Z353" s="93">
        <f>SUM('3:4'!Z353)</f>
        <v>0</v>
      </c>
      <c r="AA353" s="93">
        <f>SUM('3:4'!AA353)</f>
        <v>0</v>
      </c>
      <c r="AB353" s="358">
        <v>0.45</v>
      </c>
      <c r="AC353" s="269">
        <f t="shared" si="140"/>
        <v>0</v>
      </c>
      <c r="AD353" s="251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 ht="15.75">
      <c r="A354" s="302">
        <v>30100060</v>
      </c>
      <c r="B354" s="62" t="s">
        <v>59</v>
      </c>
      <c r="C354" s="16" t="s">
        <v>61</v>
      </c>
      <c r="D354" s="17">
        <v>5.03</v>
      </c>
      <c r="E354" s="17"/>
      <c r="F354" s="6"/>
      <c r="G354" s="93">
        <f>SUM('3:4'!G354)</f>
        <v>0</v>
      </c>
      <c r="H354" s="95">
        <f t="shared" si="136"/>
        <v>0</v>
      </c>
      <c r="I354" s="93">
        <f>SUM('3:4'!I354)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3</v>
      </c>
      <c r="M354" s="36">
        <f t="shared" si="137"/>
        <v>0</v>
      </c>
      <c r="N354" s="31">
        <f t="shared" si="141"/>
        <v>0</v>
      </c>
      <c r="O354" s="93">
        <f>SUM('3:4'!O354)</f>
        <v>0</v>
      </c>
      <c r="P354" s="93">
        <f>SUM('3:4'!P354)</f>
        <v>0</v>
      </c>
      <c r="Q354" s="93">
        <f>SUM('3:4'!Q354)</f>
        <v>0</v>
      </c>
      <c r="R354" s="93">
        <f>SUM('3:4'!R354)</f>
        <v>0</v>
      </c>
      <c r="S354" s="93">
        <f>SUM('3:4'!S354)</f>
        <v>0</v>
      </c>
      <c r="T354" s="93">
        <f>SUM('3:4'!T354)</f>
        <v>0</v>
      </c>
      <c r="U354" s="93">
        <f>SUM('3:4'!U354)</f>
        <v>0</v>
      </c>
      <c r="V354" s="206">
        <f t="shared" si="138"/>
        <v>0</v>
      </c>
      <c r="W354" s="33" t="str">
        <f t="shared" si="139"/>
        <v/>
      </c>
      <c r="X354" s="93">
        <f>SUM('3:4'!X354)</f>
        <v>0</v>
      </c>
      <c r="Y354" s="93">
        <f>SUM('3:4'!Y354)</f>
        <v>0</v>
      </c>
      <c r="Z354" s="93">
        <f>SUM('3:4'!Z354)</f>
        <v>0</v>
      </c>
      <c r="AA354" s="93">
        <f>SUM('3:4'!AA354)</f>
        <v>0</v>
      </c>
      <c r="AB354" s="358">
        <v>0.45</v>
      </c>
      <c r="AC354" s="269">
        <f t="shared" si="140"/>
        <v>0</v>
      </c>
      <c r="AD354" s="251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 ht="17.25">
      <c r="A355" s="316">
        <v>30200006</v>
      </c>
      <c r="B355" s="62" t="s">
        <v>62</v>
      </c>
      <c r="C355" s="16" t="s">
        <v>63</v>
      </c>
      <c r="D355" s="17">
        <v>5.04</v>
      </c>
      <c r="E355" s="17"/>
      <c r="F355" s="79"/>
      <c r="G355" s="93">
        <f>SUM('3:4'!G355)</f>
        <v>0</v>
      </c>
      <c r="H355" s="95">
        <f t="shared" si="136"/>
        <v>0</v>
      </c>
      <c r="I355" s="93">
        <f>SUM('3:4'!I355)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17</v>
      </c>
      <c r="M355" s="36">
        <f t="shared" si="137"/>
        <v>0</v>
      </c>
      <c r="N355" s="31">
        <f t="shared" si="141"/>
        <v>0</v>
      </c>
      <c r="O355" s="93">
        <f>SUM('3:4'!O355)</f>
        <v>0</v>
      </c>
      <c r="P355" s="93">
        <f>SUM('3:4'!P355)</f>
        <v>0</v>
      </c>
      <c r="Q355" s="93">
        <f>SUM('3:4'!Q355)</f>
        <v>0</v>
      </c>
      <c r="R355" s="93">
        <f>SUM('3:4'!R355)</f>
        <v>0</v>
      </c>
      <c r="S355" s="93">
        <f>SUM('3:4'!S355)</f>
        <v>0</v>
      </c>
      <c r="T355" s="93">
        <f>SUM('3:4'!T355)</f>
        <v>0</v>
      </c>
      <c r="U355" s="93">
        <f>SUM('3:4'!U355)</f>
        <v>0</v>
      </c>
      <c r="V355" s="206">
        <f t="shared" si="138"/>
        <v>0</v>
      </c>
      <c r="W355" s="33" t="str">
        <f t="shared" si="139"/>
        <v/>
      </c>
      <c r="X355" s="93">
        <f>SUM('3:4'!X355)</f>
        <v>0</v>
      </c>
      <c r="Y355" s="93">
        <f>SUM('3:4'!Y355)</f>
        <v>0</v>
      </c>
      <c r="Z355" s="93">
        <f>SUM('3:4'!Z355)</f>
        <v>0</v>
      </c>
      <c r="AA355" s="93">
        <f>SUM('3:4'!AA355)</f>
        <v>0</v>
      </c>
      <c r="AB355" s="358">
        <v>0.61</v>
      </c>
      <c r="AC355" s="269">
        <f t="shared" si="140"/>
        <v>0</v>
      </c>
      <c r="AD355" s="251"/>
      <c r="AE355" s="54"/>
      <c r="AF355" s="54"/>
      <c r="AG355" s="54"/>
      <c r="AH355" s="54"/>
      <c r="AI355" s="57"/>
      <c r="AJ355" s="57"/>
      <c r="AK355" s="57"/>
      <c r="AL355" s="250"/>
      <c r="AM355" s="54"/>
      <c r="AN355" s="54"/>
      <c r="AO355" s="54"/>
      <c r="AP355" s="250"/>
      <c r="AQ355" s="250"/>
      <c r="AR355" s="250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 ht="17.25">
      <c r="A356" s="316">
        <v>30200005</v>
      </c>
      <c r="B356" s="62" t="s">
        <v>62</v>
      </c>
      <c r="C356" s="16" t="s">
        <v>64</v>
      </c>
      <c r="D356" s="17">
        <v>5.04</v>
      </c>
      <c r="E356" s="17"/>
      <c r="F356" s="79"/>
      <c r="G356" s="93">
        <f>SUM('3:4'!G356)</f>
        <v>0</v>
      </c>
      <c r="H356" s="95">
        <f t="shared" si="136"/>
        <v>0</v>
      </c>
      <c r="I356" s="93">
        <f>SUM('3:4'!I356)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17</v>
      </c>
      <c r="M356" s="36">
        <f t="shared" si="137"/>
        <v>0</v>
      </c>
      <c r="N356" s="31">
        <f t="shared" si="141"/>
        <v>0</v>
      </c>
      <c r="O356" s="93">
        <f>SUM('3:4'!O356)</f>
        <v>0</v>
      </c>
      <c r="P356" s="93">
        <f>SUM('3:4'!P356)</f>
        <v>0</v>
      </c>
      <c r="Q356" s="93">
        <f>SUM('3:4'!Q356)</f>
        <v>0</v>
      </c>
      <c r="R356" s="93">
        <f>SUM('3:4'!R356)</f>
        <v>0</v>
      </c>
      <c r="S356" s="93">
        <f>SUM('3:4'!S356)</f>
        <v>0</v>
      </c>
      <c r="T356" s="93">
        <f>SUM('3:4'!T356)</f>
        <v>0</v>
      </c>
      <c r="U356" s="93">
        <f>SUM('3:4'!U356)</f>
        <v>0</v>
      </c>
      <c r="V356" s="206">
        <f t="shared" si="138"/>
        <v>0</v>
      </c>
      <c r="W356" s="33" t="str">
        <f t="shared" si="139"/>
        <v/>
      </c>
      <c r="X356" s="93">
        <f>SUM('3:4'!X356)</f>
        <v>0</v>
      </c>
      <c r="Y356" s="93">
        <f>SUM('3:4'!Y356)</f>
        <v>0</v>
      </c>
      <c r="Z356" s="93">
        <f>SUM('3:4'!Z356)</f>
        <v>0</v>
      </c>
      <c r="AA356" s="93">
        <f>SUM('3:4'!AA356)</f>
        <v>0</v>
      </c>
      <c r="AB356" s="358">
        <v>0.61</v>
      </c>
      <c r="AC356" s="269">
        <f t="shared" si="140"/>
        <v>0</v>
      </c>
      <c r="AD356" s="251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 ht="17.25">
      <c r="A357" s="318">
        <v>30100063</v>
      </c>
      <c r="B357" s="62" t="s">
        <v>171</v>
      </c>
      <c r="C357" s="16" t="s">
        <v>172</v>
      </c>
      <c r="D357" s="17"/>
      <c r="E357" s="17"/>
      <c r="F357" s="79"/>
      <c r="G357" s="93"/>
      <c r="H357" s="95">
        <f t="shared" si="136"/>
        <v>0</v>
      </c>
      <c r="I357" s="93"/>
      <c r="J357" s="31"/>
      <c r="K357" s="35"/>
      <c r="L357" s="87"/>
      <c r="M357" s="36"/>
      <c r="N357" s="31"/>
      <c r="O357" s="93"/>
      <c r="P357" s="93"/>
      <c r="Q357" s="93"/>
      <c r="R357" s="93"/>
      <c r="S357" s="93"/>
      <c r="T357" s="93"/>
      <c r="U357" s="93"/>
      <c r="V357" s="206"/>
      <c r="W357" s="33"/>
      <c r="X357" s="93"/>
      <c r="Y357" s="93"/>
      <c r="Z357" s="93"/>
      <c r="AA357" s="93"/>
      <c r="AB357" s="358"/>
      <c r="AC357" s="269"/>
      <c r="AD357" s="295"/>
      <c r="AE357" s="54"/>
      <c r="AF357" s="54"/>
      <c r="AG357" s="54"/>
      <c r="AH357" s="54"/>
      <c r="AI357" s="57"/>
      <c r="AJ357" s="57"/>
      <c r="AK357" s="57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 ht="15.75">
      <c r="A358" s="302">
        <v>30100061</v>
      </c>
      <c r="B358" s="62" t="s">
        <v>171</v>
      </c>
      <c r="C358" s="16" t="s">
        <v>173</v>
      </c>
      <c r="D358" s="17"/>
      <c r="E358" s="17"/>
      <c r="F358" s="79"/>
      <c r="G358" s="93"/>
      <c r="H358" s="95">
        <f t="shared" si="136"/>
        <v>0</v>
      </c>
      <c r="I358" s="93"/>
      <c r="J358" s="31"/>
      <c r="K358" s="35"/>
      <c r="L358" s="87"/>
      <c r="M358" s="36"/>
      <c r="N358" s="31"/>
      <c r="O358" s="93"/>
      <c r="P358" s="93"/>
      <c r="Q358" s="93"/>
      <c r="R358" s="93"/>
      <c r="S358" s="93"/>
      <c r="T358" s="93"/>
      <c r="U358" s="93"/>
      <c r="V358" s="206"/>
      <c r="W358" s="33"/>
      <c r="X358" s="93"/>
      <c r="Y358" s="93"/>
      <c r="Z358" s="93"/>
      <c r="AA358" s="93"/>
      <c r="AB358" s="358"/>
      <c r="AC358" s="269"/>
      <c r="AD358" s="295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 ht="17.25">
      <c r="A359" s="316">
        <v>30200001</v>
      </c>
      <c r="B359" s="62" t="s">
        <v>67</v>
      </c>
      <c r="C359" s="16" t="s">
        <v>63</v>
      </c>
      <c r="D359" s="17">
        <v>5.0599999999999996</v>
      </c>
      <c r="E359" s="17"/>
      <c r="F359" s="6"/>
      <c r="G359" s="93">
        <f>SUM('3:4'!G359)</f>
        <v>0</v>
      </c>
      <c r="H359" s="95">
        <f t="shared" si="136"/>
        <v>0</v>
      </c>
      <c r="I359" s="93">
        <f>SUM('3:4'!I359)</f>
        <v>0</v>
      </c>
      <c r="J359" s="31" t="str">
        <f t="array" ref="J359">IF(ISERROR(G359/I359),"",G359/I359)</f>
        <v/>
      </c>
      <c r="K359" s="35">
        <f t="array" ref="K359">IF(ISERROR(G359/L359),"",G359/L359)</f>
        <v>0</v>
      </c>
      <c r="L359" s="87">
        <v>19</v>
      </c>
      <c r="M359" s="36">
        <f t="shared" si="137"/>
        <v>0</v>
      </c>
      <c r="N359" s="31">
        <f t="shared" si="141"/>
        <v>0</v>
      </c>
      <c r="O359" s="93">
        <f>SUM('3:4'!O359)</f>
        <v>0</v>
      </c>
      <c r="P359" s="93">
        <f>SUM('3:4'!P359)</f>
        <v>0</v>
      </c>
      <c r="Q359" s="93">
        <f>SUM('3:4'!Q359)</f>
        <v>0</v>
      </c>
      <c r="R359" s="93">
        <f>SUM('3:4'!R359)</f>
        <v>0</v>
      </c>
      <c r="S359" s="93">
        <f>SUM('3:4'!S359)</f>
        <v>0</v>
      </c>
      <c r="T359" s="93">
        <f>SUM('3:4'!T359)</f>
        <v>0</v>
      </c>
      <c r="U359" s="93">
        <f>SUM('3:4'!U359)</f>
        <v>0</v>
      </c>
      <c r="V359" s="206">
        <f t="shared" si="138"/>
        <v>0</v>
      </c>
      <c r="W359" s="33" t="str">
        <f t="shared" si="139"/>
        <v/>
      </c>
      <c r="X359" s="93">
        <f>SUM('3:4'!X359)</f>
        <v>0</v>
      </c>
      <c r="Y359" s="93">
        <f>SUM('3:4'!Y359)</f>
        <v>0</v>
      </c>
      <c r="Z359" s="93">
        <f>SUM('3:4'!Z359)</f>
        <v>0</v>
      </c>
      <c r="AA359" s="93">
        <f>SUM('3:4'!AA359)</f>
        <v>0</v>
      </c>
      <c r="AB359" s="358">
        <v>0.55000000000000004</v>
      </c>
      <c r="AC359" s="269">
        <f t="shared" si="140"/>
        <v>0</v>
      </c>
      <c r="AD359" s="251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 ht="17.25">
      <c r="A360" s="316">
        <v>30200002</v>
      </c>
      <c r="B360" s="62" t="s">
        <v>68</v>
      </c>
      <c r="C360" s="16" t="s">
        <v>63</v>
      </c>
      <c r="D360" s="17">
        <v>5.09</v>
      </c>
      <c r="E360" s="17"/>
      <c r="F360" s="6"/>
      <c r="G360" s="93">
        <f>SUM('3:4'!G360)</f>
        <v>0</v>
      </c>
      <c r="H360" s="95">
        <f t="shared" si="136"/>
        <v>0</v>
      </c>
      <c r="I360" s="93">
        <f>SUM('3:4'!I360)</f>
        <v>0</v>
      </c>
      <c r="J360" s="31" t="str">
        <f t="array" ref="J360">IF(ISERROR(G360/I360),"",G360/I360)</f>
        <v/>
      </c>
      <c r="K360" s="35">
        <f t="array" ref="K360">IF(ISERROR(G360/L360),"",G360/L360)</f>
        <v>0</v>
      </c>
      <c r="L360" s="87">
        <v>23</v>
      </c>
      <c r="M360" s="36">
        <f t="shared" si="137"/>
        <v>0</v>
      </c>
      <c r="N360" s="31">
        <f t="shared" si="141"/>
        <v>0</v>
      </c>
      <c r="O360" s="93">
        <f>SUM('3:4'!O360)</f>
        <v>0</v>
      </c>
      <c r="P360" s="93">
        <f>SUM('3:4'!P360)</f>
        <v>0</v>
      </c>
      <c r="Q360" s="93">
        <f>SUM('3:4'!Q360)</f>
        <v>0</v>
      </c>
      <c r="R360" s="93">
        <f>SUM('3:4'!R360)</f>
        <v>0</v>
      </c>
      <c r="S360" s="93">
        <f>SUM('3:4'!S360)</f>
        <v>0</v>
      </c>
      <c r="T360" s="93">
        <f>SUM('3:4'!T360)</f>
        <v>0</v>
      </c>
      <c r="U360" s="93">
        <f>SUM('3:4'!U360)</f>
        <v>0</v>
      </c>
      <c r="V360" s="206">
        <f t="shared" si="138"/>
        <v>0</v>
      </c>
      <c r="W360" s="33" t="str">
        <f t="shared" si="139"/>
        <v/>
      </c>
      <c r="X360" s="93">
        <f>SUM('3:4'!X360)</f>
        <v>0</v>
      </c>
      <c r="Y360" s="93">
        <f>SUM('3:4'!Y360)</f>
        <v>0</v>
      </c>
      <c r="Z360" s="93">
        <f>SUM('3:4'!Z360)</f>
        <v>0</v>
      </c>
      <c r="AA360" s="93">
        <f>SUM('3:4'!AA360)</f>
        <v>0</v>
      </c>
      <c r="AB360" s="358">
        <v>0.45</v>
      </c>
      <c r="AC360" s="269">
        <f t="shared" si="140"/>
        <v>0</v>
      </c>
      <c r="AD360" s="251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 ht="17.25">
      <c r="A361" s="316">
        <v>30200003</v>
      </c>
      <c r="B361" s="62" t="s">
        <v>68</v>
      </c>
      <c r="C361" s="16" t="s">
        <v>64</v>
      </c>
      <c r="D361" s="17">
        <v>5.09</v>
      </c>
      <c r="E361" s="17"/>
      <c r="F361" s="6"/>
      <c r="G361" s="93">
        <f>SUM('3:4'!G361)</f>
        <v>0</v>
      </c>
      <c r="H361" s="95">
        <f t="shared" si="136"/>
        <v>0</v>
      </c>
      <c r="I361" s="93">
        <f>SUM('3:4'!I361)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23</v>
      </c>
      <c r="M361" s="36">
        <f t="shared" si="137"/>
        <v>0</v>
      </c>
      <c r="N361" s="31">
        <f t="shared" si="141"/>
        <v>0</v>
      </c>
      <c r="O361" s="93">
        <f>SUM('3:4'!O361)</f>
        <v>0</v>
      </c>
      <c r="P361" s="93">
        <f>SUM('3:4'!P361)</f>
        <v>0</v>
      </c>
      <c r="Q361" s="93">
        <f>SUM('3:4'!Q361)</f>
        <v>0</v>
      </c>
      <c r="R361" s="93">
        <f>SUM('3:4'!R361)</f>
        <v>0</v>
      </c>
      <c r="S361" s="93">
        <f>SUM('3:4'!S361)</f>
        <v>0</v>
      </c>
      <c r="T361" s="93">
        <f>SUM('3:4'!T361)</f>
        <v>0</v>
      </c>
      <c r="U361" s="93">
        <f>SUM('3:4'!U361)</f>
        <v>0</v>
      </c>
      <c r="V361" s="206">
        <f t="shared" si="138"/>
        <v>0</v>
      </c>
      <c r="W361" s="33" t="str">
        <f t="shared" si="139"/>
        <v/>
      </c>
      <c r="X361" s="93">
        <f>SUM('3:4'!X361)</f>
        <v>0</v>
      </c>
      <c r="Y361" s="93">
        <f>SUM('3:4'!Y361)</f>
        <v>0</v>
      </c>
      <c r="Z361" s="93">
        <f>SUM('3:4'!Z361)</f>
        <v>0</v>
      </c>
      <c r="AA361" s="93">
        <f>SUM('3:4'!AA361)</f>
        <v>0</v>
      </c>
      <c r="AB361" s="358">
        <v>0.45</v>
      </c>
      <c r="AC361" s="269">
        <f t="shared" si="140"/>
        <v>0</v>
      </c>
      <c r="AD361" s="251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 ht="17.25">
      <c r="A362" s="316">
        <v>30100003</v>
      </c>
      <c r="B362" s="141" t="s">
        <v>198</v>
      </c>
      <c r="C362" s="241" t="s">
        <v>190</v>
      </c>
      <c r="D362" s="108">
        <v>4.8</v>
      </c>
      <c r="E362" s="17"/>
      <c r="F362" s="6"/>
      <c r="G362" s="93">
        <f>SUM('3:4'!G362)</f>
        <v>0</v>
      </c>
      <c r="H362" s="95">
        <f t="shared" si="136"/>
        <v>0</v>
      </c>
      <c r="I362" s="93">
        <f>SUM('3:4'!I362)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4</v>
      </c>
      <c r="M362" s="36">
        <f t="shared" si="137"/>
        <v>0</v>
      </c>
      <c r="N362" s="31">
        <f t="shared" si="141"/>
        <v>0</v>
      </c>
      <c r="O362" s="93">
        <f>SUM('3:4'!O362)</f>
        <v>0</v>
      </c>
      <c r="P362" s="93">
        <f>SUM('3:4'!P362)</f>
        <v>0</v>
      </c>
      <c r="Q362" s="93">
        <f>SUM('3:4'!Q362)</f>
        <v>0</v>
      </c>
      <c r="R362" s="93">
        <f>SUM('3:4'!R362)</f>
        <v>0</v>
      </c>
      <c r="S362" s="93">
        <f>SUM('3:4'!S362)</f>
        <v>0</v>
      </c>
      <c r="T362" s="93">
        <f>SUM('3:4'!T362)</f>
        <v>0</v>
      </c>
      <c r="U362" s="93">
        <f>SUM('3:4'!U362)</f>
        <v>0</v>
      </c>
      <c r="V362" s="206">
        <f t="shared" si="138"/>
        <v>0</v>
      </c>
      <c r="W362" s="33" t="str">
        <f t="shared" si="139"/>
        <v/>
      </c>
      <c r="X362" s="93">
        <f>SUM('3:4'!X362)</f>
        <v>0</v>
      </c>
      <c r="Y362" s="93">
        <f>SUM('3:4'!Y362)</f>
        <v>0</v>
      </c>
      <c r="Z362" s="93">
        <f>SUM('3:4'!Z362)</f>
        <v>0</v>
      </c>
      <c r="AA362" s="93">
        <f>SUM('3:4'!AA362)</f>
        <v>0</v>
      </c>
      <c r="AB362" s="358">
        <v>0.95</v>
      </c>
      <c r="AC362" s="269">
        <f t="shared" si="140"/>
        <v>0</v>
      </c>
      <c r="AD362" s="251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 ht="17.25">
      <c r="A363" s="316">
        <v>30100004</v>
      </c>
      <c r="B363" s="141" t="s">
        <v>198</v>
      </c>
      <c r="C363" s="241" t="s">
        <v>187</v>
      </c>
      <c r="D363" s="108">
        <v>4.8</v>
      </c>
      <c r="E363" s="17"/>
      <c r="F363" s="6"/>
      <c r="G363" s="93">
        <f>SUM('3:4'!G363)</f>
        <v>0</v>
      </c>
      <c r="H363" s="95">
        <f t="shared" si="136"/>
        <v>0</v>
      </c>
      <c r="I363" s="93">
        <f>SUM('3:4'!I363)</f>
        <v>0</v>
      </c>
      <c r="J363" s="31"/>
      <c r="K363" s="35">
        <f t="array" ref="K363">IF(ISERROR(G363/L363),"",G363/L363)</f>
        <v>0</v>
      </c>
      <c r="L363" s="87">
        <v>4</v>
      </c>
      <c r="M363" s="36">
        <f>IF(ISERROR(I363-K363),"",I363-K363)</f>
        <v>0</v>
      </c>
      <c r="N363" s="31"/>
      <c r="O363" s="93">
        <f>SUM('3:4'!O363)</f>
        <v>0</v>
      </c>
      <c r="P363" s="93">
        <f>SUM('3:4'!P363)</f>
        <v>0</v>
      </c>
      <c r="Q363" s="93">
        <f>SUM('3:4'!Q363)</f>
        <v>0</v>
      </c>
      <c r="R363" s="93">
        <f>SUM('3:4'!R363)</f>
        <v>0</v>
      </c>
      <c r="S363" s="93">
        <f>SUM('3:4'!S363)</f>
        <v>0</v>
      </c>
      <c r="T363" s="93">
        <f>SUM('3:4'!T363)</f>
        <v>0</v>
      </c>
      <c r="U363" s="93">
        <f>SUM('3:4'!U363)</f>
        <v>0</v>
      </c>
      <c r="V363" s="206"/>
      <c r="W363" s="33"/>
      <c r="X363" s="93">
        <f>SUM('3:4'!X363)</f>
        <v>0</v>
      </c>
      <c r="Y363" s="93">
        <f>SUM('3:4'!Y363)</f>
        <v>0</v>
      </c>
      <c r="Z363" s="93">
        <f>SUM('3:4'!Z363)</f>
        <v>0</v>
      </c>
      <c r="AA363" s="93">
        <f>SUM('3:4'!AA363)</f>
        <v>0</v>
      </c>
      <c r="AB363" s="358">
        <v>0.95</v>
      </c>
      <c r="AC363" s="269">
        <f t="shared" si="140"/>
        <v>0</v>
      </c>
      <c r="AD363" s="251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 ht="17.25">
      <c r="A364" s="316">
        <v>30100006</v>
      </c>
      <c r="B364" s="141" t="s">
        <v>198</v>
      </c>
      <c r="C364" s="241" t="s">
        <v>179</v>
      </c>
      <c r="D364" s="108">
        <v>4.8</v>
      </c>
      <c r="E364" s="17"/>
      <c r="F364" s="6"/>
      <c r="G364" s="93">
        <f>SUM('3:4'!G364)</f>
        <v>0</v>
      </c>
      <c r="H364" s="95">
        <f t="shared" si="136"/>
        <v>0</v>
      </c>
      <c r="I364" s="93">
        <f>SUM('3:4'!I364)</f>
        <v>0</v>
      </c>
      <c r="J364" s="31"/>
      <c r="K364" s="35">
        <f t="array" ref="K364">IF(ISERROR(G364/L364),"",G364/L364)</f>
        <v>0</v>
      </c>
      <c r="L364" s="87">
        <v>4</v>
      </c>
      <c r="M364" s="36">
        <f>IF(ISERROR(I364-K364),"",I364-K364)</f>
        <v>0</v>
      </c>
      <c r="N364" s="31"/>
      <c r="O364" s="93">
        <f>SUM('3:4'!O364)</f>
        <v>0</v>
      </c>
      <c r="P364" s="93">
        <f>SUM('3:4'!P364)</f>
        <v>0</v>
      </c>
      <c r="Q364" s="93">
        <f>SUM('3:4'!Q364)</f>
        <v>0</v>
      </c>
      <c r="R364" s="93">
        <f>SUM('3:4'!R364)</f>
        <v>0</v>
      </c>
      <c r="S364" s="93">
        <f>SUM('3:4'!S364)</f>
        <v>0</v>
      </c>
      <c r="T364" s="93">
        <f>SUM('3:4'!T364)</f>
        <v>0</v>
      </c>
      <c r="U364" s="93">
        <f>SUM('3:4'!U364)</f>
        <v>0</v>
      </c>
      <c r="V364" s="206"/>
      <c r="W364" s="33"/>
      <c r="X364" s="93">
        <f>SUM('3:4'!X364)</f>
        <v>0</v>
      </c>
      <c r="Y364" s="93">
        <f>SUM('3:4'!Y364)</f>
        <v>0</v>
      </c>
      <c r="Z364" s="93">
        <f>SUM('3:4'!Z364)</f>
        <v>0</v>
      </c>
      <c r="AA364" s="93">
        <f>SUM('3:4'!AA364)</f>
        <v>0</v>
      </c>
      <c r="AB364" s="358">
        <v>0.95</v>
      </c>
      <c r="AC364" s="269">
        <f t="shared" si="140"/>
        <v>0</v>
      </c>
      <c r="AD364" s="251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 ht="17.25">
      <c r="A365" s="316">
        <v>30100005</v>
      </c>
      <c r="B365" s="141" t="s">
        <v>198</v>
      </c>
      <c r="C365" s="241" t="s">
        <v>199</v>
      </c>
      <c r="D365" s="108">
        <v>4.8</v>
      </c>
      <c r="E365" s="17"/>
      <c r="F365" s="6"/>
      <c r="G365" s="93">
        <f>SUM('3:4'!G365)</f>
        <v>0</v>
      </c>
      <c r="H365" s="95">
        <f t="shared" si="136"/>
        <v>0</v>
      </c>
      <c r="I365" s="93">
        <f>SUM('3:4'!I365)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SUM('3:4'!O365)</f>
        <v>0</v>
      </c>
      <c r="P365" s="93">
        <f>SUM('3:4'!P365)</f>
        <v>0</v>
      </c>
      <c r="Q365" s="93">
        <f>SUM('3:4'!Q365)</f>
        <v>0</v>
      </c>
      <c r="R365" s="93">
        <f>SUM('3:4'!R365)</f>
        <v>0</v>
      </c>
      <c r="S365" s="93">
        <f>SUM('3:4'!S365)</f>
        <v>0</v>
      </c>
      <c r="T365" s="93">
        <f>SUM('3:4'!T365)</f>
        <v>0</v>
      </c>
      <c r="U365" s="93">
        <f>SUM('3:4'!U365)</f>
        <v>0</v>
      </c>
      <c r="V365" s="206"/>
      <c r="W365" s="33"/>
      <c r="X365" s="93">
        <f>SUM('3:4'!X365)</f>
        <v>0</v>
      </c>
      <c r="Y365" s="93">
        <f>SUM('3:4'!Y365)</f>
        <v>0</v>
      </c>
      <c r="Z365" s="93">
        <f>SUM('3:4'!Z365)</f>
        <v>0</v>
      </c>
      <c r="AA365" s="93">
        <f>SUM('3:4'!AA365)</f>
        <v>0</v>
      </c>
      <c r="AB365" s="358">
        <v>0.95</v>
      </c>
      <c r="AC365" s="269">
        <f t="shared" si="140"/>
        <v>0</v>
      </c>
      <c r="AD365" s="251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 ht="17.25">
      <c r="A366" s="316">
        <v>30100009</v>
      </c>
      <c r="B366" s="141" t="s">
        <v>200</v>
      </c>
      <c r="C366" s="126" t="s">
        <v>190</v>
      </c>
      <c r="D366" s="108">
        <v>4.99</v>
      </c>
      <c r="E366" s="17"/>
      <c r="F366" s="6"/>
      <c r="G366" s="93">
        <f>SUM('3:4'!G366)</f>
        <v>0</v>
      </c>
      <c r="H366" s="95">
        <f t="shared" si="136"/>
        <v>0</v>
      </c>
      <c r="I366" s="93">
        <f>SUM('3:4'!I366)</f>
        <v>0</v>
      </c>
      <c r="J366" s="31"/>
      <c r="K366" s="35">
        <f t="array" ref="K366">IF(ISERROR(G366/L366),"",G366/L366)</f>
        <v>0</v>
      </c>
      <c r="L366" s="87">
        <v>23.5</v>
      </c>
      <c r="M366" s="36">
        <f>IF(ISERROR(I366-K366),"",I366-K366)</f>
        <v>0</v>
      </c>
      <c r="N366" s="31"/>
      <c r="O366" s="93">
        <f>SUM('3:4'!O366)</f>
        <v>0</v>
      </c>
      <c r="P366" s="93">
        <f>SUM('3:4'!P366)</f>
        <v>0</v>
      </c>
      <c r="Q366" s="93">
        <f>SUM('3:4'!Q366)</f>
        <v>0</v>
      </c>
      <c r="R366" s="93">
        <f>SUM('3:4'!R366)</f>
        <v>0</v>
      </c>
      <c r="S366" s="93">
        <f>SUM('3:4'!S366)</f>
        <v>0</v>
      </c>
      <c r="T366" s="93">
        <f>SUM('3:4'!T366)</f>
        <v>0</v>
      </c>
      <c r="U366" s="93">
        <f>SUM('3:4'!U366)</f>
        <v>0</v>
      </c>
      <c r="V366" s="206"/>
      <c r="W366" s="33"/>
      <c r="X366" s="93">
        <f>SUM('3:4'!X366)</f>
        <v>0</v>
      </c>
      <c r="Y366" s="93">
        <f>SUM('3:4'!Y366)</f>
        <v>0</v>
      </c>
      <c r="Z366" s="93">
        <f>SUM('3:4'!Z366)</f>
        <v>0</v>
      </c>
      <c r="AA366" s="93">
        <f>SUM('3:4'!AA366)</f>
        <v>0</v>
      </c>
      <c r="AB366" s="358">
        <v>0.44</v>
      </c>
      <c r="AC366" s="269">
        <f t="shared" si="140"/>
        <v>0</v>
      </c>
      <c r="AD366" s="251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 ht="15.75">
      <c r="A367" s="299">
        <v>30200004</v>
      </c>
      <c r="B367" s="141" t="s">
        <v>200</v>
      </c>
      <c r="C367" s="126" t="s">
        <v>189</v>
      </c>
      <c r="D367" s="108">
        <v>4.99</v>
      </c>
      <c r="E367" s="17"/>
      <c r="F367" s="13"/>
      <c r="G367" s="93">
        <f>SUM('3:4'!G367)</f>
        <v>0</v>
      </c>
      <c r="H367" s="95">
        <f t="shared" si="136"/>
        <v>0</v>
      </c>
      <c r="I367" s="93">
        <f>SUM('3:4'!I367)</f>
        <v>0</v>
      </c>
      <c r="J367" s="31" t="str">
        <f t="array" ref="J367">IF(ISERROR(G367/I367),"",G367/I367)</f>
        <v/>
      </c>
      <c r="K367" s="35">
        <f t="array" ref="K367">IF(ISERROR(G367/L367),"",G367/L367)</f>
        <v>0</v>
      </c>
      <c r="L367" s="87">
        <v>23.5</v>
      </c>
      <c r="M367" s="36">
        <f t="shared" ref="M367" si="142">IF(ISERROR(I367-K367),"",I367-K367)</f>
        <v>0</v>
      </c>
      <c r="N367" s="31">
        <f t="shared" ref="N367" si="143">SUM(O367:U367)</f>
        <v>0</v>
      </c>
      <c r="O367" s="93">
        <f>SUM('3:4'!O367)</f>
        <v>0</v>
      </c>
      <c r="P367" s="93">
        <f>SUM('3:4'!P367)</f>
        <v>0</v>
      </c>
      <c r="Q367" s="93">
        <f>SUM('3:4'!Q367)</f>
        <v>0</v>
      </c>
      <c r="R367" s="93">
        <f>SUM('3:4'!R367)</f>
        <v>0</v>
      </c>
      <c r="S367" s="93">
        <f>SUM('3:4'!S367)</f>
        <v>0</v>
      </c>
      <c r="T367" s="93">
        <f>SUM('3:4'!T367)</f>
        <v>0</v>
      </c>
      <c r="U367" s="93">
        <f>SUM('3:4'!U367)</f>
        <v>0</v>
      </c>
      <c r="V367" s="206">
        <f t="shared" ref="V367" si="144">SUM(X367:AA367)</f>
        <v>0</v>
      </c>
      <c r="W367" s="33" t="str">
        <f t="shared" ref="W367" si="145">IF(ISERROR(V367/G367),"",V367/G367)</f>
        <v/>
      </c>
      <c r="X367" s="93">
        <f>SUM('3:4'!X367)</f>
        <v>0</v>
      </c>
      <c r="Y367" s="93">
        <f>SUM('3:4'!Y367)</f>
        <v>0</v>
      </c>
      <c r="Z367" s="93">
        <f>SUM('3:4'!Z367)</f>
        <v>0</v>
      </c>
      <c r="AA367" s="93">
        <f>SUM('3:4'!AA367)</f>
        <v>0</v>
      </c>
      <c r="AB367" s="358">
        <v>0.44</v>
      </c>
      <c r="AC367" s="269">
        <f t="shared" si="140"/>
        <v>0</v>
      </c>
      <c r="AD367" s="251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 ht="15.75">
      <c r="A368" s="722" t="s">
        <v>70</v>
      </c>
      <c r="B368" s="723"/>
      <c r="C368" s="31" t="s">
        <v>71</v>
      </c>
      <c r="D368" s="30"/>
      <c r="E368" s="30"/>
      <c r="F368" s="30"/>
      <c r="G368" s="94">
        <f>SUM(G347:G367)</f>
        <v>0</v>
      </c>
      <c r="H368" s="30">
        <f>SUM(H347:H367)</f>
        <v>0</v>
      </c>
      <c r="I368" s="30">
        <f>SUM(I347:I367)</f>
        <v>0</v>
      </c>
      <c r="J368" s="31" t="str">
        <f t="array" ref="J368">IF(ISERROR(G368/I368),"",G368/I368)</f>
        <v/>
      </c>
      <c r="K368" s="30">
        <f>SUM(K347:K367)</f>
        <v>0</v>
      </c>
      <c r="L368" s="98"/>
      <c r="M368" s="89">
        <f t="shared" ref="M368:AA368" si="146">SUM(M347:M367)</f>
        <v>0</v>
      </c>
      <c r="N368" s="30">
        <f t="shared" si="146"/>
        <v>0</v>
      </c>
      <c r="O368" s="34">
        <f t="shared" si="146"/>
        <v>0</v>
      </c>
      <c r="P368" s="34">
        <f t="shared" si="146"/>
        <v>0</v>
      </c>
      <c r="Q368" s="34">
        <f t="shared" si="146"/>
        <v>0</v>
      </c>
      <c r="R368" s="34">
        <f t="shared" si="146"/>
        <v>0</v>
      </c>
      <c r="S368" s="34">
        <f t="shared" si="146"/>
        <v>0</v>
      </c>
      <c r="T368" s="34">
        <f t="shared" si="146"/>
        <v>0</v>
      </c>
      <c r="U368" s="34">
        <f t="shared" si="146"/>
        <v>0</v>
      </c>
      <c r="V368" s="206">
        <f t="shared" si="146"/>
        <v>0</v>
      </c>
      <c r="W368" s="33">
        <f t="shared" si="146"/>
        <v>0</v>
      </c>
      <c r="X368" s="92">
        <f t="shared" si="146"/>
        <v>0</v>
      </c>
      <c r="Y368" s="92">
        <f t="shared" si="146"/>
        <v>0</v>
      </c>
      <c r="Z368" s="92">
        <f t="shared" si="146"/>
        <v>0</v>
      </c>
      <c r="AA368" s="92">
        <f t="shared" si="146"/>
        <v>0</v>
      </c>
      <c r="AB368" s="358"/>
      <c r="AC368" s="273"/>
      <c r="AD368" s="58"/>
      <c r="AE368" s="70"/>
      <c r="AF368" s="70"/>
      <c r="AG368" s="70"/>
      <c r="AH368" s="70"/>
      <c r="AI368" s="58"/>
      <c r="AJ368" s="58"/>
      <c r="AK368" s="58"/>
      <c r="AL368" s="58"/>
      <c r="AM368" s="58"/>
      <c r="AN368" s="58"/>
      <c r="AO368" s="58"/>
      <c r="AP368" s="58"/>
      <c r="AQ368" s="58"/>
      <c r="AR368" s="58"/>
      <c r="AS368" s="58"/>
      <c r="AT368" s="58"/>
      <c r="AU368" s="58"/>
      <c r="AV368" s="58"/>
      <c r="AW368" s="58"/>
      <c r="AX368" s="58"/>
      <c r="AY368" s="58"/>
      <c r="AZ368" s="58"/>
      <c r="BA368" s="58"/>
    </row>
    <row r="369" spans="1:53" ht="17.25">
      <c r="A369" s="316">
        <v>30100012</v>
      </c>
      <c r="B369" s="61" t="s">
        <v>76</v>
      </c>
      <c r="C369" s="16" t="s">
        <v>73</v>
      </c>
      <c r="D369" s="17">
        <v>5.03</v>
      </c>
      <c r="E369" s="17"/>
      <c r="F369" s="6"/>
      <c r="G369" s="93">
        <f>SUM('3:4'!G369)</f>
        <v>0</v>
      </c>
      <c r="H369" s="246">
        <f t="shared" ref="H369:H425" si="147">D369*G369</f>
        <v>0</v>
      </c>
      <c r="I369" s="93">
        <f>SUM('3:4'!I369)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52</v>
      </c>
      <c r="M369" s="36">
        <f t="shared" ref="M369" si="148">IF(ISERROR(I369-K369),"",I369-K369)</f>
        <v>0</v>
      </c>
      <c r="N369" s="31">
        <f t="shared" ref="N369" si="149">SUM(O369:U369)</f>
        <v>0</v>
      </c>
      <c r="O369" s="93">
        <f>SUM('3:4'!O369)</f>
        <v>0</v>
      </c>
      <c r="P369" s="93">
        <f>SUM('3:4'!P369)</f>
        <v>0</v>
      </c>
      <c r="Q369" s="93">
        <f>SUM('3:4'!Q369)</f>
        <v>0</v>
      </c>
      <c r="R369" s="93">
        <f>SUM('3:4'!R369)</f>
        <v>0</v>
      </c>
      <c r="S369" s="93">
        <f>SUM('3:4'!S369)</f>
        <v>0</v>
      </c>
      <c r="T369" s="93">
        <f>SUM('3:4'!T369)</f>
        <v>0</v>
      </c>
      <c r="U369" s="93">
        <f>SUM('3:4'!U369)</f>
        <v>0</v>
      </c>
      <c r="V369" s="206">
        <f t="shared" ref="V369" si="150">SUM(X369:AA369)</f>
        <v>0</v>
      </c>
      <c r="W369" s="33" t="str">
        <f t="shared" ref="W369" si="151">IF(ISERROR(V369/G369),"",V369/G369)</f>
        <v/>
      </c>
      <c r="X369" s="93">
        <f>SUM('3:4'!X369)</f>
        <v>0</v>
      </c>
      <c r="Y369" s="93">
        <f>SUM('3:4'!Y369)</f>
        <v>0</v>
      </c>
      <c r="Z369" s="93">
        <f>SUM('3:4'!Z369)</f>
        <v>0</v>
      </c>
      <c r="AA369" s="93">
        <f>SUM('3:4'!AA369)</f>
        <v>0</v>
      </c>
      <c r="AB369" s="358">
        <v>0.19</v>
      </c>
      <c r="AC369" s="269">
        <f t="shared" si="140"/>
        <v>0</v>
      </c>
      <c r="AD369" s="251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 ht="17.25">
      <c r="A370" s="316">
        <v>30100011</v>
      </c>
      <c r="B370" s="190" t="s">
        <v>425</v>
      </c>
      <c r="C370" s="187" t="s">
        <v>427</v>
      </c>
      <c r="D370" s="17">
        <v>5.03</v>
      </c>
      <c r="E370" s="17"/>
      <c r="F370" s="6"/>
      <c r="G370" s="93"/>
      <c r="H370" s="246">
        <f t="shared" si="147"/>
        <v>0</v>
      </c>
      <c r="I370" s="93"/>
      <c r="J370" s="31"/>
      <c r="K370" s="35">
        <f t="array" ref="K370">IF(ISERROR(G370/L370),"",G370/L370)</f>
        <v>0</v>
      </c>
      <c r="L370" s="87">
        <v>52</v>
      </c>
      <c r="M370" s="36"/>
      <c r="N370" s="31"/>
      <c r="O370" s="93"/>
      <c r="P370" s="93"/>
      <c r="Q370" s="93"/>
      <c r="R370" s="93"/>
      <c r="S370" s="93"/>
      <c r="T370" s="93"/>
      <c r="U370" s="93"/>
      <c r="V370" s="206"/>
      <c r="W370" s="33"/>
      <c r="X370" s="93"/>
      <c r="Y370" s="93"/>
      <c r="Z370" s="93"/>
      <c r="AA370" s="93"/>
      <c r="AB370" s="358">
        <v>0.19</v>
      </c>
      <c r="AC370" s="269">
        <f t="shared" si="140"/>
        <v>0</v>
      </c>
      <c r="AD370" s="251"/>
      <c r="AE370" s="54"/>
      <c r="AF370" s="54"/>
      <c r="AG370" s="54"/>
      <c r="AH370" s="54"/>
      <c r="AI370" s="57"/>
      <c r="AJ370" s="57"/>
      <c r="AK370" s="57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</row>
    <row r="371" spans="1:53" ht="17.25">
      <c r="A371" s="316">
        <v>30100010</v>
      </c>
      <c r="B371" s="61" t="s">
        <v>76</v>
      </c>
      <c r="C371" s="16" t="s">
        <v>60</v>
      </c>
      <c r="D371" s="17">
        <v>5.03</v>
      </c>
      <c r="E371" s="17"/>
      <c r="F371" s="6"/>
      <c r="G371" s="93">
        <f>SUM('3:4'!G371)</f>
        <v>0</v>
      </c>
      <c r="H371" s="246">
        <f t="shared" si="147"/>
        <v>0</v>
      </c>
      <c r="I371" s="93">
        <f>SUM('3:4'!I371)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 t="shared" ref="M371:M406" si="152">IF(ISERROR(I371-K371),"",I371-K371)</f>
        <v>0</v>
      </c>
      <c r="N371" s="31">
        <f t="shared" ref="N371:N373" si="153">SUM(O371:U371)</f>
        <v>0</v>
      </c>
      <c r="O371" s="93">
        <f>SUM('3:4'!O371)</f>
        <v>0</v>
      </c>
      <c r="P371" s="93">
        <f>SUM('3:4'!P371)</f>
        <v>0</v>
      </c>
      <c r="Q371" s="93">
        <f>SUM('3:4'!Q371)</f>
        <v>0</v>
      </c>
      <c r="R371" s="93">
        <f>SUM('3:4'!R371)</f>
        <v>0</v>
      </c>
      <c r="S371" s="93">
        <f>SUM('3:4'!S371)</f>
        <v>0</v>
      </c>
      <c r="T371" s="93">
        <f>SUM('3:4'!T371)</f>
        <v>0</v>
      </c>
      <c r="U371" s="93">
        <f>SUM('3:4'!U371)</f>
        <v>0</v>
      </c>
      <c r="V371" s="206">
        <f t="shared" ref="V371:V373" si="154">SUM(X371:AA371)</f>
        <v>0</v>
      </c>
      <c r="W371" s="33" t="str">
        <f t="shared" ref="W371:W373" si="155">IF(ISERROR(V371/G371),"",V371/G371)</f>
        <v/>
      </c>
      <c r="X371" s="93">
        <f>SUM('3:4'!X371)</f>
        <v>0</v>
      </c>
      <c r="Y371" s="93">
        <f>SUM('3:4'!Y371)</f>
        <v>0</v>
      </c>
      <c r="Z371" s="93">
        <f>SUM('3:4'!Z371)</f>
        <v>0</v>
      </c>
      <c r="AA371" s="93">
        <f>SUM('3:4'!AA371)</f>
        <v>0</v>
      </c>
      <c r="AB371" s="358">
        <v>0.19</v>
      </c>
      <c r="AC371" s="269">
        <f t="shared" si="140"/>
        <v>0</v>
      </c>
      <c r="AD371" s="251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 ht="17.25" customHeight="1">
      <c r="A372" s="316">
        <v>30100014</v>
      </c>
      <c r="B372" s="61" t="s">
        <v>76</v>
      </c>
      <c r="C372" s="16" t="s">
        <v>72</v>
      </c>
      <c r="D372" s="17">
        <v>5.03</v>
      </c>
      <c r="E372" s="17"/>
      <c r="F372" s="6"/>
      <c r="G372" s="93">
        <f>SUM('3:4'!G372)</f>
        <v>0</v>
      </c>
      <c r="H372" s="246">
        <f t="shared" si="147"/>
        <v>0</v>
      </c>
      <c r="I372" s="93">
        <f>SUM('3:4'!I372)</f>
        <v>0</v>
      </c>
      <c r="J372" s="31" t="str">
        <f t="array" ref="J372">IF(ISERROR(G372/I372),"",G372/I372)</f>
        <v/>
      </c>
      <c r="K372" s="35">
        <f t="array" ref="K372">IF(ISERROR(G372/L372),"",G372/L372)</f>
        <v>0</v>
      </c>
      <c r="L372" s="87">
        <v>52</v>
      </c>
      <c r="M372" s="36">
        <f t="shared" si="152"/>
        <v>0</v>
      </c>
      <c r="N372" s="31">
        <f t="shared" si="153"/>
        <v>0</v>
      </c>
      <c r="O372" s="93">
        <f>SUM('3:4'!O372)</f>
        <v>0</v>
      </c>
      <c r="P372" s="93">
        <f>SUM('3:4'!P372)</f>
        <v>0</v>
      </c>
      <c r="Q372" s="93">
        <f>SUM('3:4'!Q372)</f>
        <v>0</v>
      </c>
      <c r="R372" s="93">
        <f>SUM('3:4'!R372)</f>
        <v>0</v>
      </c>
      <c r="S372" s="93">
        <f>SUM('3:4'!S372)</f>
        <v>0</v>
      </c>
      <c r="T372" s="93">
        <f>SUM('3:4'!T372)</f>
        <v>0</v>
      </c>
      <c r="U372" s="93">
        <f>SUM('3:4'!U372)</f>
        <v>0</v>
      </c>
      <c r="V372" s="206">
        <f t="shared" si="154"/>
        <v>0</v>
      </c>
      <c r="W372" s="33" t="str">
        <f t="shared" si="155"/>
        <v/>
      </c>
      <c r="X372" s="93">
        <f>SUM('3:4'!X372)</f>
        <v>0</v>
      </c>
      <c r="Y372" s="93">
        <f>SUM('3:4'!Y372)</f>
        <v>0</v>
      </c>
      <c r="Z372" s="93">
        <f>SUM('3:4'!Z372)</f>
        <v>0</v>
      </c>
      <c r="AA372" s="93">
        <f>SUM('3:4'!AA372)</f>
        <v>0</v>
      </c>
      <c r="AB372" s="358">
        <v>0.19</v>
      </c>
      <c r="AC372" s="269">
        <f t="shared" si="140"/>
        <v>0</v>
      </c>
      <c r="AD372" s="251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 ht="17.25">
      <c r="A373" s="316">
        <v>30100013</v>
      </c>
      <c r="B373" s="61" t="s">
        <v>76</v>
      </c>
      <c r="C373" s="16" t="s">
        <v>77</v>
      </c>
      <c r="D373" s="17">
        <v>5.03</v>
      </c>
      <c r="E373" s="17"/>
      <c r="F373" s="6"/>
      <c r="G373" s="93">
        <f>SUM('3:4'!G373)</f>
        <v>0</v>
      </c>
      <c r="H373" s="246">
        <f t="shared" si="147"/>
        <v>0</v>
      </c>
      <c r="I373" s="93">
        <f>SUM('3:4'!I373)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si="152"/>
        <v>0</v>
      </c>
      <c r="N373" s="31">
        <f t="shared" si="153"/>
        <v>0</v>
      </c>
      <c r="O373" s="93">
        <f>SUM('3:4'!O373)</f>
        <v>0</v>
      </c>
      <c r="P373" s="93">
        <f>SUM('3:4'!P373)</f>
        <v>0</v>
      </c>
      <c r="Q373" s="93">
        <f>SUM('3:4'!Q373)</f>
        <v>0</v>
      </c>
      <c r="R373" s="93">
        <f>SUM('3:4'!R373)</f>
        <v>0</v>
      </c>
      <c r="S373" s="93">
        <f>SUM('3:4'!S373)</f>
        <v>0</v>
      </c>
      <c r="T373" s="93">
        <f>SUM('3:4'!T373)</f>
        <v>0</v>
      </c>
      <c r="U373" s="93">
        <f>SUM('3:4'!U373)</f>
        <v>0</v>
      </c>
      <c r="V373" s="206">
        <f t="shared" si="154"/>
        <v>0</v>
      </c>
      <c r="W373" s="33" t="str">
        <f t="shared" si="155"/>
        <v/>
      </c>
      <c r="X373" s="93">
        <f>SUM('3:4'!X373)</f>
        <v>0</v>
      </c>
      <c r="Y373" s="93">
        <f>SUM('3:4'!Y373)</f>
        <v>0</v>
      </c>
      <c r="Z373" s="93">
        <f>SUM('3:4'!Z373)</f>
        <v>0</v>
      </c>
      <c r="AA373" s="93">
        <f>SUM('3:4'!AA373)</f>
        <v>0</v>
      </c>
      <c r="AB373" s="358">
        <v>0.19</v>
      </c>
      <c r="AC373" s="269">
        <f t="shared" si="140"/>
        <v>0</v>
      </c>
      <c r="AD373" s="251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>
      <c r="A374" s="316">
        <v>30100016</v>
      </c>
      <c r="B374" s="240" t="s">
        <v>414</v>
      </c>
      <c r="C374" s="187" t="s">
        <v>415</v>
      </c>
      <c r="D374" s="17"/>
      <c r="E374" s="17"/>
      <c r="F374" s="6"/>
      <c r="G374" s="93">
        <f>SUM('3:4'!G374)</f>
        <v>0</v>
      </c>
      <c r="H374" s="246">
        <f t="shared" si="147"/>
        <v>0</v>
      </c>
      <c r="I374" s="93">
        <f>SUM('3:4'!I374)</f>
        <v>0</v>
      </c>
      <c r="J374" s="31"/>
      <c r="K374" s="35">
        <f t="array" ref="K374">IF(ISERROR(G374/L374),"",G374/L374)</f>
        <v>0</v>
      </c>
      <c r="L374" s="87">
        <v>52</v>
      </c>
      <c r="M374" s="36">
        <f t="shared" si="152"/>
        <v>0</v>
      </c>
      <c r="N374" s="31"/>
      <c r="O374" s="93"/>
      <c r="P374" s="93"/>
      <c r="Q374" s="93"/>
      <c r="R374" s="93"/>
      <c r="S374" s="93"/>
      <c r="T374" s="93"/>
      <c r="U374" s="93"/>
      <c r="V374" s="206"/>
      <c r="W374" s="33"/>
      <c r="X374" s="93"/>
      <c r="Y374" s="93"/>
      <c r="Z374" s="93"/>
      <c r="AA374" s="93"/>
      <c r="AB374" s="358">
        <v>0.19</v>
      </c>
      <c r="AC374" s="269">
        <f t="shared" si="140"/>
        <v>0</v>
      </c>
      <c r="AD374" s="251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 ht="17.25">
      <c r="A375" s="316">
        <v>30100017</v>
      </c>
      <c r="B375" s="240" t="s">
        <v>414</v>
      </c>
      <c r="C375" s="187" t="s">
        <v>416</v>
      </c>
      <c r="D375" s="17"/>
      <c r="E375" s="17"/>
      <c r="F375" s="6"/>
      <c r="G375" s="93">
        <f>SUM('3:4'!G375)</f>
        <v>0</v>
      </c>
      <c r="H375" s="246">
        <f t="shared" si="147"/>
        <v>0</v>
      </c>
      <c r="I375" s="93">
        <f>SUM('3:4'!I375)</f>
        <v>0</v>
      </c>
      <c r="J375" s="31"/>
      <c r="K375" s="35">
        <f t="array" ref="K375">IF(ISERROR(G375/L375),"",G375/L375)</f>
        <v>0</v>
      </c>
      <c r="L375" s="87">
        <v>52</v>
      </c>
      <c r="M375" s="36">
        <f t="shared" si="152"/>
        <v>0</v>
      </c>
      <c r="N375" s="31"/>
      <c r="O375" s="93"/>
      <c r="P375" s="93"/>
      <c r="Q375" s="93"/>
      <c r="R375" s="93"/>
      <c r="S375" s="93"/>
      <c r="T375" s="93"/>
      <c r="U375" s="93"/>
      <c r="V375" s="206"/>
      <c r="W375" s="33"/>
      <c r="X375" s="93"/>
      <c r="Y375" s="93"/>
      <c r="Z375" s="93"/>
      <c r="AA375" s="93"/>
      <c r="AB375" s="358">
        <v>0.19</v>
      </c>
      <c r="AC375" s="269">
        <f t="shared" si="140"/>
        <v>0</v>
      </c>
      <c r="AD375" s="251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 ht="17.25">
      <c r="A376" s="316">
        <v>30100015</v>
      </c>
      <c r="B376" s="240" t="s">
        <v>414</v>
      </c>
      <c r="C376" s="187" t="s">
        <v>61</v>
      </c>
      <c r="D376" s="17"/>
      <c r="E376" s="17"/>
      <c r="F376" s="6"/>
      <c r="G376" s="93">
        <f>SUM('3:4'!G376)</f>
        <v>0</v>
      </c>
      <c r="H376" s="246">
        <f t="shared" si="147"/>
        <v>0</v>
      </c>
      <c r="I376" s="93">
        <f>SUM('3:4'!I376)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152"/>
        <v>0</v>
      </c>
      <c r="N376" s="31"/>
      <c r="O376" s="93"/>
      <c r="P376" s="93"/>
      <c r="Q376" s="93"/>
      <c r="R376" s="93"/>
      <c r="S376" s="93"/>
      <c r="T376" s="93"/>
      <c r="U376" s="93"/>
      <c r="V376" s="206"/>
      <c r="W376" s="33"/>
      <c r="X376" s="93"/>
      <c r="Y376" s="93"/>
      <c r="Z376" s="93"/>
      <c r="AA376" s="93"/>
      <c r="AB376" s="358">
        <v>0.19</v>
      </c>
      <c r="AC376" s="269">
        <f t="shared" si="140"/>
        <v>0</v>
      </c>
      <c r="AD376" s="251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 ht="17.25">
      <c r="A377" s="316">
        <v>30100027</v>
      </c>
      <c r="B377" s="61" t="s">
        <v>78</v>
      </c>
      <c r="C377" s="16" t="s">
        <v>53</v>
      </c>
      <c r="D377" s="17">
        <v>5.08</v>
      </c>
      <c r="E377" s="17"/>
      <c r="F377" s="6"/>
      <c r="G377" s="93">
        <f>SUM('3:4'!G377)</f>
        <v>0</v>
      </c>
      <c r="H377" s="246">
        <f t="shared" si="147"/>
        <v>0</v>
      </c>
      <c r="I377" s="93">
        <f>SUM('3:4'!I377)</f>
        <v>0</v>
      </c>
      <c r="J377" s="31" t="str">
        <f t="array" ref="J377">IF(ISERROR(G377/I377),"",G377/I377)</f>
        <v/>
      </c>
      <c r="K377" s="35">
        <f t="array" ref="K377">IF(ISERROR(G377/L377),"",G377/L377)</f>
        <v>0</v>
      </c>
      <c r="L377" s="87">
        <v>21</v>
      </c>
      <c r="M377" s="36">
        <f t="shared" si="152"/>
        <v>0</v>
      </c>
      <c r="N377" s="31">
        <f t="shared" ref="N377:N392" si="156">SUM(O377:U377)</f>
        <v>0</v>
      </c>
      <c r="O377" s="93">
        <f>SUM('3:4'!O377)</f>
        <v>0</v>
      </c>
      <c r="P377" s="93">
        <f>SUM('3:4'!P377)</f>
        <v>0</v>
      </c>
      <c r="Q377" s="93">
        <f>SUM('3:4'!Q377)</f>
        <v>0</v>
      </c>
      <c r="R377" s="93">
        <f>SUM('3:4'!R377)</f>
        <v>0</v>
      </c>
      <c r="S377" s="93">
        <f>SUM('3:4'!S377)</f>
        <v>0</v>
      </c>
      <c r="T377" s="93">
        <f>SUM('3:4'!T377)</f>
        <v>0</v>
      </c>
      <c r="U377" s="93">
        <f>SUM('3:4'!U377)</f>
        <v>0</v>
      </c>
      <c r="V377" s="206">
        <f t="shared" ref="V377:V388" si="157">SUM(X377:AA377)</f>
        <v>0</v>
      </c>
      <c r="W377" s="33" t="str">
        <f t="shared" ref="W377:W388" si="158">IF(ISERROR(V377/G377),"",V377/G377)</f>
        <v/>
      </c>
      <c r="X377" s="93">
        <f>SUM('3:4'!X377)</f>
        <v>0</v>
      </c>
      <c r="Y377" s="93">
        <f>SUM('3:4'!Y377)</f>
        <v>0</v>
      </c>
      <c r="Z377" s="93">
        <f>SUM('3:4'!Z377)</f>
        <v>0</v>
      </c>
      <c r="AA377" s="93">
        <f>SUM('3:4'!AA377)</f>
        <v>0</v>
      </c>
      <c r="AB377" s="358">
        <v>0.49</v>
      </c>
      <c r="AC377" s="269">
        <f t="shared" si="140"/>
        <v>0</v>
      </c>
      <c r="AD377" s="251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 ht="17.25">
      <c r="A378" s="316">
        <v>30100023</v>
      </c>
      <c r="B378" s="61" t="s">
        <v>78</v>
      </c>
      <c r="C378" s="16" t="s">
        <v>74</v>
      </c>
      <c r="D378" s="17">
        <v>5.08</v>
      </c>
      <c r="E378" s="17"/>
      <c r="F378" s="6"/>
      <c r="G378" s="93">
        <f>SUM('3:4'!G378)</f>
        <v>0</v>
      </c>
      <c r="H378" s="246">
        <f t="shared" si="147"/>
        <v>0</v>
      </c>
      <c r="I378" s="93">
        <f>SUM('3:4'!I378)</f>
        <v>0</v>
      </c>
      <c r="J378" s="31" t="str">
        <f t="array" ref="J378">IF(ISERROR(G378/I378),"",G378/I378)</f>
        <v/>
      </c>
      <c r="K378" s="35">
        <f t="array" ref="K378">IF(ISERROR(G378/L378),"",G378/L378)</f>
        <v>0</v>
      </c>
      <c r="L378" s="87">
        <v>21</v>
      </c>
      <c r="M378" s="36">
        <f t="shared" si="152"/>
        <v>0</v>
      </c>
      <c r="N378" s="31">
        <f t="shared" si="156"/>
        <v>0</v>
      </c>
      <c r="O378" s="93">
        <f>SUM('3:4'!O378)</f>
        <v>0</v>
      </c>
      <c r="P378" s="93">
        <f>SUM('3:4'!P378)</f>
        <v>0</v>
      </c>
      <c r="Q378" s="93">
        <f>SUM('3:4'!Q378)</f>
        <v>0</v>
      </c>
      <c r="R378" s="93">
        <f>SUM('3:4'!R378)</f>
        <v>0</v>
      </c>
      <c r="S378" s="93">
        <f>SUM('3:4'!S378)</f>
        <v>0</v>
      </c>
      <c r="T378" s="93">
        <f>SUM('3:4'!T378)</f>
        <v>0</v>
      </c>
      <c r="U378" s="93">
        <f>SUM('3:4'!U378)</f>
        <v>0</v>
      </c>
      <c r="V378" s="206">
        <f t="shared" si="157"/>
        <v>0</v>
      </c>
      <c r="W378" s="33" t="str">
        <f t="shared" si="158"/>
        <v/>
      </c>
      <c r="X378" s="93">
        <f>SUM('3:4'!X378)</f>
        <v>0</v>
      </c>
      <c r="Y378" s="93">
        <f>SUM('3:4'!Y378)</f>
        <v>0</v>
      </c>
      <c r="Z378" s="93">
        <f>SUM('3:4'!Z378)</f>
        <v>0</v>
      </c>
      <c r="AA378" s="93">
        <f>SUM('3:4'!AA378)</f>
        <v>0</v>
      </c>
      <c r="AB378" s="358">
        <v>0.49</v>
      </c>
      <c r="AC378" s="269">
        <f t="shared" si="140"/>
        <v>0</v>
      </c>
      <c r="AD378" s="251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 ht="17.25">
      <c r="A379" s="316">
        <v>30100024</v>
      </c>
      <c r="B379" s="61" t="s">
        <v>78</v>
      </c>
      <c r="C379" s="16" t="s">
        <v>75</v>
      </c>
      <c r="D379" s="17">
        <v>5.08</v>
      </c>
      <c r="E379" s="17"/>
      <c r="F379" s="6"/>
      <c r="G379" s="93">
        <f>SUM('3:4'!G379)</f>
        <v>0</v>
      </c>
      <c r="H379" s="246">
        <f t="shared" si="147"/>
        <v>0</v>
      </c>
      <c r="I379" s="93">
        <f>SUM('3:4'!I379)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152"/>
        <v>0</v>
      </c>
      <c r="N379" s="31">
        <f t="shared" si="156"/>
        <v>0</v>
      </c>
      <c r="O379" s="93">
        <f>SUM('3:4'!O379)</f>
        <v>0</v>
      </c>
      <c r="P379" s="93">
        <f>SUM('3:4'!P379)</f>
        <v>0</v>
      </c>
      <c r="Q379" s="93">
        <f>SUM('3:4'!Q379)</f>
        <v>0</v>
      </c>
      <c r="R379" s="93">
        <f>SUM('3:4'!R379)</f>
        <v>0</v>
      </c>
      <c r="S379" s="93">
        <f>SUM('3:4'!S379)</f>
        <v>0</v>
      </c>
      <c r="T379" s="93">
        <f>SUM('3:4'!T379)</f>
        <v>0</v>
      </c>
      <c r="U379" s="93">
        <f>SUM('3:4'!U379)</f>
        <v>0</v>
      </c>
      <c r="V379" s="206">
        <f t="shared" si="157"/>
        <v>0</v>
      </c>
      <c r="W379" s="33" t="str">
        <f t="shared" si="158"/>
        <v/>
      </c>
      <c r="X379" s="93">
        <f>SUM('3:4'!X379)</f>
        <v>0</v>
      </c>
      <c r="Y379" s="93">
        <f>SUM('3:4'!Y379)</f>
        <v>0</v>
      </c>
      <c r="Z379" s="93">
        <f>SUM('3:4'!Z379)</f>
        <v>0</v>
      </c>
      <c r="AA379" s="93">
        <f>SUM('3:4'!AA379)</f>
        <v>0</v>
      </c>
      <c r="AB379" s="358">
        <v>0.49</v>
      </c>
      <c r="AC379" s="269">
        <f t="shared" si="140"/>
        <v>0</v>
      </c>
      <c r="AD379" s="251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 ht="17.25">
      <c r="A380" s="316">
        <v>30100022</v>
      </c>
      <c r="B380" s="61" t="s">
        <v>78</v>
      </c>
      <c r="C380" s="16" t="s">
        <v>60</v>
      </c>
      <c r="D380" s="17">
        <v>5.08</v>
      </c>
      <c r="E380" s="17"/>
      <c r="F380" s="6"/>
      <c r="G380" s="93">
        <f>SUM('3:4'!G380)</f>
        <v>0</v>
      </c>
      <c r="H380" s="246">
        <f t="shared" si="147"/>
        <v>0</v>
      </c>
      <c r="I380" s="93">
        <f>SUM('3:4'!I380)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152"/>
        <v>0</v>
      </c>
      <c r="N380" s="31">
        <f t="shared" si="156"/>
        <v>0</v>
      </c>
      <c r="O380" s="93">
        <f>SUM('3:4'!O380)</f>
        <v>0</v>
      </c>
      <c r="P380" s="93">
        <f>SUM('3:4'!P380)</f>
        <v>0</v>
      </c>
      <c r="Q380" s="93">
        <f>SUM('3:4'!Q380)</f>
        <v>0</v>
      </c>
      <c r="R380" s="93">
        <f>SUM('3:4'!R380)</f>
        <v>0</v>
      </c>
      <c r="S380" s="93">
        <f>SUM('3:4'!S380)</f>
        <v>0</v>
      </c>
      <c r="T380" s="93">
        <f>SUM('3:4'!T380)</f>
        <v>0</v>
      </c>
      <c r="U380" s="93">
        <f>SUM('3:4'!U380)</f>
        <v>0</v>
      </c>
      <c r="V380" s="206">
        <f t="shared" si="157"/>
        <v>0</v>
      </c>
      <c r="W380" s="33" t="str">
        <f t="shared" si="158"/>
        <v/>
      </c>
      <c r="X380" s="93">
        <f>SUM('3:4'!X380)</f>
        <v>0</v>
      </c>
      <c r="Y380" s="93">
        <f>SUM('3:4'!Y380)</f>
        <v>0</v>
      </c>
      <c r="Z380" s="93">
        <f>SUM('3:4'!Z380)</f>
        <v>0</v>
      </c>
      <c r="AA380" s="93">
        <f>SUM('3:4'!AA380)</f>
        <v>0</v>
      </c>
      <c r="AB380" s="358">
        <v>0.49</v>
      </c>
      <c r="AC380" s="269">
        <f t="shared" si="140"/>
        <v>0</v>
      </c>
      <c r="AD380" s="251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 ht="17.25">
      <c r="A381" s="316">
        <v>30100029</v>
      </c>
      <c r="B381" s="61" t="s">
        <v>78</v>
      </c>
      <c r="C381" s="16" t="s">
        <v>72</v>
      </c>
      <c r="D381" s="17">
        <v>5.08</v>
      </c>
      <c r="E381" s="17"/>
      <c r="F381" s="6"/>
      <c r="G381" s="93">
        <f>SUM('3:4'!G381)</f>
        <v>0</v>
      </c>
      <c r="H381" s="246">
        <f t="shared" si="147"/>
        <v>0</v>
      </c>
      <c r="I381" s="93">
        <f>SUM('3:4'!I381)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152"/>
        <v>0</v>
      </c>
      <c r="N381" s="31">
        <f t="shared" si="156"/>
        <v>0</v>
      </c>
      <c r="O381" s="93">
        <f>SUM('3:4'!O381)</f>
        <v>0</v>
      </c>
      <c r="P381" s="93">
        <f>SUM('3:4'!P381)</f>
        <v>0</v>
      </c>
      <c r="Q381" s="93">
        <f>SUM('3:4'!Q381)</f>
        <v>0</v>
      </c>
      <c r="R381" s="93">
        <f>SUM('3:4'!R381)</f>
        <v>0</v>
      </c>
      <c r="S381" s="93">
        <f>SUM('3:4'!S381)</f>
        <v>0</v>
      </c>
      <c r="T381" s="93">
        <f>SUM('3:4'!T381)</f>
        <v>0</v>
      </c>
      <c r="U381" s="93">
        <f>SUM('3:4'!U381)</f>
        <v>0</v>
      </c>
      <c r="V381" s="206">
        <f t="shared" si="157"/>
        <v>0</v>
      </c>
      <c r="W381" s="33" t="str">
        <f t="shared" si="158"/>
        <v/>
      </c>
      <c r="X381" s="93">
        <f>SUM('3:4'!X381)</f>
        <v>0</v>
      </c>
      <c r="Y381" s="93">
        <f>SUM('3:4'!Y381)</f>
        <v>0</v>
      </c>
      <c r="Z381" s="93">
        <f>SUM('3:4'!Z381)</f>
        <v>0</v>
      </c>
      <c r="AA381" s="93">
        <f>SUM('3:4'!AA381)</f>
        <v>0</v>
      </c>
      <c r="AB381" s="358">
        <v>0.49</v>
      </c>
      <c r="AC381" s="269">
        <f t="shared" si="140"/>
        <v>0</v>
      </c>
      <c r="AD381" s="251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 ht="17.25">
      <c r="A382" s="316">
        <v>30100026</v>
      </c>
      <c r="B382" s="61" t="s">
        <v>78</v>
      </c>
      <c r="C382" s="16" t="s">
        <v>73</v>
      </c>
      <c r="D382" s="17">
        <v>5.08</v>
      </c>
      <c r="E382" s="17"/>
      <c r="F382" s="6"/>
      <c r="G382" s="93">
        <f>SUM('3:4'!G382)</f>
        <v>0</v>
      </c>
      <c r="H382" s="246">
        <f t="shared" si="147"/>
        <v>0</v>
      </c>
      <c r="I382" s="93">
        <f>SUM('3:4'!I382)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152"/>
        <v>0</v>
      </c>
      <c r="N382" s="31">
        <f t="shared" si="156"/>
        <v>0</v>
      </c>
      <c r="O382" s="93">
        <f>SUM('3:4'!O382)</f>
        <v>0</v>
      </c>
      <c r="P382" s="93">
        <f>SUM('3:4'!P382)</f>
        <v>0</v>
      </c>
      <c r="Q382" s="93">
        <f>SUM('3:4'!Q382)</f>
        <v>0</v>
      </c>
      <c r="R382" s="93">
        <f>SUM('3:4'!R382)</f>
        <v>0</v>
      </c>
      <c r="S382" s="93">
        <f>SUM('3:4'!S382)</f>
        <v>0</v>
      </c>
      <c r="T382" s="93">
        <f>SUM('3:4'!T382)</f>
        <v>0</v>
      </c>
      <c r="U382" s="93">
        <f>SUM('3:4'!U382)</f>
        <v>0</v>
      </c>
      <c r="V382" s="206">
        <f t="shared" si="157"/>
        <v>0</v>
      </c>
      <c r="W382" s="33" t="str">
        <f t="shared" si="158"/>
        <v/>
      </c>
      <c r="X382" s="93">
        <f>SUM('3:4'!X382)</f>
        <v>0</v>
      </c>
      <c r="Y382" s="93">
        <f>SUM('3:4'!Y382)</f>
        <v>0</v>
      </c>
      <c r="Z382" s="93">
        <f>SUM('3:4'!Z382)</f>
        <v>0</v>
      </c>
      <c r="AA382" s="93">
        <f>SUM('3:4'!AA382)</f>
        <v>0</v>
      </c>
      <c r="AB382" s="358">
        <v>0.49</v>
      </c>
      <c r="AC382" s="269">
        <f t="shared" si="140"/>
        <v>0</v>
      </c>
      <c r="AD382" s="251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 ht="17.25">
      <c r="A383" s="316">
        <v>30100025</v>
      </c>
      <c r="B383" s="61" t="s">
        <v>78</v>
      </c>
      <c r="C383" s="16" t="s">
        <v>61</v>
      </c>
      <c r="D383" s="17">
        <v>5.08</v>
      </c>
      <c r="E383" s="17"/>
      <c r="F383" s="6"/>
      <c r="G383" s="93">
        <f>SUM('3:4'!G383)</f>
        <v>0</v>
      </c>
      <c r="H383" s="246">
        <f t="shared" si="147"/>
        <v>0</v>
      </c>
      <c r="I383" s="93">
        <f>SUM('3:4'!I383)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152"/>
        <v>0</v>
      </c>
      <c r="N383" s="31">
        <f t="shared" si="156"/>
        <v>0</v>
      </c>
      <c r="O383" s="93">
        <f>SUM('3:4'!O383)</f>
        <v>0</v>
      </c>
      <c r="P383" s="93">
        <f>SUM('3:4'!P383)</f>
        <v>0</v>
      </c>
      <c r="Q383" s="93">
        <f>SUM('3:4'!Q383)</f>
        <v>0</v>
      </c>
      <c r="R383" s="93">
        <f>SUM('3:4'!R383)</f>
        <v>0</v>
      </c>
      <c r="S383" s="93">
        <f>SUM('3:4'!S383)</f>
        <v>0</v>
      </c>
      <c r="T383" s="93">
        <f>SUM('3:4'!T383)</f>
        <v>0</v>
      </c>
      <c r="U383" s="93">
        <f>SUM('3:4'!U383)</f>
        <v>0</v>
      </c>
      <c r="V383" s="206">
        <f t="shared" si="157"/>
        <v>0</v>
      </c>
      <c r="W383" s="33" t="str">
        <f t="shared" si="158"/>
        <v/>
      </c>
      <c r="X383" s="93">
        <f>SUM('3:4'!X383)</f>
        <v>0</v>
      </c>
      <c r="Y383" s="93">
        <f>SUM('3:4'!Y383)</f>
        <v>0</v>
      </c>
      <c r="Z383" s="93">
        <f>SUM('3:4'!Z383)</f>
        <v>0</v>
      </c>
      <c r="AA383" s="93">
        <f>SUM('3:4'!AA383)</f>
        <v>0</v>
      </c>
      <c r="AB383" s="358">
        <v>0.49</v>
      </c>
      <c r="AC383" s="269">
        <f t="shared" si="140"/>
        <v>0</v>
      </c>
      <c r="AD383" s="251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 ht="17.25">
      <c r="A384" s="316">
        <v>30100028</v>
      </c>
      <c r="B384" s="61" t="s">
        <v>78</v>
      </c>
      <c r="C384" s="16" t="s">
        <v>77</v>
      </c>
      <c r="D384" s="17">
        <v>5.08</v>
      </c>
      <c r="E384" s="17"/>
      <c r="F384" s="6"/>
      <c r="G384" s="93">
        <f>SUM('3:4'!G384)</f>
        <v>0</v>
      </c>
      <c r="H384" s="246">
        <f t="shared" si="147"/>
        <v>0</v>
      </c>
      <c r="I384" s="93">
        <f>SUM('3:4'!I384)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152"/>
        <v>0</v>
      </c>
      <c r="N384" s="31">
        <f t="shared" si="156"/>
        <v>0</v>
      </c>
      <c r="O384" s="93">
        <f>SUM('3:4'!O384)</f>
        <v>0</v>
      </c>
      <c r="P384" s="93">
        <f>SUM('3:4'!P384)</f>
        <v>0</v>
      </c>
      <c r="Q384" s="93">
        <f>SUM('3:4'!Q384)</f>
        <v>0</v>
      </c>
      <c r="R384" s="93">
        <f>SUM('3:4'!R384)</f>
        <v>0</v>
      </c>
      <c r="S384" s="93">
        <f>SUM('3:4'!S384)</f>
        <v>0</v>
      </c>
      <c r="T384" s="93">
        <f>SUM('3:4'!T384)</f>
        <v>0</v>
      </c>
      <c r="U384" s="93">
        <f>SUM('3:4'!U384)</f>
        <v>0</v>
      </c>
      <c r="V384" s="206">
        <f t="shared" si="157"/>
        <v>0</v>
      </c>
      <c r="W384" s="33" t="str">
        <f t="shared" si="158"/>
        <v/>
      </c>
      <c r="X384" s="93">
        <f>SUM('3:4'!X384)</f>
        <v>0</v>
      </c>
      <c r="Y384" s="93">
        <f>SUM('3:4'!Y384)</f>
        <v>0</v>
      </c>
      <c r="Z384" s="93">
        <f>SUM('3:4'!Z384)</f>
        <v>0</v>
      </c>
      <c r="AA384" s="93">
        <f>SUM('3:4'!AA384)</f>
        <v>0</v>
      </c>
      <c r="AB384" s="358">
        <v>0.49</v>
      </c>
      <c r="AC384" s="269">
        <f t="shared" si="140"/>
        <v>0</v>
      </c>
      <c r="AD384" s="251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 ht="17.25">
      <c r="A385" s="316">
        <v>30100032</v>
      </c>
      <c r="B385" s="61" t="s">
        <v>79</v>
      </c>
      <c r="C385" s="16" t="s">
        <v>65</v>
      </c>
      <c r="D385" s="17">
        <v>5.03</v>
      </c>
      <c r="E385" s="17"/>
      <c r="F385" s="6"/>
      <c r="G385" s="93">
        <f>SUM('3:4'!G385)</f>
        <v>0</v>
      </c>
      <c r="H385" s="246">
        <f t="shared" si="147"/>
        <v>0</v>
      </c>
      <c r="I385" s="93">
        <f>SUM('3:4'!I385)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56</v>
      </c>
      <c r="M385" s="36">
        <f t="shared" si="152"/>
        <v>0</v>
      </c>
      <c r="N385" s="31">
        <f t="shared" si="156"/>
        <v>0</v>
      </c>
      <c r="O385" s="93">
        <f>SUM('3:4'!O385)</f>
        <v>0</v>
      </c>
      <c r="P385" s="93">
        <f>SUM('3:4'!P385)</f>
        <v>0</v>
      </c>
      <c r="Q385" s="93">
        <f>SUM('3:4'!Q385)</f>
        <v>0</v>
      </c>
      <c r="R385" s="93">
        <f>SUM('3:4'!R385)</f>
        <v>0</v>
      </c>
      <c r="S385" s="93">
        <f>SUM('3:4'!S385)</f>
        <v>0</v>
      </c>
      <c r="T385" s="93">
        <f>SUM('3:4'!T385)</f>
        <v>0</v>
      </c>
      <c r="U385" s="93">
        <f>SUM('3:4'!U385)</f>
        <v>0</v>
      </c>
      <c r="V385" s="206">
        <f t="shared" si="157"/>
        <v>0</v>
      </c>
      <c r="W385" s="33" t="str">
        <f t="shared" si="158"/>
        <v/>
      </c>
      <c r="X385" s="93">
        <f>SUM('3:4'!X385)</f>
        <v>0</v>
      </c>
      <c r="Y385" s="93">
        <f>SUM('3:4'!Y385)</f>
        <v>0</v>
      </c>
      <c r="Z385" s="93">
        <f>SUM('3:4'!Z385)</f>
        <v>0</v>
      </c>
      <c r="AA385" s="93">
        <f>SUM('3:4'!AA385)</f>
        <v>0</v>
      </c>
      <c r="AB385" s="358">
        <v>0.18</v>
      </c>
      <c r="AC385" s="269">
        <f t="shared" si="140"/>
        <v>0</v>
      </c>
      <c r="AD385" s="251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 ht="17.25">
      <c r="A386" s="316">
        <v>30100033</v>
      </c>
      <c r="B386" s="61" t="s">
        <v>79</v>
      </c>
      <c r="C386" s="16" t="s">
        <v>53</v>
      </c>
      <c r="D386" s="17">
        <v>5.03</v>
      </c>
      <c r="E386" s="17"/>
      <c r="F386" s="6"/>
      <c r="G386" s="93">
        <f>SUM('3:4'!G386)</f>
        <v>0</v>
      </c>
      <c r="H386" s="246">
        <f t="shared" si="147"/>
        <v>0</v>
      </c>
      <c r="I386" s="93">
        <f>SUM('3:4'!I386)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56</v>
      </c>
      <c r="M386" s="36">
        <f t="shared" si="152"/>
        <v>0</v>
      </c>
      <c r="N386" s="31">
        <f t="shared" si="156"/>
        <v>0</v>
      </c>
      <c r="O386" s="93">
        <f>SUM('3:4'!O386)</f>
        <v>0</v>
      </c>
      <c r="P386" s="93">
        <f>SUM('3:4'!P386)</f>
        <v>0</v>
      </c>
      <c r="Q386" s="93">
        <f>SUM('3:4'!Q386)</f>
        <v>0</v>
      </c>
      <c r="R386" s="93">
        <f>SUM('3:4'!R386)</f>
        <v>0</v>
      </c>
      <c r="S386" s="93">
        <f>SUM('3:4'!S386)</f>
        <v>0</v>
      </c>
      <c r="T386" s="93">
        <f>SUM('3:4'!T386)</f>
        <v>0</v>
      </c>
      <c r="U386" s="93">
        <f>SUM('3:4'!U386)</f>
        <v>0</v>
      </c>
      <c r="V386" s="206">
        <f t="shared" si="157"/>
        <v>0</v>
      </c>
      <c r="W386" s="33" t="str">
        <f t="shared" si="158"/>
        <v/>
      </c>
      <c r="X386" s="93">
        <f>SUM('3:4'!X386)</f>
        <v>0</v>
      </c>
      <c r="Y386" s="93">
        <f>SUM('3:4'!Y386)</f>
        <v>0</v>
      </c>
      <c r="Z386" s="93">
        <f>SUM('3:4'!Z386)</f>
        <v>0</v>
      </c>
      <c r="AA386" s="93">
        <f>SUM('3:4'!AA386)</f>
        <v>0</v>
      </c>
      <c r="AB386" s="358">
        <v>0.18</v>
      </c>
      <c r="AC386" s="269">
        <f t="shared" si="140"/>
        <v>0</v>
      </c>
      <c r="AD386" s="251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 ht="17.25">
      <c r="A387" s="316">
        <v>30100062</v>
      </c>
      <c r="B387" s="61" t="s">
        <v>79</v>
      </c>
      <c r="C387" s="16" t="s">
        <v>66</v>
      </c>
      <c r="D387" s="17">
        <v>5.03</v>
      </c>
      <c r="E387" s="17"/>
      <c r="F387" s="6"/>
      <c r="G387" s="93">
        <f>SUM('3:4'!G387)</f>
        <v>0</v>
      </c>
      <c r="H387" s="246">
        <f t="shared" si="147"/>
        <v>0</v>
      </c>
      <c r="I387" s="93">
        <f>SUM('3:4'!I387)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152"/>
        <v>0</v>
      </c>
      <c r="N387" s="31">
        <f t="shared" si="156"/>
        <v>0</v>
      </c>
      <c r="O387" s="93">
        <f>SUM('3:4'!O387)</f>
        <v>0</v>
      </c>
      <c r="P387" s="93">
        <f>SUM('3:4'!P387)</f>
        <v>0</v>
      </c>
      <c r="Q387" s="93">
        <f>SUM('3:4'!Q387)</f>
        <v>0</v>
      </c>
      <c r="R387" s="93">
        <f>SUM('3:4'!R387)</f>
        <v>0</v>
      </c>
      <c r="S387" s="93">
        <f>SUM('3:4'!S387)</f>
        <v>0</v>
      </c>
      <c r="T387" s="93">
        <f>SUM('3:4'!T387)</f>
        <v>0</v>
      </c>
      <c r="U387" s="93">
        <f>SUM('3:4'!U387)</f>
        <v>0</v>
      </c>
      <c r="V387" s="206">
        <f t="shared" si="157"/>
        <v>0</v>
      </c>
      <c r="W387" s="33" t="str">
        <f t="shared" si="158"/>
        <v/>
      </c>
      <c r="X387" s="93">
        <f>SUM('3:4'!X387)</f>
        <v>0</v>
      </c>
      <c r="Y387" s="93">
        <f>SUM('3:4'!Y387)</f>
        <v>0</v>
      </c>
      <c r="Z387" s="93">
        <f>SUM('3:4'!Z387)</f>
        <v>0</v>
      </c>
      <c r="AA387" s="93">
        <f>SUM('3:4'!AA387)</f>
        <v>0</v>
      </c>
      <c r="AB387" s="358">
        <v>0.18</v>
      </c>
      <c r="AC387" s="269">
        <f t="shared" si="140"/>
        <v>0</v>
      </c>
      <c r="AD387" s="251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 ht="17.25">
      <c r="A388" s="316">
        <v>30100031</v>
      </c>
      <c r="B388" s="61" t="s">
        <v>79</v>
      </c>
      <c r="C388" s="16" t="s">
        <v>74</v>
      </c>
      <c r="D388" s="17">
        <v>5.03</v>
      </c>
      <c r="E388" s="17"/>
      <c r="F388" s="6"/>
      <c r="G388" s="93">
        <f>SUM('3:4'!G388)</f>
        <v>0</v>
      </c>
      <c r="H388" s="246">
        <f t="shared" si="147"/>
        <v>0</v>
      </c>
      <c r="I388" s="93">
        <f>SUM('3:4'!I388)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152"/>
        <v>0</v>
      </c>
      <c r="N388" s="31">
        <f t="shared" si="156"/>
        <v>0</v>
      </c>
      <c r="O388" s="93">
        <f>SUM('3:4'!O388)</f>
        <v>0</v>
      </c>
      <c r="P388" s="93">
        <f>SUM('3:4'!P388)</f>
        <v>0</v>
      </c>
      <c r="Q388" s="93">
        <f>SUM('3:4'!Q388)</f>
        <v>0</v>
      </c>
      <c r="R388" s="93">
        <f>SUM('3:4'!R388)</f>
        <v>0</v>
      </c>
      <c r="S388" s="93">
        <f>SUM('3:4'!S388)</f>
        <v>0</v>
      </c>
      <c r="T388" s="93">
        <f>SUM('3:4'!T388)</f>
        <v>0</v>
      </c>
      <c r="U388" s="93">
        <f>SUM('3:4'!U388)</f>
        <v>0</v>
      </c>
      <c r="V388" s="206">
        <f t="shared" si="157"/>
        <v>0</v>
      </c>
      <c r="W388" s="33" t="str">
        <f t="shared" si="158"/>
        <v/>
      </c>
      <c r="X388" s="93">
        <f>SUM('3:4'!X388)</f>
        <v>0</v>
      </c>
      <c r="Y388" s="93">
        <f>SUM('3:4'!Y388)</f>
        <v>0</v>
      </c>
      <c r="Z388" s="93">
        <f>SUM('3:4'!Z388)</f>
        <v>0</v>
      </c>
      <c r="AA388" s="93">
        <f>SUM('3:4'!AA388)</f>
        <v>0</v>
      </c>
      <c r="AB388" s="358">
        <v>0.18</v>
      </c>
      <c r="AC388" s="269">
        <f t="shared" si="140"/>
        <v>0</v>
      </c>
      <c r="AD388" s="251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 ht="17.25">
      <c r="A389" s="316">
        <v>30100019</v>
      </c>
      <c r="B389" s="61" t="s">
        <v>385</v>
      </c>
      <c r="C389" s="16" t="s">
        <v>386</v>
      </c>
      <c r="D389" s="17">
        <v>5.03</v>
      </c>
      <c r="E389" s="17"/>
      <c r="F389" s="6"/>
      <c r="G389" s="93">
        <f>SUM('3:4'!G389)</f>
        <v>0</v>
      </c>
      <c r="H389" s="246">
        <f t="shared" si="147"/>
        <v>0</v>
      </c>
      <c r="I389" s="93">
        <f>SUM('3:4'!I389)</f>
        <v>0</v>
      </c>
      <c r="J389" s="31"/>
      <c r="K389" s="35">
        <f t="array" ref="K389">IF(ISERROR(G389/L389),"",G389/L389)</f>
        <v>0</v>
      </c>
      <c r="L389" s="87">
        <v>54</v>
      </c>
      <c r="M389" s="36">
        <f t="shared" si="152"/>
        <v>0</v>
      </c>
      <c r="N389" s="31">
        <f t="shared" si="156"/>
        <v>0</v>
      </c>
      <c r="O389" s="93">
        <f>SUM('3:4'!O389)</f>
        <v>0</v>
      </c>
      <c r="P389" s="93">
        <f>SUM('3:4'!P389)</f>
        <v>0</v>
      </c>
      <c r="Q389" s="93">
        <f>SUM('3:4'!Q389)</f>
        <v>0</v>
      </c>
      <c r="R389" s="93">
        <f>SUM('3:4'!R389)</f>
        <v>0</v>
      </c>
      <c r="S389" s="93">
        <f>SUM('3:4'!S389)</f>
        <v>0</v>
      </c>
      <c r="T389" s="93">
        <f>SUM('3:4'!T389)</f>
        <v>0</v>
      </c>
      <c r="U389" s="93">
        <f>SUM('3:4'!U389)</f>
        <v>0</v>
      </c>
      <c r="V389" s="206"/>
      <c r="W389" s="33"/>
      <c r="X389" s="93">
        <f>SUM('3:4'!X389)</f>
        <v>0</v>
      </c>
      <c r="Y389" s="93">
        <f>SUM('3:4'!Y389)</f>
        <v>0</v>
      </c>
      <c r="Z389" s="93">
        <f>SUM('3:4'!Z389)</f>
        <v>0</v>
      </c>
      <c r="AA389" s="93">
        <f>SUM('3:4'!AA389)</f>
        <v>0</v>
      </c>
      <c r="AB389" s="358">
        <v>0.19</v>
      </c>
      <c r="AC389" s="269">
        <f t="shared" si="140"/>
        <v>0</v>
      </c>
      <c r="AD389" s="251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 ht="17.25">
      <c r="A390" s="316">
        <v>30100020</v>
      </c>
      <c r="B390" s="61" t="s">
        <v>385</v>
      </c>
      <c r="C390" s="16" t="s">
        <v>387</v>
      </c>
      <c r="D390" s="17">
        <v>5.03</v>
      </c>
      <c r="E390" s="17"/>
      <c r="F390" s="6"/>
      <c r="G390" s="93">
        <f>SUM('3:4'!G390)</f>
        <v>0</v>
      </c>
      <c r="H390" s="246">
        <f t="shared" si="147"/>
        <v>0</v>
      </c>
      <c r="I390" s="93">
        <f>SUM('3:4'!I390)</f>
        <v>0</v>
      </c>
      <c r="J390" s="31"/>
      <c r="K390" s="35">
        <f t="array" ref="K390">IF(ISERROR(G390/L390),"",G390/L390)</f>
        <v>0</v>
      </c>
      <c r="L390" s="87">
        <v>54</v>
      </c>
      <c r="M390" s="36">
        <f t="shared" si="152"/>
        <v>0</v>
      </c>
      <c r="N390" s="31">
        <f t="shared" si="156"/>
        <v>0</v>
      </c>
      <c r="O390" s="93">
        <f>SUM('3:4'!O390)</f>
        <v>0</v>
      </c>
      <c r="P390" s="93">
        <f>SUM('3:4'!P390)</f>
        <v>0</v>
      </c>
      <c r="Q390" s="93">
        <f>SUM('3:4'!Q390)</f>
        <v>0</v>
      </c>
      <c r="R390" s="93">
        <f>SUM('3:4'!R390)</f>
        <v>0</v>
      </c>
      <c r="S390" s="93">
        <f>SUM('3:4'!S390)</f>
        <v>0</v>
      </c>
      <c r="T390" s="93">
        <f>SUM('3:4'!T390)</f>
        <v>0</v>
      </c>
      <c r="U390" s="93">
        <f>SUM('3:4'!U390)</f>
        <v>0</v>
      </c>
      <c r="V390" s="206"/>
      <c r="W390" s="33"/>
      <c r="X390" s="93">
        <f>SUM('3:4'!X390)</f>
        <v>0</v>
      </c>
      <c r="Y390" s="93">
        <f>SUM('3:4'!Y390)</f>
        <v>0</v>
      </c>
      <c r="Z390" s="93">
        <f>SUM('3:4'!Z390)</f>
        <v>0</v>
      </c>
      <c r="AA390" s="93">
        <f>SUM('3:4'!AA390)</f>
        <v>0</v>
      </c>
      <c r="AB390" s="358">
        <v>0.19</v>
      </c>
      <c r="AC390" s="269">
        <f t="shared" si="140"/>
        <v>0</v>
      </c>
      <c r="AD390" s="251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 ht="17.25">
      <c r="A391" s="316">
        <v>30100021</v>
      </c>
      <c r="B391" s="190" t="s">
        <v>382</v>
      </c>
      <c r="C391" s="16" t="s">
        <v>389</v>
      </c>
      <c r="D391" s="17">
        <v>5.03</v>
      </c>
      <c r="E391" s="17"/>
      <c r="F391" s="6"/>
      <c r="G391" s="93">
        <f>SUM('3:4'!G391)</f>
        <v>0</v>
      </c>
      <c r="H391" s="246">
        <f t="shared" si="147"/>
        <v>0</v>
      </c>
      <c r="I391" s="93">
        <f>SUM('3:4'!I391)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152"/>
        <v>0</v>
      </c>
      <c r="N391" s="31">
        <f t="shared" si="156"/>
        <v>0</v>
      </c>
      <c r="O391" s="93">
        <f>SUM('3:4'!O391)</f>
        <v>0</v>
      </c>
      <c r="P391" s="93">
        <f>SUM('3:4'!P391)</f>
        <v>0</v>
      </c>
      <c r="Q391" s="93">
        <f>SUM('3:4'!Q391)</f>
        <v>0</v>
      </c>
      <c r="R391" s="93">
        <f>SUM('3:4'!R391)</f>
        <v>0</v>
      </c>
      <c r="S391" s="93">
        <f>SUM('3:4'!S391)</f>
        <v>0</v>
      </c>
      <c r="T391" s="93">
        <f>SUM('3:4'!T391)</f>
        <v>0</v>
      </c>
      <c r="U391" s="93">
        <f>SUM('3:4'!U391)</f>
        <v>0</v>
      </c>
      <c r="V391" s="206"/>
      <c r="W391" s="33"/>
      <c r="X391" s="93">
        <f>SUM('3:4'!X391)</f>
        <v>0</v>
      </c>
      <c r="Y391" s="93">
        <f>SUM('3:4'!Y391)</f>
        <v>0</v>
      </c>
      <c r="Z391" s="93">
        <f>SUM('3:4'!Z391)</f>
        <v>0</v>
      </c>
      <c r="AA391" s="93">
        <f>SUM('3:4'!AA391)</f>
        <v>0</v>
      </c>
      <c r="AB391" s="358">
        <v>0.19</v>
      </c>
      <c r="AC391" s="269">
        <f t="shared" si="140"/>
        <v>0</v>
      </c>
      <c r="AD391" s="251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 ht="17.25">
      <c r="A392" s="316">
        <v>30100018</v>
      </c>
      <c r="B392" s="190" t="s">
        <v>382</v>
      </c>
      <c r="C392" s="16" t="s">
        <v>391</v>
      </c>
      <c r="D392" s="17">
        <v>5.03</v>
      </c>
      <c r="E392" s="17"/>
      <c r="F392" s="6"/>
      <c r="G392" s="93">
        <f>SUM('3:4'!G392)</f>
        <v>0</v>
      </c>
      <c r="H392" s="246">
        <f t="shared" si="147"/>
        <v>0</v>
      </c>
      <c r="I392" s="93">
        <f>SUM('3:4'!I392)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152"/>
        <v>0</v>
      </c>
      <c r="N392" s="31">
        <f t="shared" si="156"/>
        <v>0</v>
      </c>
      <c r="O392" s="93">
        <f>SUM('3:4'!O392)</f>
        <v>0</v>
      </c>
      <c r="P392" s="93">
        <f>SUM('3:4'!P392)</f>
        <v>0</v>
      </c>
      <c r="Q392" s="93">
        <f>SUM('3:4'!Q392)</f>
        <v>0</v>
      </c>
      <c r="R392" s="93">
        <f>SUM('3:4'!R392)</f>
        <v>0</v>
      </c>
      <c r="S392" s="93">
        <f>SUM('3:4'!S392)</f>
        <v>0</v>
      </c>
      <c r="T392" s="93">
        <f>SUM('3:4'!T392)</f>
        <v>0</v>
      </c>
      <c r="U392" s="93">
        <f>SUM('3:4'!U392)</f>
        <v>0</v>
      </c>
      <c r="V392" s="206"/>
      <c r="W392" s="33"/>
      <c r="X392" s="93">
        <f>SUM('3:4'!X392)</f>
        <v>0</v>
      </c>
      <c r="Y392" s="93">
        <f>SUM('3:4'!Y392)</f>
        <v>0</v>
      </c>
      <c r="Z392" s="93">
        <f>SUM('3:4'!Z392)</f>
        <v>0</v>
      </c>
      <c r="AA392" s="93">
        <f>SUM('3:4'!AA392)</f>
        <v>0</v>
      </c>
      <c r="AB392" s="358">
        <v>0.19</v>
      </c>
      <c r="AC392" s="269">
        <f t="shared" si="140"/>
        <v>0</v>
      </c>
      <c r="AD392" s="251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 ht="17.25">
      <c r="A393" s="319">
        <v>30700007</v>
      </c>
      <c r="B393" s="190" t="s">
        <v>418</v>
      </c>
      <c r="C393" s="187" t="s">
        <v>364</v>
      </c>
      <c r="D393" s="17">
        <v>5.03</v>
      </c>
      <c r="E393" s="17"/>
      <c r="F393" s="6"/>
      <c r="G393" s="93">
        <f>SUM('3:4'!G393)</f>
        <v>0</v>
      </c>
      <c r="H393" s="246">
        <f t="shared" si="147"/>
        <v>0</v>
      </c>
      <c r="I393" s="93">
        <f>SUM('3:4'!I393)</f>
        <v>0</v>
      </c>
      <c r="J393" s="31"/>
      <c r="K393" s="35">
        <f t="array" ref="K393">IF(ISERROR(G393/L393),"",G393/L393)</f>
        <v>0</v>
      </c>
      <c r="L393" s="87">
        <v>4</v>
      </c>
      <c r="M393" s="36">
        <f t="shared" si="152"/>
        <v>0</v>
      </c>
      <c r="N393" s="31"/>
      <c r="O393" s="93">
        <f>SUM('3:4'!O393)</f>
        <v>0</v>
      </c>
      <c r="P393" s="93">
        <f>SUM('3:4'!P393)</f>
        <v>0</v>
      </c>
      <c r="Q393" s="93">
        <f>SUM('3:4'!Q393)</f>
        <v>0</v>
      </c>
      <c r="R393" s="93">
        <f>SUM('3:4'!R393)</f>
        <v>0</v>
      </c>
      <c r="S393" s="93">
        <f>SUM('3:4'!S393)</f>
        <v>0</v>
      </c>
      <c r="T393" s="93">
        <f>SUM('3:4'!T393)</f>
        <v>0</v>
      </c>
      <c r="U393" s="93">
        <f>SUM('3:4'!U393)</f>
        <v>0</v>
      </c>
      <c r="V393" s="206"/>
      <c r="W393" s="33"/>
      <c r="X393" s="93">
        <f>SUM('3:4'!X393)</f>
        <v>0</v>
      </c>
      <c r="Y393" s="93">
        <f>SUM('3:4'!Y393)</f>
        <v>0</v>
      </c>
      <c r="Z393" s="93">
        <f>SUM('3:4'!Z393)</f>
        <v>0</v>
      </c>
      <c r="AA393" s="93">
        <f>SUM('3:4'!AA393)</f>
        <v>0</v>
      </c>
      <c r="AB393" s="361">
        <v>0.94</v>
      </c>
      <c r="AC393" s="269">
        <f t="shared" si="140"/>
        <v>0</v>
      </c>
      <c r="AD393" s="251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 ht="17.25">
      <c r="A394" s="319">
        <v>30700006</v>
      </c>
      <c r="B394" s="190" t="s">
        <v>418</v>
      </c>
      <c r="C394" s="187" t="s">
        <v>365</v>
      </c>
      <c r="D394" s="17">
        <v>5.03</v>
      </c>
      <c r="E394" s="17"/>
      <c r="F394" s="6"/>
      <c r="G394" s="93">
        <f>SUM('3:4'!G394)</f>
        <v>0</v>
      </c>
      <c r="H394" s="246">
        <f t="shared" si="147"/>
        <v>0</v>
      </c>
      <c r="I394" s="93">
        <f>SUM('3:4'!I394)</f>
        <v>0</v>
      </c>
      <c r="J394" s="31"/>
      <c r="K394" s="35">
        <f t="array" ref="K394">IF(ISERROR(G394/L394),"",G394/L394)</f>
        <v>0</v>
      </c>
      <c r="L394" s="87">
        <v>4</v>
      </c>
      <c r="M394" s="36">
        <f t="shared" si="152"/>
        <v>0</v>
      </c>
      <c r="N394" s="31"/>
      <c r="O394" s="93">
        <f>SUM('3:4'!O394)</f>
        <v>0</v>
      </c>
      <c r="P394" s="93">
        <f>SUM('3:4'!P394)</f>
        <v>0</v>
      </c>
      <c r="Q394" s="93">
        <f>SUM('3:4'!Q394)</f>
        <v>0</v>
      </c>
      <c r="R394" s="93">
        <f>SUM('3:4'!R394)</f>
        <v>0</v>
      </c>
      <c r="S394" s="93">
        <f>SUM('3:4'!S394)</f>
        <v>0</v>
      </c>
      <c r="T394" s="93">
        <f>SUM('3:4'!T394)</f>
        <v>0</v>
      </c>
      <c r="U394" s="93">
        <f>SUM('3:4'!U394)</f>
        <v>0</v>
      </c>
      <c r="V394" s="206"/>
      <c r="W394" s="33"/>
      <c r="X394" s="93">
        <f>SUM('3:4'!X394)</f>
        <v>0</v>
      </c>
      <c r="Y394" s="93">
        <f>SUM('3:4'!Y394)</f>
        <v>0</v>
      </c>
      <c r="Z394" s="93">
        <f>SUM('3:4'!Z394)</f>
        <v>0</v>
      </c>
      <c r="AA394" s="93">
        <f>SUM('3:4'!AA394)</f>
        <v>0</v>
      </c>
      <c r="AB394" s="361">
        <v>0.94</v>
      </c>
      <c r="AC394" s="269">
        <f t="shared" si="140"/>
        <v>0</v>
      </c>
      <c r="AD394" s="251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 ht="17.25">
      <c r="A395" s="319">
        <v>30700008</v>
      </c>
      <c r="B395" s="190" t="s">
        <v>418</v>
      </c>
      <c r="C395" s="187" t="s">
        <v>366</v>
      </c>
      <c r="D395" s="17">
        <v>5.03</v>
      </c>
      <c r="E395" s="17"/>
      <c r="F395" s="6"/>
      <c r="G395" s="93">
        <f>SUM('3:4'!G395)</f>
        <v>0</v>
      </c>
      <c r="H395" s="246">
        <f t="shared" si="147"/>
        <v>0</v>
      </c>
      <c r="I395" s="93">
        <f>SUM('3:4'!I395)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152"/>
        <v>0</v>
      </c>
      <c r="N395" s="31"/>
      <c r="O395" s="93">
        <f>SUM('3:4'!O395)</f>
        <v>0</v>
      </c>
      <c r="P395" s="93">
        <f>SUM('3:4'!P395)</f>
        <v>0</v>
      </c>
      <c r="Q395" s="93">
        <f>SUM('3:4'!Q395)</f>
        <v>0</v>
      </c>
      <c r="R395" s="93">
        <f>SUM('3:4'!R395)</f>
        <v>0</v>
      </c>
      <c r="S395" s="93">
        <f>SUM('3:4'!S395)</f>
        <v>0</v>
      </c>
      <c r="T395" s="93">
        <f>SUM('3:4'!T395)</f>
        <v>0</v>
      </c>
      <c r="U395" s="93">
        <f>SUM('3:4'!U395)</f>
        <v>0</v>
      </c>
      <c r="V395" s="206"/>
      <c r="W395" s="33"/>
      <c r="X395" s="93">
        <f>SUM('3:4'!X395)</f>
        <v>0</v>
      </c>
      <c r="Y395" s="93">
        <f>SUM('3:4'!Y395)</f>
        <v>0</v>
      </c>
      <c r="Z395" s="93">
        <f>SUM('3:4'!Z395)</f>
        <v>0</v>
      </c>
      <c r="AA395" s="93">
        <f>SUM('3:4'!AA395)</f>
        <v>0</v>
      </c>
      <c r="AB395" s="361">
        <v>0.94</v>
      </c>
      <c r="AC395" s="269">
        <f t="shared" si="140"/>
        <v>0</v>
      </c>
      <c r="AD395" s="251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 ht="17.25">
      <c r="A396" s="319">
        <v>30700009</v>
      </c>
      <c r="B396" s="190" t="s">
        <v>418</v>
      </c>
      <c r="C396" s="187" t="s">
        <v>367</v>
      </c>
      <c r="D396" s="17">
        <v>5.03</v>
      </c>
      <c r="E396" s="17"/>
      <c r="F396" s="6"/>
      <c r="G396" s="93">
        <f>SUM('3:4'!G396)</f>
        <v>0</v>
      </c>
      <c r="H396" s="246">
        <f t="shared" si="147"/>
        <v>0</v>
      </c>
      <c r="I396" s="93">
        <f>SUM('3:4'!I396)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152"/>
        <v>0</v>
      </c>
      <c r="N396" s="31"/>
      <c r="O396" s="93">
        <f>SUM('3:4'!O396)</f>
        <v>0</v>
      </c>
      <c r="P396" s="93">
        <f>SUM('3:4'!P396)</f>
        <v>0</v>
      </c>
      <c r="Q396" s="93">
        <f>SUM('3:4'!Q396)</f>
        <v>0</v>
      </c>
      <c r="R396" s="93">
        <f>SUM('3:4'!R396)</f>
        <v>0</v>
      </c>
      <c r="S396" s="93">
        <f>SUM('3:4'!S396)</f>
        <v>0</v>
      </c>
      <c r="T396" s="93">
        <f>SUM('3:4'!T396)</f>
        <v>0</v>
      </c>
      <c r="U396" s="93">
        <f>SUM('3:4'!U396)</f>
        <v>0</v>
      </c>
      <c r="V396" s="206"/>
      <c r="W396" s="33"/>
      <c r="X396" s="93">
        <f>SUM('3:4'!X396)</f>
        <v>0</v>
      </c>
      <c r="Y396" s="93">
        <f>SUM('3:4'!Y396)</f>
        <v>0</v>
      </c>
      <c r="Z396" s="93">
        <f>SUM('3:4'!Z396)</f>
        <v>0</v>
      </c>
      <c r="AA396" s="93">
        <f>SUM('3:4'!AA396)</f>
        <v>0</v>
      </c>
      <c r="AB396" s="361">
        <v>0.94</v>
      </c>
      <c r="AC396" s="269">
        <f t="shared" si="140"/>
        <v>0</v>
      </c>
      <c r="AD396" s="251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 ht="17.25">
      <c r="A397" s="316">
        <v>30100036</v>
      </c>
      <c r="B397" s="62" t="s">
        <v>80</v>
      </c>
      <c r="C397" s="16" t="s">
        <v>61</v>
      </c>
      <c r="D397" s="17">
        <v>5.03</v>
      </c>
      <c r="E397" s="17"/>
      <c r="F397" s="6"/>
      <c r="G397" s="93">
        <f>SUM('3:4'!G397)</f>
        <v>0</v>
      </c>
      <c r="H397" s="246">
        <f t="shared" si="147"/>
        <v>0</v>
      </c>
      <c r="I397" s="93">
        <f>SUM('3:4'!I397)</f>
        <v>0</v>
      </c>
      <c r="J397" s="31" t="str">
        <f t="array" ref="J397">IF(ISERROR(G397/I397),"",G397/I397)</f>
        <v/>
      </c>
      <c r="K397" s="35">
        <f t="array" ref="K397">IF(ISERROR(G397/L397),"",G397/L397)</f>
        <v>0</v>
      </c>
      <c r="L397" s="87">
        <v>40</v>
      </c>
      <c r="M397" s="36">
        <f t="shared" si="152"/>
        <v>0</v>
      </c>
      <c r="N397" s="31">
        <f t="shared" ref="N397:N406" si="159">SUM(O397:U397)</f>
        <v>0</v>
      </c>
      <c r="O397" s="93">
        <f>SUM('3:4'!O397)</f>
        <v>0</v>
      </c>
      <c r="P397" s="93">
        <f>SUM('3:4'!P397)</f>
        <v>0</v>
      </c>
      <c r="Q397" s="93">
        <f>SUM('3:4'!Q397)</f>
        <v>0</v>
      </c>
      <c r="R397" s="93">
        <f>SUM('3:4'!R397)</f>
        <v>0</v>
      </c>
      <c r="S397" s="93">
        <f>SUM('3:4'!S397)</f>
        <v>0</v>
      </c>
      <c r="T397" s="93">
        <f>SUM('3:4'!T397)</f>
        <v>0</v>
      </c>
      <c r="U397" s="93">
        <f>SUM('3:4'!U397)</f>
        <v>0</v>
      </c>
      <c r="V397" s="206">
        <f t="shared" ref="V397:V406" si="160">SUM(X397:AA397)</f>
        <v>0</v>
      </c>
      <c r="W397" s="33" t="str">
        <f t="shared" ref="W397:W406" si="161">IF(ISERROR(V397/G397),"",V397/G397)</f>
        <v/>
      </c>
      <c r="X397" s="93">
        <f>SUM('3:4'!X397)</f>
        <v>0</v>
      </c>
      <c r="Y397" s="93">
        <f>SUM('3:4'!Y397)</f>
        <v>0</v>
      </c>
      <c r="Z397" s="93">
        <f>SUM('3:4'!Z397)</f>
        <v>0</v>
      </c>
      <c r="AA397" s="93">
        <f>SUM('3:4'!AA397)</f>
        <v>0</v>
      </c>
      <c r="AB397" s="358">
        <v>0.19</v>
      </c>
      <c r="AC397" s="269">
        <f t="shared" si="140"/>
        <v>0</v>
      </c>
      <c r="AD397" s="251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 ht="17.25">
      <c r="A398" s="316">
        <v>30100034</v>
      </c>
      <c r="B398" s="62" t="s">
        <v>80</v>
      </c>
      <c r="C398" s="16" t="s">
        <v>60</v>
      </c>
      <c r="D398" s="17">
        <v>5.03</v>
      </c>
      <c r="E398" s="17"/>
      <c r="F398" s="6"/>
      <c r="G398" s="93">
        <f>SUM('3:4'!G398)</f>
        <v>0</v>
      </c>
      <c r="H398" s="246">
        <f t="shared" si="147"/>
        <v>0</v>
      </c>
      <c r="I398" s="93">
        <f>SUM('3:4'!I398)</f>
        <v>0</v>
      </c>
      <c r="J398" s="31" t="str">
        <f t="array" ref="J398">IF(ISERROR(G398/I398),"",G398/I398)</f>
        <v/>
      </c>
      <c r="K398" s="35">
        <f t="array" ref="K398">IF(ISERROR(G398/L398),"",G398/L398)</f>
        <v>0</v>
      </c>
      <c r="L398" s="87">
        <v>40</v>
      </c>
      <c r="M398" s="36">
        <f t="shared" si="152"/>
        <v>0</v>
      </c>
      <c r="N398" s="31">
        <f t="shared" si="159"/>
        <v>0</v>
      </c>
      <c r="O398" s="93">
        <f>SUM('3:4'!O398)</f>
        <v>0</v>
      </c>
      <c r="P398" s="93">
        <f>SUM('3:4'!P398)</f>
        <v>0</v>
      </c>
      <c r="Q398" s="93">
        <f>SUM('3:4'!Q398)</f>
        <v>0</v>
      </c>
      <c r="R398" s="93">
        <f>SUM('3:4'!R398)</f>
        <v>0</v>
      </c>
      <c r="S398" s="93">
        <f>SUM('3:4'!S398)</f>
        <v>0</v>
      </c>
      <c r="T398" s="93">
        <f>SUM('3:4'!T398)</f>
        <v>0</v>
      </c>
      <c r="U398" s="93">
        <f>SUM('3:4'!U398)</f>
        <v>0</v>
      </c>
      <c r="V398" s="206">
        <f t="shared" si="160"/>
        <v>0</v>
      </c>
      <c r="W398" s="33" t="str">
        <f t="shared" si="161"/>
        <v/>
      </c>
      <c r="X398" s="93">
        <f>SUM('3:4'!X398)</f>
        <v>0</v>
      </c>
      <c r="Y398" s="93">
        <f>SUM('3:4'!Y398)</f>
        <v>0</v>
      </c>
      <c r="Z398" s="93">
        <f>SUM('3:4'!Z398)</f>
        <v>0</v>
      </c>
      <c r="AA398" s="93">
        <f>SUM('3:4'!AA398)</f>
        <v>0</v>
      </c>
      <c r="AB398" s="358">
        <v>0.19</v>
      </c>
      <c r="AC398" s="269">
        <f t="shared" si="140"/>
        <v>0</v>
      </c>
      <c r="AD398" s="251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 ht="17.25">
      <c r="A399" s="316">
        <v>30100035</v>
      </c>
      <c r="B399" s="62" t="s">
        <v>80</v>
      </c>
      <c r="C399" s="16" t="s">
        <v>65</v>
      </c>
      <c r="D399" s="17">
        <v>5.03</v>
      </c>
      <c r="E399" s="17"/>
      <c r="F399" s="6"/>
      <c r="G399" s="93">
        <f>SUM('3:4'!G399)</f>
        <v>0</v>
      </c>
      <c r="H399" s="246">
        <f t="shared" si="147"/>
        <v>0</v>
      </c>
      <c r="I399" s="93">
        <f>SUM('3:4'!I399)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152"/>
        <v>0</v>
      </c>
      <c r="N399" s="31">
        <f t="shared" si="159"/>
        <v>0</v>
      </c>
      <c r="O399" s="93">
        <f>SUM('3:4'!O399)</f>
        <v>0</v>
      </c>
      <c r="P399" s="93">
        <f>SUM('3:4'!P399)</f>
        <v>0</v>
      </c>
      <c r="Q399" s="93">
        <f>SUM('3:4'!Q399)</f>
        <v>0</v>
      </c>
      <c r="R399" s="93">
        <f>SUM('3:4'!R399)</f>
        <v>0</v>
      </c>
      <c r="S399" s="93">
        <f>SUM('3:4'!S399)</f>
        <v>0</v>
      </c>
      <c r="T399" s="93">
        <f>SUM('3:4'!T399)</f>
        <v>0</v>
      </c>
      <c r="U399" s="93">
        <f>SUM('3:4'!U399)</f>
        <v>0</v>
      </c>
      <c r="V399" s="206">
        <f t="shared" si="160"/>
        <v>0</v>
      </c>
      <c r="W399" s="33" t="str">
        <f t="shared" si="161"/>
        <v/>
      </c>
      <c r="X399" s="93">
        <f>SUM('3:4'!X399)</f>
        <v>0</v>
      </c>
      <c r="Y399" s="93">
        <f>SUM('3:4'!Y399)</f>
        <v>0</v>
      </c>
      <c r="Z399" s="93">
        <f>SUM('3:4'!Z399)</f>
        <v>0</v>
      </c>
      <c r="AA399" s="93">
        <f>SUM('3:4'!AA399)</f>
        <v>0</v>
      </c>
      <c r="AB399" s="358">
        <v>0.19</v>
      </c>
      <c r="AC399" s="269">
        <f t="shared" si="140"/>
        <v>0</v>
      </c>
      <c r="AD399" s="251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 ht="17.25">
      <c r="A400" s="316">
        <v>30100040</v>
      </c>
      <c r="B400" s="62" t="s">
        <v>81</v>
      </c>
      <c r="C400" s="16" t="s">
        <v>82</v>
      </c>
      <c r="D400" s="17">
        <v>5.03</v>
      </c>
      <c r="E400" s="17"/>
      <c r="F400" s="6"/>
      <c r="G400" s="93">
        <f>SUM('3:4'!G400)</f>
        <v>0</v>
      </c>
      <c r="H400" s="246">
        <f t="shared" si="147"/>
        <v>0</v>
      </c>
      <c r="I400" s="93">
        <f>SUM('3:4'!I400)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50</v>
      </c>
      <c r="M400" s="36">
        <f t="shared" si="152"/>
        <v>0</v>
      </c>
      <c r="N400" s="31">
        <f t="shared" si="159"/>
        <v>0</v>
      </c>
      <c r="O400" s="93">
        <f>SUM('3:4'!O400)</f>
        <v>0</v>
      </c>
      <c r="P400" s="93">
        <f>SUM('3:4'!P400)</f>
        <v>0</v>
      </c>
      <c r="Q400" s="93">
        <f>SUM('3:4'!Q400)</f>
        <v>0</v>
      </c>
      <c r="R400" s="93">
        <f>SUM('3:4'!R400)</f>
        <v>0</v>
      </c>
      <c r="S400" s="93">
        <f>SUM('3:4'!S400)</f>
        <v>0</v>
      </c>
      <c r="T400" s="93">
        <f>SUM('3:4'!T400)</f>
        <v>0</v>
      </c>
      <c r="U400" s="93">
        <f>SUM('3:4'!U400)</f>
        <v>0</v>
      </c>
      <c r="V400" s="206">
        <f t="shared" si="160"/>
        <v>0</v>
      </c>
      <c r="W400" s="33" t="str">
        <f t="shared" si="161"/>
        <v/>
      </c>
      <c r="X400" s="93">
        <f>SUM('3:4'!X400)</f>
        <v>0</v>
      </c>
      <c r="Y400" s="93">
        <f>SUM('3:4'!Y400)</f>
        <v>0</v>
      </c>
      <c r="Z400" s="93">
        <f>SUM('3:4'!Z400)</f>
        <v>0</v>
      </c>
      <c r="AA400" s="93">
        <f>SUM('3:4'!AA400)</f>
        <v>0</v>
      </c>
      <c r="AB400" s="358">
        <v>0.21</v>
      </c>
      <c r="AC400" s="269">
        <f t="shared" si="140"/>
        <v>0</v>
      </c>
      <c r="AD400" s="251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 ht="17.25">
      <c r="A401" s="316">
        <v>30100039</v>
      </c>
      <c r="B401" s="62" t="s">
        <v>81</v>
      </c>
      <c r="C401" s="16" t="s">
        <v>60</v>
      </c>
      <c r="D401" s="17">
        <v>5.03</v>
      </c>
      <c r="E401" s="17"/>
      <c r="F401" s="6"/>
      <c r="G401" s="93">
        <f>SUM('3:4'!G401)</f>
        <v>0</v>
      </c>
      <c r="H401" s="246">
        <f t="shared" si="147"/>
        <v>0</v>
      </c>
      <c r="I401" s="93">
        <f>SUM('3:4'!I401)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50</v>
      </c>
      <c r="M401" s="36">
        <f t="shared" si="152"/>
        <v>0</v>
      </c>
      <c r="N401" s="31">
        <f t="shared" si="159"/>
        <v>0</v>
      </c>
      <c r="O401" s="93">
        <f>SUM('3:4'!O401)</f>
        <v>0</v>
      </c>
      <c r="P401" s="93">
        <f>SUM('3:4'!P401)</f>
        <v>0</v>
      </c>
      <c r="Q401" s="93">
        <f>SUM('3:4'!Q401)</f>
        <v>0</v>
      </c>
      <c r="R401" s="93">
        <f>SUM('3:4'!R401)</f>
        <v>0</v>
      </c>
      <c r="S401" s="93">
        <f>SUM('3:4'!S401)</f>
        <v>0</v>
      </c>
      <c r="T401" s="93">
        <f>SUM('3:4'!T401)</f>
        <v>0</v>
      </c>
      <c r="U401" s="93">
        <f>SUM('3:4'!U401)</f>
        <v>0</v>
      </c>
      <c r="V401" s="206">
        <f t="shared" si="160"/>
        <v>0</v>
      </c>
      <c r="W401" s="33" t="str">
        <f t="shared" si="161"/>
        <v/>
      </c>
      <c r="X401" s="93">
        <f>SUM('3:4'!X401)</f>
        <v>0</v>
      </c>
      <c r="Y401" s="93">
        <f>SUM('3:4'!Y401)</f>
        <v>0</v>
      </c>
      <c r="Z401" s="93">
        <f>SUM('3:4'!Z401)</f>
        <v>0</v>
      </c>
      <c r="AA401" s="93">
        <f>SUM('3:4'!AA401)</f>
        <v>0</v>
      </c>
      <c r="AB401" s="358">
        <v>0.21</v>
      </c>
      <c r="AC401" s="269">
        <f t="shared" si="140"/>
        <v>0</v>
      </c>
      <c r="AD401" s="251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 ht="17.25">
      <c r="A402" s="316">
        <v>30100042</v>
      </c>
      <c r="B402" s="62" t="s">
        <v>81</v>
      </c>
      <c r="C402" s="16" t="s">
        <v>61</v>
      </c>
      <c r="D402" s="17">
        <v>5.03</v>
      </c>
      <c r="E402" s="17"/>
      <c r="F402" s="6"/>
      <c r="G402" s="93">
        <f>SUM('3:4'!G402)</f>
        <v>0</v>
      </c>
      <c r="H402" s="246">
        <f t="shared" si="147"/>
        <v>0</v>
      </c>
      <c r="I402" s="93">
        <f>SUM('3:4'!I402)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152"/>
        <v>0</v>
      </c>
      <c r="N402" s="31">
        <f t="shared" si="159"/>
        <v>0</v>
      </c>
      <c r="O402" s="93">
        <f>SUM('3:4'!O402)</f>
        <v>0</v>
      </c>
      <c r="P402" s="93">
        <f>SUM('3:4'!P402)</f>
        <v>0</v>
      </c>
      <c r="Q402" s="93">
        <f>SUM('3:4'!Q402)</f>
        <v>0</v>
      </c>
      <c r="R402" s="93">
        <f>SUM('3:4'!R402)</f>
        <v>0</v>
      </c>
      <c r="S402" s="93">
        <f>SUM('3:4'!S402)</f>
        <v>0</v>
      </c>
      <c r="T402" s="93">
        <f>SUM('3:4'!T402)</f>
        <v>0</v>
      </c>
      <c r="U402" s="93">
        <f>SUM('3:4'!U402)</f>
        <v>0</v>
      </c>
      <c r="V402" s="206">
        <f t="shared" si="160"/>
        <v>0</v>
      </c>
      <c r="W402" s="33" t="str">
        <f t="shared" si="161"/>
        <v/>
      </c>
      <c r="X402" s="93">
        <f>SUM('3:4'!X402)</f>
        <v>0</v>
      </c>
      <c r="Y402" s="93">
        <f>SUM('3:4'!Y402)</f>
        <v>0</v>
      </c>
      <c r="Z402" s="93">
        <f>SUM('3:4'!Z402)</f>
        <v>0</v>
      </c>
      <c r="AA402" s="93">
        <f>SUM('3:4'!AA402)</f>
        <v>0</v>
      </c>
      <c r="AB402" s="358">
        <v>0.21</v>
      </c>
      <c r="AC402" s="269">
        <f t="shared" si="140"/>
        <v>0</v>
      </c>
      <c r="AD402" s="251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 ht="17.25">
      <c r="A403" s="316">
        <v>30100041</v>
      </c>
      <c r="B403" s="62" t="s">
        <v>81</v>
      </c>
      <c r="C403" s="16" t="s">
        <v>65</v>
      </c>
      <c r="D403" s="17">
        <v>5.03</v>
      </c>
      <c r="E403" s="17"/>
      <c r="F403" s="6"/>
      <c r="G403" s="93">
        <f>SUM('3:4'!G403)</f>
        <v>0</v>
      </c>
      <c r="H403" s="246">
        <f t="shared" si="147"/>
        <v>0</v>
      </c>
      <c r="I403" s="93">
        <f>SUM('3:4'!I403)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152"/>
        <v>0</v>
      </c>
      <c r="N403" s="31">
        <f t="shared" si="159"/>
        <v>0</v>
      </c>
      <c r="O403" s="93">
        <f>SUM('3:4'!O403)</f>
        <v>0</v>
      </c>
      <c r="P403" s="93">
        <f>SUM('3:4'!P403)</f>
        <v>0</v>
      </c>
      <c r="Q403" s="93">
        <f>SUM('3:4'!Q403)</f>
        <v>0</v>
      </c>
      <c r="R403" s="93">
        <f>SUM('3:4'!R403)</f>
        <v>0</v>
      </c>
      <c r="S403" s="93">
        <f>SUM('3:4'!S403)</f>
        <v>0</v>
      </c>
      <c r="T403" s="93">
        <f>SUM('3:4'!T403)</f>
        <v>0</v>
      </c>
      <c r="U403" s="93">
        <f>SUM('3:4'!U403)</f>
        <v>0</v>
      </c>
      <c r="V403" s="206">
        <f t="shared" si="160"/>
        <v>0</v>
      </c>
      <c r="W403" s="33" t="str">
        <f t="shared" si="161"/>
        <v/>
      </c>
      <c r="X403" s="93">
        <f>SUM('3:4'!X403)</f>
        <v>0</v>
      </c>
      <c r="Y403" s="93">
        <f>SUM('3:4'!Y403)</f>
        <v>0</v>
      </c>
      <c r="Z403" s="93">
        <f>SUM('3:4'!Z403)</f>
        <v>0</v>
      </c>
      <c r="AA403" s="93">
        <f>SUM('3:4'!AA403)</f>
        <v>0</v>
      </c>
      <c r="AB403" s="358">
        <v>0.21</v>
      </c>
      <c r="AC403" s="269">
        <f t="shared" si="140"/>
        <v>0</v>
      </c>
      <c r="AD403" s="251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 ht="17.25">
      <c r="A404" s="316">
        <v>30100045</v>
      </c>
      <c r="B404" s="62" t="s">
        <v>83</v>
      </c>
      <c r="C404" s="16" t="s">
        <v>73</v>
      </c>
      <c r="D404" s="17">
        <v>5.03</v>
      </c>
      <c r="E404" s="17"/>
      <c r="F404" s="6"/>
      <c r="G404" s="93">
        <f>SUM('3:4'!G404)</f>
        <v>0</v>
      </c>
      <c r="H404" s="246">
        <f t="shared" si="147"/>
        <v>0</v>
      </c>
      <c r="I404" s="93">
        <f>SUM('3:4'!I404)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152"/>
        <v>0</v>
      </c>
      <c r="N404" s="31">
        <f t="shared" si="159"/>
        <v>0</v>
      </c>
      <c r="O404" s="93">
        <f>SUM('3:4'!O404)</f>
        <v>0</v>
      </c>
      <c r="P404" s="93">
        <f>SUM('3:4'!P404)</f>
        <v>0</v>
      </c>
      <c r="Q404" s="93">
        <f>SUM('3:4'!Q404)</f>
        <v>0</v>
      </c>
      <c r="R404" s="93">
        <f>SUM('3:4'!R404)</f>
        <v>0</v>
      </c>
      <c r="S404" s="93">
        <f>SUM('3:4'!S404)</f>
        <v>0</v>
      </c>
      <c r="T404" s="93">
        <f>SUM('3:4'!T404)</f>
        <v>0</v>
      </c>
      <c r="U404" s="93">
        <f>SUM('3:4'!U404)</f>
        <v>0</v>
      </c>
      <c r="V404" s="206">
        <f t="shared" si="160"/>
        <v>0</v>
      </c>
      <c r="W404" s="33" t="str">
        <f t="shared" si="161"/>
        <v/>
      </c>
      <c r="X404" s="93">
        <f>SUM('3:4'!X404)</f>
        <v>0</v>
      </c>
      <c r="Y404" s="93">
        <f>SUM('3:4'!Y404)</f>
        <v>0</v>
      </c>
      <c r="Z404" s="93">
        <f>SUM('3:4'!Z404)</f>
        <v>0</v>
      </c>
      <c r="AA404" s="93">
        <f>SUM('3:4'!AA404)</f>
        <v>0</v>
      </c>
      <c r="AB404" s="358">
        <v>0.21</v>
      </c>
      <c r="AC404" s="269">
        <f t="shared" si="140"/>
        <v>0</v>
      </c>
      <c r="AD404" s="251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 ht="17.25">
      <c r="A405" s="316">
        <v>30100044</v>
      </c>
      <c r="B405" s="62" t="s">
        <v>83</v>
      </c>
      <c r="C405" s="16" t="s">
        <v>61</v>
      </c>
      <c r="D405" s="17">
        <v>5.03</v>
      </c>
      <c r="E405" s="17"/>
      <c r="F405" s="6"/>
      <c r="G405" s="93">
        <f>SUM('3:4'!G405)</f>
        <v>0</v>
      </c>
      <c r="H405" s="246">
        <f t="shared" si="147"/>
        <v>0</v>
      </c>
      <c r="I405" s="93">
        <f>SUM('3:4'!I405)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152"/>
        <v>0</v>
      </c>
      <c r="N405" s="31">
        <f t="shared" si="159"/>
        <v>0</v>
      </c>
      <c r="O405" s="93">
        <f>SUM('3:4'!O405)</f>
        <v>0</v>
      </c>
      <c r="P405" s="93">
        <f>SUM('3:4'!P405)</f>
        <v>0</v>
      </c>
      <c r="Q405" s="93">
        <f>SUM('3:4'!Q405)</f>
        <v>0</v>
      </c>
      <c r="R405" s="93">
        <f>SUM('3:4'!R405)</f>
        <v>0</v>
      </c>
      <c r="S405" s="93">
        <f>SUM('3:4'!S405)</f>
        <v>0</v>
      </c>
      <c r="T405" s="93">
        <f>SUM('3:4'!T405)</f>
        <v>0</v>
      </c>
      <c r="U405" s="93">
        <f>SUM('3:4'!U405)</f>
        <v>0</v>
      </c>
      <c r="V405" s="206">
        <f t="shared" si="160"/>
        <v>0</v>
      </c>
      <c r="W405" s="33" t="str">
        <f t="shared" si="161"/>
        <v/>
      </c>
      <c r="X405" s="93">
        <f>SUM('3:4'!X405)</f>
        <v>0</v>
      </c>
      <c r="Y405" s="93">
        <f>SUM('3:4'!Y405)</f>
        <v>0</v>
      </c>
      <c r="Z405" s="93">
        <f>SUM('3:4'!Z405)</f>
        <v>0</v>
      </c>
      <c r="AA405" s="93">
        <f>SUM('3:4'!AA405)</f>
        <v>0</v>
      </c>
      <c r="AB405" s="358">
        <v>0.21</v>
      </c>
      <c r="AC405" s="269">
        <f t="shared" si="140"/>
        <v>0</v>
      </c>
      <c r="AD405" s="251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 ht="17.25">
      <c r="A406" s="316">
        <v>30100046</v>
      </c>
      <c r="B406" s="62" t="s">
        <v>83</v>
      </c>
      <c r="C406" s="16" t="s">
        <v>77</v>
      </c>
      <c r="D406" s="17">
        <v>5.03</v>
      </c>
      <c r="E406" s="17"/>
      <c r="F406" s="6"/>
      <c r="G406" s="93">
        <f>SUM('3:4'!G406)</f>
        <v>0</v>
      </c>
      <c r="H406" s="246">
        <f t="shared" si="147"/>
        <v>0</v>
      </c>
      <c r="I406" s="93">
        <f>SUM('3:4'!I406)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152"/>
        <v>0</v>
      </c>
      <c r="N406" s="31">
        <f t="shared" si="159"/>
        <v>0</v>
      </c>
      <c r="O406" s="93">
        <f>SUM('3:4'!O406)</f>
        <v>0</v>
      </c>
      <c r="P406" s="93">
        <f>SUM('3:4'!P406)</f>
        <v>0</v>
      </c>
      <c r="Q406" s="93">
        <f>SUM('3:4'!Q406)</f>
        <v>0</v>
      </c>
      <c r="R406" s="93">
        <f>SUM('3:4'!R406)</f>
        <v>0</v>
      </c>
      <c r="S406" s="93">
        <f>SUM('3:4'!S406)</f>
        <v>0</v>
      </c>
      <c r="T406" s="93">
        <f>SUM('3:4'!T406)</f>
        <v>0</v>
      </c>
      <c r="U406" s="93">
        <f>SUM('3:4'!U406)</f>
        <v>0</v>
      </c>
      <c r="V406" s="206">
        <f t="shared" si="160"/>
        <v>0</v>
      </c>
      <c r="W406" s="33" t="str">
        <f t="shared" si="161"/>
        <v/>
      </c>
      <c r="X406" s="93">
        <f>SUM('3:4'!X406)</f>
        <v>0</v>
      </c>
      <c r="Y406" s="93">
        <f>SUM('3:4'!Y406)</f>
        <v>0</v>
      </c>
      <c r="Z406" s="93">
        <f>SUM('3:4'!Z406)</f>
        <v>0</v>
      </c>
      <c r="AA406" s="93">
        <f>SUM('3:4'!AA406)</f>
        <v>0</v>
      </c>
      <c r="AB406" s="358">
        <v>0.21</v>
      </c>
      <c r="AC406" s="269">
        <f t="shared" si="140"/>
        <v>0</v>
      </c>
      <c r="AD406" s="251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 ht="17.25">
      <c r="A407" s="316">
        <v>30100043</v>
      </c>
      <c r="B407" s="192" t="s">
        <v>429</v>
      </c>
      <c r="C407" s="187" t="s">
        <v>427</v>
      </c>
      <c r="D407" s="17">
        <v>50.3</v>
      </c>
      <c r="E407" s="17"/>
      <c r="F407" s="6"/>
      <c r="G407" s="93"/>
      <c r="H407" s="246">
        <f t="shared" si="147"/>
        <v>0</v>
      </c>
      <c r="I407" s="93"/>
      <c r="J407" s="31"/>
      <c r="K407" s="35">
        <f t="array" ref="K407">IF(ISERROR(G407/L407),"",G407/L407)</f>
        <v>0</v>
      </c>
      <c r="L407" s="87">
        <v>50</v>
      </c>
      <c r="M407" s="36"/>
      <c r="N407" s="31"/>
      <c r="O407" s="93"/>
      <c r="P407" s="93"/>
      <c r="Q407" s="93"/>
      <c r="R407" s="93"/>
      <c r="S407" s="93"/>
      <c r="T407" s="93"/>
      <c r="U407" s="93"/>
      <c r="V407" s="206"/>
      <c r="W407" s="33"/>
      <c r="X407" s="93"/>
      <c r="Y407" s="93"/>
      <c r="Z407" s="93"/>
      <c r="AA407" s="93"/>
      <c r="AB407" s="358">
        <v>0.21</v>
      </c>
      <c r="AC407" s="269">
        <f t="shared" si="140"/>
        <v>0</v>
      </c>
      <c r="AD407" s="251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 ht="17.25">
      <c r="A408" s="316">
        <v>30100064</v>
      </c>
      <c r="B408" s="192" t="s">
        <v>400</v>
      </c>
      <c r="C408" s="187" t="s">
        <v>398</v>
      </c>
      <c r="D408" s="17">
        <v>5</v>
      </c>
      <c r="E408" s="17"/>
      <c r="F408" s="6"/>
      <c r="G408" s="93">
        <f>SUM('3:4'!G408)</f>
        <v>0</v>
      </c>
      <c r="H408" s="246">
        <f t="shared" si="147"/>
        <v>0</v>
      </c>
      <c r="I408" s="93">
        <f>SUM('3:4'!I408)</f>
        <v>0</v>
      </c>
      <c r="J408" s="31"/>
      <c r="K408" s="35"/>
      <c r="L408" s="87">
        <v>50</v>
      </c>
      <c r="M408" s="36"/>
      <c r="N408" s="31"/>
      <c r="O408" s="93">
        <f>SUM('3:4'!O408)</f>
        <v>0</v>
      </c>
      <c r="P408" s="93">
        <f>SUM('3:4'!P408)</f>
        <v>0</v>
      </c>
      <c r="Q408" s="93">
        <f>SUM('3:4'!Q408)</f>
        <v>0</v>
      </c>
      <c r="R408" s="93">
        <f>SUM('3:4'!R408)</f>
        <v>0</v>
      </c>
      <c r="S408" s="93">
        <f>SUM('3:4'!S408)</f>
        <v>0</v>
      </c>
      <c r="T408" s="93">
        <f>SUM('3:4'!T408)</f>
        <v>0</v>
      </c>
      <c r="U408" s="93">
        <f>SUM('3:4'!U408)</f>
        <v>0</v>
      </c>
      <c r="V408" s="206"/>
      <c r="W408" s="33"/>
      <c r="X408" s="93">
        <f>SUM('3:4'!X408)</f>
        <v>0</v>
      </c>
      <c r="Y408" s="93">
        <f>SUM('3:4'!Y408)</f>
        <v>0</v>
      </c>
      <c r="Z408" s="93">
        <f>SUM('3:4'!Z408)</f>
        <v>0</v>
      </c>
      <c r="AA408" s="93">
        <f>SUM('3:4'!AA408)</f>
        <v>0</v>
      </c>
      <c r="AB408" s="361">
        <v>0.21</v>
      </c>
      <c r="AC408" s="269">
        <f t="shared" si="140"/>
        <v>0</v>
      </c>
      <c r="AD408" s="251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 ht="17.25">
      <c r="A409" s="316">
        <v>30100049</v>
      </c>
      <c r="B409" s="62" t="s">
        <v>84</v>
      </c>
      <c r="C409" s="16" t="s">
        <v>64</v>
      </c>
      <c r="D409" s="17">
        <v>5.03</v>
      </c>
      <c r="E409" s="17"/>
      <c r="F409" s="6"/>
      <c r="G409" s="93">
        <f>SUM('3:4'!G409)</f>
        <v>0</v>
      </c>
      <c r="H409" s="246">
        <f t="shared" si="147"/>
        <v>0</v>
      </c>
      <c r="I409" s="93">
        <f>SUM('3:4'!I409)</f>
        <v>0</v>
      </c>
      <c r="J409" s="31" t="str">
        <f t="array" ref="J409">IF(ISERROR(G409/I409),"",G409/I409)</f>
        <v/>
      </c>
      <c r="K409" s="35">
        <f t="array" ref="K409">IF(ISERROR(G409/L409),"",G409/L409)</f>
        <v>0</v>
      </c>
      <c r="L409" s="87">
        <v>21.5</v>
      </c>
      <c r="M409" s="36">
        <f t="shared" ref="M409:M410" si="162">IF(ISERROR(I409-K409),"",I409-K409)</f>
        <v>0</v>
      </c>
      <c r="N409" s="31">
        <f t="shared" ref="N409:N410" si="163">SUM(O409:U409)</f>
        <v>0</v>
      </c>
      <c r="O409" s="93">
        <f>SUM('3:4'!O409)</f>
        <v>0</v>
      </c>
      <c r="P409" s="93">
        <f>SUM('3:4'!P409)</f>
        <v>0</v>
      </c>
      <c r="Q409" s="93">
        <f>SUM('3:4'!Q409)</f>
        <v>0</v>
      </c>
      <c r="R409" s="93">
        <f>SUM('3:4'!R409)</f>
        <v>0</v>
      </c>
      <c r="S409" s="93">
        <f>SUM('3:4'!S409)</f>
        <v>0</v>
      </c>
      <c r="T409" s="93">
        <f>SUM('3:4'!T409)</f>
        <v>0</v>
      </c>
      <c r="U409" s="93">
        <f>SUM('3:4'!U409)</f>
        <v>0</v>
      </c>
      <c r="V409" s="206">
        <f t="shared" ref="V409:V410" si="164">SUM(X409:AA409)</f>
        <v>0</v>
      </c>
      <c r="W409" s="33" t="str">
        <f t="shared" ref="W409:W410" si="165">IF(ISERROR(V409/G409),"",V409/G409)</f>
        <v/>
      </c>
      <c r="X409" s="93">
        <f>SUM('3:4'!X409)</f>
        <v>0</v>
      </c>
      <c r="Y409" s="93">
        <f>SUM('3:4'!Y409)</f>
        <v>0</v>
      </c>
      <c r="Z409" s="93">
        <f>SUM('3:4'!Z409)</f>
        <v>0</v>
      </c>
      <c r="AA409" s="93">
        <f>SUM('3:4'!AA409)</f>
        <v>0</v>
      </c>
      <c r="AB409" s="358">
        <v>0.49</v>
      </c>
      <c r="AC409" s="269">
        <f t="shared" si="140"/>
        <v>0</v>
      </c>
      <c r="AD409" s="251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 ht="17.25">
      <c r="A410" s="316">
        <v>30100050</v>
      </c>
      <c r="B410" s="62" t="s">
        <v>84</v>
      </c>
      <c r="C410" s="16" t="s">
        <v>65</v>
      </c>
      <c r="D410" s="17">
        <v>5.03</v>
      </c>
      <c r="E410" s="17"/>
      <c r="F410" s="6"/>
      <c r="G410" s="93">
        <f>SUM('3:4'!G410)</f>
        <v>0</v>
      </c>
      <c r="H410" s="246">
        <f t="shared" si="147"/>
        <v>0</v>
      </c>
      <c r="I410" s="93">
        <f>SUM('3:4'!I410)</f>
        <v>0</v>
      </c>
      <c r="J410" s="31" t="str">
        <f t="array" ref="J410">IF(ISERROR(G410/I410),"",G410/I410)</f>
        <v/>
      </c>
      <c r="K410" s="35">
        <f t="array" ref="K410">IF(ISERROR(G410/L410),"",G410/L410)</f>
        <v>0</v>
      </c>
      <c r="L410" s="87">
        <v>21.5</v>
      </c>
      <c r="M410" s="36">
        <f t="shared" si="162"/>
        <v>0</v>
      </c>
      <c r="N410" s="31">
        <f t="shared" si="163"/>
        <v>0</v>
      </c>
      <c r="O410" s="93">
        <f>SUM('3:4'!O410)</f>
        <v>0</v>
      </c>
      <c r="P410" s="93">
        <f>SUM('3:4'!P410)</f>
        <v>0</v>
      </c>
      <c r="Q410" s="93">
        <f>SUM('3:4'!Q410)</f>
        <v>0</v>
      </c>
      <c r="R410" s="93">
        <f>SUM('3:4'!R410)</f>
        <v>0</v>
      </c>
      <c r="S410" s="93">
        <f>SUM('3:4'!S410)</f>
        <v>0</v>
      </c>
      <c r="T410" s="93">
        <f>SUM('3:4'!T410)</f>
        <v>0</v>
      </c>
      <c r="U410" s="93">
        <f>SUM('3:4'!U410)</f>
        <v>0</v>
      </c>
      <c r="V410" s="206">
        <f t="shared" si="164"/>
        <v>0</v>
      </c>
      <c r="W410" s="33" t="str">
        <f t="shared" si="165"/>
        <v/>
      </c>
      <c r="X410" s="93">
        <f>SUM('3:4'!X410)</f>
        <v>0</v>
      </c>
      <c r="Y410" s="93">
        <f>SUM('3:4'!Y410)</f>
        <v>0</v>
      </c>
      <c r="Z410" s="93">
        <f>SUM('3:4'!Z410)</f>
        <v>0</v>
      </c>
      <c r="AA410" s="93">
        <f>SUM('3:4'!AA410)</f>
        <v>0</v>
      </c>
      <c r="AB410" s="358">
        <v>0.49</v>
      </c>
      <c r="AC410" s="269">
        <f t="shared" si="140"/>
        <v>0</v>
      </c>
      <c r="AD410" s="251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 ht="17.25">
      <c r="A411" s="316"/>
      <c r="B411" s="192" t="s">
        <v>360</v>
      </c>
      <c r="C411" s="187" t="s">
        <v>361</v>
      </c>
      <c r="D411" s="17"/>
      <c r="E411" s="17"/>
      <c r="F411" s="6"/>
      <c r="G411" s="93">
        <f>SUM('3:4'!G411)</f>
        <v>0</v>
      </c>
      <c r="H411" s="246">
        <f t="shared" si="147"/>
        <v>0</v>
      </c>
      <c r="I411" s="93">
        <f>SUM('3:4'!I411)</f>
        <v>0</v>
      </c>
      <c r="J411" s="31"/>
      <c r="K411" s="35"/>
      <c r="L411" s="87"/>
      <c r="M411" s="36"/>
      <c r="N411" s="31"/>
      <c r="O411" s="93">
        <f>SUM('3:4'!O411)</f>
        <v>0</v>
      </c>
      <c r="P411" s="93">
        <f>SUM('3:4'!P411)</f>
        <v>0</v>
      </c>
      <c r="Q411" s="93">
        <f>SUM('3:4'!Q411)</f>
        <v>0</v>
      </c>
      <c r="R411" s="93">
        <f>SUM('3:4'!R411)</f>
        <v>0</v>
      </c>
      <c r="S411" s="93">
        <f>SUM('3:4'!S411)</f>
        <v>0</v>
      </c>
      <c r="T411" s="93">
        <f>SUM('3:4'!T411)</f>
        <v>0</v>
      </c>
      <c r="U411" s="93">
        <f>SUM('3:4'!U411)</f>
        <v>0</v>
      </c>
      <c r="V411" s="206"/>
      <c r="W411" s="33"/>
      <c r="X411" s="93">
        <f>SUM('3:4'!X411)</f>
        <v>0</v>
      </c>
      <c r="Y411" s="93">
        <f>SUM('3:4'!Y411)</f>
        <v>0</v>
      </c>
      <c r="Z411" s="93">
        <f>SUM('3:4'!Z411)</f>
        <v>0</v>
      </c>
      <c r="AA411" s="93">
        <f>SUM('3:4'!AA411)</f>
        <v>0</v>
      </c>
      <c r="AB411" s="358"/>
      <c r="AC411" s="269">
        <f t="shared" si="140"/>
        <v>0</v>
      </c>
      <c r="AD411" s="251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 ht="17.25">
      <c r="A412" s="316">
        <v>30100055</v>
      </c>
      <c r="B412" s="63" t="s">
        <v>85</v>
      </c>
      <c r="C412" s="16" t="s">
        <v>60</v>
      </c>
      <c r="D412" s="17">
        <v>5.0599999999999996</v>
      </c>
      <c r="E412" s="17"/>
      <c r="F412" s="6"/>
      <c r="G412" s="93">
        <f>SUM('3:4'!G412)</f>
        <v>0</v>
      </c>
      <c r="H412" s="246">
        <f t="shared" si="147"/>
        <v>0</v>
      </c>
      <c r="I412" s="93">
        <f>SUM('3:4'!I412)</f>
        <v>0</v>
      </c>
      <c r="J412" s="31" t="str">
        <f t="array" ref="J412">IF(ISERROR(G412/I412),"",G412/I412)</f>
        <v/>
      </c>
      <c r="K412" s="35" t="str">
        <f t="array" ref="K412">IF(ISERROR(G412/L412),"",G412/L412)</f>
        <v/>
      </c>
      <c r="L412" s="87"/>
      <c r="M412" s="36" t="str">
        <f t="shared" ref="M412:M425" si="166">IF(ISERROR(I412-K412),"",I412-K412)</f>
        <v/>
      </c>
      <c r="N412" s="31">
        <f t="shared" ref="N412:N415" si="167">SUM(O412:U412)</f>
        <v>0</v>
      </c>
      <c r="O412" s="93">
        <f>SUM('3:4'!O412)</f>
        <v>0</v>
      </c>
      <c r="P412" s="93">
        <f>SUM('3:4'!P412)</f>
        <v>0</v>
      </c>
      <c r="Q412" s="93">
        <f>SUM('3:4'!Q412)</f>
        <v>0</v>
      </c>
      <c r="R412" s="93">
        <f>SUM('3:4'!R412)</f>
        <v>0</v>
      </c>
      <c r="S412" s="93">
        <f>SUM('3:4'!S412)</f>
        <v>0</v>
      </c>
      <c r="T412" s="93">
        <f>SUM('3:4'!T412)</f>
        <v>0</v>
      </c>
      <c r="U412" s="93">
        <f>SUM('3:4'!U412)</f>
        <v>0</v>
      </c>
      <c r="V412" s="206">
        <f t="shared" ref="V412:V415" si="168">SUM(X412:AA412)</f>
        <v>0</v>
      </c>
      <c r="W412" s="33" t="str">
        <f t="shared" ref="W412:W415" si="169">IF(ISERROR(V412/G412),"",V412/G412)</f>
        <v/>
      </c>
      <c r="X412" s="93">
        <f>SUM('3:4'!X412)</f>
        <v>0</v>
      </c>
      <c r="Y412" s="93">
        <f>SUM('3:4'!Y412)</f>
        <v>0</v>
      </c>
      <c r="Z412" s="93">
        <f>SUM('3:4'!Z412)</f>
        <v>0</v>
      </c>
      <c r="AA412" s="93">
        <f>SUM('3:4'!AA412)</f>
        <v>0</v>
      </c>
      <c r="AB412" s="358">
        <v>0.43</v>
      </c>
      <c r="AC412" s="269">
        <f t="shared" si="140"/>
        <v>0</v>
      </c>
      <c r="AD412" s="251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 ht="17.25">
      <c r="A413" s="316">
        <v>30100056</v>
      </c>
      <c r="B413" s="63" t="s">
        <v>85</v>
      </c>
      <c r="C413" s="16" t="s">
        <v>74</v>
      </c>
      <c r="D413" s="17">
        <v>5.0599999999999996</v>
      </c>
      <c r="E413" s="17"/>
      <c r="F413" s="6"/>
      <c r="G413" s="93">
        <f>SUM('3:4'!G413)</f>
        <v>0</v>
      </c>
      <c r="H413" s="246">
        <f t="shared" si="147"/>
        <v>0</v>
      </c>
      <c r="I413" s="93">
        <f>SUM('3:4'!I413)</f>
        <v>0</v>
      </c>
      <c r="J413" s="31" t="str">
        <f t="array" ref="J413">IF(ISERROR(G413/I413),"",G413/I413)</f>
        <v/>
      </c>
      <c r="K413" s="35" t="str">
        <f t="array" ref="K413">IF(ISERROR(G413/L413),"",G413/L413)</f>
        <v/>
      </c>
      <c r="L413" s="87"/>
      <c r="M413" s="36" t="str">
        <f t="shared" si="166"/>
        <v/>
      </c>
      <c r="N413" s="31">
        <f t="shared" si="167"/>
        <v>0</v>
      </c>
      <c r="O413" s="93">
        <f>SUM('3:4'!O413)</f>
        <v>0</v>
      </c>
      <c r="P413" s="93">
        <f>SUM('3:4'!P413)</f>
        <v>0</v>
      </c>
      <c r="Q413" s="93">
        <f>SUM('3:4'!Q413)</f>
        <v>0</v>
      </c>
      <c r="R413" s="93">
        <f>SUM('3:4'!R413)</f>
        <v>0</v>
      </c>
      <c r="S413" s="93">
        <f>SUM('3:4'!S413)</f>
        <v>0</v>
      </c>
      <c r="T413" s="93">
        <f>SUM('3:4'!T413)</f>
        <v>0</v>
      </c>
      <c r="U413" s="93">
        <f>SUM('3:4'!U413)</f>
        <v>0</v>
      </c>
      <c r="V413" s="206">
        <f t="shared" si="168"/>
        <v>0</v>
      </c>
      <c r="W413" s="33" t="str">
        <f t="shared" si="169"/>
        <v/>
      </c>
      <c r="X413" s="93">
        <f>SUM('3:4'!X413)</f>
        <v>0</v>
      </c>
      <c r="Y413" s="93">
        <f>SUM('3:4'!Y413)</f>
        <v>0</v>
      </c>
      <c r="Z413" s="93">
        <f>SUM('3:4'!Z413)</f>
        <v>0</v>
      </c>
      <c r="AA413" s="93">
        <f>SUM('3:4'!AA413)</f>
        <v>0</v>
      </c>
      <c r="AB413" s="358">
        <v>0.43</v>
      </c>
      <c r="AC413" s="269">
        <f t="shared" ref="AC413:AC478" si="170">AB413*G413</f>
        <v>0</v>
      </c>
      <c r="AD413" s="251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 ht="17.25">
      <c r="A414" s="316">
        <v>30100057</v>
      </c>
      <c r="B414" s="63" t="s">
        <v>85</v>
      </c>
      <c r="C414" s="16" t="s">
        <v>65</v>
      </c>
      <c r="D414" s="17">
        <v>5.0599999999999996</v>
      </c>
      <c r="E414" s="17"/>
      <c r="F414" s="6"/>
      <c r="G414" s="93">
        <f>SUM('3:4'!G414)</f>
        <v>0</v>
      </c>
      <c r="H414" s="246">
        <f t="shared" si="147"/>
        <v>0</v>
      </c>
      <c r="I414" s="93">
        <f>SUM('3:4'!I414)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si="166"/>
        <v/>
      </c>
      <c r="N414" s="31">
        <f t="shared" si="167"/>
        <v>0</v>
      </c>
      <c r="O414" s="93">
        <f>SUM('3:4'!O414)</f>
        <v>0</v>
      </c>
      <c r="P414" s="93">
        <f>SUM('3:4'!P414)</f>
        <v>0</v>
      </c>
      <c r="Q414" s="93">
        <f>SUM('3:4'!Q414)</f>
        <v>0</v>
      </c>
      <c r="R414" s="93">
        <f>SUM('3:4'!R414)</f>
        <v>0</v>
      </c>
      <c r="S414" s="93">
        <f>SUM('3:4'!S414)</f>
        <v>0</v>
      </c>
      <c r="T414" s="93">
        <f>SUM('3:4'!T414)</f>
        <v>0</v>
      </c>
      <c r="U414" s="93">
        <f>SUM('3:4'!U414)</f>
        <v>0</v>
      </c>
      <c r="V414" s="206">
        <f t="shared" si="168"/>
        <v>0</v>
      </c>
      <c r="W414" s="33" t="str">
        <f t="shared" si="169"/>
        <v/>
      </c>
      <c r="X414" s="93">
        <f>SUM('3:4'!X414)</f>
        <v>0</v>
      </c>
      <c r="Y414" s="93">
        <f>SUM('3:4'!Y414)</f>
        <v>0</v>
      </c>
      <c r="Z414" s="93">
        <f>SUM('3:4'!Z414)</f>
        <v>0</v>
      </c>
      <c r="AA414" s="93">
        <f>SUM('3:4'!AA414)</f>
        <v>0</v>
      </c>
      <c r="AB414" s="358">
        <v>0.43</v>
      </c>
      <c r="AC414" s="269">
        <f t="shared" si="170"/>
        <v>0</v>
      </c>
      <c r="AD414" s="251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 ht="17.25">
      <c r="A415" s="316">
        <v>30100058</v>
      </c>
      <c r="B415" s="63" t="s">
        <v>85</v>
      </c>
      <c r="C415" s="16" t="s">
        <v>61</v>
      </c>
      <c r="D415" s="17">
        <v>5.0599999999999996</v>
      </c>
      <c r="E415" s="17"/>
      <c r="F415" s="6"/>
      <c r="G415" s="93">
        <f>SUM('3:4'!G415)</f>
        <v>0</v>
      </c>
      <c r="H415" s="246">
        <f t="shared" si="147"/>
        <v>0</v>
      </c>
      <c r="I415" s="93">
        <f>SUM('3:4'!I415)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166"/>
        <v/>
      </c>
      <c r="N415" s="31">
        <f t="shared" si="167"/>
        <v>0</v>
      </c>
      <c r="O415" s="93">
        <f>SUM('3:4'!O415)</f>
        <v>0</v>
      </c>
      <c r="P415" s="93">
        <f>SUM('3:4'!P415)</f>
        <v>0</v>
      </c>
      <c r="Q415" s="93">
        <f>SUM('3:4'!Q415)</f>
        <v>0</v>
      </c>
      <c r="R415" s="93">
        <f>SUM('3:4'!R415)</f>
        <v>0</v>
      </c>
      <c r="S415" s="93">
        <f>SUM('3:4'!S415)</f>
        <v>0</v>
      </c>
      <c r="T415" s="93">
        <f>SUM('3:4'!T415)</f>
        <v>0</v>
      </c>
      <c r="U415" s="93">
        <f>SUM('3:4'!U415)</f>
        <v>0</v>
      </c>
      <c r="V415" s="206">
        <f t="shared" si="168"/>
        <v>0</v>
      </c>
      <c r="W415" s="33" t="str">
        <f t="shared" si="169"/>
        <v/>
      </c>
      <c r="X415" s="93">
        <f>SUM('3:4'!X415)</f>
        <v>0</v>
      </c>
      <c r="Y415" s="93">
        <f>SUM('3:4'!Y415)</f>
        <v>0</v>
      </c>
      <c r="Z415" s="93">
        <f>SUM('3:4'!Z415)</f>
        <v>0</v>
      </c>
      <c r="AA415" s="93">
        <f>SUM('3:4'!AA415)</f>
        <v>0</v>
      </c>
      <c r="AB415" s="358">
        <v>0.43</v>
      </c>
      <c r="AC415" s="269">
        <f t="shared" si="170"/>
        <v>0</v>
      </c>
      <c r="AD415" s="251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5" customHeight="1">
      <c r="A416" s="318">
        <v>30600013</v>
      </c>
      <c r="B416" s="197" t="s">
        <v>368</v>
      </c>
      <c r="C416" s="187" t="s">
        <v>374</v>
      </c>
      <c r="D416" s="17"/>
      <c r="E416" s="17"/>
      <c r="F416" s="6"/>
      <c r="G416" s="93">
        <f>SUM('3:4'!G416)</f>
        <v>0</v>
      </c>
      <c r="H416" s="246">
        <f t="shared" si="147"/>
        <v>0</v>
      </c>
      <c r="I416" s="93">
        <f>SUM('3:4'!I416)</f>
        <v>0</v>
      </c>
      <c r="J416" s="31"/>
      <c r="K416" s="35">
        <f t="array" ref="K416">IF(ISERROR(G416/L416),"",G416/L416)</f>
        <v>0</v>
      </c>
      <c r="L416" s="87">
        <v>24</v>
      </c>
      <c r="M416" s="36">
        <f t="shared" si="166"/>
        <v>0</v>
      </c>
      <c r="N416" s="31"/>
      <c r="O416" s="93">
        <f>SUM('3:4'!O416)</f>
        <v>0</v>
      </c>
      <c r="P416" s="93">
        <f>SUM('3:4'!P416)</f>
        <v>0</v>
      </c>
      <c r="Q416" s="93">
        <f>SUM('3:4'!Q416)</f>
        <v>0</v>
      </c>
      <c r="R416" s="93">
        <f>SUM('3:4'!R416)</f>
        <v>0</v>
      </c>
      <c r="S416" s="93">
        <f>SUM('3:4'!S416)</f>
        <v>0</v>
      </c>
      <c r="T416" s="93">
        <f>SUM('3:4'!T416)</f>
        <v>0</v>
      </c>
      <c r="U416" s="93">
        <f>SUM('3:4'!U416)</f>
        <v>0</v>
      </c>
      <c r="V416" s="206"/>
      <c r="W416" s="33"/>
      <c r="X416" s="93">
        <f>SUM('3:4'!X416)</f>
        <v>0</v>
      </c>
      <c r="Y416" s="93">
        <f>SUM('3:4'!Y416)</f>
        <v>0</v>
      </c>
      <c r="Z416" s="93">
        <f>SUM('3:4'!Z416)</f>
        <v>0</v>
      </c>
      <c r="AA416" s="93">
        <f>SUM('3:4'!AA416)</f>
        <v>0</v>
      </c>
      <c r="AB416" s="358">
        <v>0.43</v>
      </c>
      <c r="AC416" s="269">
        <f t="shared" si="170"/>
        <v>0</v>
      </c>
      <c r="AD416" s="251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5" customHeight="1">
      <c r="A417" s="318">
        <v>30600014</v>
      </c>
      <c r="B417" s="197" t="s">
        <v>368</v>
      </c>
      <c r="C417" s="187" t="s">
        <v>369</v>
      </c>
      <c r="D417" s="17"/>
      <c r="E417" s="17"/>
      <c r="F417" s="6"/>
      <c r="G417" s="93">
        <f>SUM('3:4'!G417)</f>
        <v>0</v>
      </c>
      <c r="H417" s="246">
        <f t="shared" si="147"/>
        <v>0</v>
      </c>
      <c r="I417" s="93">
        <f>SUM('3:4'!I417)</f>
        <v>0</v>
      </c>
      <c r="J417" s="31"/>
      <c r="K417" s="35">
        <f t="array" ref="K417">IF(ISERROR(G417/L417),"",G417/L417)</f>
        <v>0</v>
      </c>
      <c r="L417" s="87">
        <v>24</v>
      </c>
      <c r="M417" s="36">
        <f t="shared" si="166"/>
        <v>0</v>
      </c>
      <c r="N417" s="31"/>
      <c r="O417" s="93">
        <f>SUM('3:4'!O417)</f>
        <v>0</v>
      </c>
      <c r="P417" s="93">
        <f>SUM('3:4'!P417)</f>
        <v>0</v>
      </c>
      <c r="Q417" s="93">
        <f>SUM('3:4'!Q417)</f>
        <v>0</v>
      </c>
      <c r="R417" s="93">
        <f>SUM('3:4'!R417)</f>
        <v>0</v>
      </c>
      <c r="S417" s="93">
        <f>SUM('3:4'!S417)</f>
        <v>0</v>
      </c>
      <c r="T417" s="93">
        <f>SUM('3:4'!T417)</f>
        <v>0</v>
      </c>
      <c r="U417" s="93">
        <f>SUM('3:4'!U417)</f>
        <v>0</v>
      </c>
      <c r="V417" s="206"/>
      <c r="W417" s="33"/>
      <c r="X417" s="93">
        <f>SUM('3:4'!X417)</f>
        <v>0</v>
      </c>
      <c r="Y417" s="93">
        <f>SUM('3:4'!Y417)</f>
        <v>0</v>
      </c>
      <c r="Z417" s="93">
        <f>SUM('3:4'!Z417)</f>
        <v>0</v>
      </c>
      <c r="AA417" s="93">
        <f>SUM('3:4'!AA417)</f>
        <v>0</v>
      </c>
      <c r="AB417" s="358">
        <v>0.43</v>
      </c>
      <c r="AC417" s="269">
        <f t="shared" si="170"/>
        <v>0</v>
      </c>
      <c r="AD417" s="251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18">
        <v>30600012</v>
      </c>
      <c r="B418" s="197" t="s">
        <v>368</v>
      </c>
      <c r="C418" s="187" t="s">
        <v>370</v>
      </c>
      <c r="D418" s="17"/>
      <c r="E418" s="17"/>
      <c r="F418" s="6"/>
      <c r="G418" s="93">
        <f>SUM('3:4'!G418)</f>
        <v>0</v>
      </c>
      <c r="H418" s="246">
        <f t="shared" si="147"/>
        <v>0</v>
      </c>
      <c r="I418" s="93">
        <f>SUM('3:4'!I418)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166"/>
        <v>0</v>
      </c>
      <c r="N418" s="31"/>
      <c r="O418" s="93">
        <f>SUM('3:4'!O418)</f>
        <v>0</v>
      </c>
      <c r="P418" s="93">
        <f>SUM('3:4'!P418)</f>
        <v>0</v>
      </c>
      <c r="Q418" s="93">
        <f>SUM('3:4'!Q418)</f>
        <v>0</v>
      </c>
      <c r="R418" s="93">
        <f>SUM('3:4'!R418)</f>
        <v>0</v>
      </c>
      <c r="S418" s="93">
        <f>SUM('3:4'!S418)</f>
        <v>0</v>
      </c>
      <c r="T418" s="93">
        <f>SUM('3:4'!T418)</f>
        <v>0</v>
      </c>
      <c r="U418" s="93">
        <f>SUM('3:4'!U418)</f>
        <v>0</v>
      </c>
      <c r="V418" s="206"/>
      <c r="W418" s="33"/>
      <c r="X418" s="93">
        <f>SUM('3:4'!X418)</f>
        <v>0</v>
      </c>
      <c r="Y418" s="93">
        <f>SUM('3:4'!Y418)</f>
        <v>0</v>
      </c>
      <c r="Z418" s="93">
        <f>SUM('3:4'!Z418)</f>
        <v>0</v>
      </c>
      <c r="AA418" s="93">
        <f>SUM('3:4'!AA418)</f>
        <v>0</v>
      </c>
      <c r="AB418" s="358">
        <v>0.43</v>
      </c>
      <c r="AC418" s="269">
        <f t="shared" si="170"/>
        <v>0</v>
      </c>
      <c r="AD418" s="251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18">
        <v>30600011</v>
      </c>
      <c r="B419" s="197" t="s">
        <v>368</v>
      </c>
      <c r="C419" s="187" t="s">
        <v>371</v>
      </c>
      <c r="D419" s="17"/>
      <c r="E419" s="17"/>
      <c r="F419" s="6"/>
      <c r="G419" s="93">
        <f>SUM('3:4'!G419)</f>
        <v>0</v>
      </c>
      <c r="H419" s="246">
        <f t="shared" si="147"/>
        <v>0</v>
      </c>
      <c r="I419" s="93">
        <f>SUM('3:4'!I419)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166"/>
        <v>0</v>
      </c>
      <c r="N419" s="31"/>
      <c r="O419" s="93">
        <f>SUM('3:4'!O419)</f>
        <v>0</v>
      </c>
      <c r="P419" s="93">
        <f>SUM('3:4'!P419)</f>
        <v>0</v>
      </c>
      <c r="Q419" s="93">
        <f>SUM('3:4'!Q419)</f>
        <v>0</v>
      </c>
      <c r="R419" s="93">
        <f>SUM('3:4'!R419)</f>
        <v>0</v>
      </c>
      <c r="S419" s="93">
        <f>SUM('3:4'!S419)</f>
        <v>0</v>
      </c>
      <c r="T419" s="93">
        <f>SUM('3:4'!T419)</f>
        <v>0</v>
      </c>
      <c r="U419" s="93">
        <f>SUM('3:4'!U419)</f>
        <v>0</v>
      </c>
      <c r="V419" s="206"/>
      <c r="W419" s="33"/>
      <c r="X419" s="93">
        <f>SUM('3:4'!X419)</f>
        <v>0</v>
      </c>
      <c r="Y419" s="93">
        <f>SUM('3:4'!Y419)</f>
        <v>0</v>
      </c>
      <c r="Z419" s="93">
        <f>SUM('3:4'!Z419)</f>
        <v>0</v>
      </c>
      <c r="AA419" s="93">
        <f>SUM('3:4'!AA419)</f>
        <v>0</v>
      </c>
      <c r="AB419" s="358">
        <v>0.43</v>
      </c>
      <c r="AC419" s="269">
        <f t="shared" si="170"/>
        <v>0</v>
      </c>
      <c r="AD419" s="251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18">
        <v>30300002</v>
      </c>
      <c r="B420" s="197" t="s">
        <v>407</v>
      </c>
      <c r="C420" s="187" t="s">
        <v>408</v>
      </c>
      <c r="D420" s="17"/>
      <c r="E420" s="17"/>
      <c r="F420" s="6"/>
      <c r="G420" s="93">
        <f>SUM('3:4'!G420)</f>
        <v>0</v>
      </c>
      <c r="H420" s="246">
        <f t="shared" si="147"/>
        <v>0</v>
      </c>
      <c r="I420" s="93">
        <f>SUM('3:4'!I420)</f>
        <v>0</v>
      </c>
      <c r="J420" s="31"/>
      <c r="K420" s="35">
        <f t="array" ref="K420">IF(ISERROR(G420/L420),"",G420/L420)</f>
        <v>0</v>
      </c>
      <c r="L420" s="87">
        <v>4</v>
      </c>
      <c r="M420" s="36">
        <f t="shared" si="166"/>
        <v>0</v>
      </c>
      <c r="N420" s="31"/>
      <c r="O420" s="93"/>
      <c r="P420" s="93"/>
      <c r="Q420" s="93"/>
      <c r="R420" s="93"/>
      <c r="S420" s="93"/>
      <c r="T420" s="93"/>
      <c r="U420" s="93"/>
      <c r="V420" s="206"/>
      <c r="W420" s="33"/>
      <c r="X420" s="93"/>
      <c r="Y420" s="93"/>
      <c r="Z420" s="93"/>
      <c r="AA420" s="93"/>
      <c r="AB420" s="361">
        <v>0.69</v>
      </c>
      <c r="AC420" s="269">
        <f t="shared" si="170"/>
        <v>0</v>
      </c>
      <c r="AD420" s="251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18">
        <v>30300001</v>
      </c>
      <c r="B421" s="197" t="s">
        <v>407</v>
      </c>
      <c r="C421" s="187" t="s">
        <v>409</v>
      </c>
      <c r="D421" s="17"/>
      <c r="E421" s="17"/>
      <c r="F421" s="6"/>
      <c r="G421" s="93">
        <f>SUM('3:4'!G421)</f>
        <v>0</v>
      </c>
      <c r="H421" s="246">
        <f t="shared" si="147"/>
        <v>0</v>
      </c>
      <c r="I421" s="93">
        <f>SUM('3:4'!I421)</f>
        <v>0</v>
      </c>
      <c r="J421" s="31"/>
      <c r="K421" s="35">
        <f t="array" ref="K421">IF(ISERROR(G421/L421),"",G421/L421)</f>
        <v>0</v>
      </c>
      <c r="L421" s="87">
        <v>4</v>
      </c>
      <c r="M421" s="36">
        <f t="shared" si="166"/>
        <v>0</v>
      </c>
      <c r="N421" s="31"/>
      <c r="O421" s="93"/>
      <c r="P421" s="93"/>
      <c r="Q421" s="93"/>
      <c r="R421" s="93"/>
      <c r="S421" s="93"/>
      <c r="T421" s="93"/>
      <c r="U421" s="93"/>
      <c r="V421" s="206"/>
      <c r="W421" s="33"/>
      <c r="X421" s="93"/>
      <c r="Y421" s="93"/>
      <c r="Z421" s="93"/>
      <c r="AA421" s="93"/>
      <c r="AB421" s="361">
        <v>0.69</v>
      </c>
      <c r="AC421" s="269">
        <f t="shared" si="170"/>
        <v>0</v>
      </c>
      <c r="AD421" s="251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318">
        <v>30300003</v>
      </c>
      <c r="B422" s="197" t="s">
        <v>407</v>
      </c>
      <c r="C422" s="187" t="s">
        <v>410</v>
      </c>
      <c r="D422" s="17"/>
      <c r="E422" s="17"/>
      <c r="F422" s="6"/>
      <c r="G422" s="93">
        <f>SUM('3:4'!G422)</f>
        <v>0</v>
      </c>
      <c r="H422" s="246">
        <f t="shared" si="147"/>
        <v>0</v>
      </c>
      <c r="I422" s="93">
        <f>SUM('3:4'!I422)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166"/>
        <v>0</v>
      </c>
      <c r="N422" s="31"/>
      <c r="O422" s="93"/>
      <c r="P422" s="93"/>
      <c r="Q422" s="93"/>
      <c r="R422" s="93"/>
      <c r="S422" s="93"/>
      <c r="T422" s="93"/>
      <c r="U422" s="93"/>
      <c r="V422" s="206"/>
      <c r="W422" s="33"/>
      <c r="X422" s="93"/>
      <c r="Y422" s="93"/>
      <c r="Z422" s="93"/>
      <c r="AA422" s="93"/>
      <c r="AB422" s="361">
        <v>0.69</v>
      </c>
      <c r="AC422" s="269">
        <f t="shared" si="170"/>
        <v>0</v>
      </c>
      <c r="AD422" s="251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318">
        <v>30300005</v>
      </c>
      <c r="B423" s="63" t="s">
        <v>362</v>
      </c>
      <c r="C423" s="16" t="s">
        <v>337</v>
      </c>
      <c r="D423" s="17"/>
      <c r="E423" s="17"/>
      <c r="F423" s="6"/>
      <c r="G423" s="93">
        <f>SUM('3:4'!G423)</f>
        <v>0</v>
      </c>
      <c r="H423" s="246">
        <f t="shared" si="147"/>
        <v>0</v>
      </c>
      <c r="I423" s="93">
        <f>SUM('3:4'!I423)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166"/>
        <v>0</v>
      </c>
      <c r="N423" s="31"/>
      <c r="O423" s="93">
        <f>SUM('3:4'!O423)</f>
        <v>0</v>
      </c>
      <c r="P423" s="93">
        <f>SUM('3:4'!P423)</f>
        <v>0</v>
      </c>
      <c r="Q423" s="93">
        <f>SUM('3:4'!Q423)</f>
        <v>0</v>
      </c>
      <c r="R423" s="93">
        <f>SUM('3:4'!R423)</f>
        <v>0</v>
      </c>
      <c r="S423" s="93">
        <f>SUM('3:4'!S423)</f>
        <v>0</v>
      </c>
      <c r="T423" s="93">
        <f>SUM('3:4'!T423)</f>
        <v>0</v>
      </c>
      <c r="U423" s="93">
        <f>SUM('3:4'!U423)</f>
        <v>0</v>
      </c>
      <c r="V423" s="206"/>
      <c r="W423" s="33"/>
      <c r="X423" s="93">
        <f>SUM('3:4'!X423)</f>
        <v>0</v>
      </c>
      <c r="Y423" s="93">
        <f>SUM('3:4'!Y423)</f>
        <v>0</v>
      </c>
      <c r="Z423" s="93">
        <f>SUM('3:4'!Z423)</f>
        <v>0</v>
      </c>
      <c r="AA423" s="93">
        <f>SUM('3:4'!AA423)</f>
        <v>0</v>
      </c>
      <c r="AB423" s="358">
        <v>0.95</v>
      </c>
      <c r="AC423" s="269">
        <f t="shared" si="170"/>
        <v>0</v>
      </c>
      <c r="AD423" s="251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318">
        <v>30300004</v>
      </c>
      <c r="B424" s="63" t="s">
        <v>362</v>
      </c>
      <c r="C424" s="16" t="s">
        <v>339</v>
      </c>
      <c r="D424" s="17"/>
      <c r="E424" s="17"/>
      <c r="F424" s="6"/>
      <c r="G424" s="93">
        <f>SUM('3:4'!G424)</f>
        <v>0</v>
      </c>
      <c r="H424" s="246">
        <f t="shared" si="147"/>
        <v>0</v>
      </c>
      <c r="I424" s="93">
        <f>SUM('3:4'!I424)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166"/>
        <v>0</v>
      </c>
      <c r="N424" s="31"/>
      <c r="O424" s="93">
        <f>SUM('3:4'!O424)</f>
        <v>0</v>
      </c>
      <c r="P424" s="93">
        <f>SUM('3:4'!P424)</f>
        <v>0</v>
      </c>
      <c r="Q424" s="93">
        <f>SUM('3:4'!Q424)</f>
        <v>0</v>
      </c>
      <c r="R424" s="93">
        <f>SUM('3:4'!R424)</f>
        <v>0</v>
      </c>
      <c r="S424" s="93">
        <f>SUM('3:4'!S424)</f>
        <v>0</v>
      </c>
      <c r="T424" s="93">
        <f>SUM('3:4'!T424)</f>
        <v>0</v>
      </c>
      <c r="U424" s="93">
        <f>SUM('3:4'!U424)</f>
        <v>0</v>
      </c>
      <c r="V424" s="206"/>
      <c r="W424" s="33"/>
      <c r="X424" s="93">
        <f>SUM('3:4'!X424)</f>
        <v>0</v>
      </c>
      <c r="Y424" s="93">
        <f>SUM('3:4'!Y424)</f>
        <v>0</v>
      </c>
      <c r="Z424" s="93">
        <f>SUM('3:4'!Z424)</f>
        <v>0</v>
      </c>
      <c r="AA424" s="93">
        <f>SUM('3:4'!AA424)</f>
        <v>0</v>
      </c>
      <c r="AB424" s="358">
        <v>0.95</v>
      </c>
      <c r="AC424" s="269">
        <f t="shared" si="170"/>
        <v>0</v>
      </c>
      <c r="AD424" s="251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318">
        <v>30300006</v>
      </c>
      <c r="B425" s="63" t="s">
        <v>362</v>
      </c>
      <c r="C425" s="16" t="s">
        <v>341</v>
      </c>
      <c r="D425" s="17"/>
      <c r="E425" s="17"/>
      <c r="F425" s="6"/>
      <c r="G425" s="93">
        <f>SUM('3:4'!G425)</f>
        <v>0</v>
      </c>
      <c r="H425" s="246">
        <f t="shared" si="147"/>
        <v>0</v>
      </c>
      <c r="I425" s="93">
        <f>SUM('3:4'!I425)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166"/>
        <v>0</v>
      </c>
      <c r="N425" s="31"/>
      <c r="O425" s="93">
        <f>SUM('3:4'!O425)</f>
        <v>0</v>
      </c>
      <c r="P425" s="93">
        <f>SUM('3:4'!P425)</f>
        <v>0</v>
      </c>
      <c r="Q425" s="93">
        <f>SUM('3:4'!Q425)</f>
        <v>0</v>
      </c>
      <c r="R425" s="93">
        <f>SUM('3:4'!R425)</f>
        <v>0</v>
      </c>
      <c r="S425" s="93">
        <f>SUM('3:4'!S425)</f>
        <v>0</v>
      </c>
      <c r="T425" s="93">
        <f>SUM('3:4'!T425)</f>
        <v>0</v>
      </c>
      <c r="U425" s="93">
        <f>SUM('3:4'!U425)</f>
        <v>0</v>
      </c>
      <c r="V425" s="206"/>
      <c r="W425" s="33"/>
      <c r="X425" s="93">
        <f>SUM('3:4'!X425)</f>
        <v>0</v>
      </c>
      <c r="Y425" s="93">
        <f>SUM('3:4'!Y425)</f>
        <v>0</v>
      </c>
      <c r="Z425" s="93">
        <f>SUM('3:4'!Z425)</f>
        <v>0</v>
      </c>
      <c r="AA425" s="93">
        <f>SUM('3:4'!AA425)</f>
        <v>0</v>
      </c>
      <c r="AB425" s="358">
        <v>0.95</v>
      </c>
      <c r="AC425" s="269">
        <f t="shared" si="170"/>
        <v>0</v>
      </c>
      <c r="AD425" s="251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.75">
      <c r="A426" s="724" t="s">
        <v>86</v>
      </c>
      <c r="B426" s="724"/>
      <c r="C426" s="243" t="s">
        <v>71</v>
      </c>
      <c r="D426" s="20"/>
      <c r="E426" s="20"/>
      <c r="F426" s="32"/>
      <c r="G426" s="94">
        <f>SUM(G369:G425)</f>
        <v>0</v>
      </c>
      <c r="H426" s="30">
        <f>SUM(H369:H425)</f>
        <v>0</v>
      </c>
      <c r="I426" s="30">
        <f>SUM(I369:I425)</f>
        <v>0</v>
      </c>
      <c r="J426" s="31" t="str">
        <f t="array" ref="J426">IF(ISERROR(G426/I426),"",G426/I426)</f>
        <v/>
      </c>
      <c r="K426" s="30">
        <f>SUM(K369:K425)</f>
        <v>0</v>
      </c>
      <c r="L426" s="87"/>
      <c r="M426" s="89">
        <f t="shared" ref="M426:V426" si="171">SUM(M369:M425)</f>
        <v>0</v>
      </c>
      <c r="N426" s="30">
        <f t="shared" si="171"/>
        <v>0</v>
      </c>
      <c r="O426" s="91">
        <f t="shared" si="171"/>
        <v>0</v>
      </c>
      <c r="P426" s="91">
        <f t="shared" si="171"/>
        <v>0</v>
      </c>
      <c r="Q426" s="91">
        <f t="shared" si="171"/>
        <v>0</v>
      </c>
      <c r="R426" s="91">
        <f t="shared" si="171"/>
        <v>0</v>
      </c>
      <c r="S426" s="92">
        <f t="shared" si="171"/>
        <v>0</v>
      </c>
      <c r="T426" s="91">
        <f t="shared" si="171"/>
        <v>0</v>
      </c>
      <c r="U426" s="91">
        <f t="shared" si="171"/>
        <v>0</v>
      </c>
      <c r="V426" s="206">
        <f t="shared" si="171"/>
        <v>0</v>
      </c>
      <c r="W426" s="33" t="str">
        <f t="shared" ref="W426:W433" si="172">IF(ISERROR(V426/G426),"",V426/G426)</f>
        <v/>
      </c>
      <c r="X426" s="92">
        <f>SUM(X369:X425)</f>
        <v>0</v>
      </c>
      <c r="Y426" s="92">
        <f>SUM(Y369:Y425)</f>
        <v>0</v>
      </c>
      <c r="Z426" s="92">
        <f>SUM(Z369:Z425)</f>
        <v>0</v>
      </c>
      <c r="AA426" s="92">
        <f>SUM(AA369:AA425)</f>
        <v>0</v>
      </c>
      <c r="AB426" s="75"/>
      <c r="AC426" s="273"/>
      <c r="AD426" s="251"/>
      <c r="AE426" s="74"/>
      <c r="AF426" s="74"/>
      <c r="AG426" s="74"/>
      <c r="AH426" s="7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7.25">
      <c r="A427" s="320">
        <v>30400012</v>
      </c>
      <c r="B427" s="61" t="s">
        <v>87</v>
      </c>
      <c r="C427" s="16" t="s">
        <v>53</v>
      </c>
      <c r="D427" s="17">
        <v>5.03</v>
      </c>
      <c r="E427" s="17"/>
      <c r="F427" s="6"/>
      <c r="G427" s="93">
        <f>SUM('3:4'!G427)</f>
        <v>0</v>
      </c>
      <c r="H427" s="246">
        <f>D427*G427</f>
        <v>0</v>
      </c>
      <c r="I427" s="93">
        <f>SUM('3:4'!I427)</f>
        <v>0</v>
      </c>
      <c r="J427" s="31" t="str">
        <f t="array" ref="J427">IF(ISERROR(G427/I427),"",G427/I427)</f>
        <v/>
      </c>
      <c r="K427" s="35">
        <f t="array" ref="K427">IF(ISERROR(G427/L427),"",G427/L427)</f>
        <v>0</v>
      </c>
      <c r="L427" s="87">
        <v>8.8000000000000007</v>
      </c>
      <c r="M427" s="36">
        <f t="shared" ref="M427:M434" si="173">IF(ISERROR(I427-K427),"",I427-K427)</f>
        <v>0</v>
      </c>
      <c r="N427" s="31">
        <f t="shared" ref="N427:N434" si="174">SUM(O427:U427)</f>
        <v>0</v>
      </c>
      <c r="O427" s="93">
        <f>SUM('3:4'!O427)</f>
        <v>0</v>
      </c>
      <c r="P427" s="93">
        <f>SUM('3:4'!P427)</f>
        <v>0</v>
      </c>
      <c r="Q427" s="93">
        <f>SUM('3:4'!Q427)</f>
        <v>0</v>
      </c>
      <c r="R427" s="93">
        <f>SUM('3:4'!R427)</f>
        <v>0</v>
      </c>
      <c r="S427" s="93">
        <f>SUM('3:4'!S427)</f>
        <v>0</v>
      </c>
      <c r="T427" s="93">
        <f>SUM('3:4'!T427)</f>
        <v>0</v>
      </c>
      <c r="U427" s="93">
        <f>SUM('3:4'!U427)</f>
        <v>0</v>
      </c>
      <c r="V427" s="206">
        <f t="shared" ref="V427:V433" si="175">SUM(X427:AA427)</f>
        <v>0</v>
      </c>
      <c r="W427" s="33" t="str">
        <f t="shared" si="172"/>
        <v/>
      </c>
      <c r="X427" s="93">
        <f>SUM('3:4'!X427)</f>
        <v>0</v>
      </c>
      <c r="Y427" s="93">
        <f>SUM('3:4'!Y427)</f>
        <v>0</v>
      </c>
      <c r="Z427" s="93">
        <f>SUM('3:4'!Z427)</f>
        <v>0</v>
      </c>
      <c r="AA427" s="93">
        <f>SUM('3:4'!AA427)</f>
        <v>0</v>
      </c>
      <c r="AB427" s="358">
        <v>1.18</v>
      </c>
      <c r="AC427" s="269">
        <f t="shared" si="170"/>
        <v>0</v>
      </c>
      <c r="AD427" s="251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 ht="17.25">
      <c r="A428" s="320">
        <v>30400010</v>
      </c>
      <c r="B428" s="61" t="s">
        <v>87</v>
      </c>
      <c r="C428" s="16" t="s">
        <v>60</v>
      </c>
      <c r="D428" s="17">
        <v>5.03</v>
      </c>
      <c r="E428" s="17"/>
      <c r="F428" s="6"/>
      <c r="G428" s="93">
        <f>SUM('3:4'!G428)</f>
        <v>0</v>
      </c>
      <c r="H428" s="246">
        <f t="shared" ref="H428:H460" si="176">D428*G428</f>
        <v>0</v>
      </c>
      <c r="I428" s="93">
        <f>SUM('3:4'!I428)</f>
        <v>0</v>
      </c>
      <c r="J428" s="31" t="str">
        <f t="array" ref="J428">IF(ISERROR(G428/I428),"",G428/I428)</f>
        <v/>
      </c>
      <c r="K428" s="35">
        <f t="array" ref="K428">IF(ISERROR(G428/L428),"",G428/L428)</f>
        <v>0</v>
      </c>
      <c r="L428" s="87">
        <v>8.8000000000000007</v>
      </c>
      <c r="M428" s="36">
        <f t="shared" si="173"/>
        <v>0</v>
      </c>
      <c r="N428" s="31">
        <f t="shared" si="174"/>
        <v>0</v>
      </c>
      <c r="O428" s="93">
        <f>SUM('3:4'!O428)</f>
        <v>0</v>
      </c>
      <c r="P428" s="93">
        <f>SUM('3:4'!P428)</f>
        <v>0</v>
      </c>
      <c r="Q428" s="93">
        <f>SUM('3:4'!Q428)</f>
        <v>0</v>
      </c>
      <c r="R428" s="93">
        <f>SUM('3:4'!R428)</f>
        <v>0</v>
      </c>
      <c r="S428" s="93">
        <f>SUM('3:4'!S428)</f>
        <v>0</v>
      </c>
      <c r="T428" s="93">
        <f>SUM('3:4'!T428)</f>
        <v>0</v>
      </c>
      <c r="U428" s="93">
        <f>SUM('3:4'!U428)</f>
        <v>0</v>
      </c>
      <c r="V428" s="206">
        <f t="shared" si="175"/>
        <v>0</v>
      </c>
      <c r="W428" s="33" t="str">
        <f t="shared" si="172"/>
        <v/>
      </c>
      <c r="X428" s="93">
        <f>SUM('3:4'!X428)</f>
        <v>0</v>
      </c>
      <c r="Y428" s="93">
        <f>SUM('3:4'!Y428)</f>
        <v>0</v>
      </c>
      <c r="Z428" s="93">
        <f>SUM('3:4'!Z428)</f>
        <v>0</v>
      </c>
      <c r="AA428" s="93">
        <f>SUM('3:4'!AA428)</f>
        <v>0</v>
      </c>
      <c r="AB428" s="358">
        <v>1.18</v>
      </c>
      <c r="AC428" s="269">
        <f t="shared" si="170"/>
        <v>0</v>
      </c>
      <c r="AD428" s="251"/>
      <c r="AE428" s="54"/>
      <c r="AF428" s="54"/>
      <c r="AG428" s="54"/>
      <c r="AH428" s="5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 ht="17.25">
      <c r="A429" s="320">
        <v>30400011</v>
      </c>
      <c r="B429" s="61" t="s">
        <v>87</v>
      </c>
      <c r="C429" s="16" t="s">
        <v>74</v>
      </c>
      <c r="D429" s="17">
        <v>5.03</v>
      </c>
      <c r="E429" s="17"/>
      <c r="F429" s="6"/>
      <c r="G429" s="93">
        <f>SUM('3:4'!G429)</f>
        <v>0</v>
      </c>
      <c r="H429" s="246">
        <f t="shared" si="176"/>
        <v>0</v>
      </c>
      <c r="I429" s="93">
        <f>SUM('3:4'!I429)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8.8000000000000007</v>
      </c>
      <c r="M429" s="36">
        <f t="shared" si="173"/>
        <v>0</v>
      </c>
      <c r="N429" s="31">
        <f t="shared" si="174"/>
        <v>0</v>
      </c>
      <c r="O429" s="93">
        <f>SUM('3:4'!O429)</f>
        <v>0</v>
      </c>
      <c r="P429" s="93">
        <f>SUM('3:4'!P429)</f>
        <v>0</v>
      </c>
      <c r="Q429" s="93">
        <f>SUM('3:4'!Q429)</f>
        <v>0</v>
      </c>
      <c r="R429" s="93">
        <f>SUM('3:4'!R429)</f>
        <v>0</v>
      </c>
      <c r="S429" s="93">
        <f>SUM('3:4'!S429)</f>
        <v>0</v>
      </c>
      <c r="T429" s="93">
        <f>SUM('3:4'!T429)</f>
        <v>0</v>
      </c>
      <c r="U429" s="93">
        <f>SUM('3:4'!U429)</f>
        <v>0</v>
      </c>
      <c r="V429" s="206">
        <f t="shared" si="175"/>
        <v>0</v>
      </c>
      <c r="W429" s="33" t="str">
        <f t="shared" si="172"/>
        <v/>
      </c>
      <c r="X429" s="93">
        <f>SUM('3:4'!X429)</f>
        <v>0</v>
      </c>
      <c r="Y429" s="93">
        <f>SUM('3:4'!Y429)</f>
        <v>0</v>
      </c>
      <c r="Z429" s="93">
        <f>SUM('3:4'!Z429)</f>
        <v>0</v>
      </c>
      <c r="AA429" s="93">
        <f>SUM('3:4'!AA429)</f>
        <v>0</v>
      </c>
      <c r="AB429" s="358">
        <v>1.18</v>
      </c>
      <c r="AC429" s="269">
        <f t="shared" si="170"/>
        <v>0</v>
      </c>
      <c r="AD429" s="251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 ht="17.25">
      <c r="A430" s="320">
        <v>30400014</v>
      </c>
      <c r="B430" s="215" t="s">
        <v>513</v>
      </c>
      <c r="C430" s="16" t="s">
        <v>53</v>
      </c>
      <c r="D430" s="17">
        <v>5.03</v>
      </c>
      <c r="E430" s="17"/>
      <c r="F430" s="6"/>
      <c r="G430" s="93">
        <f>SUM('3:4'!G430)</f>
        <v>0</v>
      </c>
      <c r="H430" s="246">
        <f t="shared" si="176"/>
        <v>0</v>
      </c>
      <c r="I430" s="93">
        <f>SUM('3:4'!I430)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9.3000000000000007</v>
      </c>
      <c r="M430" s="36">
        <f t="shared" si="173"/>
        <v>0</v>
      </c>
      <c r="N430" s="31">
        <f t="shared" si="174"/>
        <v>0</v>
      </c>
      <c r="O430" s="93">
        <f>SUM('3:4'!O430)</f>
        <v>0</v>
      </c>
      <c r="P430" s="93">
        <f>SUM('3:4'!P430)</f>
        <v>0</v>
      </c>
      <c r="Q430" s="93">
        <f>SUM('3:4'!Q430)</f>
        <v>0</v>
      </c>
      <c r="R430" s="93">
        <f>SUM('3:4'!R430)</f>
        <v>0</v>
      </c>
      <c r="S430" s="93">
        <f>SUM('3:4'!S430)</f>
        <v>0</v>
      </c>
      <c r="T430" s="93">
        <f>SUM('3:4'!T430)</f>
        <v>0</v>
      </c>
      <c r="U430" s="93">
        <f>SUM('3:4'!U430)</f>
        <v>0</v>
      </c>
      <c r="V430" s="206">
        <f t="shared" si="175"/>
        <v>0</v>
      </c>
      <c r="W430" s="33" t="str">
        <f t="shared" si="172"/>
        <v/>
      </c>
      <c r="X430" s="93">
        <f>SUM('3:4'!X430)</f>
        <v>0</v>
      </c>
      <c r="Y430" s="93">
        <f>SUM('3:4'!Y430)</f>
        <v>0</v>
      </c>
      <c r="Z430" s="93">
        <f>SUM('3:4'!Z430)</f>
        <v>0</v>
      </c>
      <c r="AA430" s="93">
        <f>SUM('3:4'!AA430)</f>
        <v>0</v>
      </c>
      <c r="AB430" s="358">
        <v>1.1100000000000001</v>
      </c>
      <c r="AC430" s="269">
        <f t="shared" si="170"/>
        <v>0</v>
      </c>
      <c r="AD430" s="251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 ht="17.25">
      <c r="A431" s="320">
        <v>30400013</v>
      </c>
      <c r="B431" s="215" t="s">
        <v>473</v>
      </c>
      <c r="C431" s="16" t="s">
        <v>72</v>
      </c>
      <c r="D431" s="17">
        <v>5.03</v>
      </c>
      <c r="E431" s="17"/>
      <c r="F431" s="6"/>
      <c r="G431" s="93">
        <f>SUM('3:4'!G431)</f>
        <v>0</v>
      </c>
      <c r="H431" s="246">
        <f t="shared" si="176"/>
        <v>0</v>
      </c>
      <c r="I431" s="93">
        <f>SUM('3:4'!I431)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9.3000000000000007</v>
      </c>
      <c r="M431" s="36">
        <f t="shared" si="173"/>
        <v>0</v>
      </c>
      <c r="N431" s="31">
        <f t="shared" si="174"/>
        <v>0</v>
      </c>
      <c r="O431" s="93">
        <f>SUM('3:4'!O431)</f>
        <v>0</v>
      </c>
      <c r="P431" s="93">
        <f>SUM('3:4'!P431)</f>
        <v>0</v>
      </c>
      <c r="Q431" s="93">
        <f>SUM('3:4'!Q431)</f>
        <v>0</v>
      </c>
      <c r="R431" s="93">
        <f>SUM('3:4'!R431)</f>
        <v>0</v>
      </c>
      <c r="S431" s="93">
        <f>SUM('3:4'!S431)</f>
        <v>0</v>
      </c>
      <c r="T431" s="93">
        <f>SUM('3:4'!T431)</f>
        <v>0</v>
      </c>
      <c r="U431" s="93">
        <f>SUM('3:4'!U431)</f>
        <v>0</v>
      </c>
      <c r="V431" s="206">
        <f t="shared" si="175"/>
        <v>0</v>
      </c>
      <c r="W431" s="33" t="str">
        <f t="shared" si="172"/>
        <v/>
      </c>
      <c r="X431" s="93">
        <f>SUM('3:4'!X431)</f>
        <v>0</v>
      </c>
      <c r="Y431" s="93">
        <f>SUM('3:4'!Y431)</f>
        <v>0</v>
      </c>
      <c r="Z431" s="93">
        <f>SUM('3:4'!Z431)</f>
        <v>0</v>
      </c>
      <c r="AA431" s="93">
        <f>SUM('3:4'!AA431)</f>
        <v>0</v>
      </c>
      <c r="AB431" s="358">
        <v>1.1100000000000001</v>
      </c>
      <c r="AC431" s="269">
        <f t="shared" si="170"/>
        <v>0</v>
      </c>
      <c r="AD431" s="251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 ht="17.25">
      <c r="A432" s="320">
        <v>30400016</v>
      </c>
      <c r="B432" s="215" t="s">
        <v>513</v>
      </c>
      <c r="C432" s="16" t="s">
        <v>60</v>
      </c>
      <c r="D432" s="17">
        <v>5.03</v>
      </c>
      <c r="E432" s="17"/>
      <c r="F432" s="6"/>
      <c r="G432" s="93">
        <f>SUM('3:4'!G432)</f>
        <v>0</v>
      </c>
      <c r="H432" s="246">
        <f t="shared" si="176"/>
        <v>0</v>
      </c>
      <c r="I432" s="93">
        <f>SUM('3:4'!I432)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173"/>
        <v>0</v>
      </c>
      <c r="N432" s="31">
        <f t="shared" si="174"/>
        <v>0</v>
      </c>
      <c r="O432" s="93">
        <f>SUM('3:4'!O432)</f>
        <v>0</v>
      </c>
      <c r="P432" s="93">
        <f>SUM('3:4'!P432)</f>
        <v>0</v>
      </c>
      <c r="Q432" s="93">
        <f>SUM('3:4'!Q432)</f>
        <v>0</v>
      </c>
      <c r="R432" s="93">
        <f>SUM('3:4'!R432)</f>
        <v>0</v>
      </c>
      <c r="S432" s="93">
        <f>SUM('3:4'!S432)</f>
        <v>0</v>
      </c>
      <c r="T432" s="93">
        <f>SUM('3:4'!T432)</f>
        <v>0</v>
      </c>
      <c r="U432" s="93">
        <f>SUM('3:4'!U432)</f>
        <v>0</v>
      </c>
      <c r="V432" s="206">
        <f t="shared" si="175"/>
        <v>0</v>
      </c>
      <c r="W432" s="33" t="str">
        <f t="shared" si="172"/>
        <v/>
      </c>
      <c r="X432" s="93">
        <f>SUM('3:4'!X432)</f>
        <v>0</v>
      </c>
      <c r="Y432" s="93">
        <f>SUM('3:4'!Y432)</f>
        <v>0</v>
      </c>
      <c r="Z432" s="93">
        <f>SUM('3:4'!Z432)</f>
        <v>0</v>
      </c>
      <c r="AA432" s="93">
        <f>SUM('3:4'!AA432)</f>
        <v>0</v>
      </c>
      <c r="AB432" s="358">
        <v>1.1100000000000001</v>
      </c>
      <c r="AC432" s="269">
        <f t="shared" si="170"/>
        <v>0</v>
      </c>
      <c r="AD432" s="251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 ht="17.25">
      <c r="A433" s="320">
        <v>30400017</v>
      </c>
      <c r="B433" s="215" t="s">
        <v>513</v>
      </c>
      <c r="C433" s="16" t="s">
        <v>66</v>
      </c>
      <c r="D433" s="17">
        <v>5.03</v>
      </c>
      <c r="E433" s="17"/>
      <c r="F433" s="6"/>
      <c r="G433" s="93">
        <f>SUM('3:4'!G433)</f>
        <v>0</v>
      </c>
      <c r="H433" s="246">
        <f t="shared" si="176"/>
        <v>0</v>
      </c>
      <c r="I433" s="93">
        <f>SUM('3:4'!I433)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173"/>
        <v>0</v>
      </c>
      <c r="N433" s="31">
        <f t="shared" si="174"/>
        <v>0</v>
      </c>
      <c r="O433" s="93">
        <f>SUM('3:4'!O433)</f>
        <v>0</v>
      </c>
      <c r="P433" s="93">
        <f>SUM('3:4'!P433)</f>
        <v>0</v>
      </c>
      <c r="Q433" s="93">
        <f>SUM('3:4'!Q433)</f>
        <v>0</v>
      </c>
      <c r="R433" s="93">
        <f>SUM('3:4'!R433)</f>
        <v>0</v>
      </c>
      <c r="S433" s="93">
        <f>SUM('3:4'!S433)</f>
        <v>0</v>
      </c>
      <c r="T433" s="93">
        <f>SUM('3:4'!T433)</f>
        <v>0</v>
      </c>
      <c r="U433" s="93">
        <f>SUM('3:4'!U433)</f>
        <v>0</v>
      </c>
      <c r="V433" s="206">
        <f t="shared" si="175"/>
        <v>0</v>
      </c>
      <c r="W433" s="33" t="str">
        <f t="shared" si="172"/>
        <v/>
      </c>
      <c r="X433" s="93">
        <f>SUM('3:4'!X433)</f>
        <v>0</v>
      </c>
      <c r="Y433" s="93">
        <f>SUM('3:4'!Y433)</f>
        <v>0</v>
      </c>
      <c r="Z433" s="93">
        <f>SUM('3:4'!Z433)</f>
        <v>0</v>
      </c>
      <c r="AA433" s="93">
        <f>SUM('3:4'!AA433)</f>
        <v>0</v>
      </c>
      <c r="AB433" s="358">
        <v>1.1100000000000001</v>
      </c>
      <c r="AC433" s="269">
        <f t="shared" si="170"/>
        <v>0</v>
      </c>
      <c r="AD433" s="251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 ht="17.25">
      <c r="A434" s="320">
        <v>30400015</v>
      </c>
      <c r="B434" s="65" t="s">
        <v>512</v>
      </c>
      <c r="C434" s="16" t="s">
        <v>177</v>
      </c>
      <c r="D434" s="17">
        <v>5.03</v>
      </c>
      <c r="E434" s="17"/>
      <c r="F434" s="6"/>
      <c r="G434" s="93">
        <f>SUM('3:4'!G434)</f>
        <v>0</v>
      </c>
      <c r="H434" s="246">
        <f t="shared" si="176"/>
        <v>0</v>
      </c>
      <c r="I434" s="93">
        <f>SUM('3:4'!I434)</f>
        <v>0</v>
      </c>
      <c r="J434" s="31"/>
      <c r="K434" s="35">
        <f t="array" ref="K434">IF(ISERROR(G434/L434),"",G434/L434)</f>
        <v>0</v>
      </c>
      <c r="L434" s="87">
        <v>9.3000000000000007</v>
      </c>
      <c r="M434" s="36">
        <f t="shared" si="173"/>
        <v>0</v>
      </c>
      <c r="N434" s="31">
        <f t="shared" si="174"/>
        <v>0</v>
      </c>
      <c r="O434" s="93">
        <f>SUM('3:4'!O434)</f>
        <v>0</v>
      </c>
      <c r="P434" s="93">
        <f>SUM('3:4'!P434)</f>
        <v>0</v>
      </c>
      <c r="Q434" s="93">
        <f>SUM('3:4'!Q434)</f>
        <v>0</v>
      </c>
      <c r="R434" s="93">
        <f>SUM('3:4'!R434)</f>
        <v>0</v>
      </c>
      <c r="S434" s="93">
        <f>SUM('3:4'!S434)</f>
        <v>0</v>
      </c>
      <c r="T434" s="93">
        <f>SUM('3:4'!T434)</f>
        <v>0</v>
      </c>
      <c r="U434" s="93">
        <f>SUM('3:4'!U434)</f>
        <v>0</v>
      </c>
      <c r="V434" s="207"/>
      <c r="W434" s="33"/>
      <c r="X434" s="93">
        <f>SUM('3:4'!X434)</f>
        <v>0</v>
      </c>
      <c r="Y434" s="93">
        <f>SUM('3:4'!Y434)</f>
        <v>0</v>
      </c>
      <c r="Z434" s="93">
        <f>SUM('3:4'!Z434)</f>
        <v>0</v>
      </c>
      <c r="AA434" s="93">
        <f>SUM('3:4'!AA434)</f>
        <v>0</v>
      </c>
      <c r="AB434" s="358">
        <v>0.84</v>
      </c>
      <c r="AC434" s="269">
        <f t="shared" si="170"/>
        <v>0</v>
      </c>
      <c r="AD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</row>
    <row r="435" spans="1:53" ht="17.25">
      <c r="A435" s="321">
        <v>30600004</v>
      </c>
      <c r="B435" s="65" t="s">
        <v>162</v>
      </c>
      <c r="C435" s="16" t="s">
        <v>53</v>
      </c>
      <c r="D435" s="17">
        <v>5.03</v>
      </c>
      <c r="E435" s="17"/>
      <c r="F435" s="6"/>
      <c r="G435" s="93">
        <f>SUM('3:4'!G435)</f>
        <v>0</v>
      </c>
      <c r="H435" s="246">
        <f t="shared" si="176"/>
        <v>0</v>
      </c>
      <c r="I435" s="93">
        <f>SUM('3:4'!I435)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8</v>
      </c>
      <c r="M435" s="36">
        <f>IF(ISERROR(I435-K435),"",I435-K435)</f>
        <v>0</v>
      </c>
      <c r="N435" s="31">
        <f>SUM(O435:U435)</f>
        <v>0</v>
      </c>
      <c r="O435" s="93">
        <f>SUM('3:4'!O435)</f>
        <v>0</v>
      </c>
      <c r="P435" s="93">
        <f>SUM('3:4'!P435)</f>
        <v>0</v>
      </c>
      <c r="Q435" s="93">
        <f>SUM('3:4'!Q435)</f>
        <v>0</v>
      </c>
      <c r="R435" s="93">
        <f>SUM('3:4'!R435)</f>
        <v>0</v>
      </c>
      <c r="S435" s="93">
        <f>SUM('3:4'!S435)</f>
        <v>0</v>
      </c>
      <c r="T435" s="93">
        <f>SUM('3:4'!T435)</f>
        <v>0</v>
      </c>
      <c r="U435" s="93">
        <f>SUM('3:4'!U435)</f>
        <v>0</v>
      </c>
      <c r="V435" s="207">
        <f>SUM(X435:AA435)</f>
        <v>0</v>
      </c>
      <c r="W435" s="33" t="str">
        <f>IF(ISERROR(V435/G435),"",V435/G435)</f>
        <v/>
      </c>
      <c r="X435" s="93">
        <f>SUM('3:4'!X435)</f>
        <v>0</v>
      </c>
      <c r="Y435" s="93">
        <f>SUM('3:4'!Y435)</f>
        <v>0</v>
      </c>
      <c r="Z435" s="93">
        <f>SUM('3:4'!Z435)</f>
        <v>0</v>
      </c>
      <c r="AA435" s="93">
        <f>SUM('3:4'!AA435)</f>
        <v>0</v>
      </c>
      <c r="AB435" s="358">
        <v>1.06</v>
      </c>
      <c r="AC435" s="269">
        <f t="shared" si="170"/>
        <v>0</v>
      </c>
      <c r="AD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</row>
    <row r="436" spans="1:53" ht="17.25">
      <c r="A436" s="321">
        <v>30600001</v>
      </c>
      <c r="B436" s="65" t="s">
        <v>162</v>
      </c>
      <c r="C436" s="16" t="s">
        <v>55</v>
      </c>
      <c r="D436" s="17">
        <v>5.03</v>
      </c>
      <c r="E436" s="17"/>
      <c r="F436" s="6"/>
      <c r="G436" s="93">
        <f>SUM('3:4'!G436)</f>
        <v>0</v>
      </c>
      <c r="H436" s="246">
        <f t="shared" si="176"/>
        <v>0</v>
      </c>
      <c r="I436" s="93">
        <f>SUM('3:4'!I436)</f>
        <v>0</v>
      </c>
      <c r="J436" s="31" t="str">
        <f t="array" ref="J436">IF(ISERROR(G436/I436),"",G436/I436)</f>
        <v/>
      </c>
      <c r="K436" s="35">
        <f t="array" ref="K436">IF(ISERROR(G436/L436),"",G436/L436)</f>
        <v>0</v>
      </c>
      <c r="L436" s="87">
        <v>8</v>
      </c>
      <c r="M436" s="36">
        <f>IF(ISERROR(I436-K436),"",I436-K436)</f>
        <v>0</v>
      </c>
      <c r="N436" s="31">
        <f>SUM(O436:U436)</f>
        <v>0</v>
      </c>
      <c r="O436" s="93">
        <f>SUM('3:4'!O436)</f>
        <v>0</v>
      </c>
      <c r="P436" s="93">
        <f>SUM('3:4'!P436)</f>
        <v>0</v>
      </c>
      <c r="Q436" s="93">
        <f>SUM('3:4'!Q436)</f>
        <v>0</v>
      </c>
      <c r="R436" s="93">
        <f>SUM('3:4'!R436)</f>
        <v>0</v>
      </c>
      <c r="S436" s="93">
        <f>SUM('3:4'!S436)</f>
        <v>0</v>
      </c>
      <c r="T436" s="93">
        <f>SUM('3:4'!T436)</f>
        <v>0</v>
      </c>
      <c r="U436" s="93">
        <f>SUM('3:4'!U436)</f>
        <v>0</v>
      </c>
      <c r="V436" s="207">
        <f>SUM(X436:AA436)</f>
        <v>0</v>
      </c>
      <c r="W436" s="33" t="str">
        <f>IF(ISERROR(V436/G436),"",V436/G436)</f>
        <v/>
      </c>
      <c r="X436" s="93">
        <f>SUM('3:4'!X436)</f>
        <v>0</v>
      </c>
      <c r="Y436" s="93">
        <f>SUM('3:4'!Y436)</f>
        <v>0</v>
      </c>
      <c r="Z436" s="93">
        <f>SUM('3:4'!Z436)</f>
        <v>0</v>
      </c>
      <c r="AA436" s="93">
        <f>SUM('3:4'!AA436)</f>
        <v>0</v>
      </c>
      <c r="AB436" s="358">
        <v>1.06</v>
      </c>
      <c r="AC436" s="269">
        <f t="shared" si="170"/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 ht="17.25">
      <c r="A437" s="321">
        <v>30600002</v>
      </c>
      <c r="B437" s="65" t="s">
        <v>162</v>
      </c>
      <c r="C437" s="16" t="s">
        <v>60</v>
      </c>
      <c r="D437" s="17">
        <v>5.03</v>
      </c>
      <c r="E437" s="17"/>
      <c r="F437" s="6"/>
      <c r="G437" s="93">
        <f>SUM('3:4'!G437)</f>
        <v>0</v>
      </c>
      <c r="H437" s="246">
        <f t="shared" si="176"/>
        <v>0</v>
      </c>
      <c r="I437" s="93">
        <f>SUM('3:4'!I437)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SUM('3:4'!O437)</f>
        <v>0</v>
      </c>
      <c r="P437" s="93">
        <f>SUM('3:4'!P437)</f>
        <v>0</v>
      </c>
      <c r="Q437" s="93">
        <f>SUM('3:4'!Q437)</f>
        <v>0</v>
      </c>
      <c r="R437" s="93">
        <f>SUM('3:4'!R437)</f>
        <v>0</v>
      </c>
      <c r="S437" s="93">
        <f>SUM('3:4'!S437)</f>
        <v>0</v>
      </c>
      <c r="T437" s="93">
        <f>SUM('3:4'!T437)</f>
        <v>0</v>
      </c>
      <c r="U437" s="93">
        <f>SUM('3:4'!U437)</f>
        <v>0</v>
      </c>
      <c r="V437" s="207">
        <f>SUM(X437:AA437)</f>
        <v>0</v>
      </c>
      <c r="W437" s="33" t="str">
        <f>IF(ISERROR(V437/G437),"",V437/G437)</f>
        <v/>
      </c>
      <c r="X437" s="93">
        <f>SUM('3:4'!X437)</f>
        <v>0</v>
      </c>
      <c r="Y437" s="93">
        <f>SUM('3:4'!Y437)</f>
        <v>0</v>
      </c>
      <c r="Z437" s="93">
        <f>SUM('3:4'!Z437)</f>
        <v>0</v>
      </c>
      <c r="AA437" s="93">
        <f>SUM('3:4'!AA437)</f>
        <v>0</v>
      </c>
      <c r="AB437" s="358">
        <v>1.06</v>
      </c>
      <c r="AC437" s="269">
        <f t="shared" si="170"/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 ht="17.25">
      <c r="A438" s="321">
        <v>30600003</v>
      </c>
      <c r="B438" s="65" t="s">
        <v>162</v>
      </c>
      <c r="C438" s="195" t="s">
        <v>89</v>
      </c>
      <c r="D438" s="17">
        <v>5.03</v>
      </c>
      <c r="E438" s="17"/>
      <c r="F438" s="6"/>
      <c r="G438" s="93">
        <f>SUM('3:4'!G438)</f>
        <v>0</v>
      </c>
      <c r="H438" s="246">
        <f t="shared" si="176"/>
        <v>0</v>
      </c>
      <c r="I438" s="93">
        <f>SUM('3:4'!I438)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SUM('3:4'!O438)</f>
        <v>0</v>
      </c>
      <c r="P438" s="93">
        <f>SUM('3:4'!P438)</f>
        <v>0</v>
      </c>
      <c r="Q438" s="93">
        <f>SUM('3:4'!Q438)</f>
        <v>0</v>
      </c>
      <c r="R438" s="93">
        <f>SUM('3:4'!R438)</f>
        <v>0</v>
      </c>
      <c r="S438" s="93">
        <f>SUM('3:4'!S438)</f>
        <v>0</v>
      </c>
      <c r="T438" s="93">
        <f>SUM('3:4'!T438)</f>
        <v>0</v>
      </c>
      <c r="U438" s="93">
        <f>SUM('3:4'!U438)</f>
        <v>0</v>
      </c>
      <c r="V438" s="207">
        <f>SUM(X438:AA438)</f>
        <v>0</v>
      </c>
      <c r="W438" s="33" t="str">
        <f>IF(ISERROR(V438/G438),"",V438/G438)</f>
        <v/>
      </c>
      <c r="X438" s="93">
        <f>SUM('3:4'!X438)</f>
        <v>0</v>
      </c>
      <c r="Y438" s="93">
        <f>SUM('3:4'!Y438)</f>
        <v>0</v>
      </c>
      <c r="Z438" s="93">
        <f>SUM('3:4'!Z438)</f>
        <v>0</v>
      </c>
      <c r="AA438" s="93">
        <f>SUM('3:4'!AA438)</f>
        <v>0</v>
      </c>
      <c r="AB438" s="358">
        <v>1.06</v>
      </c>
      <c r="AC438" s="269">
        <f t="shared" si="170"/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 ht="17.25">
      <c r="A439" s="321">
        <v>30400030</v>
      </c>
      <c r="B439" s="65" t="s">
        <v>88</v>
      </c>
      <c r="C439" s="16" t="s">
        <v>53</v>
      </c>
      <c r="D439" s="17">
        <v>5.03</v>
      </c>
      <c r="E439" s="17"/>
      <c r="F439" s="6"/>
      <c r="G439" s="93">
        <f>SUM('3:4'!G439)</f>
        <v>0</v>
      </c>
      <c r="H439" s="246">
        <f t="shared" si="176"/>
        <v>0</v>
      </c>
      <c r="I439" s="93">
        <f>SUM('3:4'!I439)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10</v>
      </c>
      <c r="M439" s="36">
        <f t="shared" ref="M439:M460" si="177">IF(ISERROR(I439-K439),"",I439-K439)</f>
        <v>0</v>
      </c>
      <c r="N439" s="31">
        <f t="shared" ref="N439:N454" si="178">SUM(O439:U439)</f>
        <v>0</v>
      </c>
      <c r="O439" s="93">
        <f>SUM('3:4'!O439)</f>
        <v>0</v>
      </c>
      <c r="P439" s="93">
        <f>SUM('3:4'!P439)</f>
        <v>0</v>
      </c>
      <c r="Q439" s="93">
        <f>SUM('3:4'!Q439)</f>
        <v>0</v>
      </c>
      <c r="R439" s="93">
        <f>SUM('3:4'!R439)</f>
        <v>0</v>
      </c>
      <c r="S439" s="93">
        <f>SUM('3:4'!S439)</f>
        <v>0</v>
      </c>
      <c r="T439" s="93">
        <f>SUM('3:4'!T439)</f>
        <v>0</v>
      </c>
      <c r="U439" s="93">
        <f>SUM('3:4'!U439)</f>
        <v>0</v>
      </c>
      <c r="V439" s="206">
        <f t="shared" ref="V439:V446" si="179">SUM(X439:AA439)</f>
        <v>0</v>
      </c>
      <c r="W439" s="33" t="str">
        <f t="shared" ref="W439:W446" si="180">IF(ISERROR(V439/G439),"",V439/G439)</f>
        <v/>
      </c>
      <c r="X439" s="93">
        <f>SUM('3:4'!X439)</f>
        <v>0</v>
      </c>
      <c r="Y439" s="93">
        <f>SUM('3:4'!Y439)</f>
        <v>0</v>
      </c>
      <c r="Z439" s="93">
        <f>SUM('3:4'!Z439)</f>
        <v>0</v>
      </c>
      <c r="AA439" s="93">
        <f>SUM('3:4'!AA439)</f>
        <v>0</v>
      </c>
      <c r="AB439" s="358">
        <v>1.04</v>
      </c>
      <c r="AC439" s="269">
        <f t="shared" si="170"/>
        <v>0</v>
      </c>
      <c r="AD439" s="251"/>
      <c r="AE439" s="54"/>
      <c r="AF439" s="54"/>
      <c r="AG439" s="54"/>
      <c r="AH439" s="54"/>
      <c r="AI439" s="57"/>
      <c r="AJ439" s="57"/>
      <c r="AK439" s="57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</row>
    <row r="440" spans="1:53" ht="17.25">
      <c r="A440" s="321"/>
      <c r="B440" s="65" t="s">
        <v>88</v>
      </c>
      <c r="C440" s="16" t="s">
        <v>72</v>
      </c>
      <c r="D440" s="17">
        <v>5.03</v>
      </c>
      <c r="E440" s="17"/>
      <c r="F440" s="6"/>
      <c r="G440" s="93">
        <f>SUM('3:4'!G440)</f>
        <v>0</v>
      </c>
      <c r="H440" s="246">
        <f t="shared" si="176"/>
        <v>0</v>
      </c>
      <c r="I440" s="93">
        <f>SUM('3:4'!I440)</f>
        <v>0</v>
      </c>
      <c r="J440" s="31" t="str">
        <f t="array" ref="J440">IF(ISERROR(G440/I440),"",G440/I440)</f>
        <v/>
      </c>
      <c r="K440" s="35" t="str">
        <f t="array" ref="K440">IF(ISERROR(G440/L440),"",G440/L440)</f>
        <v/>
      </c>
      <c r="L440" s="87"/>
      <c r="M440" s="36" t="str">
        <f t="shared" si="177"/>
        <v/>
      </c>
      <c r="N440" s="31">
        <f t="shared" si="178"/>
        <v>0</v>
      </c>
      <c r="O440" s="93">
        <f>SUM('3:4'!O440)</f>
        <v>0</v>
      </c>
      <c r="P440" s="93">
        <f>SUM('3:4'!P440)</f>
        <v>0</v>
      </c>
      <c r="Q440" s="93">
        <f>SUM('3:4'!Q440)</f>
        <v>0</v>
      </c>
      <c r="R440" s="93">
        <f>SUM('3:4'!R440)</f>
        <v>0</v>
      </c>
      <c r="S440" s="93">
        <f>SUM('3:4'!S440)</f>
        <v>0</v>
      </c>
      <c r="T440" s="93">
        <f>SUM('3:4'!T440)</f>
        <v>0</v>
      </c>
      <c r="U440" s="93">
        <f>SUM('3:4'!U440)</f>
        <v>0</v>
      </c>
      <c r="V440" s="206">
        <f t="shared" si="179"/>
        <v>0</v>
      </c>
      <c r="W440" s="33" t="str">
        <f t="shared" si="180"/>
        <v/>
      </c>
      <c r="X440" s="93">
        <f>SUM('3:4'!X440)</f>
        <v>0</v>
      </c>
      <c r="Y440" s="93">
        <f>SUM('3:4'!Y440)</f>
        <v>0</v>
      </c>
      <c r="Z440" s="93">
        <f>SUM('3:4'!Z440)</f>
        <v>0</v>
      </c>
      <c r="AA440" s="93">
        <f>SUM('3:4'!AA440)</f>
        <v>0</v>
      </c>
      <c r="AB440" s="358">
        <v>1.04</v>
      </c>
      <c r="AC440" s="269">
        <f t="shared" si="170"/>
        <v>0</v>
      </c>
      <c r="AD440" s="251"/>
      <c r="AE440" s="54"/>
      <c r="AF440" s="54"/>
      <c r="AG440" s="54"/>
      <c r="AH440" s="54"/>
      <c r="AI440" s="57"/>
      <c r="AJ440" s="57"/>
      <c r="AK440" s="57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</row>
    <row r="441" spans="1:53" ht="17.25">
      <c r="A441" s="321"/>
      <c r="B441" s="65" t="s">
        <v>88</v>
      </c>
      <c r="C441" s="16" t="s">
        <v>60</v>
      </c>
      <c r="D441" s="17">
        <v>5.03</v>
      </c>
      <c r="E441" s="17"/>
      <c r="F441" s="6"/>
      <c r="G441" s="93">
        <f>SUM('3:4'!G441)</f>
        <v>0</v>
      </c>
      <c r="H441" s="246">
        <f t="shared" si="176"/>
        <v>0</v>
      </c>
      <c r="I441" s="93">
        <f>SUM('3:4'!I441)</f>
        <v>0</v>
      </c>
      <c r="J441" s="31" t="str">
        <f t="array" ref="J441">IF(ISERROR(G441/I441),"",G441/I441)</f>
        <v/>
      </c>
      <c r="K441" s="35" t="str">
        <f t="array" ref="K441">IF(ISERROR(G441/L441),"",G441/L441)</f>
        <v/>
      </c>
      <c r="L441" s="87"/>
      <c r="M441" s="36" t="str">
        <f t="shared" si="177"/>
        <v/>
      </c>
      <c r="N441" s="31">
        <f t="shared" si="178"/>
        <v>0</v>
      </c>
      <c r="O441" s="93">
        <f>SUM('3:4'!O441)</f>
        <v>0</v>
      </c>
      <c r="P441" s="93">
        <f>SUM('3:4'!P441)</f>
        <v>0</v>
      </c>
      <c r="Q441" s="93">
        <f>SUM('3:4'!Q441)</f>
        <v>0</v>
      </c>
      <c r="R441" s="93">
        <f>SUM('3:4'!R441)</f>
        <v>0</v>
      </c>
      <c r="S441" s="93">
        <f>SUM('3:4'!S441)</f>
        <v>0</v>
      </c>
      <c r="T441" s="93">
        <f>SUM('3:4'!T441)</f>
        <v>0</v>
      </c>
      <c r="U441" s="93">
        <f>SUM('3:4'!U441)</f>
        <v>0</v>
      </c>
      <c r="V441" s="206">
        <f t="shared" si="179"/>
        <v>0</v>
      </c>
      <c r="W441" s="33" t="str">
        <f t="shared" si="180"/>
        <v/>
      </c>
      <c r="X441" s="93">
        <f>SUM('3:4'!X441)</f>
        <v>0</v>
      </c>
      <c r="Y441" s="93">
        <f>SUM('3:4'!Y441)</f>
        <v>0</v>
      </c>
      <c r="Z441" s="93">
        <f>SUM('3:4'!Z441)</f>
        <v>0</v>
      </c>
      <c r="AA441" s="93">
        <f>SUM('3:4'!AA441)</f>
        <v>0</v>
      </c>
      <c r="AB441" s="358">
        <v>1.04</v>
      </c>
      <c r="AC441" s="269">
        <f t="shared" si="170"/>
        <v>0</v>
      </c>
      <c r="AD441" s="251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 ht="17.25">
      <c r="A442" s="321">
        <v>30401031</v>
      </c>
      <c r="B442" s="65" t="s">
        <v>88</v>
      </c>
      <c r="C442" s="16" t="s">
        <v>66</v>
      </c>
      <c r="D442" s="17">
        <v>5.03</v>
      </c>
      <c r="E442" s="17"/>
      <c r="F442" s="6"/>
      <c r="G442" s="93">
        <f>SUM('3:4'!G442)</f>
        <v>0</v>
      </c>
      <c r="H442" s="246">
        <f t="shared" si="176"/>
        <v>0</v>
      </c>
      <c r="I442" s="93">
        <f>SUM('3:4'!I442)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177"/>
        <v/>
      </c>
      <c r="N442" s="31">
        <f t="shared" si="178"/>
        <v>0</v>
      </c>
      <c r="O442" s="93">
        <f>SUM('3:4'!O442)</f>
        <v>0</v>
      </c>
      <c r="P442" s="93">
        <f>SUM('3:4'!P442)</f>
        <v>0</v>
      </c>
      <c r="Q442" s="93">
        <f>SUM('3:4'!Q442)</f>
        <v>0</v>
      </c>
      <c r="R442" s="93">
        <f>SUM('3:4'!R442)</f>
        <v>0</v>
      </c>
      <c r="S442" s="93">
        <f>SUM('3:4'!S442)</f>
        <v>0</v>
      </c>
      <c r="T442" s="93">
        <f>SUM('3:4'!T442)</f>
        <v>0</v>
      </c>
      <c r="U442" s="93">
        <f>SUM('3:4'!U442)</f>
        <v>0</v>
      </c>
      <c r="V442" s="206">
        <f t="shared" si="179"/>
        <v>0</v>
      </c>
      <c r="W442" s="33" t="str">
        <f t="shared" si="180"/>
        <v/>
      </c>
      <c r="X442" s="93">
        <f>SUM('3:4'!X442)</f>
        <v>0</v>
      </c>
      <c r="Y442" s="93">
        <f>SUM('3:4'!Y442)</f>
        <v>0</v>
      </c>
      <c r="Z442" s="93">
        <f>SUM('3:4'!Z442)</f>
        <v>0</v>
      </c>
      <c r="AA442" s="93">
        <f>SUM('3:4'!AA442)</f>
        <v>0</v>
      </c>
      <c r="AB442" s="358">
        <v>1.04</v>
      </c>
      <c r="AC442" s="269">
        <f t="shared" si="170"/>
        <v>0</v>
      </c>
      <c r="AD442" s="251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 ht="17.25">
      <c r="A443" s="321">
        <v>30600005</v>
      </c>
      <c r="B443" s="61" t="s">
        <v>90</v>
      </c>
      <c r="C443" s="16" t="s">
        <v>55</v>
      </c>
      <c r="D443" s="17">
        <v>9.36</v>
      </c>
      <c r="E443" s="17"/>
      <c r="F443" s="6"/>
      <c r="G443" s="93">
        <f>SUM('3:4'!G443)</f>
        <v>0</v>
      </c>
      <c r="H443" s="246">
        <f t="shared" si="176"/>
        <v>0</v>
      </c>
      <c r="I443" s="93">
        <f>SUM('3:4'!I443)</f>
        <v>0</v>
      </c>
      <c r="J443" s="31" t="str">
        <f t="array" ref="J443">IF(ISERROR(G443/I443),"",G443/I443)</f>
        <v/>
      </c>
      <c r="K443" s="35">
        <f t="array" ref="K443">IF(ISERROR(G443/L443),"",G443/L443)</f>
        <v>0</v>
      </c>
      <c r="L443" s="87">
        <v>6</v>
      </c>
      <c r="M443" s="36">
        <f t="shared" si="177"/>
        <v>0</v>
      </c>
      <c r="N443" s="31">
        <f t="shared" si="178"/>
        <v>0</v>
      </c>
      <c r="O443" s="93">
        <f>SUM('3:4'!O443)</f>
        <v>0</v>
      </c>
      <c r="P443" s="93">
        <f>SUM('3:4'!P443)</f>
        <v>0</v>
      </c>
      <c r="Q443" s="93">
        <f>SUM('3:4'!Q443)</f>
        <v>0</v>
      </c>
      <c r="R443" s="93">
        <f>SUM('3:4'!R443)</f>
        <v>0</v>
      </c>
      <c r="S443" s="93">
        <f>SUM('3:4'!S443)</f>
        <v>0</v>
      </c>
      <c r="T443" s="93">
        <f>SUM('3:4'!T443)</f>
        <v>0</v>
      </c>
      <c r="U443" s="93">
        <f>SUM('3:4'!U443)</f>
        <v>0</v>
      </c>
      <c r="V443" s="206">
        <f t="shared" si="179"/>
        <v>0</v>
      </c>
      <c r="W443" s="33" t="str">
        <f t="shared" si="180"/>
        <v/>
      </c>
      <c r="X443" s="93">
        <f>SUM('3:4'!X443)</f>
        <v>0</v>
      </c>
      <c r="Y443" s="93">
        <f>SUM('3:4'!Y443)</f>
        <v>0</v>
      </c>
      <c r="Z443" s="93">
        <f>SUM('3:4'!Z443)</f>
        <v>0</v>
      </c>
      <c r="AA443" s="93">
        <f>SUM('3:4'!AA443)</f>
        <v>0</v>
      </c>
      <c r="AB443" s="358">
        <v>1.29</v>
      </c>
      <c r="AC443" s="269">
        <f t="shared" si="170"/>
        <v>0</v>
      </c>
      <c r="AD443" s="251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 ht="17.25">
      <c r="A444" s="321">
        <v>30600008</v>
      </c>
      <c r="B444" s="61" t="s">
        <v>90</v>
      </c>
      <c r="C444" s="16" t="s">
        <v>53</v>
      </c>
      <c r="D444" s="17">
        <v>9.36</v>
      </c>
      <c r="E444" s="17"/>
      <c r="F444" s="6"/>
      <c r="G444" s="93">
        <f>SUM('3:4'!G444)</f>
        <v>0</v>
      </c>
      <c r="H444" s="246">
        <f t="shared" si="176"/>
        <v>0</v>
      </c>
      <c r="I444" s="93">
        <f>SUM('3:4'!I444)</f>
        <v>0</v>
      </c>
      <c r="J444" s="31" t="str">
        <f t="array" ref="J444">IF(ISERROR(G444/I444),"",G444/I444)</f>
        <v/>
      </c>
      <c r="K444" s="35">
        <f t="array" ref="K444">IF(ISERROR(G444/L444),"",G444/L444)</f>
        <v>0</v>
      </c>
      <c r="L444" s="87">
        <v>6</v>
      </c>
      <c r="M444" s="36">
        <f t="shared" si="177"/>
        <v>0</v>
      </c>
      <c r="N444" s="31">
        <f t="shared" si="178"/>
        <v>0</v>
      </c>
      <c r="O444" s="93">
        <f>SUM('3:4'!O444)</f>
        <v>0</v>
      </c>
      <c r="P444" s="93">
        <f>SUM('3:4'!P444)</f>
        <v>0</v>
      </c>
      <c r="Q444" s="93">
        <f>SUM('3:4'!Q444)</f>
        <v>0</v>
      </c>
      <c r="R444" s="93">
        <f>SUM('3:4'!R444)</f>
        <v>0</v>
      </c>
      <c r="S444" s="93">
        <f>SUM('3:4'!S444)</f>
        <v>0</v>
      </c>
      <c r="T444" s="93">
        <f>SUM('3:4'!T444)</f>
        <v>0</v>
      </c>
      <c r="U444" s="93">
        <f>SUM('3:4'!U444)</f>
        <v>0</v>
      </c>
      <c r="V444" s="206">
        <f t="shared" si="179"/>
        <v>0</v>
      </c>
      <c r="W444" s="33" t="str">
        <f t="shared" si="180"/>
        <v/>
      </c>
      <c r="X444" s="93">
        <f>SUM('3:4'!X444)</f>
        <v>0</v>
      </c>
      <c r="Y444" s="93">
        <f>SUM('3:4'!Y444)</f>
        <v>0</v>
      </c>
      <c r="Z444" s="93">
        <f>SUM('3:4'!Z444)</f>
        <v>0</v>
      </c>
      <c r="AA444" s="93">
        <f>SUM('3:4'!AA444)</f>
        <v>0</v>
      </c>
      <c r="AB444" s="358">
        <v>1.29</v>
      </c>
      <c r="AC444" s="269">
        <f t="shared" si="170"/>
        <v>0</v>
      </c>
      <c r="AD444" s="251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 ht="17.25">
      <c r="A445" s="321">
        <v>30600007</v>
      </c>
      <c r="B445" s="61" t="s">
        <v>90</v>
      </c>
      <c r="C445" s="16" t="s">
        <v>89</v>
      </c>
      <c r="D445" s="17">
        <v>9.36</v>
      </c>
      <c r="E445" s="17"/>
      <c r="F445" s="6"/>
      <c r="G445" s="93">
        <f>SUM('3:4'!G445)</f>
        <v>0</v>
      </c>
      <c r="H445" s="246">
        <f t="shared" si="176"/>
        <v>0</v>
      </c>
      <c r="I445" s="93">
        <f>SUM('3:4'!I445)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177"/>
        <v>0</v>
      </c>
      <c r="N445" s="31">
        <f t="shared" si="178"/>
        <v>0</v>
      </c>
      <c r="O445" s="93">
        <f>SUM('3:4'!O445)</f>
        <v>0</v>
      </c>
      <c r="P445" s="93">
        <f>SUM('3:4'!P445)</f>
        <v>0</v>
      </c>
      <c r="Q445" s="93">
        <f>SUM('3:4'!Q445)</f>
        <v>0</v>
      </c>
      <c r="R445" s="93">
        <f>SUM('3:4'!R445)</f>
        <v>0</v>
      </c>
      <c r="S445" s="93">
        <f>SUM('3:4'!S445)</f>
        <v>0</v>
      </c>
      <c r="T445" s="93">
        <f>SUM('3:4'!T445)</f>
        <v>0</v>
      </c>
      <c r="U445" s="93">
        <f>SUM('3:4'!U445)</f>
        <v>0</v>
      </c>
      <c r="V445" s="206">
        <f t="shared" si="179"/>
        <v>0</v>
      </c>
      <c r="W445" s="33" t="str">
        <f t="shared" si="180"/>
        <v/>
      </c>
      <c r="X445" s="93">
        <f>SUM('3:4'!X445)</f>
        <v>0</v>
      </c>
      <c r="Y445" s="93">
        <f>SUM('3:4'!Y445)</f>
        <v>0</v>
      </c>
      <c r="Z445" s="93">
        <f>SUM('3:4'!Z445)</f>
        <v>0</v>
      </c>
      <c r="AA445" s="93">
        <f>SUM('3:4'!AA445)</f>
        <v>0</v>
      </c>
      <c r="AB445" s="358">
        <v>1.29</v>
      </c>
      <c r="AC445" s="269">
        <f t="shared" si="170"/>
        <v>0</v>
      </c>
      <c r="AD445" s="251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 ht="17.25">
      <c r="A446" s="321">
        <v>30600006</v>
      </c>
      <c r="B446" s="61" t="s">
        <v>90</v>
      </c>
      <c r="C446" s="16" t="s">
        <v>60</v>
      </c>
      <c r="D446" s="17">
        <v>9.36</v>
      </c>
      <c r="E446" s="17"/>
      <c r="F446" s="6"/>
      <c r="G446" s="93">
        <f>SUM('3:4'!G446)</f>
        <v>0</v>
      </c>
      <c r="H446" s="246">
        <f t="shared" si="176"/>
        <v>0</v>
      </c>
      <c r="I446" s="93">
        <f>SUM('3:4'!I446)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177"/>
        <v>0</v>
      </c>
      <c r="N446" s="31">
        <f t="shared" si="178"/>
        <v>0</v>
      </c>
      <c r="O446" s="93">
        <f>SUM('3:4'!O446)</f>
        <v>0</v>
      </c>
      <c r="P446" s="93">
        <f>SUM('3:4'!P446)</f>
        <v>0</v>
      </c>
      <c r="Q446" s="93">
        <f>SUM('3:4'!Q446)</f>
        <v>0</v>
      </c>
      <c r="R446" s="93">
        <f>SUM('3:4'!R446)</f>
        <v>0</v>
      </c>
      <c r="S446" s="93">
        <f>SUM('3:4'!S446)</f>
        <v>0</v>
      </c>
      <c r="T446" s="93">
        <f>SUM('3:4'!T446)</f>
        <v>0</v>
      </c>
      <c r="U446" s="93">
        <f>SUM('3:4'!U446)</f>
        <v>0</v>
      </c>
      <c r="V446" s="206">
        <f t="shared" si="179"/>
        <v>0</v>
      </c>
      <c r="W446" s="33" t="str">
        <f t="shared" si="180"/>
        <v/>
      </c>
      <c r="X446" s="93">
        <f>SUM('3:4'!X446)</f>
        <v>0</v>
      </c>
      <c r="Y446" s="93">
        <f>SUM('3:4'!Y446)</f>
        <v>0</v>
      </c>
      <c r="Z446" s="93">
        <f>SUM('3:4'!Z446)</f>
        <v>0</v>
      </c>
      <c r="AA446" s="93">
        <f>SUM('3:4'!AA446)</f>
        <v>0</v>
      </c>
      <c r="AB446" s="358">
        <v>1.29</v>
      </c>
      <c r="AC446" s="269">
        <f t="shared" si="170"/>
        <v>0</v>
      </c>
      <c r="AD446" s="251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 ht="17.25">
      <c r="A447" s="320">
        <v>30400026</v>
      </c>
      <c r="B447" s="190" t="s">
        <v>393</v>
      </c>
      <c r="C447" s="187" t="s">
        <v>395</v>
      </c>
      <c r="D447" s="17">
        <v>5</v>
      </c>
      <c r="E447" s="17"/>
      <c r="F447" s="6"/>
      <c r="G447" s="93">
        <f>SUM('3:4'!G447)</f>
        <v>0</v>
      </c>
      <c r="H447" s="246">
        <f t="shared" si="176"/>
        <v>0</v>
      </c>
      <c r="I447" s="93">
        <f>SUM('3:4'!I447)</f>
        <v>0</v>
      </c>
      <c r="J447" s="31"/>
      <c r="K447" s="35">
        <f t="array" ref="K447">IF(ISERROR(G447/L447),"",G447/L447)</f>
        <v>0</v>
      </c>
      <c r="L447" s="87">
        <v>5</v>
      </c>
      <c r="M447" s="36">
        <f t="shared" si="177"/>
        <v>0</v>
      </c>
      <c r="N447" s="31">
        <f t="shared" si="178"/>
        <v>0</v>
      </c>
      <c r="O447" s="93">
        <f>SUM('3:4'!O447)</f>
        <v>0</v>
      </c>
      <c r="P447" s="93">
        <f>SUM('3:4'!P447)</f>
        <v>0</v>
      </c>
      <c r="Q447" s="93">
        <f>SUM('3:4'!Q447)</f>
        <v>0</v>
      </c>
      <c r="R447" s="93">
        <f>SUM('3:4'!R447)</f>
        <v>0</v>
      </c>
      <c r="S447" s="93">
        <f>SUM('3:4'!S447)</f>
        <v>0</v>
      </c>
      <c r="T447" s="93">
        <f>SUM('3:4'!T447)</f>
        <v>0</v>
      </c>
      <c r="U447" s="93">
        <f>SUM('3:4'!U447)</f>
        <v>0</v>
      </c>
      <c r="V447" s="206"/>
      <c r="W447" s="33"/>
      <c r="X447" s="93">
        <f>SUM('3:4'!X447)</f>
        <v>0</v>
      </c>
      <c r="Y447" s="93">
        <f>SUM('3:4'!Y447)</f>
        <v>0</v>
      </c>
      <c r="Z447" s="93">
        <f>SUM('3:4'!Z447)</f>
        <v>0</v>
      </c>
      <c r="AA447" s="93">
        <f>SUM('3:4'!AA447)</f>
        <v>0</v>
      </c>
      <c r="AB447" s="358">
        <v>2.0699999999999998</v>
      </c>
      <c r="AC447" s="269">
        <f t="shared" si="170"/>
        <v>0</v>
      </c>
      <c r="AD447" s="251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 ht="17.25">
      <c r="A448" s="320">
        <v>30400028</v>
      </c>
      <c r="B448" s="190" t="s">
        <v>393</v>
      </c>
      <c r="C448" s="187" t="s">
        <v>402</v>
      </c>
      <c r="D448" s="17">
        <v>5</v>
      </c>
      <c r="E448" s="17"/>
      <c r="F448" s="6"/>
      <c r="G448" s="93">
        <f>SUM('3:4'!G448)</f>
        <v>0</v>
      </c>
      <c r="H448" s="246">
        <f t="shared" si="176"/>
        <v>0</v>
      </c>
      <c r="I448" s="93">
        <f>SUM('3:4'!I448)</f>
        <v>0</v>
      </c>
      <c r="J448" s="31"/>
      <c r="K448" s="35">
        <f t="array" ref="K448">IF(ISERROR(G448/L448),"",G448/L448)</f>
        <v>0</v>
      </c>
      <c r="L448" s="87">
        <v>5</v>
      </c>
      <c r="M448" s="36">
        <f t="shared" si="177"/>
        <v>0</v>
      </c>
      <c r="N448" s="31">
        <f t="shared" si="178"/>
        <v>0</v>
      </c>
      <c r="O448" s="93">
        <f>SUM('3:4'!O448)</f>
        <v>0</v>
      </c>
      <c r="P448" s="93">
        <f>SUM('3:4'!P448)</f>
        <v>0</v>
      </c>
      <c r="Q448" s="93">
        <f>SUM('3:4'!Q448)</f>
        <v>0</v>
      </c>
      <c r="R448" s="93">
        <f>SUM('3:4'!R448)</f>
        <v>0</v>
      </c>
      <c r="S448" s="93">
        <f>SUM('3:4'!S448)</f>
        <v>0</v>
      </c>
      <c r="T448" s="93">
        <f>SUM('3:4'!T448)</f>
        <v>0</v>
      </c>
      <c r="U448" s="93">
        <f>SUM('3:4'!U448)</f>
        <v>0</v>
      </c>
      <c r="V448" s="206"/>
      <c r="W448" s="33"/>
      <c r="X448" s="93">
        <f>SUM('3:4'!X448)</f>
        <v>0</v>
      </c>
      <c r="Y448" s="93">
        <f>SUM('3:4'!Y448)</f>
        <v>0</v>
      </c>
      <c r="Z448" s="93">
        <f>SUM('3:4'!Z448)</f>
        <v>0</v>
      </c>
      <c r="AA448" s="93">
        <f>SUM('3:4'!AA448)</f>
        <v>0</v>
      </c>
      <c r="AB448" s="358">
        <v>2.0699999999999998</v>
      </c>
      <c r="AC448" s="269">
        <f t="shared" si="170"/>
        <v>0</v>
      </c>
      <c r="AD448" s="251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 ht="17.25">
      <c r="A449" s="320">
        <v>30400027</v>
      </c>
      <c r="B449" s="190" t="s">
        <v>404</v>
      </c>
      <c r="C449" s="187" t="s">
        <v>405</v>
      </c>
      <c r="D449" s="17">
        <v>5</v>
      </c>
      <c r="E449" s="17"/>
      <c r="F449" s="6"/>
      <c r="G449" s="93">
        <f>SUM('3:4'!G449)</f>
        <v>0</v>
      </c>
      <c r="H449" s="246">
        <f t="shared" si="176"/>
        <v>0</v>
      </c>
      <c r="I449" s="93">
        <f>SUM('3:4'!I449)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177"/>
        <v>0</v>
      </c>
      <c r="N449" s="31">
        <f t="shared" si="178"/>
        <v>0</v>
      </c>
      <c r="O449" s="93">
        <f>SUM('3:4'!O449)</f>
        <v>0</v>
      </c>
      <c r="P449" s="93">
        <f>SUM('3:4'!P449)</f>
        <v>0</v>
      </c>
      <c r="Q449" s="93">
        <f>SUM('3:4'!Q449)</f>
        <v>0</v>
      </c>
      <c r="R449" s="93">
        <f>SUM('3:4'!R449)</f>
        <v>0</v>
      </c>
      <c r="S449" s="93">
        <f>SUM('3:4'!S449)</f>
        <v>0</v>
      </c>
      <c r="T449" s="93">
        <f>SUM('3:4'!T449)</f>
        <v>0</v>
      </c>
      <c r="U449" s="93">
        <f>SUM('3:4'!U449)</f>
        <v>0</v>
      </c>
      <c r="V449" s="206"/>
      <c r="W449" s="33"/>
      <c r="X449" s="93">
        <f>SUM('3:4'!X449)</f>
        <v>0</v>
      </c>
      <c r="Y449" s="93">
        <f>SUM('3:4'!Y449)</f>
        <v>0</v>
      </c>
      <c r="Z449" s="93">
        <f>SUM('3:4'!Z449)</f>
        <v>0</v>
      </c>
      <c r="AA449" s="93">
        <f>SUM('3:4'!AA449)</f>
        <v>0</v>
      </c>
      <c r="AB449" s="358">
        <v>2.0699999999999998</v>
      </c>
      <c r="AC449" s="269">
        <f t="shared" si="170"/>
        <v>0</v>
      </c>
      <c r="AD449" s="251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 ht="17.25">
      <c r="A450" s="320"/>
      <c r="B450" s="61" t="s">
        <v>342</v>
      </c>
      <c r="C450" s="187" t="s">
        <v>372</v>
      </c>
      <c r="D450" s="17">
        <v>5</v>
      </c>
      <c r="E450" s="17"/>
      <c r="F450" s="6"/>
      <c r="G450" s="93">
        <f>SUM('3:4'!G450)</f>
        <v>0</v>
      </c>
      <c r="H450" s="246">
        <f t="shared" si="176"/>
        <v>0</v>
      </c>
      <c r="I450" s="93">
        <f>SUM('3:4'!I450)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177"/>
        <v>0</v>
      </c>
      <c r="N450" s="31">
        <f t="shared" si="178"/>
        <v>0</v>
      </c>
      <c r="O450" s="93">
        <f>SUM('3:4'!O450)</f>
        <v>0</v>
      </c>
      <c r="P450" s="93">
        <f>SUM('3:4'!P450)</f>
        <v>0</v>
      </c>
      <c r="Q450" s="93">
        <f>SUM('3:4'!Q450)</f>
        <v>0</v>
      </c>
      <c r="R450" s="93">
        <f>SUM('3:4'!R450)</f>
        <v>0</v>
      </c>
      <c r="S450" s="93">
        <f>SUM('3:4'!S450)</f>
        <v>0</v>
      </c>
      <c r="T450" s="93">
        <f>SUM('3:4'!T450)</f>
        <v>0</v>
      </c>
      <c r="U450" s="93">
        <f>SUM('3:4'!U450)</f>
        <v>0</v>
      </c>
      <c r="V450" s="206"/>
      <c r="W450" s="33"/>
      <c r="X450" s="93">
        <f>SUM('3:4'!X450)</f>
        <v>0</v>
      </c>
      <c r="Y450" s="93">
        <f>SUM('3:4'!Y450)</f>
        <v>0</v>
      </c>
      <c r="Z450" s="93">
        <f>SUM('3:4'!Z450)</f>
        <v>0</v>
      </c>
      <c r="AA450" s="93">
        <f>SUM('3:4'!AA450)</f>
        <v>0</v>
      </c>
      <c r="AB450" s="358">
        <v>2.0699999999999998</v>
      </c>
      <c r="AC450" s="269">
        <f t="shared" si="170"/>
        <v>0</v>
      </c>
      <c r="AD450" s="251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 ht="17.25">
      <c r="A451" s="320">
        <v>30600009</v>
      </c>
      <c r="B451" s="61" t="s">
        <v>343</v>
      </c>
      <c r="C451" s="16" t="s">
        <v>345</v>
      </c>
      <c r="D451" s="17">
        <v>5</v>
      </c>
      <c r="E451" s="17"/>
      <c r="F451" s="6"/>
      <c r="G451" s="93">
        <f>SUM('3:4'!G451)</f>
        <v>0</v>
      </c>
      <c r="H451" s="246">
        <f t="shared" si="176"/>
        <v>0</v>
      </c>
      <c r="I451" s="93">
        <f>SUM('3:4'!I451)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177"/>
        <v>0</v>
      </c>
      <c r="N451" s="31">
        <f t="shared" si="178"/>
        <v>0</v>
      </c>
      <c r="O451" s="93">
        <f>SUM('3:4'!O451)</f>
        <v>0</v>
      </c>
      <c r="P451" s="93">
        <f>SUM('3:4'!P451)</f>
        <v>0</v>
      </c>
      <c r="Q451" s="93">
        <f>SUM('3:4'!Q451)</f>
        <v>0</v>
      </c>
      <c r="R451" s="93">
        <f>SUM('3:4'!R451)</f>
        <v>0</v>
      </c>
      <c r="S451" s="93">
        <f>SUM('3:4'!S451)</f>
        <v>0</v>
      </c>
      <c r="T451" s="93">
        <f>SUM('3:4'!T451)</f>
        <v>0</v>
      </c>
      <c r="U451" s="93">
        <f>SUM('3:4'!U451)</f>
        <v>0</v>
      </c>
      <c r="V451" s="206"/>
      <c r="W451" s="33"/>
      <c r="X451" s="93">
        <f>SUM('3:4'!X451)</f>
        <v>0</v>
      </c>
      <c r="Y451" s="93">
        <f>SUM('3:4'!Y451)</f>
        <v>0</v>
      </c>
      <c r="Z451" s="93">
        <f>SUM('3:4'!Z451)</f>
        <v>0</v>
      </c>
      <c r="AA451" s="93">
        <f>SUM('3:4'!AA451)</f>
        <v>0</v>
      </c>
      <c r="AB451" s="358">
        <v>2.0699999999999998</v>
      </c>
      <c r="AC451" s="269">
        <f t="shared" si="170"/>
        <v>0</v>
      </c>
      <c r="AD451" s="251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 ht="17.25">
      <c r="A452" s="320">
        <v>30600010</v>
      </c>
      <c r="B452" s="61" t="s">
        <v>343</v>
      </c>
      <c r="C452" s="16" t="s">
        <v>347</v>
      </c>
      <c r="D452" s="17">
        <v>5</v>
      </c>
      <c r="E452" s="17"/>
      <c r="F452" s="6"/>
      <c r="G452" s="93">
        <f>SUM('3:4'!G452)</f>
        <v>0</v>
      </c>
      <c r="H452" s="246">
        <f t="shared" si="176"/>
        <v>0</v>
      </c>
      <c r="I452" s="93">
        <f>SUM('3:4'!I452)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177"/>
        <v>0</v>
      </c>
      <c r="N452" s="31">
        <f t="shared" si="178"/>
        <v>0</v>
      </c>
      <c r="O452" s="93">
        <f>SUM('3:4'!O452)</f>
        <v>0</v>
      </c>
      <c r="P452" s="93">
        <f>SUM('3:4'!P452)</f>
        <v>0</v>
      </c>
      <c r="Q452" s="93">
        <f>SUM('3:4'!Q452)</f>
        <v>0</v>
      </c>
      <c r="R452" s="93">
        <f>SUM('3:4'!R452)</f>
        <v>0</v>
      </c>
      <c r="S452" s="93">
        <f>SUM('3:4'!S452)</f>
        <v>0</v>
      </c>
      <c r="T452" s="93">
        <f>SUM('3:4'!T452)</f>
        <v>0</v>
      </c>
      <c r="U452" s="93">
        <f>SUM('3:4'!U452)</f>
        <v>0</v>
      </c>
      <c r="V452" s="206"/>
      <c r="W452" s="33"/>
      <c r="X452" s="93">
        <f>SUM('3:4'!X452)</f>
        <v>0</v>
      </c>
      <c r="Y452" s="93">
        <f>SUM('3:4'!Y452)</f>
        <v>0</v>
      </c>
      <c r="Z452" s="93">
        <f>SUM('3:4'!Z452)</f>
        <v>0</v>
      </c>
      <c r="AA452" s="93">
        <f>SUM('3:4'!AA452)</f>
        <v>0</v>
      </c>
      <c r="AB452" s="358">
        <v>2.0699999999999998</v>
      </c>
      <c r="AC452" s="269">
        <f t="shared" si="170"/>
        <v>0</v>
      </c>
      <c r="AD452" s="251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 ht="17.25">
      <c r="A453" s="320">
        <v>30400001</v>
      </c>
      <c r="B453" s="65" t="s">
        <v>514</v>
      </c>
      <c r="C453" s="16" t="s">
        <v>61</v>
      </c>
      <c r="D453" s="17">
        <v>5.0599999999999996</v>
      </c>
      <c r="E453" s="17"/>
      <c r="F453" s="6"/>
      <c r="G453" s="93">
        <f>SUM('3:4'!G453)</f>
        <v>0</v>
      </c>
      <c r="H453" s="246">
        <f t="shared" si="176"/>
        <v>0</v>
      </c>
      <c r="I453" s="93">
        <f>SUM('3:4'!I453)</f>
        <v>0</v>
      </c>
      <c r="J453" s="31" t="str">
        <f t="array" ref="J453">IF(ISERROR(G453/I453),"",G453/I453)</f>
        <v/>
      </c>
      <c r="K453" s="35">
        <f t="array" ref="K453">IF(ISERROR(G453/L453),"",G453/L453)</f>
        <v>0</v>
      </c>
      <c r="L453" s="87">
        <v>15.5</v>
      </c>
      <c r="M453" s="36">
        <f t="shared" si="177"/>
        <v>0</v>
      </c>
      <c r="N453" s="31">
        <f t="shared" si="178"/>
        <v>0</v>
      </c>
      <c r="O453" s="93">
        <f>SUM('3:4'!O453)</f>
        <v>0</v>
      </c>
      <c r="P453" s="93">
        <f>SUM('3:4'!P453)</f>
        <v>0</v>
      </c>
      <c r="Q453" s="93">
        <f>SUM('3:4'!Q453)</f>
        <v>0</v>
      </c>
      <c r="R453" s="93">
        <f>SUM('3:4'!R453)</f>
        <v>0</v>
      </c>
      <c r="S453" s="93">
        <f>SUM('3:4'!S453)</f>
        <v>0</v>
      </c>
      <c r="T453" s="93">
        <f>SUM('3:4'!T453)</f>
        <v>0</v>
      </c>
      <c r="U453" s="93">
        <f>SUM('3:4'!U453)</f>
        <v>0</v>
      </c>
      <c r="V453" s="206">
        <f t="shared" ref="V453:V454" si="181">SUM(X453:AA453)</f>
        <v>0</v>
      </c>
      <c r="W453" s="33" t="str">
        <f t="shared" ref="W453:W454" si="182">IF(ISERROR(V453/G453),"",V453/G453)</f>
        <v/>
      </c>
      <c r="X453" s="93">
        <f>SUM('3:4'!X453)</f>
        <v>0</v>
      </c>
      <c r="Y453" s="93">
        <f>SUM('3:4'!Y453)</f>
        <v>0</v>
      </c>
      <c r="Z453" s="93">
        <f>SUM('3:4'!Z453)</f>
        <v>0</v>
      </c>
      <c r="AA453" s="93">
        <f>SUM('3:4'!AA453)</f>
        <v>0</v>
      </c>
      <c r="AB453" s="358">
        <v>0.67</v>
      </c>
      <c r="AC453" s="269">
        <f t="shared" si="170"/>
        <v>0</v>
      </c>
      <c r="AD453" s="251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 ht="17.25">
      <c r="A454" s="320">
        <v>30400002</v>
      </c>
      <c r="B454" s="65" t="s">
        <v>514</v>
      </c>
      <c r="C454" s="16" t="s">
        <v>72</v>
      </c>
      <c r="D454" s="17">
        <v>5.0599999999999996</v>
      </c>
      <c r="E454" s="17"/>
      <c r="F454" s="6"/>
      <c r="G454" s="93">
        <f>SUM('3:4'!G454)</f>
        <v>0</v>
      </c>
      <c r="H454" s="246">
        <f t="shared" si="176"/>
        <v>0</v>
      </c>
      <c r="I454" s="93">
        <f>SUM('3:4'!I454)</f>
        <v>0</v>
      </c>
      <c r="J454" s="31" t="str">
        <f t="array" ref="J454">IF(ISERROR(G454/I454),"",G454/I454)</f>
        <v/>
      </c>
      <c r="K454" s="35">
        <f t="array" ref="K454">IF(ISERROR(G454/L454),"",G454/L454)</f>
        <v>0</v>
      </c>
      <c r="L454" s="87">
        <v>15.5</v>
      </c>
      <c r="M454" s="36">
        <f t="shared" si="177"/>
        <v>0</v>
      </c>
      <c r="N454" s="31">
        <f t="shared" si="178"/>
        <v>0</v>
      </c>
      <c r="O454" s="93">
        <f>SUM('3:4'!O454)</f>
        <v>0</v>
      </c>
      <c r="P454" s="93">
        <f>SUM('3:4'!P454)</f>
        <v>0</v>
      </c>
      <c r="Q454" s="93">
        <f>SUM('3:4'!Q454)</f>
        <v>0</v>
      </c>
      <c r="R454" s="93">
        <f>SUM('3:4'!R454)</f>
        <v>0</v>
      </c>
      <c r="S454" s="93">
        <f>SUM('3:4'!S454)</f>
        <v>0</v>
      </c>
      <c r="T454" s="93">
        <f>SUM('3:4'!T454)</f>
        <v>0</v>
      </c>
      <c r="U454" s="93">
        <f>SUM('3:4'!U454)</f>
        <v>0</v>
      </c>
      <c r="V454" s="206">
        <f t="shared" si="181"/>
        <v>0</v>
      </c>
      <c r="W454" s="33" t="str">
        <f t="shared" si="182"/>
        <v/>
      </c>
      <c r="X454" s="93">
        <f>SUM('3:4'!X454)</f>
        <v>0</v>
      </c>
      <c r="Y454" s="93">
        <f>SUM('3:4'!Y454)</f>
        <v>0</v>
      </c>
      <c r="Z454" s="93">
        <f>SUM('3:4'!Z454)</f>
        <v>0</v>
      </c>
      <c r="AA454" s="93">
        <f>SUM('3:4'!AA454)</f>
        <v>0</v>
      </c>
      <c r="AB454" s="358">
        <v>0.67</v>
      </c>
      <c r="AC454" s="269">
        <f t="shared" si="170"/>
        <v>0</v>
      </c>
      <c r="AD454" s="251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 ht="17.25">
      <c r="A455" s="320">
        <v>30400004</v>
      </c>
      <c r="B455" s="215" t="s">
        <v>419</v>
      </c>
      <c r="C455" s="187" t="s">
        <v>73</v>
      </c>
      <c r="D455" s="17"/>
      <c r="E455" s="17"/>
      <c r="F455" s="6"/>
      <c r="G455" s="93">
        <f>SUM('3:4'!G455)</f>
        <v>0</v>
      </c>
      <c r="H455" s="246">
        <f t="shared" si="176"/>
        <v>0</v>
      </c>
      <c r="I455" s="93">
        <f>SUM('3:4'!I455)</f>
        <v>0</v>
      </c>
      <c r="J455" s="31"/>
      <c r="K455" s="35">
        <f t="array" ref="K455">IF(ISERROR(G455/L455),"",G455/L455)</f>
        <v>0</v>
      </c>
      <c r="L455" s="87">
        <v>24</v>
      </c>
      <c r="M455" s="36">
        <f t="shared" si="177"/>
        <v>0</v>
      </c>
      <c r="N455" s="31"/>
      <c r="O455" s="93"/>
      <c r="P455" s="93"/>
      <c r="Q455" s="93"/>
      <c r="R455" s="93"/>
      <c r="S455" s="93"/>
      <c r="T455" s="93"/>
      <c r="U455" s="93"/>
      <c r="V455" s="206"/>
      <c r="W455" s="33"/>
      <c r="X455" s="93"/>
      <c r="Y455" s="93"/>
      <c r="Z455" s="93"/>
      <c r="AA455" s="93"/>
      <c r="AB455" s="358">
        <v>1.73</v>
      </c>
      <c r="AC455" s="269">
        <f t="shared" si="170"/>
        <v>0</v>
      </c>
      <c r="AD455" s="251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 ht="17.25">
      <c r="A456" s="320">
        <v>30400003</v>
      </c>
      <c r="B456" s="215" t="s">
        <v>419</v>
      </c>
      <c r="C456" s="187" t="s">
        <v>60</v>
      </c>
      <c r="D456" s="17"/>
      <c r="E456" s="17"/>
      <c r="F456" s="6"/>
      <c r="G456" s="93">
        <f>SUM('3:4'!G456)</f>
        <v>0</v>
      </c>
      <c r="H456" s="246">
        <f t="shared" si="176"/>
        <v>0</v>
      </c>
      <c r="I456" s="93">
        <f>SUM('3:4'!I456)</f>
        <v>0</v>
      </c>
      <c r="J456" s="31"/>
      <c r="K456" s="35">
        <f t="array" ref="K456">IF(ISERROR(G456/L456),"",G456/L456)</f>
        <v>0</v>
      </c>
      <c r="L456" s="87">
        <v>24</v>
      </c>
      <c r="M456" s="36">
        <f t="shared" si="177"/>
        <v>0</v>
      </c>
      <c r="N456" s="31"/>
      <c r="O456" s="93"/>
      <c r="P456" s="93"/>
      <c r="Q456" s="93"/>
      <c r="R456" s="93"/>
      <c r="S456" s="93"/>
      <c r="T456" s="93"/>
      <c r="U456" s="93"/>
      <c r="V456" s="206"/>
      <c r="W456" s="33"/>
      <c r="X456" s="93"/>
      <c r="Y456" s="93"/>
      <c r="Z456" s="93"/>
      <c r="AA456" s="93"/>
      <c r="AB456" s="358">
        <v>1.73</v>
      </c>
      <c r="AC456" s="269">
        <f t="shared" si="170"/>
        <v>0</v>
      </c>
      <c r="AD456" s="251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 ht="17.25">
      <c r="A457" s="320">
        <v>30400005</v>
      </c>
      <c r="B457" s="215" t="s">
        <v>419</v>
      </c>
      <c r="C457" s="187" t="s">
        <v>422</v>
      </c>
      <c r="D457" s="17"/>
      <c r="E457" s="17"/>
      <c r="F457" s="6"/>
      <c r="G457" s="93">
        <f>SUM('3:4'!G457)</f>
        <v>0</v>
      </c>
      <c r="H457" s="246">
        <f t="shared" si="176"/>
        <v>0</v>
      </c>
      <c r="I457" s="93">
        <f>SUM('3:4'!I457)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177"/>
        <v>0</v>
      </c>
      <c r="N457" s="31"/>
      <c r="O457" s="93"/>
      <c r="P457" s="93"/>
      <c r="Q457" s="93"/>
      <c r="R457" s="93"/>
      <c r="S457" s="93"/>
      <c r="T457" s="93"/>
      <c r="U457" s="93"/>
      <c r="V457" s="206"/>
      <c r="W457" s="33"/>
      <c r="X457" s="93"/>
      <c r="Y457" s="93"/>
      <c r="Z457" s="93"/>
      <c r="AA457" s="93"/>
      <c r="AB457" s="358">
        <v>1.73</v>
      </c>
      <c r="AC457" s="269">
        <f t="shared" si="170"/>
        <v>0</v>
      </c>
      <c r="AD457" s="251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 ht="17.25">
      <c r="A458" s="320">
        <v>30400007</v>
      </c>
      <c r="B458" s="65" t="s">
        <v>91</v>
      </c>
      <c r="C458" s="16" t="s">
        <v>74</v>
      </c>
      <c r="D458" s="17">
        <v>5.07</v>
      </c>
      <c r="E458" s="17"/>
      <c r="F458" s="6"/>
      <c r="G458" s="93">
        <f>SUM('3:4'!G458)</f>
        <v>0</v>
      </c>
      <c r="H458" s="246">
        <f t="shared" si="176"/>
        <v>0</v>
      </c>
      <c r="I458" s="93">
        <f>SUM('3:4'!I458)</f>
        <v>0</v>
      </c>
      <c r="J458" s="31" t="str">
        <f t="array" ref="J458">IF(ISERROR(G458/I458),"",G458/I458)</f>
        <v/>
      </c>
      <c r="K458" s="35">
        <f t="array" ref="K458">IF(ISERROR(G458/L458),"",G458/L458)</f>
        <v>0</v>
      </c>
      <c r="L458" s="87">
        <v>9</v>
      </c>
      <c r="M458" s="36">
        <f t="shared" si="177"/>
        <v>0</v>
      </c>
      <c r="N458" s="31">
        <f t="shared" ref="N458:N460" si="183">SUM(O458:U458)</f>
        <v>0</v>
      </c>
      <c r="O458" s="93">
        <f>SUM('3:4'!O458)</f>
        <v>0</v>
      </c>
      <c r="P458" s="93">
        <f>SUM('3:4'!P458)</f>
        <v>0</v>
      </c>
      <c r="Q458" s="93">
        <f>SUM('3:4'!Q458)</f>
        <v>0</v>
      </c>
      <c r="R458" s="93">
        <f>SUM('3:4'!R458)</f>
        <v>0</v>
      </c>
      <c r="S458" s="93">
        <f>SUM('3:4'!S458)</f>
        <v>0</v>
      </c>
      <c r="T458" s="93">
        <f>SUM('3:4'!T458)</f>
        <v>0</v>
      </c>
      <c r="U458" s="93">
        <f>SUM('3:4'!U458)</f>
        <v>0</v>
      </c>
      <c r="V458" s="206">
        <f t="shared" ref="V458:V460" si="184">SUM(X458:AA458)</f>
        <v>0</v>
      </c>
      <c r="W458" s="33" t="str">
        <f t="shared" ref="W458:W491" si="185">IF(ISERROR(V458/G458),"",V458/G458)</f>
        <v/>
      </c>
      <c r="X458" s="93">
        <f>SUM('3:4'!X458)</f>
        <v>0</v>
      </c>
      <c r="Y458" s="93">
        <f>SUM('3:4'!Y458)</f>
        <v>0</v>
      </c>
      <c r="Z458" s="93">
        <f>SUM('3:4'!Z458)</f>
        <v>0</v>
      </c>
      <c r="AA458" s="93">
        <f>SUM('3:4'!AA458)</f>
        <v>0</v>
      </c>
      <c r="AB458" s="358">
        <v>1.22</v>
      </c>
      <c r="AC458" s="269">
        <f t="shared" si="170"/>
        <v>0</v>
      </c>
      <c r="AD458" s="251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 ht="17.25">
      <c r="A459" s="320">
        <v>30400006</v>
      </c>
      <c r="B459" s="65" t="s">
        <v>91</v>
      </c>
      <c r="C459" s="16" t="s">
        <v>53</v>
      </c>
      <c r="D459" s="17">
        <v>5.07</v>
      </c>
      <c r="E459" s="17"/>
      <c r="F459" s="6"/>
      <c r="G459" s="93">
        <f>SUM('3:4'!G459)</f>
        <v>0</v>
      </c>
      <c r="H459" s="246">
        <f t="shared" si="176"/>
        <v>0</v>
      </c>
      <c r="I459" s="93">
        <f>SUM('3:4'!I459)</f>
        <v>0</v>
      </c>
      <c r="J459" s="31" t="str">
        <f t="array" ref="J459">IF(ISERROR(G459/I459),"",G459/I459)</f>
        <v/>
      </c>
      <c r="K459" s="35">
        <f t="array" ref="K459">IF(ISERROR(G459/L459),"",G459/L459)</f>
        <v>0</v>
      </c>
      <c r="L459" s="87">
        <v>9</v>
      </c>
      <c r="M459" s="36">
        <f t="shared" si="177"/>
        <v>0</v>
      </c>
      <c r="N459" s="31">
        <f t="shared" si="183"/>
        <v>0</v>
      </c>
      <c r="O459" s="93">
        <f>SUM('3:4'!O459)</f>
        <v>0</v>
      </c>
      <c r="P459" s="93">
        <f>SUM('3:4'!P459)</f>
        <v>0</v>
      </c>
      <c r="Q459" s="93">
        <f>SUM('3:4'!Q459)</f>
        <v>0</v>
      </c>
      <c r="R459" s="93">
        <f>SUM('3:4'!R459)</f>
        <v>0</v>
      </c>
      <c r="S459" s="93">
        <f>SUM('3:4'!S459)</f>
        <v>0</v>
      </c>
      <c r="T459" s="93">
        <f>SUM('3:4'!T459)</f>
        <v>0</v>
      </c>
      <c r="U459" s="93">
        <f>SUM('3:4'!U459)</f>
        <v>0</v>
      </c>
      <c r="V459" s="206">
        <f t="shared" si="184"/>
        <v>0</v>
      </c>
      <c r="W459" s="33" t="str">
        <f t="shared" si="185"/>
        <v/>
      </c>
      <c r="X459" s="93">
        <f>SUM('3:4'!X459)</f>
        <v>0</v>
      </c>
      <c r="Y459" s="93">
        <f>SUM('3:4'!Y459)</f>
        <v>0</v>
      </c>
      <c r="Z459" s="93">
        <f>SUM('3:4'!Z459)</f>
        <v>0</v>
      </c>
      <c r="AA459" s="93">
        <f>SUM('3:4'!AA459)</f>
        <v>0</v>
      </c>
      <c r="AB459" s="358">
        <v>1.22</v>
      </c>
      <c r="AC459" s="269">
        <f t="shared" si="170"/>
        <v>0</v>
      </c>
      <c r="AD459" s="251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 ht="17.25">
      <c r="A460" s="320">
        <v>30400006</v>
      </c>
      <c r="B460" s="65" t="s">
        <v>91</v>
      </c>
      <c r="C460" s="16" t="s">
        <v>60</v>
      </c>
      <c r="D460" s="17">
        <v>5.0599999999999996</v>
      </c>
      <c r="E460" s="17"/>
      <c r="F460" s="53"/>
      <c r="G460" s="93">
        <f>SUM('3:4'!G460)</f>
        <v>0</v>
      </c>
      <c r="H460" s="246">
        <f t="shared" si="176"/>
        <v>0</v>
      </c>
      <c r="I460" s="93">
        <f>SUM('3:4'!I460)</f>
        <v>0</v>
      </c>
      <c r="J460" s="31" t="str">
        <f t="array" ref="J460">IF(ISERROR(G460/I460),"",G460/I460)</f>
        <v/>
      </c>
      <c r="K460" s="246">
        <f t="array" ref="K460">IF(ISERROR(G460/L460),"",G460/L460)</f>
        <v>0</v>
      </c>
      <c r="L460" s="87">
        <v>9</v>
      </c>
      <c r="M460" s="36">
        <f t="shared" si="177"/>
        <v>0</v>
      </c>
      <c r="N460" s="31">
        <f t="shared" si="183"/>
        <v>0</v>
      </c>
      <c r="O460" s="93">
        <f>SUM('3:4'!O460)</f>
        <v>0</v>
      </c>
      <c r="P460" s="93">
        <f>SUM('3:4'!P460)</f>
        <v>0</v>
      </c>
      <c r="Q460" s="93">
        <f>SUM('3:4'!Q460)</f>
        <v>0</v>
      </c>
      <c r="R460" s="93">
        <f>SUM('3:4'!R460)</f>
        <v>0</v>
      </c>
      <c r="S460" s="93">
        <f>SUM('3:4'!S460)</f>
        <v>0</v>
      </c>
      <c r="T460" s="93">
        <f>SUM('3:4'!T460)</f>
        <v>0</v>
      </c>
      <c r="U460" s="93">
        <f>SUM('3:4'!U460)</f>
        <v>0</v>
      </c>
      <c r="V460" s="206">
        <f t="shared" si="184"/>
        <v>0</v>
      </c>
      <c r="W460" s="33" t="str">
        <f t="shared" si="185"/>
        <v/>
      </c>
      <c r="X460" s="93">
        <f>SUM('3:4'!X460)</f>
        <v>0</v>
      </c>
      <c r="Y460" s="93">
        <f>SUM('3:4'!Y460)</f>
        <v>0</v>
      </c>
      <c r="Z460" s="93">
        <f>SUM('3:4'!Z460)</f>
        <v>0</v>
      </c>
      <c r="AA460" s="93">
        <f>SUM('3:4'!AA460)</f>
        <v>0</v>
      </c>
      <c r="AB460" s="358">
        <v>1.22</v>
      </c>
      <c r="AC460" s="269">
        <f t="shared" si="170"/>
        <v>0</v>
      </c>
      <c r="AD460" s="251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 ht="15.75">
      <c r="A461" s="725" t="s">
        <v>92</v>
      </c>
      <c r="B461" s="726"/>
      <c r="C461" s="243" t="s">
        <v>71</v>
      </c>
      <c r="D461" s="20"/>
      <c r="E461" s="20"/>
      <c r="F461" s="32"/>
      <c r="G461" s="99">
        <f>SUM(G427:G460)</f>
        <v>0</v>
      </c>
      <c r="H461" s="30">
        <f>SUM(H427:H460)</f>
        <v>0</v>
      </c>
      <c r="I461" s="30">
        <f>SUM(I427:I460)</f>
        <v>0</v>
      </c>
      <c r="J461" s="31" t="str">
        <f t="array" ref="J461">IF(ISERROR(G461/I461),"",G461/I461)</f>
        <v/>
      </c>
      <c r="K461" s="30">
        <f>SUM(K427:K460)</f>
        <v>0</v>
      </c>
      <c r="L461" s="98"/>
      <c r="M461" s="89">
        <f t="shared" ref="M461:V461" si="186">SUM(M427:M460)</f>
        <v>0</v>
      </c>
      <c r="N461" s="30">
        <f t="shared" si="186"/>
        <v>0</v>
      </c>
      <c r="O461" s="91">
        <f t="shared" si="186"/>
        <v>0</v>
      </c>
      <c r="P461" s="91">
        <f t="shared" si="186"/>
        <v>0</v>
      </c>
      <c r="Q461" s="91">
        <f t="shared" si="186"/>
        <v>0</v>
      </c>
      <c r="R461" s="91">
        <f t="shared" si="186"/>
        <v>0</v>
      </c>
      <c r="S461" s="92">
        <f t="shared" si="186"/>
        <v>0</v>
      </c>
      <c r="T461" s="91">
        <f t="shared" si="186"/>
        <v>0</v>
      </c>
      <c r="U461" s="91">
        <f t="shared" si="186"/>
        <v>0</v>
      </c>
      <c r="V461" s="206">
        <f t="shared" si="186"/>
        <v>0</v>
      </c>
      <c r="W461" s="33" t="str">
        <f t="shared" si="185"/>
        <v/>
      </c>
      <c r="X461" s="92">
        <f>SUM(X427:X460)</f>
        <v>0</v>
      </c>
      <c r="Y461" s="92">
        <f>SUM(Y427:Y460)</f>
        <v>0</v>
      </c>
      <c r="Z461" s="92">
        <f>SUM(Z427:Z460)</f>
        <v>0</v>
      </c>
      <c r="AA461" s="92">
        <f>SUM(AA427:AA460)</f>
        <v>0</v>
      </c>
      <c r="AB461" s="75"/>
      <c r="AC461" s="270">
        <f>SUM(AC427:AC460)</f>
        <v>0</v>
      </c>
      <c r="AD461" s="251"/>
      <c r="AE461" s="74"/>
      <c r="AF461" s="74"/>
      <c r="AG461" s="74"/>
      <c r="AH461" s="7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 ht="17.25">
      <c r="A462" s="320">
        <v>30100038</v>
      </c>
      <c r="B462" s="62" t="s">
        <v>93</v>
      </c>
      <c r="C462" s="16" t="s">
        <v>94</v>
      </c>
      <c r="D462" s="17">
        <v>5.03</v>
      </c>
      <c r="E462" s="17"/>
      <c r="F462" s="6"/>
      <c r="G462" s="93">
        <f>SUM('3:4'!G462)</f>
        <v>0</v>
      </c>
      <c r="H462" s="246">
        <f>D462*G462</f>
        <v>0</v>
      </c>
      <c r="I462" s="93">
        <f>SUM('3:4'!I462)</f>
        <v>0</v>
      </c>
      <c r="J462" s="31" t="str">
        <f t="array" ref="J462">IF(ISERROR(G462/I462),"",G462/I462)</f>
        <v/>
      </c>
      <c r="K462" s="35">
        <f t="array" ref="K462">IF(ISERROR(G462/L462),"",G462/L462)</f>
        <v>0</v>
      </c>
      <c r="L462" s="87">
        <v>25</v>
      </c>
      <c r="M462" s="36">
        <f t="shared" ref="M462:M476" si="187">IF(ISERROR(I462-K462),"",I462-K462)</f>
        <v>0</v>
      </c>
      <c r="N462" s="31">
        <f t="shared" ref="N462:N476" si="188">SUM(O462:U462)</f>
        <v>0</v>
      </c>
      <c r="O462" s="93">
        <f>SUM('3:4'!O462)</f>
        <v>0</v>
      </c>
      <c r="P462" s="93">
        <f>SUM('3:4'!P462)</f>
        <v>0</v>
      </c>
      <c r="Q462" s="93">
        <f>SUM('3:4'!Q462)</f>
        <v>0</v>
      </c>
      <c r="R462" s="93">
        <f>SUM('3:4'!R462)</f>
        <v>0</v>
      </c>
      <c r="S462" s="93">
        <f>SUM('3:4'!S462)</f>
        <v>0</v>
      </c>
      <c r="T462" s="93">
        <f>SUM('3:4'!T462)</f>
        <v>0</v>
      </c>
      <c r="U462" s="93">
        <f>SUM('3:4'!U462)</f>
        <v>0</v>
      </c>
      <c r="V462" s="206">
        <f t="shared" ref="V462:V476" si="189">SUM(X462:AA462)</f>
        <v>0</v>
      </c>
      <c r="W462" s="33" t="str">
        <f t="shared" si="185"/>
        <v/>
      </c>
      <c r="X462" s="93">
        <f>SUM('3:4'!X462)</f>
        <v>0</v>
      </c>
      <c r="Y462" s="93">
        <f>SUM('3:4'!Y462)</f>
        <v>0</v>
      </c>
      <c r="Z462" s="93">
        <f>SUM('3:4'!Z462)</f>
        <v>0</v>
      </c>
      <c r="AA462" s="93">
        <f>SUM('3:4'!AA462)</f>
        <v>0</v>
      </c>
      <c r="AB462" s="358">
        <v>0.41</v>
      </c>
      <c r="AC462" s="269">
        <f t="shared" si="170"/>
        <v>0</v>
      </c>
      <c r="AD462" s="251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 ht="17.25">
      <c r="A463" s="320">
        <v>30100037</v>
      </c>
      <c r="B463" s="62" t="s">
        <v>93</v>
      </c>
      <c r="C463" s="16" t="s">
        <v>74</v>
      </c>
      <c r="D463" s="17">
        <v>5.03</v>
      </c>
      <c r="E463" s="17"/>
      <c r="F463" s="6"/>
      <c r="G463" s="93">
        <f>SUM('3:4'!G463)</f>
        <v>0</v>
      </c>
      <c r="H463" s="246">
        <f t="shared" ref="H463:H476" si="190">D463*G463</f>
        <v>0</v>
      </c>
      <c r="I463" s="93">
        <f>SUM('3:4'!I463)</f>
        <v>0</v>
      </c>
      <c r="J463" s="31" t="str">
        <f t="array" ref="J463">IF(ISERROR(G463/I463),"",G463/I463)</f>
        <v/>
      </c>
      <c r="K463" s="35">
        <f t="array" ref="K463">IF(ISERROR(G463/L463),"",G463/L463)</f>
        <v>0</v>
      </c>
      <c r="L463" s="87">
        <v>25</v>
      </c>
      <c r="M463" s="36">
        <f t="shared" si="187"/>
        <v>0</v>
      </c>
      <c r="N463" s="31">
        <f t="shared" si="188"/>
        <v>0</v>
      </c>
      <c r="O463" s="93">
        <f>SUM('3:4'!O463)</f>
        <v>0</v>
      </c>
      <c r="P463" s="93">
        <f>SUM('3:4'!P463)</f>
        <v>0</v>
      </c>
      <c r="Q463" s="93">
        <f>SUM('3:4'!Q463)</f>
        <v>0</v>
      </c>
      <c r="R463" s="93">
        <f>SUM('3:4'!R463)</f>
        <v>0</v>
      </c>
      <c r="S463" s="93">
        <f>SUM('3:4'!S463)</f>
        <v>0</v>
      </c>
      <c r="T463" s="93">
        <f>SUM('3:4'!T463)</f>
        <v>0</v>
      </c>
      <c r="U463" s="93">
        <f>SUM('3:4'!U463)</f>
        <v>0</v>
      </c>
      <c r="V463" s="206">
        <f t="shared" si="189"/>
        <v>0</v>
      </c>
      <c r="W463" s="33" t="str">
        <f t="shared" si="185"/>
        <v/>
      </c>
      <c r="X463" s="93">
        <f>SUM('3:4'!X463)</f>
        <v>0</v>
      </c>
      <c r="Y463" s="93">
        <f>SUM('3:4'!Y463)</f>
        <v>0</v>
      </c>
      <c r="Z463" s="93">
        <f>SUM('3:4'!Z463)</f>
        <v>0</v>
      </c>
      <c r="AA463" s="93">
        <f>SUM('3:4'!AA463)</f>
        <v>0</v>
      </c>
      <c r="AB463" s="358">
        <v>0.41</v>
      </c>
      <c r="AC463" s="269">
        <f t="shared" si="170"/>
        <v>0</v>
      </c>
      <c r="AD463" s="251"/>
      <c r="AE463" s="54"/>
      <c r="AF463" s="54"/>
      <c r="AG463" s="54"/>
      <c r="AH463" s="5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 ht="17.25">
      <c r="A464" s="320">
        <v>30100051</v>
      </c>
      <c r="B464" s="62" t="s">
        <v>58</v>
      </c>
      <c r="C464" s="16" t="s">
        <v>65</v>
      </c>
      <c r="D464" s="17">
        <v>5.04</v>
      </c>
      <c r="E464" s="17"/>
      <c r="F464" s="6"/>
      <c r="G464" s="93">
        <f>SUM('3:4'!G464)</f>
        <v>0</v>
      </c>
      <c r="H464" s="246">
        <f t="shared" si="190"/>
        <v>0</v>
      </c>
      <c r="I464" s="93">
        <f>SUM('3:4'!I464)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20</v>
      </c>
      <c r="M464" s="36">
        <f t="shared" si="187"/>
        <v>0</v>
      </c>
      <c r="N464" s="31">
        <f t="shared" si="188"/>
        <v>0</v>
      </c>
      <c r="O464" s="93">
        <f>SUM('3:4'!O464)</f>
        <v>0</v>
      </c>
      <c r="P464" s="93">
        <f>SUM('3:4'!P464)</f>
        <v>0</v>
      </c>
      <c r="Q464" s="93">
        <f>SUM('3:4'!Q464)</f>
        <v>0</v>
      </c>
      <c r="R464" s="93">
        <f>SUM('3:4'!R464)</f>
        <v>0</v>
      </c>
      <c r="S464" s="93">
        <f>SUM('3:4'!S464)</f>
        <v>0</v>
      </c>
      <c r="T464" s="93">
        <f>SUM('3:4'!T464)</f>
        <v>0</v>
      </c>
      <c r="U464" s="93">
        <f>SUM('3:4'!U464)</f>
        <v>0</v>
      </c>
      <c r="V464" s="206">
        <f t="shared" si="189"/>
        <v>0</v>
      </c>
      <c r="W464" s="33" t="str">
        <f t="shared" si="185"/>
        <v/>
      </c>
      <c r="X464" s="93">
        <f>SUM('3:4'!X464)</f>
        <v>0</v>
      </c>
      <c r="Y464" s="93">
        <f>SUM('3:4'!Y464)</f>
        <v>0</v>
      </c>
      <c r="Z464" s="93">
        <f>SUM('3:4'!Z464)</f>
        <v>0</v>
      </c>
      <c r="AA464" s="93">
        <f>SUM('3:4'!AA464)</f>
        <v>0</v>
      </c>
      <c r="AB464" s="358">
        <v>0.52</v>
      </c>
      <c r="AC464" s="269">
        <f t="shared" si="170"/>
        <v>0</v>
      </c>
      <c r="AD464" s="251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 ht="17.25">
      <c r="A465" s="320"/>
      <c r="B465" s="63" t="s">
        <v>95</v>
      </c>
      <c r="C465" s="16" t="s">
        <v>82</v>
      </c>
      <c r="D465" s="17">
        <v>5.03</v>
      </c>
      <c r="E465" s="17"/>
      <c r="F465" s="6"/>
      <c r="G465" s="93">
        <f>SUM('3:4'!G465)</f>
        <v>0</v>
      </c>
      <c r="H465" s="246">
        <f t="shared" si="190"/>
        <v>0</v>
      </c>
      <c r="I465" s="93">
        <f>SUM('3:4'!I465)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4</v>
      </c>
      <c r="M465" s="36">
        <f t="shared" si="187"/>
        <v>0</v>
      </c>
      <c r="N465" s="31">
        <f t="shared" si="188"/>
        <v>0</v>
      </c>
      <c r="O465" s="93">
        <f>SUM('3:4'!O465)</f>
        <v>0</v>
      </c>
      <c r="P465" s="93">
        <f>SUM('3:4'!P465)</f>
        <v>0</v>
      </c>
      <c r="Q465" s="93">
        <f>SUM('3:4'!Q465)</f>
        <v>0</v>
      </c>
      <c r="R465" s="93">
        <f>SUM('3:4'!R465)</f>
        <v>0</v>
      </c>
      <c r="S465" s="93">
        <f>SUM('3:4'!S465)</f>
        <v>0</v>
      </c>
      <c r="T465" s="93">
        <f>SUM('3:4'!T465)</f>
        <v>0</v>
      </c>
      <c r="U465" s="93">
        <f>SUM('3:4'!U465)</f>
        <v>0</v>
      </c>
      <c r="V465" s="206">
        <f t="shared" si="189"/>
        <v>0</v>
      </c>
      <c r="W465" s="33" t="str">
        <f t="shared" si="185"/>
        <v/>
      </c>
      <c r="X465" s="93">
        <f>SUM('3:4'!X465)</f>
        <v>0</v>
      </c>
      <c r="Y465" s="93">
        <f>SUM('3:4'!Y465)</f>
        <v>0</v>
      </c>
      <c r="Z465" s="93">
        <f>SUM('3:4'!Z465)</f>
        <v>0</v>
      </c>
      <c r="AA465" s="93">
        <f>SUM('3:4'!AA465)</f>
        <v>0</v>
      </c>
      <c r="AB465" s="358">
        <v>0.59</v>
      </c>
      <c r="AC465" s="269">
        <f t="shared" si="170"/>
        <v>0</v>
      </c>
      <c r="AD465" s="251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 ht="15.75">
      <c r="A466" s="299">
        <v>30100054</v>
      </c>
      <c r="B466" s="63" t="s">
        <v>95</v>
      </c>
      <c r="C466" s="247" t="s">
        <v>72</v>
      </c>
      <c r="D466" s="17">
        <v>5.03</v>
      </c>
      <c r="E466" s="17"/>
      <c r="F466" s="6"/>
      <c r="G466" s="93">
        <f>SUM('3:4'!G466)</f>
        <v>0</v>
      </c>
      <c r="H466" s="246">
        <f t="shared" si="190"/>
        <v>0</v>
      </c>
      <c r="I466" s="93">
        <f>SUM('3:4'!I466)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4</v>
      </c>
      <c r="M466" s="36">
        <f t="shared" si="187"/>
        <v>0</v>
      </c>
      <c r="N466" s="31">
        <f t="shared" si="188"/>
        <v>0</v>
      </c>
      <c r="O466" s="93">
        <f>SUM('3:4'!O466)</f>
        <v>0</v>
      </c>
      <c r="P466" s="93">
        <f>SUM('3:4'!P466)</f>
        <v>0</v>
      </c>
      <c r="Q466" s="93">
        <f>SUM('3:4'!Q466)</f>
        <v>0</v>
      </c>
      <c r="R466" s="93">
        <f>SUM('3:4'!R466)</f>
        <v>0</v>
      </c>
      <c r="S466" s="93">
        <f>SUM('3:4'!S466)</f>
        <v>0</v>
      </c>
      <c r="T466" s="93">
        <f>SUM('3:4'!T466)</f>
        <v>0</v>
      </c>
      <c r="U466" s="93">
        <f>SUM('3:4'!U466)</f>
        <v>0</v>
      </c>
      <c r="V466" s="206">
        <f t="shared" si="189"/>
        <v>0</v>
      </c>
      <c r="W466" s="33" t="str">
        <f t="shared" si="185"/>
        <v/>
      </c>
      <c r="X466" s="93">
        <f>SUM('3:4'!X466)</f>
        <v>0</v>
      </c>
      <c r="Y466" s="93">
        <f>SUM('3:4'!Y466)</f>
        <v>0</v>
      </c>
      <c r="Z466" s="93">
        <f>SUM('3:4'!Z466)</f>
        <v>0</v>
      </c>
      <c r="AA466" s="93">
        <f>SUM('3:4'!AA466)</f>
        <v>0</v>
      </c>
      <c r="AB466" s="358">
        <v>0.59</v>
      </c>
      <c r="AC466" s="269">
        <f t="shared" si="170"/>
        <v>0</v>
      </c>
      <c r="AD466" s="251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 ht="15.75">
      <c r="A467" s="299">
        <v>30100053</v>
      </c>
      <c r="B467" s="63" t="s">
        <v>95</v>
      </c>
      <c r="C467" s="16" t="s">
        <v>73</v>
      </c>
      <c r="D467" s="17">
        <v>5.03</v>
      </c>
      <c r="E467" s="17"/>
      <c r="F467" s="6"/>
      <c r="G467" s="93">
        <f>SUM('3:4'!G467)</f>
        <v>0</v>
      </c>
      <c r="H467" s="246">
        <f t="shared" si="190"/>
        <v>0</v>
      </c>
      <c r="I467" s="93">
        <f>SUM('3:4'!I467)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87"/>
        <v>0</v>
      </c>
      <c r="N467" s="31">
        <f t="shared" si="188"/>
        <v>0</v>
      </c>
      <c r="O467" s="93">
        <f>SUM('3:4'!O467)</f>
        <v>0</v>
      </c>
      <c r="P467" s="93">
        <f>SUM('3:4'!P467)</f>
        <v>0</v>
      </c>
      <c r="Q467" s="93">
        <f>SUM('3:4'!Q467)</f>
        <v>0</v>
      </c>
      <c r="R467" s="93">
        <f>SUM('3:4'!R467)</f>
        <v>0</v>
      </c>
      <c r="S467" s="93">
        <f>SUM('3:4'!S467)</f>
        <v>0</v>
      </c>
      <c r="T467" s="93">
        <f>SUM('3:4'!T467)</f>
        <v>0</v>
      </c>
      <c r="U467" s="93">
        <f>SUM('3:4'!U467)</f>
        <v>0</v>
      </c>
      <c r="V467" s="206">
        <f t="shared" si="189"/>
        <v>0</v>
      </c>
      <c r="W467" s="33" t="str">
        <f t="shared" si="185"/>
        <v/>
      </c>
      <c r="X467" s="93">
        <f>SUM('3:4'!X467)</f>
        <v>0</v>
      </c>
      <c r="Y467" s="93">
        <f>SUM('3:4'!Y467)</f>
        <v>0</v>
      </c>
      <c r="Z467" s="93">
        <f>SUM('3:4'!Z467)</f>
        <v>0</v>
      </c>
      <c r="AA467" s="93">
        <f>SUM('3:4'!AA467)</f>
        <v>0</v>
      </c>
      <c r="AB467" s="358">
        <v>0.59</v>
      </c>
      <c r="AC467" s="269">
        <f t="shared" si="170"/>
        <v>0</v>
      </c>
      <c r="AD467" s="251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 ht="17.25">
      <c r="A468" s="320"/>
      <c r="B468" s="63" t="s">
        <v>95</v>
      </c>
      <c r="C468" s="16" t="s">
        <v>60</v>
      </c>
      <c r="D468" s="17">
        <v>5.03</v>
      </c>
      <c r="E468" s="17"/>
      <c r="F468" s="6"/>
      <c r="G468" s="93">
        <f>SUM('3:4'!G468)</f>
        <v>0</v>
      </c>
      <c r="H468" s="246">
        <f t="shared" si="190"/>
        <v>0</v>
      </c>
      <c r="I468" s="93">
        <f>SUM('3:4'!I468)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87"/>
        <v>0</v>
      </c>
      <c r="N468" s="31">
        <f t="shared" si="188"/>
        <v>0</v>
      </c>
      <c r="O468" s="93">
        <f>SUM('3:4'!O468)</f>
        <v>0</v>
      </c>
      <c r="P468" s="93">
        <f>SUM('3:4'!P468)</f>
        <v>0</v>
      </c>
      <c r="Q468" s="93">
        <f>SUM('3:4'!Q468)</f>
        <v>0</v>
      </c>
      <c r="R468" s="93">
        <f>SUM('3:4'!R468)</f>
        <v>0</v>
      </c>
      <c r="S468" s="93">
        <f>SUM('3:4'!S468)</f>
        <v>0</v>
      </c>
      <c r="T468" s="93">
        <f>SUM('3:4'!T468)</f>
        <v>0</v>
      </c>
      <c r="U468" s="93">
        <f>SUM('3:4'!U468)</f>
        <v>0</v>
      </c>
      <c r="V468" s="206">
        <f t="shared" si="189"/>
        <v>0</v>
      </c>
      <c r="W468" s="33" t="str">
        <f t="shared" si="185"/>
        <v/>
      </c>
      <c r="X468" s="93">
        <f>SUM('3:4'!X468)</f>
        <v>0</v>
      </c>
      <c r="Y468" s="93">
        <f>SUM('3:4'!Y468)</f>
        <v>0</v>
      </c>
      <c r="Z468" s="93">
        <f>SUM('3:4'!Z468)</f>
        <v>0</v>
      </c>
      <c r="AA468" s="93">
        <f>SUM('3:4'!AA468)</f>
        <v>0</v>
      </c>
      <c r="AB468" s="358">
        <v>0.59</v>
      </c>
      <c r="AC468" s="269">
        <f t="shared" si="170"/>
        <v>0</v>
      </c>
      <c r="AD468" s="251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 ht="17.25">
      <c r="A469" s="320"/>
      <c r="B469" s="63" t="s">
        <v>95</v>
      </c>
      <c r="C469" s="247" t="s">
        <v>96</v>
      </c>
      <c r="D469" s="17">
        <v>5.03</v>
      </c>
      <c r="E469" s="17"/>
      <c r="F469" s="6"/>
      <c r="G469" s="93">
        <f>SUM('3:4'!G469)</f>
        <v>0</v>
      </c>
      <c r="H469" s="246">
        <f t="shared" si="190"/>
        <v>0</v>
      </c>
      <c r="I469" s="93">
        <f>SUM('3:4'!I469)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87"/>
        <v>0</v>
      </c>
      <c r="N469" s="31">
        <f t="shared" si="188"/>
        <v>0</v>
      </c>
      <c r="O469" s="93">
        <f>SUM('3:4'!O469)</f>
        <v>0</v>
      </c>
      <c r="P469" s="93">
        <f>SUM('3:4'!P469)</f>
        <v>0</v>
      </c>
      <c r="Q469" s="93">
        <f>SUM('3:4'!Q469)</f>
        <v>0</v>
      </c>
      <c r="R469" s="93">
        <f>SUM('3:4'!R469)</f>
        <v>0</v>
      </c>
      <c r="S469" s="93">
        <f>SUM('3:4'!S469)</f>
        <v>0</v>
      </c>
      <c r="T469" s="93">
        <f>SUM('3:4'!T469)</f>
        <v>0</v>
      </c>
      <c r="U469" s="93">
        <f>SUM('3:4'!U469)</f>
        <v>0</v>
      </c>
      <c r="V469" s="206">
        <f t="shared" si="189"/>
        <v>0</v>
      </c>
      <c r="W469" s="33" t="str">
        <f t="shared" si="185"/>
        <v/>
      </c>
      <c r="X469" s="93">
        <f>SUM('3:4'!X469)</f>
        <v>0</v>
      </c>
      <c r="Y469" s="93">
        <f>SUM('3:4'!Y469)</f>
        <v>0</v>
      </c>
      <c r="Z469" s="93">
        <f>SUM('3:4'!Z469)</f>
        <v>0</v>
      </c>
      <c r="AA469" s="93">
        <f>SUM('3:4'!AA469)</f>
        <v>0</v>
      </c>
      <c r="AB469" s="358">
        <v>0.59</v>
      </c>
      <c r="AC469" s="269">
        <f t="shared" si="170"/>
        <v>0</v>
      </c>
      <c r="AD469" s="251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 ht="17.25">
      <c r="A470" s="320">
        <v>30101067</v>
      </c>
      <c r="B470" s="63" t="s">
        <v>97</v>
      </c>
      <c r="C470" s="247" t="s">
        <v>82</v>
      </c>
      <c r="D470" s="17">
        <v>5.03</v>
      </c>
      <c r="E470" s="17"/>
      <c r="F470" s="6"/>
      <c r="G470" s="93">
        <f>SUM('3:4'!G470)</f>
        <v>0</v>
      </c>
      <c r="H470" s="246">
        <f t="shared" si="190"/>
        <v>0</v>
      </c>
      <c r="I470" s="93">
        <f>SUM('3:4'!I470)</f>
        <v>0</v>
      </c>
      <c r="J470" s="31" t="str">
        <f t="array" ref="J470">IF(ISERROR(G470/I470),"",G470/I470)</f>
        <v/>
      </c>
      <c r="K470" s="35" t="str">
        <f t="array" ref="K470">IF(ISERROR(G470/L470),"",G470/L470)</f>
        <v/>
      </c>
      <c r="L470" s="87"/>
      <c r="M470" s="36" t="str">
        <f t="shared" si="187"/>
        <v/>
      </c>
      <c r="N470" s="31">
        <f t="shared" si="188"/>
        <v>0</v>
      </c>
      <c r="O470" s="93">
        <f>SUM('3:4'!O470)</f>
        <v>0</v>
      </c>
      <c r="P470" s="93">
        <f>SUM('3:4'!P470)</f>
        <v>0</v>
      </c>
      <c r="Q470" s="93">
        <f>SUM('3:4'!Q470)</f>
        <v>0</v>
      </c>
      <c r="R470" s="93">
        <f>SUM('3:4'!R470)</f>
        <v>0</v>
      </c>
      <c r="S470" s="93">
        <f>SUM('3:4'!S470)</f>
        <v>0</v>
      </c>
      <c r="T470" s="93">
        <f>SUM('3:4'!T470)</f>
        <v>0</v>
      </c>
      <c r="U470" s="93">
        <f>SUM('3:4'!U470)</f>
        <v>0</v>
      </c>
      <c r="V470" s="206">
        <f t="shared" si="189"/>
        <v>0</v>
      </c>
      <c r="W470" s="33" t="str">
        <f t="shared" si="185"/>
        <v/>
      </c>
      <c r="X470" s="93">
        <f>SUM('3:4'!X470)</f>
        <v>0</v>
      </c>
      <c r="Y470" s="93">
        <f>SUM('3:4'!Y470)</f>
        <v>0</v>
      </c>
      <c r="Z470" s="93">
        <f>SUM('3:4'!Z470)</f>
        <v>0</v>
      </c>
      <c r="AA470" s="93">
        <f>SUM('3:4'!AA470)</f>
        <v>0</v>
      </c>
      <c r="AB470" s="358"/>
      <c r="AC470" s="269">
        <f t="shared" si="170"/>
        <v>0</v>
      </c>
      <c r="AD470" s="251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 ht="17.25">
      <c r="A471" s="320">
        <v>30101068</v>
      </c>
      <c r="B471" s="63" t="s">
        <v>97</v>
      </c>
      <c r="C471" s="247" t="s">
        <v>72</v>
      </c>
      <c r="D471" s="17">
        <v>5.03</v>
      </c>
      <c r="E471" s="17"/>
      <c r="F471" s="6"/>
      <c r="G471" s="93">
        <f>SUM('3:4'!G471)</f>
        <v>0</v>
      </c>
      <c r="H471" s="246">
        <f t="shared" si="190"/>
        <v>0</v>
      </c>
      <c r="I471" s="93">
        <f>SUM('3:4'!I471)</f>
        <v>0</v>
      </c>
      <c r="J471" s="31" t="str">
        <f t="array" ref="J471">IF(ISERROR(G471/I471),"",G471/I471)</f>
        <v/>
      </c>
      <c r="K471" s="35" t="str">
        <f t="array" ref="K471">IF(ISERROR(G471/L471),"",G471/L471)</f>
        <v/>
      </c>
      <c r="L471" s="87"/>
      <c r="M471" s="36" t="str">
        <f t="shared" si="187"/>
        <v/>
      </c>
      <c r="N471" s="31">
        <f t="shared" si="188"/>
        <v>0</v>
      </c>
      <c r="O471" s="93">
        <f>SUM('3:4'!O471)</f>
        <v>0</v>
      </c>
      <c r="P471" s="93">
        <f>SUM('3:4'!P471)</f>
        <v>0</v>
      </c>
      <c r="Q471" s="93">
        <f>SUM('3:4'!Q471)</f>
        <v>0</v>
      </c>
      <c r="R471" s="93">
        <f>SUM('3:4'!R471)</f>
        <v>0</v>
      </c>
      <c r="S471" s="93">
        <f>SUM('3:4'!S471)</f>
        <v>0</v>
      </c>
      <c r="T471" s="93">
        <f>SUM('3:4'!T471)</f>
        <v>0</v>
      </c>
      <c r="U471" s="93">
        <f>SUM('3:4'!U471)</f>
        <v>0</v>
      </c>
      <c r="V471" s="206">
        <f t="shared" si="189"/>
        <v>0</v>
      </c>
      <c r="W471" s="33" t="str">
        <f t="shared" si="185"/>
        <v/>
      </c>
      <c r="X471" s="93">
        <f>SUM('3:4'!X471)</f>
        <v>0</v>
      </c>
      <c r="Y471" s="93">
        <f>SUM('3:4'!Y471)</f>
        <v>0</v>
      </c>
      <c r="Z471" s="93">
        <f>SUM('3:4'!Z471)</f>
        <v>0</v>
      </c>
      <c r="AA471" s="93">
        <f>SUM('3:4'!AA471)</f>
        <v>0</v>
      </c>
      <c r="AB471" s="358"/>
      <c r="AC471" s="269">
        <f t="shared" si="170"/>
        <v>0</v>
      </c>
      <c r="AD471" s="251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 ht="17.25">
      <c r="A472" s="320">
        <v>30101069</v>
      </c>
      <c r="B472" s="63" t="s">
        <v>97</v>
      </c>
      <c r="C472" s="247" t="s">
        <v>60</v>
      </c>
      <c r="D472" s="17">
        <v>5.03</v>
      </c>
      <c r="E472" s="17"/>
      <c r="F472" s="6"/>
      <c r="G472" s="93">
        <f>SUM('3:4'!G472)</f>
        <v>0</v>
      </c>
      <c r="H472" s="246">
        <f t="shared" si="190"/>
        <v>0</v>
      </c>
      <c r="I472" s="93">
        <f>SUM('3:4'!I472)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87"/>
        <v/>
      </c>
      <c r="N472" s="31">
        <f t="shared" si="188"/>
        <v>0</v>
      </c>
      <c r="O472" s="93">
        <f>SUM('3:4'!O472)</f>
        <v>0</v>
      </c>
      <c r="P472" s="93">
        <f>SUM('3:4'!P472)</f>
        <v>0</v>
      </c>
      <c r="Q472" s="93">
        <f>SUM('3:4'!Q472)</f>
        <v>0</v>
      </c>
      <c r="R472" s="93">
        <f>SUM('3:4'!R472)</f>
        <v>0</v>
      </c>
      <c r="S472" s="93">
        <f>SUM('3:4'!S472)</f>
        <v>0</v>
      </c>
      <c r="T472" s="93">
        <f>SUM('3:4'!T472)</f>
        <v>0</v>
      </c>
      <c r="U472" s="93">
        <f>SUM('3:4'!U472)</f>
        <v>0</v>
      </c>
      <c r="V472" s="206">
        <f t="shared" si="189"/>
        <v>0</v>
      </c>
      <c r="W472" s="33" t="str">
        <f t="shared" si="185"/>
        <v/>
      </c>
      <c r="X472" s="93">
        <f>SUM('3:4'!X472)</f>
        <v>0</v>
      </c>
      <c r="Y472" s="93">
        <f>SUM('3:4'!Y472)</f>
        <v>0</v>
      </c>
      <c r="Z472" s="93">
        <f>SUM('3:4'!Z472)</f>
        <v>0</v>
      </c>
      <c r="AA472" s="93">
        <f>SUM('3:4'!AA472)</f>
        <v>0</v>
      </c>
      <c r="AB472" s="358"/>
      <c r="AC472" s="269">
        <f t="shared" si="170"/>
        <v>0</v>
      </c>
      <c r="AD472" s="251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 ht="17.25">
      <c r="A473" s="320">
        <v>30101070</v>
      </c>
      <c r="B473" s="63" t="s">
        <v>97</v>
      </c>
      <c r="C473" s="247" t="s">
        <v>96</v>
      </c>
      <c r="D473" s="17">
        <v>5.03</v>
      </c>
      <c r="E473" s="17"/>
      <c r="F473" s="6"/>
      <c r="G473" s="93">
        <f>SUM('3:4'!G473)</f>
        <v>0</v>
      </c>
      <c r="H473" s="246">
        <f t="shared" si="190"/>
        <v>0</v>
      </c>
      <c r="I473" s="93">
        <f>SUM('3:4'!I473)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87"/>
        <v/>
      </c>
      <c r="N473" s="31">
        <f t="shared" si="188"/>
        <v>0</v>
      </c>
      <c r="O473" s="93">
        <f>SUM('3:4'!O473)</f>
        <v>0</v>
      </c>
      <c r="P473" s="93">
        <f>SUM('3:4'!P473)</f>
        <v>0</v>
      </c>
      <c r="Q473" s="93">
        <f>SUM('3:4'!Q473)</f>
        <v>0</v>
      </c>
      <c r="R473" s="93">
        <f>SUM('3:4'!R473)</f>
        <v>0</v>
      </c>
      <c r="S473" s="93">
        <f>SUM('3:4'!S473)</f>
        <v>0</v>
      </c>
      <c r="T473" s="93">
        <f>SUM('3:4'!T473)</f>
        <v>0</v>
      </c>
      <c r="U473" s="93">
        <f>SUM('3:4'!U473)</f>
        <v>0</v>
      </c>
      <c r="V473" s="206">
        <f t="shared" si="189"/>
        <v>0</v>
      </c>
      <c r="W473" s="33" t="str">
        <f t="shared" si="185"/>
        <v/>
      </c>
      <c r="X473" s="93">
        <f>SUM('3:4'!X473)</f>
        <v>0</v>
      </c>
      <c r="Y473" s="93">
        <f>SUM('3:4'!Y473)</f>
        <v>0</v>
      </c>
      <c r="Z473" s="93">
        <f>SUM('3:4'!Z473)</f>
        <v>0</v>
      </c>
      <c r="AA473" s="93">
        <f>SUM('3:4'!AA473)</f>
        <v>0</v>
      </c>
      <c r="AB473" s="358"/>
      <c r="AC473" s="269">
        <f t="shared" si="170"/>
        <v>0</v>
      </c>
      <c r="AD473" s="251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 ht="17.25">
      <c r="A474" s="320">
        <v>30101071</v>
      </c>
      <c r="B474" s="63" t="s">
        <v>97</v>
      </c>
      <c r="C474" s="247" t="s">
        <v>73</v>
      </c>
      <c r="D474" s="17">
        <v>5.03</v>
      </c>
      <c r="E474" s="17"/>
      <c r="F474" s="6"/>
      <c r="G474" s="93">
        <f>SUM('3:4'!G474)</f>
        <v>0</v>
      </c>
      <c r="H474" s="246">
        <f t="shared" si="190"/>
        <v>0</v>
      </c>
      <c r="I474" s="93">
        <f>SUM('3:4'!I474)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87"/>
        <v/>
      </c>
      <c r="N474" s="31">
        <f t="shared" si="188"/>
        <v>0</v>
      </c>
      <c r="O474" s="93">
        <f>SUM('3:4'!O474)</f>
        <v>0</v>
      </c>
      <c r="P474" s="93">
        <f>SUM('3:4'!P474)</f>
        <v>0</v>
      </c>
      <c r="Q474" s="93">
        <f>SUM('3:4'!Q474)</f>
        <v>0</v>
      </c>
      <c r="R474" s="93">
        <f>SUM('3:4'!R474)</f>
        <v>0</v>
      </c>
      <c r="S474" s="93">
        <f>SUM('3:4'!S474)</f>
        <v>0</v>
      </c>
      <c r="T474" s="93">
        <f>SUM('3:4'!T474)</f>
        <v>0</v>
      </c>
      <c r="U474" s="93">
        <f>SUM('3:4'!U474)</f>
        <v>0</v>
      </c>
      <c r="V474" s="206">
        <f t="shared" si="189"/>
        <v>0</v>
      </c>
      <c r="W474" s="33" t="str">
        <f t="shared" si="185"/>
        <v/>
      </c>
      <c r="X474" s="93">
        <f>SUM('3:4'!X474)</f>
        <v>0</v>
      </c>
      <c r="Y474" s="93">
        <f>SUM('3:4'!Y474)</f>
        <v>0</v>
      </c>
      <c r="Z474" s="93">
        <f>SUM('3:4'!Z474)</f>
        <v>0</v>
      </c>
      <c r="AA474" s="93">
        <f>SUM('3:4'!AA474)</f>
        <v>0</v>
      </c>
      <c r="AB474" s="358"/>
      <c r="AC474" s="269">
        <f t="shared" si="170"/>
        <v>0</v>
      </c>
      <c r="AD474" s="251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 ht="17.25">
      <c r="A475" s="316">
        <v>30100001</v>
      </c>
      <c r="B475" s="62" t="s">
        <v>98</v>
      </c>
      <c r="C475" s="16" t="s">
        <v>74</v>
      </c>
      <c r="D475" s="17">
        <v>5.0599999999999996</v>
      </c>
      <c r="E475" s="17"/>
      <c r="F475" s="6"/>
      <c r="G475" s="93">
        <f>SUM('3:4'!G475)</f>
        <v>0</v>
      </c>
      <c r="H475" s="246">
        <f t="shared" si="190"/>
        <v>0</v>
      </c>
      <c r="I475" s="93">
        <f>SUM('3:4'!I475)</f>
        <v>0</v>
      </c>
      <c r="J475" s="31" t="str">
        <f t="array" ref="J475">IF(ISERROR(G475/I475),"",G475/I475)</f>
        <v/>
      </c>
      <c r="K475" s="35">
        <f t="array" ref="K475">IF(ISERROR(G475/L475),"",G475/L475)</f>
        <v>0</v>
      </c>
      <c r="L475" s="87">
        <v>25</v>
      </c>
      <c r="M475" s="36">
        <f t="shared" si="187"/>
        <v>0</v>
      </c>
      <c r="N475" s="31">
        <f t="shared" si="188"/>
        <v>0</v>
      </c>
      <c r="O475" s="93">
        <f>SUM('3:4'!O475)</f>
        <v>0</v>
      </c>
      <c r="P475" s="93">
        <f>SUM('3:4'!P475)</f>
        <v>0</v>
      </c>
      <c r="Q475" s="93">
        <f>SUM('3:4'!Q475)</f>
        <v>0</v>
      </c>
      <c r="R475" s="93">
        <f>SUM('3:4'!R475)</f>
        <v>0</v>
      </c>
      <c r="S475" s="93">
        <f>SUM('3:4'!S475)</f>
        <v>0</v>
      </c>
      <c r="T475" s="93">
        <f>SUM('3:4'!T475)</f>
        <v>0</v>
      </c>
      <c r="U475" s="93">
        <f>SUM('3:4'!U475)</f>
        <v>0</v>
      </c>
      <c r="V475" s="206">
        <f t="shared" si="189"/>
        <v>0</v>
      </c>
      <c r="W475" s="33" t="str">
        <f t="shared" si="185"/>
        <v/>
      </c>
      <c r="X475" s="93">
        <f>SUM('3:4'!X475)</f>
        <v>0</v>
      </c>
      <c r="Y475" s="93">
        <f>SUM('3:4'!Y475)</f>
        <v>0</v>
      </c>
      <c r="Z475" s="93">
        <f>SUM('3:4'!Z475)</f>
        <v>0</v>
      </c>
      <c r="AA475" s="93">
        <f>SUM('3:4'!AA475)</f>
        <v>0</v>
      </c>
      <c r="AB475" s="358">
        <v>0.43</v>
      </c>
      <c r="AC475" s="269">
        <f t="shared" si="170"/>
        <v>0</v>
      </c>
      <c r="AD475" s="251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 ht="17.25">
      <c r="A476" s="316">
        <v>30100002</v>
      </c>
      <c r="B476" s="62" t="s">
        <v>98</v>
      </c>
      <c r="C476" s="16" t="s">
        <v>94</v>
      </c>
      <c r="D476" s="17">
        <v>5.0599999999999996</v>
      </c>
      <c r="E476" s="17"/>
      <c r="F476" s="6"/>
      <c r="G476" s="93">
        <f>SUM('3:4'!G476)</f>
        <v>0</v>
      </c>
      <c r="H476" s="246">
        <f t="shared" si="190"/>
        <v>0</v>
      </c>
      <c r="I476" s="93">
        <f>SUM('3:4'!I476)</f>
        <v>0</v>
      </c>
      <c r="J476" s="31" t="str">
        <f t="array" ref="J476">IF(ISERROR(G476/I476),"",G476/I476)</f>
        <v/>
      </c>
      <c r="K476" s="35">
        <f t="array" ref="K476">IF(ISERROR(G476/L476),"",G476/L476)</f>
        <v>0</v>
      </c>
      <c r="L476" s="87">
        <v>25</v>
      </c>
      <c r="M476" s="36">
        <f t="shared" si="187"/>
        <v>0</v>
      </c>
      <c r="N476" s="31">
        <f t="shared" si="188"/>
        <v>0</v>
      </c>
      <c r="O476" s="93">
        <f>SUM('3:4'!O476)</f>
        <v>0</v>
      </c>
      <c r="P476" s="93">
        <f>SUM('3:4'!P476)</f>
        <v>0</v>
      </c>
      <c r="Q476" s="93">
        <f>SUM('3:4'!Q476)</f>
        <v>0</v>
      </c>
      <c r="R476" s="93">
        <f>SUM('3:4'!R476)</f>
        <v>0</v>
      </c>
      <c r="S476" s="93">
        <f>SUM('3:4'!S476)</f>
        <v>0</v>
      </c>
      <c r="T476" s="93">
        <f>SUM('3:4'!T476)</f>
        <v>0</v>
      </c>
      <c r="U476" s="93">
        <f>SUM('3:4'!U476)</f>
        <v>0</v>
      </c>
      <c r="V476" s="206">
        <f t="shared" si="189"/>
        <v>0</v>
      </c>
      <c r="W476" s="33" t="str">
        <f t="shared" si="185"/>
        <v/>
      </c>
      <c r="X476" s="93">
        <f>SUM('3:4'!X476)</f>
        <v>0</v>
      </c>
      <c r="Y476" s="93">
        <f>SUM('3:4'!Y476)</f>
        <v>0</v>
      </c>
      <c r="Z476" s="93">
        <f>SUM('3:4'!Z476)</f>
        <v>0</v>
      </c>
      <c r="AA476" s="93">
        <f>SUM('3:4'!AA476)</f>
        <v>0</v>
      </c>
      <c r="AB476" s="358">
        <v>0.43</v>
      </c>
      <c r="AC476" s="269">
        <f t="shared" si="170"/>
        <v>0</v>
      </c>
      <c r="AD476" s="251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 ht="15.75">
      <c r="A477" s="725" t="s">
        <v>99</v>
      </c>
      <c r="B477" s="726"/>
      <c r="C477" s="243" t="s">
        <v>71</v>
      </c>
      <c r="D477" s="20"/>
      <c r="E477" s="20"/>
      <c r="F477" s="32"/>
      <c r="G477" s="99">
        <f>SUM(G462:G476)</f>
        <v>0</v>
      </c>
      <c r="H477" s="30">
        <f>SUM(H462:H476)</f>
        <v>0</v>
      </c>
      <c r="I477" s="30">
        <f>SUM(I462:I476)</f>
        <v>0</v>
      </c>
      <c r="J477" s="31" t="str">
        <f t="array" ref="J477">IF(ISERROR(G477/I477),"",G477/I477)</f>
        <v/>
      </c>
      <c r="K477" s="30">
        <f>SUM(K462:K476)</f>
        <v>0</v>
      </c>
      <c r="L477" s="98"/>
      <c r="M477" s="89">
        <f t="shared" ref="M477:V477" si="191">SUM(M462:M476)</f>
        <v>0</v>
      </c>
      <c r="N477" s="30">
        <f t="shared" si="191"/>
        <v>0</v>
      </c>
      <c r="O477" s="30">
        <f t="shared" si="191"/>
        <v>0</v>
      </c>
      <c r="P477" s="30">
        <f t="shared" si="191"/>
        <v>0</v>
      </c>
      <c r="Q477" s="30">
        <f t="shared" si="191"/>
        <v>0</v>
      </c>
      <c r="R477" s="30">
        <f t="shared" si="191"/>
        <v>0</v>
      </c>
      <c r="S477" s="30">
        <f t="shared" si="191"/>
        <v>0</v>
      </c>
      <c r="T477" s="30">
        <f t="shared" si="191"/>
        <v>0</v>
      </c>
      <c r="U477" s="30">
        <f t="shared" si="191"/>
        <v>0</v>
      </c>
      <c r="V477" s="208">
        <f t="shared" si="191"/>
        <v>0</v>
      </c>
      <c r="W477" s="33" t="str">
        <f t="shared" si="185"/>
        <v/>
      </c>
      <c r="X477" s="94">
        <f>SUM(X462:X476)</f>
        <v>0</v>
      </c>
      <c r="Y477" s="94">
        <f>SUM(Y462:Y476)</f>
        <v>0</v>
      </c>
      <c r="Z477" s="94">
        <f>SUM(Z462:Z476)</f>
        <v>0</v>
      </c>
      <c r="AA477" s="94">
        <f>SUM(AA462:AA476)</f>
        <v>0</v>
      </c>
      <c r="AB477" s="75"/>
      <c r="AC477" s="270">
        <f>SUM(AC462:AC476)</f>
        <v>0</v>
      </c>
      <c r="AD477" s="251"/>
      <c r="AE477" s="74"/>
      <c r="AF477" s="74"/>
      <c r="AG477" s="74"/>
      <c r="AH477" s="7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 ht="15.75">
      <c r="A478" s="300">
        <v>30400025</v>
      </c>
      <c r="B478" s="192" t="s">
        <v>232</v>
      </c>
      <c r="C478" s="16" t="s">
        <v>53</v>
      </c>
      <c r="D478" s="17">
        <v>5.04</v>
      </c>
      <c r="E478" s="17"/>
      <c r="F478" s="6"/>
      <c r="G478" s="93">
        <f>SUM('3:4'!G478)</f>
        <v>0</v>
      </c>
      <c r="H478" s="246">
        <f t="shared" ref="H478:H486" si="192">D478*G478</f>
        <v>0</v>
      </c>
      <c r="I478" s="93">
        <f>SUM('3:4'!I478)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22</v>
      </c>
      <c r="M478" s="36">
        <f t="shared" ref="M478:M486" si="193">IF(ISERROR(I478-K478),"",I478-K478)</f>
        <v>0</v>
      </c>
      <c r="N478" s="31">
        <f t="shared" ref="N478:N486" si="194">SUM(O478:U478)</f>
        <v>0</v>
      </c>
      <c r="O478" s="93">
        <f>SUM('3:4'!O478)</f>
        <v>0</v>
      </c>
      <c r="P478" s="93">
        <f>SUM('3:4'!P478)</f>
        <v>0</v>
      </c>
      <c r="Q478" s="93">
        <f>SUM('3:4'!Q478)</f>
        <v>0</v>
      </c>
      <c r="R478" s="93">
        <f>SUM('3:4'!R478)</f>
        <v>0</v>
      </c>
      <c r="S478" s="93">
        <f>SUM('3:4'!S478)</f>
        <v>0</v>
      </c>
      <c r="T478" s="93">
        <f>SUM('3:4'!T478)</f>
        <v>0</v>
      </c>
      <c r="U478" s="93">
        <f>SUM('3:4'!U478)</f>
        <v>0</v>
      </c>
      <c r="V478" s="206">
        <f t="shared" ref="V478:V486" si="195">SUM(X478:AA478)</f>
        <v>0</v>
      </c>
      <c r="W478" s="33" t="str">
        <f t="shared" si="185"/>
        <v/>
      </c>
      <c r="X478" s="93">
        <f>SUM('3:4'!X478)</f>
        <v>0</v>
      </c>
      <c r="Y478" s="93">
        <f>SUM('3:4'!Y478)</f>
        <v>0</v>
      </c>
      <c r="Z478" s="93">
        <f>SUM('3:4'!Z478)</f>
        <v>0</v>
      </c>
      <c r="AA478" s="93">
        <f>SUM('3:4'!AA478)</f>
        <v>0</v>
      </c>
      <c r="AB478" s="358">
        <v>0.48</v>
      </c>
      <c r="AC478" s="269">
        <f t="shared" si="170"/>
        <v>0</v>
      </c>
      <c r="AD478" s="251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 ht="17.25">
      <c r="A479" s="316">
        <v>30400023</v>
      </c>
      <c r="B479" s="192" t="s">
        <v>232</v>
      </c>
      <c r="C479" s="16" t="s">
        <v>60</v>
      </c>
      <c r="D479" s="17">
        <v>5.04</v>
      </c>
      <c r="E479" s="17"/>
      <c r="F479" s="6"/>
      <c r="G479" s="93">
        <f>SUM('3:4'!G479)</f>
        <v>0</v>
      </c>
      <c r="H479" s="246">
        <f t="shared" si="192"/>
        <v>0</v>
      </c>
      <c r="I479" s="93">
        <f>SUM('3:4'!I479)</f>
        <v>0</v>
      </c>
      <c r="J479" s="31" t="str">
        <f t="array" ref="J479">IF(ISERROR(G479/I479),"",G479/I479)</f>
        <v/>
      </c>
      <c r="K479" s="35">
        <f t="array" ref="K479">IF(ISERROR(G479/L479),"",G479/L479)</f>
        <v>0</v>
      </c>
      <c r="L479" s="87">
        <v>22</v>
      </c>
      <c r="M479" s="36">
        <f t="shared" si="193"/>
        <v>0</v>
      </c>
      <c r="N479" s="31">
        <f t="shared" si="194"/>
        <v>0</v>
      </c>
      <c r="O479" s="93">
        <f>SUM('3:4'!O479)</f>
        <v>0</v>
      </c>
      <c r="P479" s="93">
        <f>SUM('3:4'!P479)</f>
        <v>0</v>
      </c>
      <c r="Q479" s="93">
        <f>SUM('3:4'!Q479)</f>
        <v>0</v>
      </c>
      <c r="R479" s="93">
        <f>SUM('3:4'!R479)</f>
        <v>0</v>
      </c>
      <c r="S479" s="93">
        <f>SUM('3:4'!S479)</f>
        <v>0</v>
      </c>
      <c r="T479" s="93">
        <f>SUM('3:4'!T479)</f>
        <v>0</v>
      </c>
      <c r="U479" s="93">
        <f>SUM('3:4'!U479)</f>
        <v>0</v>
      </c>
      <c r="V479" s="206">
        <f t="shared" si="195"/>
        <v>0</v>
      </c>
      <c r="W479" s="33" t="str">
        <f t="shared" si="185"/>
        <v/>
      </c>
      <c r="X479" s="93">
        <f>SUM('3:4'!X479)</f>
        <v>0</v>
      </c>
      <c r="Y479" s="93">
        <f>SUM('3:4'!Y479)</f>
        <v>0</v>
      </c>
      <c r="Z479" s="93">
        <f>SUM('3:4'!Z479)</f>
        <v>0</v>
      </c>
      <c r="AA479" s="93">
        <f>SUM('3:4'!AA479)</f>
        <v>0</v>
      </c>
      <c r="AB479" s="358">
        <v>0.48</v>
      </c>
      <c r="AC479" s="269">
        <f t="shared" ref="AC479:AC486" si="196">AB479*G479</f>
        <v>0</v>
      </c>
      <c r="AD479" s="251"/>
      <c r="AE479" s="54"/>
      <c r="AF479" s="54"/>
      <c r="AG479" s="54"/>
      <c r="AH479" s="5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 ht="17.25">
      <c r="A480" s="316">
        <v>30400024</v>
      </c>
      <c r="B480" s="192" t="s">
        <v>232</v>
      </c>
      <c r="C480" s="16" t="s">
        <v>74</v>
      </c>
      <c r="D480" s="17">
        <v>5.04</v>
      </c>
      <c r="E480" s="17"/>
      <c r="F480" s="6"/>
      <c r="G480" s="93">
        <f>SUM('3:4'!G480)</f>
        <v>0</v>
      </c>
      <c r="H480" s="246">
        <f t="shared" si="192"/>
        <v>0</v>
      </c>
      <c r="I480" s="93">
        <f>SUM('3:4'!I480)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si="193"/>
        <v>0</v>
      </c>
      <c r="N480" s="31">
        <f t="shared" si="194"/>
        <v>0</v>
      </c>
      <c r="O480" s="93">
        <f>SUM('3:4'!O480)</f>
        <v>0</v>
      </c>
      <c r="P480" s="93">
        <f>SUM('3:4'!P480)</f>
        <v>0</v>
      </c>
      <c r="Q480" s="93">
        <f>SUM('3:4'!Q480)</f>
        <v>0</v>
      </c>
      <c r="R480" s="93">
        <f>SUM('3:4'!R480)</f>
        <v>0</v>
      </c>
      <c r="S480" s="93">
        <f>SUM('3:4'!S480)</f>
        <v>0</v>
      </c>
      <c r="T480" s="93">
        <f>SUM('3:4'!T480)</f>
        <v>0</v>
      </c>
      <c r="U480" s="93">
        <f>SUM('3:4'!U480)</f>
        <v>0</v>
      </c>
      <c r="V480" s="206">
        <f t="shared" si="195"/>
        <v>0</v>
      </c>
      <c r="W480" s="33" t="str">
        <f t="shared" si="185"/>
        <v/>
      </c>
      <c r="X480" s="93">
        <f>SUM('3:4'!X480)</f>
        <v>0</v>
      </c>
      <c r="Y480" s="93">
        <f>SUM('3:4'!Y480)</f>
        <v>0</v>
      </c>
      <c r="Z480" s="93">
        <f>SUM('3:4'!Z480)</f>
        <v>0</v>
      </c>
      <c r="AA480" s="93">
        <f>SUM('3:4'!AA480)</f>
        <v>0</v>
      </c>
      <c r="AB480" s="358">
        <v>0.48</v>
      </c>
      <c r="AC480" s="269">
        <f t="shared" si="196"/>
        <v>0</v>
      </c>
      <c r="AD480" s="251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 ht="17.25">
      <c r="A481" s="316"/>
      <c r="B481" s="192" t="s">
        <v>232</v>
      </c>
      <c r="C481" s="16" t="s">
        <v>66</v>
      </c>
      <c r="D481" s="17">
        <v>5.04</v>
      </c>
      <c r="E481" s="17"/>
      <c r="F481" s="6"/>
      <c r="G481" s="93">
        <f>SUM('3:4'!G481)</f>
        <v>0</v>
      </c>
      <c r="H481" s="246">
        <f t="shared" si="192"/>
        <v>0</v>
      </c>
      <c r="I481" s="93">
        <f>SUM('3:4'!I481)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93"/>
        <v>0</v>
      </c>
      <c r="N481" s="31">
        <f t="shared" si="194"/>
        <v>0</v>
      </c>
      <c r="O481" s="93">
        <f>SUM('3:4'!O481)</f>
        <v>0</v>
      </c>
      <c r="P481" s="93">
        <f>SUM('3:4'!P481)</f>
        <v>0</v>
      </c>
      <c r="Q481" s="93">
        <f>SUM('3:4'!Q481)</f>
        <v>0</v>
      </c>
      <c r="R481" s="93">
        <f>SUM('3:4'!R481)</f>
        <v>0</v>
      </c>
      <c r="S481" s="93">
        <f>SUM('3:4'!S481)</f>
        <v>0</v>
      </c>
      <c r="T481" s="93">
        <f>SUM('3:4'!T481)</f>
        <v>0</v>
      </c>
      <c r="U481" s="93">
        <f>SUM('3:4'!U481)</f>
        <v>0</v>
      </c>
      <c r="V481" s="206">
        <f t="shared" si="195"/>
        <v>0</v>
      </c>
      <c r="W481" s="33" t="str">
        <f t="shared" si="185"/>
        <v/>
      </c>
      <c r="X481" s="93">
        <f>SUM('3:4'!X481)</f>
        <v>0</v>
      </c>
      <c r="Y481" s="93">
        <f>SUM('3:4'!Y481)</f>
        <v>0</v>
      </c>
      <c r="Z481" s="93">
        <f>SUM('3:4'!Z481)</f>
        <v>0</v>
      </c>
      <c r="AA481" s="93">
        <f>SUM('3:4'!AA481)</f>
        <v>0</v>
      </c>
      <c r="AB481" s="358">
        <v>0.48</v>
      </c>
      <c r="AC481" s="269">
        <f t="shared" si="196"/>
        <v>0</v>
      </c>
      <c r="AD481" s="251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 ht="17.25">
      <c r="A482" s="316"/>
      <c r="B482" s="192" t="s">
        <v>232</v>
      </c>
      <c r="C482" s="16" t="s">
        <v>101</v>
      </c>
      <c r="D482" s="17">
        <v>5.04</v>
      </c>
      <c r="E482" s="17"/>
      <c r="F482" s="6"/>
      <c r="G482" s="93">
        <f>SUM('3:4'!G482)</f>
        <v>0</v>
      </c>
      <c r="H482" s="246">
        <f t="shared" si="192"/>
        <v>0</v>
      </c>
      <c r="I482" s="93">
        <f>SUM('3:4'!I482)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93"/>
        <v>0</v>
      </c>
      <c r="N482" s="31">
        <f t="shared" si="194"/>
        <v>0</v>
      </c>
      <c r="O482" s="93">
        <f>SUM('3:4'!O482)</f>
        <v>0</v>
      </c>
      <c r="P482" s="93">
        <f>SUM('3:4'!P482)</f>
        <v>0</v>
      </c>
      <c r="Q482" s="93">
        <f>SUM('3:4'!Q482)</f>
        <v>0</v>
      </c>
      <c r="R482" s="93">
        <f>SUM('3:4'!R482)</f>
        <v>0</v>
      </c>
      <c r="S482" s="93">
        <f>SUM('3:4'!S482)</f>
        <v>0</v>
      </c>
      <c r="T482" s="93">
        <f>SUM('3:4'!T482)</f>
        <v>0</v>
      </c>
      <c r="U482" s="93">
        <f>SUM('3:4'!U482)</f>
        <v>0</v>
      </c>
      <c r="V482" s="206">
        <f t="shared" si="195"/>
        <v>0</v>
      </c>
      <c r="W482" s="33" t="str">
        <f t="shared" si="185"/>
        <v/>
      </c>
      <c r="X482" s="93">
        <f>SUM('3:4'!X482)</f>
        <v>0</v>
      </c>
      <c r="Y482" s="93">
        <f>SUM('3:4'!Y482)</f>
        <v>0</v>
      </c>
      <c r="Z482" s="93">
        <f>SUM('3:4'!Z482)</f>
        <v>0</v>
      </c>
      <c r="AA482" s="93">
        <f>SUM('3:4'!AA482)</f>
        <v>0</v>
      </c>
      <c r="AB482" s="358">
        <v>0.48</v>
      </c>
      <c r="AC482" s="269">
        <f t="shared" si="196"/>
        <v>0</v>
      </c>
      <c r="AD482" s="251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 ht="17.25">
      <c r="A483" s="316">
        <v>30400019</v>
      </c>
      <c r="B483" s="192" t="s">
        <v>440</v>
      </c>
      <c r="C483" s="187" t="s">
        <v>442</v>
      </c>
      <c r="D483" s="17">
        <v>5.04</v>
      </c>
      <c r="E483" s="17"/>
      <c r="F483" s="6"/>
      <c r="G483" s="93">
        <f>SUM('3:4'!G483)</f>
        <v>0</v>
      </c>
      <c r="H483" s="296">
        <f t="shared" si="192"/>
        <v>0</v>
      </c>
      <c r="I483" s="93"/>
      <c r="J483" s="31"/>
      <c r="K483" s="35"/>
      <c r="L483" s="87">
        <v>13.5</v>
      </c>
      <c r="M483" s="36"/>
      <c r="N483" s="31"/>
      <c r="O483" s="93"/>
      <c r="P483" s="93"/>
      <c r="Q483" s="93"/>
      <c r="R483" s="93"/>
      <c r="S483" s="93"/>
      <c r="T483" s="93"/>
      <c r="U483" s="93"/>
      <c r="V483" s="206"/>
      <c r="W483" s="33"/>
      <c r="X483" s="93"/>
      <c r="Y483" s="93"/>
      <c r="Z483" s="93"/>
      <c r="AA483" s="93"/>
      <c r="AB483" s="361">
        <v>0.56000000000000005</v>
      </c>
      <c r="AC483" s="269">
        <f t="shared" si="196"/>
        <v>0</v>
      </c>
      <c r="AD483" s="262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 ht="17.25">
      <c r="A484" s="316">
        <v>30400020</v>
      </c>
      <c r="B484" s="192" t="s">
        <v>439</v>
      </c>
      <c r="C484" s="187" t="s">
        <v>523</v>
      </c>
      <c r="D484" s="17">
        <v>5.04</v>
      </c>
      <c r="E484" s="17"/>
      <c r="F484" s="6"/>
      <c r="G484" s="93"/>
      <c r="H484" s="508">
        <f t="shared" si="192"/>
        <v>0</v>
      </c>
      <c r="I484" s="93"/>
      <c r="J484" s="31"/>
      <c r="K484" s="35"/>
      <c r="L484" s="87">
        <v>13.5</v>
      </c>
      <c r="M484" s="36"/>
      <c r="N484" s="31"/>
      <c r="O484" s="93"/>
      <c r="P484" s="93"/>
      <c r="Q484" s="93"/>
      <c r="R484" s="93"/>
      <c r="S484" s="93"/>
      <c r="T484" s="93"/>
      <c r="U484" s="93"/>
      <c r="V484" s="206"/>
      <c r="W484" s="33"/>
      <c r="X484" s="93"/>
      <c r="Y484" s="93"/>
      <c r="Z484" s="93"/>
      <c r="AA484" s="93"/>
      <c r="AB484" s="480"/>
      <c r="AC484" s="269"/>
      <c r="AD484" s="482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 ht="17.25">
      <c r="A485" s="316">
        <v>30400021</v>
      </c>
      <c r="B485" s="192" t="s">
        <v>439</v>
      </c>
      <c r="C485" s="187" t="s">
        <v>525</v>
      </c>
      <c r="D485" s="17">
        <v>5.04</v>
      </c>
      <c r="E485" s="17"/>
      <c r="F485" s="6"/>
      <c r="G485" s="93"/>
      <c r="H485" s="508">
        <f t="shared" si="192"/>
        <v>0</v>
      </c>
      <c r="I485" s="93"/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6"/>
      <c r="W485" s="33"/>
      <c r="X485" s="93"/>
      <c r="Y485" s="93"/>
      <c r="Z485" s="93"/>
      <c r="AA485" s="93"/>
      <c r="AB485" s="507"/>
      <c r="AC485" s="269"/>
      <c r="AD485" s="509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 ht="17.25">
      <c r="A486" s="316">
        <v>30400022</v>
      </c>
      <c r="B486" s="192" t="s">
        <v>232</v>
      </c>
      <c r="C486" s="16" t="s">
        <v>55</v>
      </c>
      <c r="D486" s="17">
        <v>5.04</v>
      </c>
      <c r="E486" s="17"/>
      <c r="F486" s="6"/>
      <c r="G486" s="93">
        <f>SUM('3:4'!G486)</f>
        <v>0</v>
      </c>
      <c r="H486" s="246">
        <f t="shared" si="192"/>
        <v>0</v>
      </c>
      <c r="I486" s="93">
        <f>SUM('3:4'!I486)</f>
        <v>0</v>
      </c>
      <c r="J486" s="31" t="str">
        <f t="array" ref="J486">IF(ISERROR(G486/I486),"",G486/I486)</f>
        <v/>
      </c>
      <c r="K486" s="35">
        <f t="array" ref="K486">IF(ISERROR(G486/L486),"",G486/L486)</f>
        <v>0</v>
      </c>
      <c r="L486" s="87">
        <v>22</v>
      </c>
      <c r="M486" s="36">
        <f t="shared" si="193"/>
        <v>0</v>
      </c>
      <c r="N486" s="31">
        <f t="shared" si="194"/>
        <v>0</v>
      </c>
      <c r="O486" s="93">
        <f>SUM('3:4'!O486)</f>
        <v>0</v>
      </c>
      <c r="P486" s="93">
        <f>SUM('3:4'!P486)</f>
        <v>0</v>
      </c>
      <c r="Q486" s="93">
        <f>SUM('3:4'!Q486)</f>
        <v>0</v>
      </c>
      <c r="R486" s="93">
        <f>SUM('3:4'!R486)</f>
        <v>0</v>
      </c>
      <c r="S486" s="93">
        <f>SUM('3:4'!S486)</f>
        <v>0</v>
      </c>
      <c r="T486" s="93">
        <f>SUM('3:4'!T486)</f>
        <v>0</v>
      </c>
      <c r="U486" s="93">
        <f>SUM('3:4'!U486)</f>
        <v>0</v>
      </c>
      <c r="V486" s="206">
        <f t="shared" si="195"/>
        <v>0</v>
      </c>
      <c r="W486" s="33" t="str">
        <f t="shared" si="185"/>
        <v/>
      </c>
      <c r="X486" s="93">
        <f>SUM('3:4'!X486)</f>
        <v>0</v>
      </c>
      <c r="Y486" s="93">
        <f>SUM('3:4'!Y486)</f>
        <v>0</v>
      </c>
      <c r="Z486" s="93">
        <f>SUM('3:4'!Z486)</f>
        <v>0</v>
      </c>
      <c r="AA486" s="93">
        <f>SUM('3:4'!AA486)</f>
        <v>0</v>
      </c>
      <c r="AB486" s="358">
        <v>0.48</v>
      </c>
      <c r="AC486" s="269">
        <f t="shared" si="196"/>
        <v>0</v>
      </c>
      <c r="AD486" s="251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 ht="15.75">
      <c r="A487" s="725" t="s">
        <v>102</v>
      </c>
      <c r="B487" s="726"/>
      <c r="C487" s="243" t="s">
        <v>71</v>
      </c>
      <c r="D487" s="20"/>
      <c r="E487" s="20"/>
      <c r="F487" s="32"/>
      <c r="G487" s="99">
        <f>SUM(G478:G486)</f>
        <v>0</v>
      </c>
      <c r="H487" s="30">
        <f>SUM(H478:H486)</f>
        <v>0</v>
      </c>
      <c r="I487" s="30">
        <f>SUM(I478:I486)</f>
        <v>0</v>
      </c>
      <c r="J487" s="31" t="str">
        <f t="array" ref="J487">IF(ISERROR(G487/I487),"",G487/I487)</f>
        <v/>
      </c>
      <c r="K487" s="30">
        <f>SUM(K478:K486)</f>
        <v>0</v>
      </c>
      <c r="L487" s="98"/>
      <c r="M487" s="89">
        <f>SUM(M478:M486)</f>
        <v>0</v>
      </c>
      <c r="N487" s="30">
        <f>SUM(N478:N486)</f>
        <v>0</v>
      </c>
      <c r="O487" s="91">
        <f>SUM(O478:O486)</f>
        <v>0</v>
      </c>
      <c r="P487" s="91">
        <f>SUM(P478:P486)</f>
        <v>0</v>
      </c>
      <c r="Q487" s="91">
        <f>SUM(Q478:Q486)</f>
        <v>0</v>
      </c>
      <c r="R487" s="91"/>
      <c r="S487" s="92">
        <f>SUM(S478:S486)</f>
        <v>0</v>
      </c>
      <c r="T487" s="91">
        <f>SUM(T478:T486)</f>
        <v>0</v>
      </c>
      <c r="U487" s="91">
        <f>SUM(U478:U486)</f>
        <v>0</v>
      </c>
      <c r="V487" s="206">
        <f>SUM(V478:V486)</f>
        <v>0</v>
      </c>
      <c r="W487" s="33" t="str">
        <f t="shared" si="185"/>
        <v/>
      </c>
      <c r="X487" s="92">
        <f>SUM(X478:X486)</f>
        <v>0</v>
      </c>
      <c r="Y487" s="92">
        <f>SUM(Y478:Y486)</f>
        <v>0</v>
      </c>
      <c r="Z487" s="92">
        <f>SUM(Z478:Z486)</f>
        <v>0</v>
      </c>
      <c r="AA487" s="92">
        <f>SUM(AA478:AA486)</f>
        <v>0</v>
      </c>
      <c r="AB487" s="75"/>
      <c r="AC487" s="270">
        <f>SUM(AC478:AC486)</f>
        <v>0</v>
      </c>
      <c r="AD487" s="251"/>
      <c r="AE487" s="74"/>
      <c r="AF487" s="74"/>
      <c r="AG487" s="74"/>
      <c r="AH487" s="7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 ht="15.75">
      <c r="A488" s="299">
        <v>30700013</v>
      </c>
      <c r="B488" s="64" t="s">
        <v>103</v>
      </c>
      <c r="C488" s="242"/>
      <c r="D488" s="17">
        <v>3.65</v>
      </c>
      <c r="E488" s="17"/>
      <c r="F488" s="53"/>
      <c r="G488" s="93">
        <f>SUM('3:4'!G488)</f>
        <v>0</v>
      </c>
      <c r="H488" s="246">
        <f>D488*G488</f>
        <v>0</v>
      </c>
      <c r="I488" s="93">
        <f>SUM('3:4'!I488)</f>
        <v>0</v>
      </c>
      <c r="J488" s="31" t="str">
        <f t="array" ref="J488">IF(ISERROR(G488/I488),"",G488/I488)</f>
        <v/>
      </c>
      <c r="K488" s="246">
        <f t="array" ref="K488">IF(ISERROR(G488/L488),"",G488/L488)</f>
        <v>0</v>
      </c>
      <c r="L488" s="87">
        <v>5</v>
      </c>
      <c r="M488" s="36">
        <f t="shared" ref="M488:M491" si="197">IF(ISERROR(I488-K488),"",I488-K488)</f>
        <v>0</v>
      </c>
      <c r="N488" s="31">
        <f t="shared" ref="N488:N491" si="198">SUM(O488:U488)</f>
        <v>0</v>
      </c>
      <c r="O488" s="93">
        <f>SUM('3:4'!O488)</f>
        <v>0</v>
      </c>
      <c r="P488" s="93">
        <f>SUM('3:4'!P488)</f>
        <v>0</v>
      </c>
      <c r="Q488" s="93">
        <f>SUM('3:4'!Q488)</f>
        <v>0</v>
      </c>
      <c r="R488" s="93">
        <f>SUM('3:4'!R488)</f>
        <v>0</v>
      </c>
      <c r="S488" s="93">
        <f>SUM('3:4'!S488)</f>
        <v>0</v>
      </c>
      <c r="T488" s="93">
        <f>SUM('3:4'!T488)</f>
        <v>0</v>
      </c>
      <c r="U488" s="93">
        <f>SUM('3:4'!U488)</f>
        <v>0</v>
      </c>
      <c r="V488" s="206">
        <f t="shared" ref="V488:V491" si="199">SUM(X488:AA488)</f>
        <v>0</v>
      </c>
      <c r="W488" s="33" t="str">
        <f t="shared" si="185"/>
        <v/>
      </c>
      <c r="X488" s="93">
        <f>SUM('3:4'!X488)</f>
        <v>0</v>
      </c>
      <c r="Y488" s="93">
        <f>SUM('3:4'!Y488)</f>
        <v>0</v>
      </c>
      <c r="Z488" s="93">
        <f>SUM('3:4'!Z488)</f>
        <v>0</v>
      </c>
      <c r="AA488" s="93">
        <f>SUM('3:4'!AA488)</f>
        <v>0</v>
      </c>
      <c r="AB488" s="358">
        <v>2.0699999999999998</v>
      </c>
      <c r="AC488" s="269">
        <f t="shared" ref="AC488:AC502" si="200">AB488*G488</f>
        <v>0</v>
      </c>
      <c r="AD488" s="251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 ht="15.75">
      <c r="A489" s="299">
        <v>30700014</v>
      </c>
      <c r="B489" s="64" t="s">
        <v>0</v>
      </c>
      <c r="C489" s="242"/>
      <c r="D489" s="17">
        <v>6.58</v>
      </c>
      <c r="E489" s="17"/>
      <c r="F489" s="6"/>
      <c r="G489" s="93">
        <f>SUM('3:4'!G489)</f>
        <v>0</v>
      </c>
      <c r="H489" s="246">
        <f t="shared" ref="H489:H502" si="201">D489*G489</f>
        <v>0</v>
      </c>
      <c r="I489" s="93">
        <f>SUM('3:4'!I489)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5</v>
      </c>
      <c r="M489" s="36">
        <f t="shared" si="197"/>
        <v>0</v>
      </c>
      <c r="N489" s="31">
        <f t="shared" si="198"/>
        <v>0</v>
      </c>
      <c r="O489" s="93">
        <f>SUM('3:4'!O489)</f>
        <v>0</v>
      </c>
      <c r="P489" s="93">
        <f>SUM('3:4'!P489)</f>
        <v>0</v>
      </c>
      <c r="Q489" s="93">
        <f>SUM('3:4'!Q489)</f>
        <v>0</v>
      </c>
      <c r="R489" s="93">
        <f>SUM('3:4'!R489)</f>
        <v>0</v>
      </c>
      <c r="S489" s="93">
        <f>SUM('3:4'!S489)</f>
        <v>0</v>
      </c>
      <c r="T489" s="93">
        <f>SUM('3:4'!T489)</f>
        <v>0</v>
      </c>
      <c r="U489" s="93">
        <f>SUM('3:4'!U489)</f>
        <v>0</v>
      </c>
      <c r="V489" s="206">
        <f t="shared" si="199"/>
        <v>0</v>
      </c>
      <c r="W489" s="33" t="str">
        <f t="shared" si="185"/>
        <v/>
      </c>
      <c r="X489" s="93">
        <f>SUM('3:4'!X489)</f>
        <v>0</v>
      </c>
      <c r="Y489" s="93">
        <f>SUM('3:4'!Y489)</f>
        <v>0</v>
      </c>
      <c r="Z489" s="93">
        <f>SUM('3:4'!Z489)</f>
        <v>0</v>
      </c>
      <c r="AA489" s="93">
        <f>SUM('3:4'!AA489)</f>
        <v>0</v>
      </c>
      <c r="AB489" s="358">
        <v>2.0699999999999998</v>
      </c>
      <c r="AC489" s="269">
        <f t="shared" si="200"/>
        <v>0</v>
      </c>
      <c r="AD489" s="251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 ht="15.75">
      <c r="A490" s="299">
        <v>30700016</v>
      </c>
      <c r="B490" s="64" t="s">
        <v>1</v>
      </c>
      <c r="C490" s="242"/>
      <c r="D490" s="17">
        <v>7.8</v>
      </c>
      <c r="E490" s="17"/>
      <c r="F490" s="6"/>
      <c r="G490" s="93">
        <f>SUM('3:4'!G490)</f>
        <v>0</v>
      </c>
      <c r="H490" s="296">
        <f t="shared" si="201"/>
        <v>0</v>
      </c>
      <c r="I490" s="93">
        <f>SUM('3:4'!I490)</f>
        <v>0</v>
      </c>
      <c r="J490" s="31" t="str">
        <f t="array" ref="J490">IF(ISERROR(G490/I490),"",G490/I490)</f>
        <v/>
      </c>
      <c r="K490" s="35">
        <f t="array" ref="K490">IF(ISERROR(G490/L490),"",G490/L490)</f>
        <v>0</v>
      </c>
      <c r="L490" s="87">
        <v>4.5999999999999996</v>
      </c>
      <c r="M490" s="36">
        <f t="shared" si="197"/>
        <v>0</v>
      </c>
      <c r="N490" s="31">
        <f t="shared" si="198"/>
        <v>0</v>
      </c>
      <c r="O490" s="93">
        <f>SUM('3:4'!O490)</f>
        <v>0</v>
      </c>
      <c r="P490" s="93">
        <f>SUM('3:4'!P490)</f>
        <v>0</v>
      </c>
      <c r="Q490" s="93">
        <f>SUM('3:4'!Q490)</f>
        <v>0</v>
      </c>
      <c r="R490" s="93">
        <f>SUM('3:4'!R490)</f>
        <v>0</v>
      </c>
      <c r="S490" s="93">
        <f>SUM('3:4'!S490)</f>
        <v>0</v>
      </c>
      <c r="T490" s="93">
        <f>SUM('3:4'!T490)</f>
        <v>0</v>
      </c>
      <c r="U490" s="93">
        <f>SUM('3:4'!U490)</f>
        <v>0</v>
      </c>
      <c r="V490" s="206">
        <f t="shared" si="199"/>
        <v>0</v>
      </c>
      <c r="W490" s="33" t="str">
        <f t="shared" si="185"/>
        <v/>
      </c>
      <c r="X490" s="93">
        <f>SUM('3:4'!X490)</f>
        <v>0</v>
      </c>
      <c r="Y490" s="93">
        <f>SUM('3:4'!Y490)</f>
        <v>0</v>
      </c>
      <c r="Z490" s="93">
        <f>SUM('3:4'!Z490)</f>
        <v>0</v>
      </c>
      <c r="AA490" s="93">
        <f>SUM('3:4'!AA490)</f>
        <v>0</v>
      </c>
      <c r="AB490" s="358">
        <v>2.25</v>
      </c>
      <c r="AC490" s="269">
        <f t="shared" si="200"/>
        <v>0</v>
      </c>
      <c r="AD490" s="251"/>
      <c r="AE490" s="54"/>
      <c r="AF490" s="54"/>
      <c r="AG490" s="54"/>
      <c r="AH490" s="5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 ht="15.75">
      <c r="A491" s="299">
        <v>30700017</v>
      </c>
      <c r="B491" s="64" t="s">
        <v>2</v>
      </c>
      <c r="C491" s="242"/>
      <c r="D491" s="17">
        <v>4.4000000000000004</v>
      </c>
      <c r="E491" s="17"/>
      <c r="F491" s="6"/>
      <c r="G491" s="93">
        <f>SUM('3:4'!G491)</f>
        <v>0</v>
      </c>
      <c r="H491" s="296">
        <f t="shared" si="201"/>
        <v>0</v>
      </c>
      <c r="I491" s="93">
        <f>SUM('3:4'!I491)</f>
        <v>0</v>
      </c>
      <c r="J491" s="31" t="str">
        <f t="array" ref="J491">IF(ISERROR(G491/I491),"",G491/I491)</f>
        <v/>
      </c>
      <c r="K491" s="35">
        <f t="array" ref="K491">IF(ISERROR(G491/L491),"",G491/L491)</f>
        <v>0</v>
      </c>
      <c r="L491" s="87">
        <v>5.8</v>
      </c>
      <c r="M491" s="36">
        <f t="shared" si="197"/>
        <v>0</v>
      </c>
      <c r="N491" s="31">
        <f t="shared" si="198"/>
        <v>0</v>
      </c>
      <c r="O491" s="93">
        <f>SUM('3:4'!O491)</f>
        <v>0</v>
      </c>
      <c r="P491" s="93">
        <f>SUM('3:4'!P491)</f>
        <v>0</v>
      </c>
      <c r="Q491" s="93">
        <f>SUM('3:4'!Q491)</f>
        <v>0</v>
      </c>
      <c r="R491" s="93">
        <f>SUM('3:4'!R491)</f>
        <v>0</v>
      </c>
      <c r="S491" s="93">
        <f>SUM('3:4'!S491)</f>
        <v>0</v>
      </c>
      <c r="T491" s="93">
        <f>SUM('3:4'!T491)</f>
        <v>0</v>
      </c>
      <c r="U491" s="93">
        <f>SUM('3:4'!U491)</f>
        <v>0</v>
      </c>
      <c r="V491" s="206">
        <f t="shared" si="199"/>
        <v>0</v>
      </c>
      <c r="W491" s="33" t="str">
        <f t="shared" si="185"/>
        <v/>
      </c>
      <c r="X491" s="93">
        <f>SUM('3:4'!X491)</f>
        <v>0</v>
      </c>
      <c r="Y491" s="93">
        <f>SUM('3:4'!Y491)</f>
        <v>0</v>
      </c>
      <c r="Z491" s="93">
        <f>SUM('3:4'!Z491)</f>
        <v>0</v>
      </c>
      <c r="AA491" s="93">
        <f>SUM('3:4'!AA491)</f>
        <v>0</v>
      </c>
      <c r="AB491" s="358">
        <v>1.79</v>
      </c>
      <c r="AC491" s="269">
        <f t="shared" si="200"/>
        <v>0</v>
      </c>
      <c r="AD491" s="251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 ht="15.75">
      <c r="A492" s="299"/>
      <c r="B492" s="64" t="s">
        <v>348</v>
      </c>
      <c r="C492" s="188" t="s">
        <v>376</v>
      </c>
      <c r="D492" s="17"/>
      <c r="E492" s="17"/>
      <c r="F492" s="6"/>
      <c r="G492" s="93">
        <f>SUM('3:4'!G492)</f>
        <v>0</v>
      </c>
      <c r="H492" s="296">
        <f t="shared" si="201"/>
        <v>0</v>
      </c>
      <c r="I492" s="93">
        <f>SUM('3:4'!I492)</f>
        <v>0</v>
      </c>
      <c r="J492" s="31"/>
      <c r="K492" s="35"/>
      <c r="L492" s="87"/>
      <c r="M492" s="36"/>
      <c r="N492" s="31"/>
      <c r="O492" s="93">
        <f>SUM('3:4'!O492)</f>
        <v>0</v>
      </c>
      <c r="P492" s="93">
        <f>SUM('3:4'!P492)</f>
        <v>0</v>
      </c>
      <c r="Q492" s="93">
        <f>SUM('3:4'!Q492)</f>
        <v>0</v>
      </c>
      <c r="R492" s="93">
        <f>SUM('3:4'!R492)</f>
        <v>0</v>
      </c>
      <c r="S492" s="93">
        <f>SUM('3:4'!S492)</f>
        <v>0</v>
      </c>
      <c r="T492" s="93">
        <f>SUM('3:4'!T492)</f>
        <v>0</v>
      </c>
      <c r="U492" s="93">
        <f>SUM('3:4'!U492)</f>
        <v>0</v>
      </c>
      <c r="V492" s="206"/>
      <c r="W492" s="33"/>
      <c r="X492" s="93">
        <f>SUM('3:4'!X492)</f>
        <v>0</v>
      </c>
      <c r="Y492" s="93">
        <f>SUM('3:4'!Y492)</f>
        <v>0</v>
      </c>
      <c r="Z492" s="93">
        <f>SUM('3:4'!Z492)</f>
        <v>0</v>
      </c>
      <c r="AA492" s="93">
        <f>SUM('3:4'!AA492)</f>
        <v>0</v>
      </c>
      <c r="AB492" s="358"/>
      <c r="AC492" s="269">
        <f t="shared" si="200"/>
        <v>0</v>
      </c>
      <c r="AD492" s="251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 ht="15.75">
      <c r="A493" s="299">
        <v>30700001</v>
      </c>
      <c r="B493" s="191" t="s">
        <v>359</v>
      </c>
      <c r="C493" s="242"/>
      <c r="D493" s="17"/>
      <c r="E493" s="17"/>
      <c r="F493" s="6"/>
      <c r="G493" s="93">
        <f>SUM('3:4'!G493)</f>
        <v>0</v>
      </c>
      <c r="H493" s="296">
        <f t="shared" si="201"/>
        <v>0</v>
      </c>
      <c r="I493" s="93">
        <f>SUM('3:4'!I493)</f>
        <v>0</v>
      </c>
      <c r="J493" s="31"/>
      <c r="K493" s="35"/>
      <c r="L493" s="87">
        <v>6</v>
      </c>
      <c r="M493" s="36"/>
      <c r="N493" s="31"/>
      <c r="O493" s="93">
        <f>SUM('3:4'!O493)</f>
        <v>0</v>
      </c>
      <c r="P493" s="93">
        <f>SUM('3:4'!P493)</f>
        <v>0</v>
      </c>
      <c r="Q493" s="93">
        <f>SUM('3:4'!Q493)</f>
        <v>0</v>
      </c>
      <c r="R493" s="93">
        <f>SUM('3:4'!R493)</f>
        <v>0</v>
      </c>
      <c r="S493" s="93">
        <f>SUM('3:4'!S493)</f>
        <v>0</v>
      </c>
      <c r="T493" s="93">
        <f>SUM('3:4'!T493)</f>
        <v>0</v>
      </c>
      <c r="U493" s="93">
        <f>SUM('3:4'!U493)</f>
        <v>0</v>
      </c>
      <c r="V493" s="206"/>
      <c r="W493" s="33"/>
      <c r="X493" s="93">
        <f>SUM('3:4'!X493)</f>
        <v>0</v>
      </c>
      <c r="Y493" s="93">
        <f>SUM('3:4'!Y493)</f>
        <v>0</v>
      </c>
      <c r="Z493" s="93">
        <f>SUM('3:4'!Z493)</f>
        <v>0</v>
      </c>
      <c r="AA493" s="93">
        <f>SUM('3:4'!AA493)</f>
        <v>0</v>
      </c>
      <c r="AB493" s="358">
        <v>1.92</v>
      </c>
      <c r="AC493" s="269">
        <f t="shared" si="200"/>
        <v>0</v>
      </c>
      <c r="AD493" s="251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 ht="17.25">
      <c r="A494" s="322"/>
      <c r="B494" s="66" t="s">
        <v>104</v>
      </c>
      <c r="C494" s="242" t="s">
        <v>53</v>
      </c>
      <c r="D494" s="17">
        <v>6.04</v>
      </c>
      <c r="E494" s="17"/>
      <c r="F494" s="6"/>
      <c r="G494" s="93">
        <f>SUM('3:4'!G494)</f>
        <v>0</v>
      </c>
      <c r="H494" s="296">
        <f t="shared" si="201"/>
        <v>0</v>
      </c>
      <c r="I494" s="93">
        <f>SUM('3:4'!I494)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6</v>
      </c>
      <c r="M494" s="36">
        <f t="shared" ref="M494:M498" si="202">IF(ISERROR(I494-K494),"",I494-K494)</f>
        <v>0</v>
      </c>
      <c r="N494" s="31">
        <f t="shared" ref="N494:N498" si="203">SUM(O494:U494)</f>
        <v>0</v>
      </c>
      <c r="O494" s="93">
        <f>SUM('3:4'!O494)</f>
        <v>0</v>
      </c>
      <c r="P494" s="93">
        <f>SUM('3:4'!P494)</f>
        <v>0</v>
      </c>
      <c r="Q494" s="93">
        <f>SUM('3:4'!Q494)</f>
        <v>0</v>
      </c>
      <c r="R494" s="93">
        <f>SUM('3:4'!R494)</f>
        <v>0</v>
      </c>
      <c r="S494" s="93">
        <f>SUM('3:4'!S494)</f>
        <v>0</v>
      </c>
      <c r="T494" s="93">
        <f>SUM('3:4'!T494)</f>
        <v>0</v>
      </c>
      <c r="U494" s="93">
        <f>SUM('3:4'!U494)</f>
        <v>0</v>
      </c>
      <c r="V494" s="206">
        <f t="shared" ref="V494:V498" si="204">SUM(X494:AA494)</f>
        <v>0</v>
      </c>
      <c r="W494" s="33" t="str">
        <f t="shared" ref="W494:W498" si="205">IF(ISERROR(V494/G494),"",V494/G494)</f>
        <v/>
      </c>
      <c r="X494" s="93">
        <f>SUM('3:4'!X494)</f>
        <v>0</v>
      </c>
      <c r="Y494" s="93">
        <f>SUM('3:4'!Y494)</f>
        <v>0</v>
      </c>
      <c r="Z494" s="93">
        <f>SUM('3:4'!Z494)</f>
        <v>0</v>
      </c>
      <c r="AA494" s="93">
        <f>SUM('3:4'!AA494)</f>
        <v>0</v>
      </c>
      <c r="AB494" s="358">
        <v>1.73</v>
      </c>
      <c r="AC494" s="269">
        <f t="shared" si="200"/>
        <v>0</v>
      </c>
      <c r="AD494" s="251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 ht="17.25">
      <c r="A495" s="322">
        <v>30700019</v>
      </c>
      <c r="B495" s="66" t="s">
        <v>104</v>
      </c>
      <c r="C495" s="242" t="s">
        <v>60</v>
      </c>
      <c r="D495" s="17">
        <v>6.04</v>
      </c>
      <c r="E495" s="17"/>
      <c r="F495" s="6"/>
      <c r="G495" s="93">
        <f>SUM('3:4'!G495)</f>
        <v>0</v>
      </c>
      <c r="H495" s="296">
        <f t="shared" si="201"/>
        <v>0</v>
      </c>
      <c r="I495" s="93">
        <f>SUM('3:4'!I495)</f>
        <v>0</v>
      </c>
      <c r="J495" s="31" t="str">
        <f t="array" ref="J495">IF(ISERROR(G495/I495),"",G495/I495)</f>
        <v/>
      </c>
      <c r="K495" s="35">
        <f t="array" ref="K495">IF(ISERROR(G495/L495),"",G495/L495)</f>
        <v>0</v>
      </c>
      <c r="L495" s="87">
        <v>6</v>
      </c>
      <c r="M495" s="36">
        <f t="shared" si="202"/>
        <v>0</v>
      </c>
      <c r="N495" s="31">
        <f t="shared" si="203"/>
        <v>0</v>
      </c>
      <c r="O495" s="93">
        <f>SUM('3:4'!O495)</f>
        <v>0</v>
      </c>
      <c r="P495" s="93">
        <f>SUM('3:4'!P495)</f>
        <v>0</v>
      </c>
      <c r="Q495" s="93">
        <f>SUM('3:4'!Q495)</f>
        <v>0</v>
      </c>
      <c r="R495" s="93">
        <f>SUM('3:4'!R495)</f>
        <v>0</v>
      </c>
      <c r="S495" s="93">
        <f>SUM('3:4'!S495)</f>
        <v>0</v>
      </c>
      <c r="T495" s="93">
        <f>SUM('3:4'!T495)</f>
        <v>0</v>
      </c>
      <c r="U495" s="93">
        <f>SUM('3:4'!U495)</f>
        <v>0</v>
      </c>
      <c r="V495" s="206">
        <f t="shared" si="204"/>
        <v>0</v>
      </c>
      <c r="W495" s="33" t="str">
        <f t="shared" si="205"/>
        <v/>
      </c>
      <c r="X495" s="93">
        <f>SUM('3:4'!X495)</f>
        <v>0</v>
      </c>
      <c r="Y495" s="93">
        <f>SUM('3:4'!Y495)</f>
        <v>0</v>
      </c>
      <c r="Z495" s="93">
        <f>SUM('3:4'!Z495)</f>
        <v>0</v>
      </c>
      <c r="AA495" s="93">
        <f>SUM('3:4'!AA495)</f>
        <v>0</v>
      </c>
      <c r="AB495" s="358">
        <v>1.73</v>
      </c>
      <c r="AC495" s="269">
        <f t="shared" si="200"/>
        <v>0</v>
      </c>
      <c r="AD495" s="251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 ht="15.75">
      <c r="A496" s="305">
        <v>30601015</v>
      </c>
      <c r="B496" s="281" t="s">
        <v>443</v>
      </c>
      <c r="C496" s="289" t="s">
        <v>53</v>
      </c>
      <c r="D496" s="17"/>
      <c r="E496" s="17"/>
      <c r="F496" s="6"/>
      <c r="G496" s="93">
        <f>SUM('3:4'!G496)</f>
        <v>0</v>
      </c>
      <c r="H496" s="296">
        <f t="shared" si="201"/>
        <v>0</v>
      </c>
      <c r="I496" s="93"/>
      <c r="J496" s="31"/>
      <c r="K496" s="35"/>
      <c r="L496" s="87"/>
      <c r="M496" s="36"/>
      <c r="N496" s="31"/>
      <c r="O496" s="93"/>
      <c r="P496" s="93"/>
      <c r="Q496" s="93"/>
      <c r="R496" s="93"/>
      <c r="S496" s="93"/>
      <c r="T496" s="93"/>
      <c r="U496" s="93"/>
      <c r="V496" s="206"/>
      <c r="W496" s="33"/>
      <c r="X496" s="93"/>
      <c r="Y496" s="93"/>
      <c r="Z496" s="93"/>
      <c r="AA496" s="93"/>
      <c r="AB496" s="358">
        <v>1.73</v>
      </c>
      <c r="AC496" s="269">
        <f t="shared" si="200"/>
        <v>0</v>
      </c>
      <c r="AD496" s="290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 ht="15.75">
      <c r="A497" s="305">
        <v>30101016</v>
      </c>
      <c r="B497" s="281" t="s">
        <v>443</v>
      </c>
      <c r="C497" s="289" t="s">
        <v>60</v>
      </c>
      <c r="D497" s="17"/>
      <c r="E497" s="17"/>
      <c r="F497" s="6"/>
      <c r="G497" s="93">
        <f>SUM('3:4'!G497)</f>
        <v>0</v>
      </c>
      <c r="H497" s="296">
        <f t="shared" si="201"/>
        <v>0</v>
      </c>
      <c r="I497" s="93"/>
      <c r="J497" s="31"/>
      <c r="K497" s="35"/>
      <c r="L497" s="87"/>
      <c r="M497" s="36"/>
      <c r="N497" s="31"/>
      <c r="O497" s="93"/>
      <c r="P497" s="93"/>
      <c r="Q497" s="93"/>
      <c r="R497" s="93"/>
      <c r="S497" s="93"/>
      <c r="T497" s="93"/>
      <c r="U497" s="93"/>
      <c r="V497" s="206"/>
      <c r="W497" s="33"/>
      <c r="X497" s="93"/>
      <c r="Y497" s="93"/>
      <c r="Z497" s="93"/>
      <c r="AA497" s="93"/>
      <c r="AB497" s="358">
        <v>1.73</v>
      </c>
      <c r="AC497" s="269">
        <f t="shared" si="200"/>
        <v>0</v>
      </c>
      <c r="AD497" s="290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 ht="15.75">
      <c r="A498" s="299">
        <v>30700018</v>
      </c>
      <c r="B498" s="61" t="s">
        <v>159</v>
      </c>
      <c r="C498" s="16"/>
      <c r="D498" s="17">
        <v>7.3</v>
      </c>
      <c r="E498" s="17"/>
      <c r="F498" s="6"/>
      <c r="G498" s="93">
        <f>SUM('3:4'!G498)</f>
        <v>0</v>
      </c>
      <c r="H498" s="296">
        <f t="shared" si="201"/>
        <v>0</v>
      </c>
      <c r="I498" s="93">
        <f>SUM('3:4'!I498)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7.5</v>
      </c>
      <c r="M498" s="36">
        <f t="shared" si="202"/>
        <v>0</v>
      </c>
      <c r="N498" s="31">
        <f t="shared" si="203"/>
        <v>0</v>
      </c>
      <c r="O498" s="93">
        <f>SUM('3:4'!O498)</f>
        <v>0</v>
      </c>
      <c r="P498" s="93">
        <f>SUM('3:4'!P498)</f>
        <v>0</v>
      </c>
      <c r="Q498" s="93">
        <f>SUM('3:4'!Q498)</f>
        <v>0</v>
      </c>
      <c r="R498" s="93">
        <f>SUM('3:4'!R498)</f>
        <v>0</v>
      </c>
      <c r="S498" s="93">
        <f>SUM('3:4'!S498)</f>
        <v>0</v>
      </c>
      <c r="T498" s="93">
        <f>SUM('3:4'!T498)</f>
        <v>0</v>
      </c>
      <c r="U498" s="93">
        <f>SUM('3:4'!U498)</f>
        <v>0</v>
      </c>
      <c r="V498" s="206">
        <f t="shared" si="204"/>
        <v>0</v>
      </c>
      <c r="W498" s="33" t="str">
        <f t="shared" si="205"/>
        <v/>
      </c>
      <c r="X498" s="93">
        <f>SUM('3:4'!X498)</f>
        <v>0</v>
      </c>
      <c r="Y498" s="93">
        <f>SUM('3:4'!Y498)</f>
        <v>0</v>
      </c>
      <c r="Z498" s="93">
        <f>SUM('3:4'!Z498)</f>
        <v>0</v>
      </c>
      <c r="AA498" s="93">
        <f>SUM('3:4'!AA498)</f>
        <v>0</v>
      </c>
      <c r="AB498" s="358">
        <v>1.27</v>
      </c>
      <c r="AC498" s="269">
        <f t="shared" si="200"/>
        <v>0</v>
      </c>
      <c r="AD498" s="251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 ht="15.75">
      <c r="A499" s="299">
        <v>30700010</v>
      </c>
      <c r="B499" s="61" t="s">
        <v>105</v>
      </c>
      <c r="C499" s="16"/>
      <c r="D499" s="17">
        <f>78*120/1000</f>
        <v>9.36</v>
      </c>
      <c r="E499" s="17"/>
      <c r="F499" s="6"/>
      <c r="G499" s="93">
        <f>SUM('3:4'!G499)</f>
        <v>0</v>
      </c>
      <c r="H499" s="296">
        <f t="shared" si="201"/>
        <v>0</v>
      </c>
      <c r="I499" s="93">
        <f>SUM('3:4'!I499)</f>
        <v>0</v>
      </c>
      <c r="J499" s="31"/>
      <c r="K499" s="35"/>
      <c r="L499" s="87"/>
      <c r="M499" s="36"/>
      <c r="N499" s="31"/>
      <c r="O499" s="93">
        <f>SUM('3:4'!O499)</f>
        <v>0</v>
      </c>
      <c r="P499" s="93">
        <f>SUM('3:4'!P499)</f>
        <v>0</v>
      </c>
      <c r="Q499" s="93">
        <f>SUM('3:4'!Q499)</f>
        <v>0</v>
      </c>
      <c r="R499" s="93">
        <f>SUM('3:4'!R499)</f>
        <v>0</v>
      </c>
      <c r="S499" s="93">
        <f>SUM('3:4'!S499)</f>
        <v>0</v>
      </c>
      <c r="T499" s="93">
        <f>SUM('3:4'!T499)</f>
        <v>0</v>
      </c>
      <c r="U499" s="93">
        <f>SUM('3:4'!U499)</f>
        <v>0</v>
      </c>
      <c r="V499" s="206"/>
      <c r="W499" s="33"/>
      <c r="X499" s="93">
        <f>SUM('3:4'!X499)</f>
        <v>0</v>
      </c>
      <c r="Y499" s="93">
        <f>SUM('3:4'!Y499)</f>
        <v>0</v>
      </c>
      <c r="Z499" s="93">
        <f>SUM('3:4'!Z499)</f>
        <v>0</v>
      </c>
      <c r="AA499" s="93">
        <f>SUM('3:4'!AA499)</f>
        <v>0</v>
      </c>
      <c r="AB499" s="358"/>
      <c r="AC499" s="269">
        <f t="shared" si="200"/>
        <v>0</v>
      </c>
      <c r="AD499" s="251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 ht="15.75">
      <c r="A500" s="299">
        <v>30700015</v>
      </c>
      <c r="B500" s="294" t="s">
        <v>159</v>
      </c>
      <c r="C500" s="16"/>
      <c r="D500" s="17">
        <v>4.5</v>
      </c>
      <c r="E500" s="17"/>
      <c r="F500" s="6"/>
      <c r="G500" s="93">
        <f>SUM('3:4'!G500)</f>
        <v>0</v>
      </c>
      <c r="H500" s="296">
        <f t="shared" si="201"/>
        <v>0</v>
      </c>
      <c r="I500" s="93">
        <f>SUM('3:4'!I500)</f>
        <v>0</v>
      </c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6"/>
      <c r="W500" s="33"/>
      <c r="X500" s="93"/>
      <c r="Y500" s="93"/>
      <c r="Z500" s="93"/>
      <c r="AA500" s="93"/>
      <c r="AB500" s="358"/>
      <c r="AC500" s="269">
        <f t="shared" si="200"/>
        <v>0</v>
      </c>
      <c r="AD500" s="251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 ht="15.75">
      <c r="A501" s="299">
        <v>30700012</v>
      </c>
      <c r="B501" s="294" t="s">
        <v>160</v>
      </c>
      <c r="C501" s="16"/>
      <c r="D501" s="17">
        <v>4.5</v>
      </c>
      <c r="E501" s="17"/>
      <c r="F501" s="6"/>
      <c r="G501" s="93">
        <f>SUM('3:4'!G501)</f>
        <v>0</v>
      </c>
      <c r="H501" s="296">
        <f t="shared" si="201"/>
        <v>0</v>
      </c>
      <c r="I501" s="93">
        <f>SUM('3:4'!I501)</f>
        <v>0</v>
      </c>
      <c r="J501" s="31"/>
      <c r="K501" s="35"/>
      <c r="L501" s="87"/>
      <c r="M501" s="36"/>
      <c r="N501" s="31"/>
      <c r="O501" s="93">
        <f>SUM('3:4'!O501)</f>
        <v>0</v>
      </c>
      <c r="P501" s="93">
        <f>SUM('3:4'!P501)</f>
        <v>0</v>
      </c>
      <c r="Q501" s="93">
        <f>SUM('3:4'!Q501)</f>
        <v>0</v>
      </c>
      <c r="R501" s="93">
        <f>SUM('3:4'!R501)</f>
        <v>0</v>
      </c>
      <c r="S501" s="93">
        <f>SUM('3:4'!S501)</f>
        <v>0</v>
      </c>
      <c r="T501" s="93">
        <f>SUM('3:4'!T501)</f>
        <v>0</v>
      </c>
      <c r="U501" s="93">
        <f>SUM('3:4'!U501)</f>
        <v>0</v>
      </c>
      <c r="V501" s="206"/>
      <c r="W501" s="33"/>
      <c r="X501" s="93">
        <f>SUM('3:4'!X501)</f>
        <v>0</v>
      </c>
      <c r="Y501" s="93">
        <f>SUM('3:4'!Y501)</f>
        <v>0</v>
      </c>
      <c r="Z501" s="93">
        <f>SUM('3:4'!Z501)</f>
        <v>0</v>
      </c>
      <c r="AA501" s="93">
        <f>SUM('3:4'!AA501)</f>
        <v>0</v>
      </c>
      <c r="AB501" s="358"/>
      <c r="AC501" s="269">
        <f t="shared" si="200"/>
        <v>0</v>
      </c>
      <c r="AD501" s="251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 ht="17.25">
      <c r="A502" s="320"/>
      <c r="B502" s="244"/>
      <c r="C502" s="16"/>
      <c r="D502" s="17"/>
      <c r="E502" s="17"/>
      <c r="F502" s="6"/>
      <c r="G502" s="93">
        <f>SUM('3:4'!G502)</f>
        <v>0</v>
      </c>
      <c r="H502" s="296">
        <f t="shared" si="201"/>
        <v>0</v>
      </c>
      <c r="I502" s="93">
        <f>SUM('3:4'!I502)</f>
        <v>0</v>
      </c>
      <c r="J502" s="31"/>
      <c r="K502" s="35"/>
      <c r="L502" s="87"/>
      <c r="M502" s="36"/>
      <c r="N502" s="31"/>
      <c r="O502" s="93">
        <f>SUM('3:4'!O502)</f>
        <v>0</v>
      </c>
      <c r="P502" s="93">
        <f>SUM('3:4'!P502)</f>
        <v>0</v>
      </c>
      <c r="Q502" s="93">
        <f>SUM('3:4'!Q502)</f>
        <v>0</v>
      </c>
      <c r="R502" s="93">
        <f>SUM('3:4'!R502)</f>
        <v>0</v>
      </c>
      <c r="S502" s="93">
        <f>SUM('3:4'!S502)</f>
        <v>0</v>
      </c>
      <c r="T502" s="93">
        <f>SUM('3:4'!T502)</f>
        <v>0</v>
      </c>
      <c r="U502" s="93">
        <f>SUM('3:4'!U502)</f>
        <v>0</v>
      </c>
      <c r="V502" s="206"/>
      <c r="W502" s="33"/>
      <c r="X502" s="93">
        <f>SUM('3:4'!X502)</f>
        <v>0</v>
      </c>
      <c r="Y502" s="93">
        <f>SUM('3:4'!Y502)</f>
        <v>0</v>
      </c>
      <c r="Z502" s="93">
        <f>SUM('3:4'!Z502)</f>
        <v>0</v>
      </c>
      <c r="AA502" s="93">
        <f>SUM('3:4'!AA502)</f>
        <v>0</v>
      </c>
      <c r="AB502" s="73"/>
      <c r="AC502" s="269">
        <f t="shared" si="200"/>
        <v>0</v>
      </c>
      <c r="AD502" s="251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 ht="15.75">
      <c r="A503" s="725" t="s">
        <v>106</v>
      </c>
      <c r="B503" s="726"/>
      <c r="C503" s="243" t="s">
        <v>71</v>
      </c>
      <c r="D503" s="20"/>
      <c r="E503" s="20"/>
      <c r="F503" s="32"/>
      <c r="G503" s="94">
        <f>SUM(G488:G502)</f>
        <v>0</v>
      </c>
      <c r="H503" s="30">
        <f>SUM(H488:H502)</f>
        <v>0</v>
      </c>
      <c r="I503" s="30">
        <f>SUM(I488:I502)</f>
        <v>0</v>
      </c>
      <c r="J503" s="31" t="str">
        <f t="array" ref="J503">IF(ISERROR(G503/I503),"",G503/I503)</f>
        <v/>
      </c>
      <c r="K503" s="30">
        <f>SUM(K488:K498)</f>
        <v>0</v>
      </c>
      <c r="L503" s="98"/>
      <c r="M503" s="89">
        <f t="shared" ref="M503:V503" si="206">SUM(M488:M498)</f>
        <v>0</v>
      </c>
      <c r="N503" s="20">
        <f t="shared" si="206"/>
        <v>0</v>
      </c>
      <c r="O503" s="91">
        <f t="shared" si="206"/>
        <v>0</v>
      </c>
      <c r="P503" s="91">
        <f t="shared" si="206"/>
        <v>0</v>
      </c>
      <c r="Q503" s="91">
        <f t="shared" si="206"/>
        <v>0</v>
      </c>
      <c r="R503" s="91">
        <f t="shared" si="206"/>
        <v>0</v>
      </c>
      <c r="S503" s="92">
        <f t="shared" si="206"/>
        <v>0</v>
      </c>
      <c r="T503" s="91">
        <f t="shared" si="206"/>
        <v>0</v>
      </c>
      <c r="U503" s="91">
        <f t="shared" si="206"/>
        <v>0</v>
      </c>
      <c r="V503" s="206">
        <f t="shared" si="206"/>
        <v>0</v>
      </c>
      <c r="W503" s="33" t="str">
        <f t="shared" ref="W503:W504" si="207">IF(ISERROR(V503/G503),"",V503/G503)</f>
        <v/>
      </c>
      <c r="X503" s="92">
        <f>SUM(X488:X498)</f>
        <v>0</v>
      </c>
      <c r="Y503" s="92">
        <f>SUM(Y488:Y498)</f>
        <v>0</v>
      </c>
      <c r="Z503" s="92">
        <f>SUM(Z488:Z498)</f>
        <v>0</v>
      </c>
      <c r="AA503" s="92">
        <f>SUM(AA488:AA498)</f>
        <v>0</v>
      </c>
      <c r="AB503" s="70"/>
      <c r="AC503" s="91">
        <f>SUM(AC488:AC502)</f>
        <v>0</v>
      </c>
      <c r="AD503" s="58"/>
      <c r="AE503" s="70"/>
      <c r="AF503" s="70"/>
      <c r="AG503" s="70"/>
      <c r="AH503" s="70"/>
      <c r="AI503" s="58"/>
      <c r="AJ503" s="58"/>
      <c r="AK503" s="58"/>
      <c r="AL503" s="58"/>
      <c r="AM503" s="58"/>
      <c r="AN503" s="58"/>
      <c r="AO503" s="58"/>
      <c r="AP503" s="58"/>
      <c r="AQ503" s="58"/>
      <c r="AR503" s="58"/>
      <c r="AS503" s="58"/>
      <c r="AT503" s="58"/>
      <c r="AU503" s="58"/>
      <c r="AV503" s="58"/>
      <c r="AW503" s="58"/>
      <c r="AX503" s="58"/>
      <c r="AY503" s="58"/>
      <c r="AZ503" s="58"/>
      <c r="BA503" s="58"/>
    </row>
    <row r="504" spans="1:53" ht="15.75">
      <c r="A504" s="736" t="s">
        <v>108</v>
      </c>
      <c r="B504" s="737"/>
      <c r="C504" s="737"/>
      <c r="D504" s="737"/>
      <c r="E504" s="737"/>
      <c r="F504" s="738"/>
      <c r="G504" s="193">
        <f>SUM(G368,G426,G461,G477,G487,G503)</f>
        <v>0</v>
      </c>
      <c r="H504" s="193">
        <f>SUM(H368,H426,H461,H477,H487,H503)</f>
        <v>0</v>
      </c>
      <c r="I504" s="193">
        <f>SUM(I368,I426,I461,I477,I487,I503)</f>
        <v>0</v>
      </c>
      <c r="J504" s="52" t="str">
        <f t="array" ref="J504">IF(ISERROR(G504/I504),"",G504/I504)</f>
        <v/>
      </c>
      <c r="K504" s="193">
        <f>SUM(K368,K426,K461,K477,K487,K503)</f>
        <v>0</v>
      </c>
      <c r="L504" s="52" t="str">
        <f>IF(ISERROR(G504/K504),"",G504/K504)</f>
        <v/>
      </c>
      <c r="M504" s="193">
        <f t="shared" ref="M504:V504" si="208">SUM(M368,M426,M461,M477,M487,M503)</f>
        <v>0</v>
      </c>
      <c r="N504" s="193">
        <f t="shared" si="208"/>
        <v>0</v>
      </c>
      <c r="O504" s="193">
        <f t="shared" si="208"/>
        <v>0</v>
      </c>
      <c r="P504" s="193">
        <f t="shared" si="208"/>
        <v>0</v>
      </c>
      <c r="Q504" s="193">
        <f t="shared" si="208"/>
        <v>0</v>
      </c>
      <c r="R504" s="193">
        <f t="shared" si="208"/>
        <v>0</v>
      </c>
      <c r="S504" s="193">
        <f t="shared" si="208"/>
        <v>0</v>
      </c>
      <c r="T504" s="193">
        <f t="shared" si="208"/>
        <v>0</v>
      </c>
      <c r="U504" s="193">
        <f t="shared" si="208"/>
        <v>0</v>
      </c>
      <c r="V504" s="193">
        <f t="shared" si="208"/>
        <v>0</v>
      </c>
      <c r="W504" s="78" t="str">
        <f t="shared" si="207"/>
        <v/>
      </c>
      <c r="X504" s="193">
        <f>SUM(X368,X426,X461,X477,X487,X503)</f>
        <v>0</v>
      </c>
      <c r="Y504" s="193">
        <f>SUM(Y368,Y426,Y461,Y477,Y487,Y503)</f>
        <v>0</v>
      </c>
      <c r="Z504" s="193">
        <f>SUM(Z368,Z426,Z461,Z477,Z487,Z503)</f>
        <v>0</v>
      </c>
      <c r="AA504" s="193">
        <f>SUM(AA368,AA426,AA461,AA477,AA487,AA503)</f>
        <v>0</v>
      </c>
      <c r="AB504" s="71"/>
      <c r="AC504" s="271">
        <f>SUM(AC368,AC426,AC461,AC477,AC487,AC503)</f>
        <v>0</v>
      </c>
      <c r="AD504" s="251"/>
      <c r="AE504" s="77"/>
      <c r="AF504" s="77"/>
      <c r="AG504" s="77"/>
      <c r="AH504" s="77"/>
      <c r="AI504" s="57"/>
      <c r="AJ504" s="57"/>
      <c r="AK504" s="57"/>
      <c r="AL504" s="753"/>
      <c r="AM504" s="753"/>
      <c r="AN504" s="753"/>
      <c r="AO504" s="753"/>
      <c r="AP504" s="753"/>
      <c r="AQ504" s="753"/>
      <c r="AR504" s="753"/>
      <c r="AS504" s="753"/>
      <c r="AT504" s="753"/>
      <c r="AU504" s="753"/>
      <c r="AV504" s="753"/>
      <c r="AW504" s="753"/>
      <c r="AX504" s="753"/>
      <c r="AY504" s="753"/>
      <c r="AZ504" s="753"/>
      <c r="BA504" s="753"/>
    </row>
    <row r="505" spans="1:53">
      <c r="G505" s="272">
        <f>+G504+G163+G333</f>
        <v>5797</v>
      </c>
      <c r="H505" s="100" t="s">
        <v>165</v>
      </c>
      <c r="J505" s="101">
        <f>+G461+G291+G121</f>
        <v>2150</v>
      </c>
      <c r="K505" s="101">
        <f>+H461+H291+H121</f>
        <v>4165.8899999999994</v>
      </c>
      <c r="L505" s="101">
        <f>+I461+I291+I121</f>
        <v>338.3</v>
      </c>
      <c r="M505" s="50">
        <f>+J505/L505</f>
        <v>6.3553059414720661</v>
      </c>
      <c r="AC505" s="272">
        <f>+AC504+AC163+AC333</f>
        <v>6103.0499999999993</v>
      </c>
    </row>
    <row r="506" spans="1:53">
      <c r="G506" s="275"/>
      <c r="H506" s="100"/>
      <c r="J506" s="101"/>
      <c r="K506" s="101"/>
      <c r="L506" s="101"/>
      <c r="M506" s="50"/>
      <c r="AB506" s="275"/>
    </row>
    <row r="507" spans="1:53">
      <c r="D507" s="274"/>
      <c r="H507" s="100"/>
      <c r="J507" s="101"/>
      <c r="K507" s="101"/>
      <c r="L507" s="101"/>
      <c r="M507" s="50"/>
      <c r="AC507" s="276"/>
    </row>
    <row r="508" spans="1:53">
      <c r="J508" s="101"/>
      <c r="K508" s="101"/>
      <c r="L508" s="101"/>
      <c r="M508" s="50"/>
    </row>
    <row r="511" spans="1:53">
      <c r="H511" s="100"/>
      <c r="K511" s="101"/>
      <c r="L511" s="101"/>
      <c r="M511" s="102"/>
    </row>
    <row r="512" spans="1:53">
      <c r="H512" s="100"/>
      <c r="K512" s="101"/>
      <c r="L512" s="101"/>
      <c r="M512" s="102"/>
    </row>
    <row r="513" spans="7:13">
      <c r="H513" s="100"/>
      <c r="K513" s="101"/>
      <c r="L513" s="101"/>
      <c r="M513" s="102"/>
    </row>
    <row r="514" spans="7:13">
      <c r="H514" s="100"/>
      <c r="K514" s="101"/>
      <c r="L514" s="101"/>
      <c r="M514" s="102"/>
    </row>
    <row r="515" spans="7:13">
      <c r="H515" s="100" t="s">
        <v>167</v>
      </c>
      <c r="J515" s="46">
        <f>+G162</f>
        <v>216</v>
      </c>
      <c r="K515" s="101">
        <f>+H162</f>
        <v>950.40000000000009</v>
      </c>
      <c r="L515" s="101">
        <f>+I162</f>
        <v>60.5</v>
      </c>
      <c r="M515" s="102">
        <f>+J515/L515</f>
        <v>3.5702479338842976</v>
      </c>
    </row>
    <row r="516" spans="7:13">
      <c r="J516" s="46">
        <f>+B170</f>
        <v>1966</v>
      </c>
      <c r="M516" s="102"/>
    </row>
    <row r="517" spans="7:13">
      <c r="M517" s="102"/>
    </row>
    <row r="518" spans="7:13">
      <c r="H518" s="100" t="s">
        <v>163</v>
      </c>
      <c r="J518" s="46">
        <f>+G198</f>
        <v>0</v>
      </c>
      <c r="K518" s="101">
        <f>+H198</f>
        <v>0</v>
      </c>
      <c r="L518" s="101">
        <f>+I198</f>
        <v>0</v>
      </c>
      <c r="M518" s="102" t="e">
        <f>+J518/L518</f>
        <v>#DIV/0!</v>
      </c>
    </row>
    <row r="519" spans="7:13">
      <c r="H519" s="100" t="s">
        <v>164</v>
      </c>
      <c r="J519" s="46">
        <f>+G256</f>
        <v>0</v>
      </c>
      <c r="K519" s="101">
        <f>+H256</f>
        <v>0</v>
      </c>
      <c r="L519" s="101">
        <f>+I256</f>
        <v>0</v>
      </c>
      <c r="M519" s="102" t="e">
        <f>+J519/L519</f>
        <v>#DIV/0!</v>
      </c>
    </row>
    <row r="520" spans="7:13">
      <c r="H520" s="100" t="s">
        <v>165</v>
      </c>
      <c r="J520" s="46">
        <f>+G291</f>
        <v>1594</v>
      </c>
      <c r="K520" s="101">
        <f>+H291</f>
        <v>1375.33</v>
      </c>
      <c r="L520" s="101">
        <f>+I291</f>
        <v>310.8</v>
      </c>
      <c r="M520" s="102">
        <f>+J520/L520</f>
        <v>5.1287001287001281</v>
      </c>
    </row>
    <row r="521" spans="7:13">
      <c r="H521" s="100" t="s">
        <v>166</v>
      </c>
      <c r="J521" s="46">
        <f>+G307</f>
        <v>0</v>
      </c>
      <c r="K521" s="101">
        <f>+H307</f>
        <v>0</v>
      </c>
      <c r="L521" s="101">
        <f>+I307</f>
        <v>0</v>
      </c>
      <c r="M521" s="102" t="e">
        <f>+J521/L521</f>
        <v>#DIV/0!</v>
      </c>
    </row>
    <row r="522" spans="7:13">
      <c r="H522" s="100" t="s">
        <v>167</v>
      </c>
      <c r="J522" s="46">
        <f>+G332</f>
        <v>521</v>
      </c>
      <c r="K522" s="101">
        <f>+H332</f>
        <v>3237.6000000000004</v>
      </c>
      <c r="L522" s="101">
        <f>+I332</f>
        <v>176.5</v>
      </c>
      <c r="M522" s="102">
        <f>+J522/L522</f>
        <v>2.951841359773371</v>
      </c>
    </row>
    <row r="523" spans="7:13">
      <c r="G523" t="s">
        <v>170</v>
      </c>
      <c r="J523" s="46">
        <f>+B340</f>
        <v>3831</v>
      </c>
      <c r="K523" s="101"/>
      <c r="L523" s="101"/>
      <c r="M523" s="102"/>
    </row>
    <row r="524" spans="7:13">
      <c r="H524" s="100" t="s">
        <v>163</v>
      </c>
      <c r="J524" s="46">
        <f>+G368</f>
        <v>0</v>
      </c>
      <c r="K524" s="101">
        <f>+H368</f>
        <v>0</v>
      </c>
      <c r="L524" s="101">
        <f>+I368</f>
        <v>0</v>
      </c>
      <c r="M524" s="102" t="e">
        <f>+J524/L524</f>
        <v>#DIV/0!</v>
      </c>
    </row>
    <row r="525" spans="7:13">
      <c r="H525" s="100" t="s">
        <v>164</v>
      </c>
      <c r="J525" s="46">
        <f>+G426</f>
        <v>0</v>
      </c>
      <c r="K525" s="101">
        <f>+H426</f>
        <v>0</v>
      </c>
      <c r="L525" s="101">
        <f>+I426</f>
        <v>0</v>
      </c>
      <c r="M525" s="102" t="e">
        <f>+J525/L525</f>
        <v>#DIV/0!</v>
      </c>
    </row>
    <row r="526" spans="7:13">
      <c r="H526" s="100" t="s">
        <v>165</v>
      </c>
      <c r="J526" s="46">
        <f>+G461</f>
        <v>0</v>
      </c>
      <c r="K526" s="101">
        <f>+H461</f>
        <v>0</v>
      </c>
      <c r="L526" s="101">
        <f>+I461</f>
        <v>0</v>
      </c>
      <c r="M526" s="102" t="e">
        <f>+J526/L526</f>
        <v>#DIV/0!</v>
      </c>
    </row>
    <row r="527" spans="7:13">
      <c r="H527" s="100" t="s">
        <v>166</v>
      </c>
      <c r="J527" s="46">
        <f>+G477</f>
        <v>0</v>
      </c>
      <c r="K527" s="101">
        <f>+H477</f>
        <v>0</v>
      </c>
      <c r="L527" s="101">
        <f>+I477</f>
        <v>0</v>
      </c>
      <c r="M527" s="102" t="e">
        <f>+J527/L527</f>
        <v>#DIV/0!</v>
      </c>
    </row>
    <row r="528" spans="7:13">
      <c r="H528" s="100" t="s">
        <v>167</v>
      </c>
      <c r="J528" s="46">
        <f>+G503</f>
        <v>0</v>
      </c>
      <c r="K528" s="101">
        <f>+H503</f>
        <v>0</v>
      </c>
      <c r="L528" s="101">
        <f>+I503</f>
        <v>0</v>
      </c>
      <c r="M528" s="102" t="e">
        <f>+J528/L528</f>
        <v>#DIV/0!</v>
      </c>
    </row>
    <row r="529" spans="10:10">
      <c r="J529" s="46" t="e">
        <f>+#REF!</f>
        <v>#REF!</v>
      </c>
    </row>
  </sheetData>
  <mergeCells count="350">
    <mergeCell ref="A504:F504"/>
    <mergeCell ref="AL504:AR504"/>
    <mergeCell ref="AS504:BA504"/>
    <mergeCell ref="A368:B368"/>
    <mergeCell ref="A426:B426"/>
    <mergeCell ref="A461:B461"/>
    <mergeCell ref="A477:B477"/>
    <mergeCell ref="O345:O346"/>
    <mergeCell ref="P345:P346"/>
    <mergeCell ref="Q345:Q346"/>
    <mergeCell ref="R345:R346"/>
    <mergeCell ref="S345:S346"/>
    <mergeCell ref="T345:T346"/>
    <mergeCell ref="U345:U346"/>
    <mergeCell ref="A487:B487"/>
    <mergeCell ref="A503:B503"/>
    <mergeCell ref="G344:H345"/>
    <mergeCell ref="I344:I346"/>
    <mergeCell ref="J344:J346"/>
    <mergeCell ref="K344:K346"/>
    <mergeCell ref="L344:L346"/>
    <mergeCell ref="M344:M346"/>
    <mergeCell ref="A343:BA343"/>
    <mergeCell ref="A344:A346"/>
    <mergeCell ref="B344:B346"/>
    <mergeCell ref="C344:C346"/>
    <mergeCell ref="D344:D346"/>
    <mergeCell ref="E344:E346"/>
    <mergeCell ref="F344:F346"/>
    <mergeCell ref="AL345:AR345"/>
    <mergeCell ref="AS345:BA345"/>
    <mergeCell ref="AB344:AB346"/>
    <mergeCell ref="AC344:AC346"/>
    <mergeCell ref="N344:N346"/>
    <mergeCell ref="O344:U344"/>
    <mergeCell ref="V344:V346"/>
    <mergeCell ref="W344:W346"/>
    <mergeCell ref="X344:AA344"/>
    <mergeCell ref="AI344:AI346"/>
    <mergeCell ref="X345:X346"/>
    <mergeCell ref="Y345:Y346"/>
    <mergeCell ref="Z345:Z346"/>
    <mergeCell ref="AA345:AA346"/>
    <mergeCell ref="AJ344:AJ346"/>
    <mergeCell ref="AK344:AK346"/>
    <mergeCell ref="AL344:BA344"/>
    <mergeCell ref="C341:D341"/>
    <mergeCell ref="E341:F341"/>
    <mergeCell ref="G341:H341"/>
    <mergeCell ref="I341:J341"/>
    <mergeCell ref="K341:L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M341:N341"/>
    <mergeCell ref="P341:Q341"/>
    <mergeCell ref="R341:S341"/>
    <mergeCell ref="T341:U341"/>
    <mergeCell ref="V341:W341"/>
    <mergeCell ref="X341:Y341"/>
    <mergeCell ref="V342:W342"/>
    <mergeCell ref="X342:Y342"/>
    <mergeCell ref="Z342:AA342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M340:N340"/>
    <mergeCell ref="P340:Q340"/>
    <mergeCell ref="R340:S340"/>
    <mergeCell ref="T340:U340"/>
    <mergeCell ref="V340:W340"/>
    <mergeCell ref="X340:Y340"/>
    <mergeCell ref="Z340:AA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Z338:AA338"/>
    <mergeCell ref="M338:N338"/>
    <mergeCell ref="P338:Q338"/>
    <mergeCell ref="R338:S338"/>
    <mergeCell ref="T338:U338"/>
    <mergeCell ref="V338:W338"/>
    <mergeCell ref="X338:Y338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C336:D336"/>
    <mergeCell ref="E336:F336"/>
    <mergeCell ref="G336:H336"/>
    <mergeCell ref="I336:J336"/>
    <mergeCell ref="K336:L336"/>
    <mergeCell ref="M336:N336"/>
    <mergeCell ref="P336:Q336"/>
    <mergeCell ref="V336:W336"/>
    <mergeCell ref="X336:Y336"/>
    <mergeCell ref="R334:S334"/>
    <mergeCell ref="T334:U334"/>
    <mergeCell ref="R335:S335"/>
    <mergeCell ref="T335:U335"/>
    <mergeCell ref="R336:S336"/>
    <mergeCell ref="T336:U336"/>
    <mergeCell ref="V335:W335"/>
    <mergeCell ref="X335:Y335"/>
    <mergeCell ref="Z335:AA335"/>
    <mergeCell ref="Z336:AA336"/>
    <mergeCell ref="A317:B317"/>
    <mergeCell ref="A332:B332"/>
    <mergeCell ref="A333:F333"/>
    <mergeCell ref="AL333:AR333"/>
    <mergeCell ref="AS333:BA333"/>
    <mergeCell ref="A334:A339"/>
    <mergeCell ref="C334:D334"/>
    <mergeCell ref="E334:F334"/>
    <mergeCell ref="G334:H334"/>
    <mergeCell ref="I334:J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K334:L334"/>
    <mergeCell ref="M334:N334"/>
    <mergeCell ref="O334:O342"/>
    <mergeCell ref="P334:Q334"/>
    <mergeCell ref="AL175:AR175"/>
    <mergeCell ref="AS175:BA175"/>
    <mergeCell ref="A198:B198"/>
    <mergeCell ref="A256:B256"/>
    <mergeCell ref="A291:B291"/>
    <mergeCell ref="A307:B307"/>
    <mergeCell ref="AJ174:AJ176"/>
    <mergeCell ref="AK174:AK176"/>
    <mergeCell ref="AL174:BA174"/>
    <mergeCell ref="O175:O176"/>
    <mergeCell ref="P175:P176"/>
    <mergeCell ref="Q175:Q176"/>
    <mergeCell ref="R175:R176"/>
    <mergeCell ref="S175:S176"/>
    <mergeCell ref="T175:T176"/>
    <mergeCell ref="U175:U176"/>
    <mergeCell ref="N174:N176"/>
    <mergeCell ref="O174:U174"/>
    <mergeCell ref="V174:V176"/>
    <mergeCell ref="W174:W176"/>
    <mergeCell ref="X174:AA174"/>
    <mergeCell ref="AI174:AI176"/>
    <mergeCell ref="X175:X176"/>
    <mergeCell ref="Y175:Y176"/>
    <mergeCell ref="Z175:Z176"/>
    <mergeCell ref="AA175:AA176"/>
    <mergeCell ref="G174:H175"/>
    <mergeCell ref="I174:I176"/>
    <mergeCell ref="J174:J176"/>
    <mergeCell ref="K174:K176"/>
    <mergeCell ref="L174:L176"/>
    <mergeCell ref="M174:M176"/>
    <mergeCell ref="A174:A176"/>
    <mergeCell ref="B174:B176"/>
    <mergeCell ref="C174:C176"/>
    <mergeCell ref="D174:D176"/>
    <mergeCell ref="E174:E176"/>
    <mergeCell ref="F174:F176"/>
    <mergeCell ref="R172:S172"/>
    <mergeCell ref="T172:U172"/>
    <mergeCell ref="V172:W172"/>
    <mergeCell ref="X172:Y172"/>
    <mergeCell ref="Z172:AA172"/>
    <mergeCell ref="A173:BA173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Z170:AA170"/>
    <mergeCell ref="M170:N170"/>
    <mergeCell ref="P170:Q170"/>
    <mergeCell ref="R170:S170"/>
    <mergeCell ref="T170:U170"/>
    <mergeCell ref="V170:W170"/>
    <mergeCell ref="X170:Y170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C167:D167"/>
    <mergeCell ref="E167:F167"/>
    <mergeCell ref="G167:H167"/>
    <mergeCell ref="I167:J167"/>
    <mergeCell ref="K167:L167"/>
    <mergeCell ref="Z167:AA167"/>
    <mergeCell ref="C168:D168"/>
    <mergeCell ref="E168:F168"/>
    <mergeCell ref="G168:H168"/>
    <mergeCell ref="I168:J168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7:W167"/>
    <mergeCell ref="X167:Y167"/>
    <mergeCell ref="V168:W168"/>
    <mergeCell ref="X168:Y168"/>
    <mergeCell ref="Z168:AA168"/>
    <mergeCell ref="Z165:AA165"/>
    <mergeCell ref="C166:D166"/>
    <mergeCell ref="E166:F166"/>
    <mergeCell ref="G166:H166"/>
    <mergeCell ref="I166:J166"/>
    <mergeCell ref="K166:L166"/>
    <mergeCell ref="R166:S166"/>
    <mergeCell ref="T166:U166"/>
    <mergeCell ref="V166:W166"/>
    <mergeCell ref="X166:Y166"/>
    <mergeCell ref="Z166:AA166"/>
    <mergeCell ref="P164:Q164"/>
    <mergeCell ref="M165:N165"/>
    <mergeCell ref="P165:Q165"/>
    <mergeCell ref="M166:N166"/>
    <mergeCell ref="P166:Q166"/>
    <mergeCell ref="R165:S165"/>
    <mergeCell ref="T165:U165"/>
    <mergeCell ref="V165:W165"/>
    <mergeCell ref="X165:Y165"/>
    <mergeCell ref="A137:B137"/>
    <mergeCell ref="A147:B147"/>
    <mergeCell ref="A162:B162"/>
    <mergeCell ref="A163:F163"/>
    <mergeCell ref="A164:A169"/>
    <mergeCell ref="C164:D164"/>
    <mergeCell ref="E164:F164"/>
    <mergeCell ref="Y5:Y6"/>
    <mergeCell ref="Z5:Z6"/>
    <mergeCell ref="R164:S164"/>
    <mergeCell ref="T164:U164"/>
    <mergeCell ref="V164:W164"/>
    <mergeCell ref="X164:Y164"/>
    <mergeCell ref="Z164:AA164"/>
    <mergeCell ref="C165:D165"/>
    <mergeCell ref="E165:F165"/>
    <mergeCell ref="G165:H165"/>
    <mergeCell ref="I165:J165"/>
    <mergeCell ref="K165:L165"/>
    <mergeCell ref="G164:H164"/>
    <mergeCell ref="I164:J164"/>
    <mergeCell ref="K164:L164"/>
    <mergeCell ref="M164:N164"/>
    <mergeCell ref="O164:O172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B4:AB6"/>
    <mergeCell ref="AC4:AC6"/>
    <mergeCell ref="AB174:AB176"/>
    <mergeCell ref="AC174:AC176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12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G16" sqref="G16"/>
    </sheetView>
  </sheetViews>
  <sheetFormatPr defaultRowHeight="14.25"/>
  <cols>
    <col min="1" max="1" width="19.125" customWidth="1"/>
    <col min="2" max="2" width="13.5" customWidth="1"/>
    <col min="3" max="3" width="15.5" customWidth="1"/>
    <col min="5" max="5" width="14.125" customWidth="1"/>
    <col min="6" max="6" width="15.125" customWidth="1"/>
    <col min="7" max="7" width="10.875" customWidth="1"/>
    <col min="8" max="8" width="15.125" customWidth="1"/>
    <col min="9" max="9" width="16.375" customWidth="1"/>
    <col min="10" max="10" width="12.375" customWidth="1"/>
    <col min="11" max="11" width="9" style="252"/>
  </cols>
  <sheetData>
    <row r="1" spans="1:11" ht="25.5">
      <c r="A1" s="795" t="s">
        <v>551</v>
      </c>
      <c r="B1" s="796"/>
      <c r="C1" s="796"/>
      <c r="D1" s="796"/>
      <c r="E1" s="796"/>
      <c r="F1" s="796"/>
      <c r="G1" s="796"/>
      <c r="H1" s="796"/>
      <c r="I1" s="796"/>
      <c r="J1" s="796"/>
      <c r="K1" s="797"/>
    </row>
    <row r="2" spans="1:11" ht="15.75">
      <c r="A2" s="565" t="s">
        <v>533</v>
      </c>
      <c r="B2" s="566" t="s">
        <v>534</v>
      </c>
      <c r="C2" s="568"/>
      <c r="D2" s="567"/>
      <c r="E2" s="566" t="s">
        <v>535</v>
      </c>
      <c r="F2" s="568"/>
      <c r="G2" s="567"/>
      <c r="H2" s="565" t="s">
        <v>536</v>
      </c>
      <c r="I2" s="565"/>
      <c r="J2" s="565"/>
      <c r="K2" s="793" t="s">
        <v>550</v>
      </c>
    </row>
    <row r="3" spans="1:11" ht="15.75">
      <c r="A3" s="565" t="s">
        <v>537</v>
      </c>
      <c r="B3" s="565" t="s">
        <v>538</v>
      </c>
      <c r="C3" s="565" t="s">
        <v>539</v>
      </c>
      <c r="D3" s="565" t="s">
        <v>540</v>
      </c>
      <c r="E3" s="565" t="s">
        <v>538</v>
      </c>
      <c r="F3" s="565" t="s">
        <v>539</v>
      </c>
      <c r="G3" s="565" t="s">
        <v>540</v>
      </c>
      <c r="H3" s="565" t="s">
        <v>538</v>
      </c>
      <c r="I3" s="565" t="s">
        <v>539</v>
      </c>
      <c r="J3" s="565" t="s">
        <v>540</v>
      </c>
      <c r="K3" s="794"/>
    </row>
    <row r="4" spans="1:11" ht="15.75">
      <c r="A4" s="565" t="s">
        <v>541</v>
      </c>
      <c r="B4" s="565">
        <f>+汇总!G28</f>
        <v>12290</v>
      </c>
      <c r="C4" s="565">
        <v>0</v>
      </c>
      <c r="D4" s="569" t="e">
        <f>+B4/C4</f>
        <v>#DIV/0!</v>
      </c>
      <c r="E4" s="565">
        <f>+汇总!G198</f>
        <v>15272</v>
      </c>
      <c r="F4" s="565">
        <v>0</v>
      </c>
      <c r="G4" s="569" t="e">
        <f>+E4/F4</f>
        <v>#DIV/0!</v>
      </c>
      <c r="H4" s="565">
        <f>+汇总!G368</f>
        <v>0</v>
      </c>
      <c r="I4" s="565">
        <v>0</v>
      </c>
      <c r="J4" s="565" t="e">
        <f t="shared" ref="J4:J9" si="0">+H4/I4</f>
        <v>#DIV/0!</v>
      </c>
      <c r="K4" s="570">
        <f>+B4+E4+H4</f>
        <v>27562</v>
      </c>
    </row>
    <row r="5" spans="1:11" ht="15.75">
      <c r="A5" s="565" t="s">
        <v>542</v>
      </c>
      <c r="B5" s="565">
        <f>+汇总!G86</f>
        <v>25010</v>
      </c>
      <c r="C5" s="565">
        <v>0</v>
      </c>
      <c r="D5" s="569" t="e">
        <f t="shared" ref="D5:D11" si="1">+B5/C5</f>
        <v>#DIV/0!</v>
      </c>
      <c r="E5" s="565">
        <f>+汇总!G256</f>
        <v>25269</v>
      </c>
      <c r="F5" s="565">
        <v>0</v>
      </c>
      <c r="G5" s="569" t="e">
        <f t="shared" ref="G5:G11" si="2">+E5/F5</f>
        <v>#DIV/0!</v>
      </c>
      <c r="H5" s="565">
        <f>+汇总!G426</f>
        <v>0</v>
      </c>
      <c r="I5" s="565">
        <v>0</v>
      </c>
      <c r="J5" s="565" t="e">
        <f t="shared" si="0"/>
        <v>#DIV/0!</v>
      </c>
      <c r="K5" s="570">
        <f t="shared" ref="K5:K10" si="3">+B5+E5+H5</f>
        <v>50279</v>
      </c>
    </row>
    <row r="6" spans="1:11" ht="15.75">
      <c r="A6" s="565" t="s">
        <v>543</v>
      </c>
      <c r="B6" s="565">
        <f>+汇总!G121</f>
        <v>14026</v>
      </c>
      <c r="C6" s="565">
        <v>0</v>
      </c>
      <c r="D6" s="569" t="e">
        <f t="shared" si="1"/>
        <v>#DIV/0!</v>
      </c>
      <c r="E6" s="565">
        <f>+汇总!G291</f>
        <v>10909</v>
      </c>
      <c r="F6" s="565">
        <v>0</v>
      </c>
      <c r="G6" s="565" t="e">
        <f t="shared" si="2"/>
        <v>#DIV/0!</v>
      </c>
      <c r="H6" s="565">
        <f>+汇总!G461</f>
        <v>13590</v>
      </c>
      <c r="I6" s="565">
        <v>0</v>
      </c>
      <c r="J6" s="569" t="e">
        <f>+H6/I6</f>
        <v>#DIV/0!</v>
      </c>
      <c r="K6" s="570">
        <f t="shared" si="3"/>
        <v>38525</v>
      </c>
    </row>
    <row r="7" spans="1:11" ht="15.75">
      <c r="A7" s="565" t="s">
        <v>544</v>
      </c>
      <c r="B7" s="565">
        <f>+汇总!G137</f>
        <v>4680</v>
      </c>
      <c r="C7" s="565">
        <v>0</v>
      </c>
      <c r="D7" s="565" t="e">
        <f t="shared" si="1"/>
        <v>#DIV/0!</v>
      </c>
      <c r="E7" s="565">
        <f>+汇总!G307</f>
        <v>3656</v>
      </c>
      <c r="F7" s="565">
        <v>0</v>
      </c>
      <c r="G7" s="565" t="e">
        <f t="shared" si="2"/>
        <v>#DIV/0!</v>
      </c>
      <c r="H7" s="565">
        <f>+汇总!G477</f>
        <v>0</v>
      </c>
      <c r="I7" s="565">
        <v>0</v>
      </c>
      <c r="J7" s="565" t="e">
        <f t="shared" si="0"/>
        <v>#DIV/0!</v>
      </c>
      <c r="K7" s="570">
        <f t="shared" si="3"/>
        <v>8336</v>
      </c>
    </row>
    <row r="8" spans="1:11" ht="15.75">
      <c r="A8" s="565" t="s">
        <v>545</v>
      </c>
      <c r="B8" s="565">
        <f>+汇总!G147</f>
        <v>3330</v>
      </c>
      <c r="C8" s="565">
        <v>0</v>
      </c>
      <c r="D8" s="569" t="e">
        <f t="shared" si="1"/>
        <v>#DIV/0!</v>
      </c>
      <c r="E8" s="565">
        <f>+汇总!G317</f>
        <v>3545</v>
      </c>
      <c r="F8" s="565">
        <v>0</v>
      </c>
      <c r="G8" s="569" t="e">
        <f>+E8/F8</f>
        <v>#DIV/0!</v>
      </c>
      <c r="H8" s="565">
        <f>+汇总!G487</f>
        <v>0</v>
      </c>
      <c r="I8" s="565">
        <v>0</v>
      </c>
      <c r="J8" s="565" t="e">
        <f t="shared" si="0"/>
        <v>#DIV/0!</v>
      </c>
      <c r="K8" s="570">
        <f t="shared" si="3"/>
        <v>6875</v>
      </c>
    </row>
    <row r="9" spans="1:11" ht="15.75">
      <c r="A9" s="565" t="s">
        <v>546</v>
      </c>
      <c r="B9" s="565">
        <f>+汇总!G162</f>
        <v>789</v>
      </c>
      <c r="C9" s="565">
        <v>0</v>
      </c>
      <c r="D9" s="569" t="e">
        <f t="shared" si="1"/>
        <v>#DIV/0!</v>
      </c>
      <c r="E9" s="565">
        <f>+汇总!G332</f>
        <v>1006</v>
      </c>
      <c r="F9" s="565">
        <v>0</v>
      </c>
      <c r="G9" s="569" t="e">
        <f t="shared" si="2"/>
        <v>#DIV/0!</v>
      </c>
      <c r="H9" s="565">
        <f>+汇总!G503</f>
        <v>0</v>
      </c>
      <c r="I9" s="565">
        <v>0</v>
      </c>
      <c r="J9" s="569" t="e">
        <f t="shared" si="0"/>
        <v>#DIV/0!</v>
      </c>
      <c r="K9" s="570">
        <f t="shared" si="3"/>
        <v>1795</v>
      </c>
    </row>
    <row r="10" spans="1:11" ht="15.75">
      <c r="A10" s="565" t="s">
        <v>547</v>
      </c>
      <c r="B10" s="565">
        <v>0</v>
      </c>
      <c r="C10" s="565">
        <v>0</v>
      </c>
      <c r="D10" s="565" t="e">
        <f t="shared" si="1"/>
        <v>#DIV/0!</v>
      </c>
      <c r="E10" s="565">
        <v>0</v>
      </c>
      <c r="F10" s="565">
        <v>0</v>
      </c>
      <c r="G10" s="565" t="e">
        <f t="shared" si="2"/>
        <v>#DIV/0!</v>
      </c>
      <c r="H10" s="565">
        <v>0</v>
      </c>
      <c r="I10" s="565">
        <v>0</v>
      </c>
      <c r="J10" s="565" t="e">
        <f>+H10/I10</f>
        <v>#DIV/0!</v>
      </c>
      <c r="K10" s="570">
        <f t="shared" si="3"/>
        <v>0</v>
      </c>
    </row>
    <row r="11" spans="1:11" ht="15.75">
      <c r="A11" s="565" t="s">
        <v>548</v>
      </c>
      <c r="B11" s="565">
        <f>SUM(B4:B10)</f>
        <v>60125</v>
      </c>
      <c r="C11" s="565">
        <f>SUM(C4:C10)</f>
        <v>0</v>
      </c>
      <c r="D11" s="565" t="e">
        <f t="shared" si="1"/>
        <v>#DIV/0!</v>
      </c>
      <c r="E11" s="565">
        <f>SUM(E4:E10)</f>
        <v>59657</v>
      </c>
      <c r="F11" s="565">
        <f>SUM(F4:F10)</f>
        <v>0</v>
      </c>
      <c r="G11" s="569" t="e">
        <f t="shared" si="2"/>
        <v>#DIV/0!</v>
      </c>
      <c r="H11" s="565">
        <f>SUM(H4:H10)</f>
        <v>13590</v>
      </c>
      <c r="I11" s="565">
        <f>SUM(I4:I10)</f>
        <v>0</v>
      </c>
      <c r="J11" s="569" t="e">
        <f>+H11/I11</f>
        <v>#DIV/0!</v>
      </c>
      <c r="K11" s="570">
        <f>+B11+E11+H11</f>
        <v>133372</v>
      </c>
    </row>
    <row r="12" spans="1:11" ht="15.75">
      <c r="A12" s="565" t="s">
        <v>549</v>
      </c>
      <c r="B12" s="761">
        <f>B11+E11+H11</f>
        <v>133372</v>
      </c>
      <c r="C12" s="765"/>
      <c r="D12" s="765"/>
      <c r="E12" s="765"/>
      <c r="F12" s="765"/>
      <c r="G12" s="765"/>
      <c r="H12" s="765"/>
      <c r="I12" s="765"/>
      <c r="J12" s="762"/>
      <c r="K12" s="570"/>
    </row>
  </sheetData>
  <mergeCells count="3">
    <mergeCell ref="K2:K3"/>
    <mergeCell ref="A1:K1"/>
    <mergeCell ref="B12:J12"/>
  </mergeCells>
  <phoneticPr fontId="4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289" activePane="bottomRight" state="frozen"/>
      <selection activeCell="F484" sqref="F484"/>
      <selection pane="topRight" activeCell="F484" sqref="F484"/>
      <selection pane="bottomLeft" activeCell="F484" sqref="F484"/>
      <selection pane="bottomRight" activeCell="F484" sqref="F48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07" t="s">
        <v>413</v>
      </c>
      <c r="B1" s="607"/>
      <c r="C1" s="607"/>
      <c r="D1" s="607"/>
      <c r="E1" s="607"/>
      <c r="F1" s="607"/>
      <c r="G1" s="607"/>
      <c r="H1" s="607"/>
      <c r="I1" s="607"/>
      <c r="J1" s="607"/>
      <c r="K1" s="607"/>
      <c r="L1" s="607"/>
      <c r="M1" s="607"/>
      <c r="N1" s="607"/>
      <c r="O1" s="607"/>
      <c r="P1" s="607"/>
      <c r="Q1" s="607"/>
      <c r="R1" s="607"/>
      <c r="S1" s="607"/>
      <c r="T1" s="607"/>
      <c r="U1" s="607"/>
      <c r="V1" s="607"/>
      <c r="W1" s="607"/>
      <c r="X1" s="607"/>
      <c r="Y1" s="607"/>
      <c r="Z1" s="607"/>
      <c r="AA1" s="607"/>
    </row>
    <row r="2" spans="1:27" ht="18.75">
      <c r="A2" s="608"/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09" t="s">
        <v>12</v>
      </c>
      <c r="B4" s="609" t="s">
        <v>25</v>
      </c>
      <c r="C4" s="609" t="s">
        <v>26</v>
      </c>
      <c r="D4" s="609" t="s">
        <v>27</v>
      </c>
      <c r="E4" s="612" t="s">
        <v>28</v>
      </c>
      <c r="F4" s="615" t="s">
        <v>29</v>
      </c>
      <c r="G4" s="618" t="s">
        <v>30</v>
      </c>
      <c r="H4" s="618"/>
      <c r="I4" s="609" t="s">
        <v>31</v>
      </c>
      <c r="J4" s="621" t="s">
        <v>32</v>
      </c>
      <c r="K4" s="624" t="s">
        <v>33</v>
      </c>
      <c r="L4" s="609" t="s">
        <v>34</v>
      </c>
      <c r="M4" s="627" t="s">
        <v>35</v>
      </c>
      <c r="N4" s="629" t="s">
        <v>36</v>
      </c>
      <c r="O4" s="618" t="s">
        <v>37</v>
      </c>
      <c r="P4" s="618"/>
      <c r="Q4" s="618"/>
      <c r="R4" s="618"/>
      <c r="S4" s="618"/>
      <c r="T4" s="618"/>
      <c r="U4" s="618"/>
      <c r="V4" s="618" t="s">
        <v>38</v>
      </c>
      <c r="W4" s="629" t="s">
        <v>39</v>
      </c>
      <c r="X4" s="618" t="s">
        <v>40</v>
      </c>
      <c r="Y4" s="618"/>
      <c r="Z4" s="618"/>
      <c r="AA4" s="618"/>
    </row>
    <row r="5" spans="1:27" s="104" customFormat="1" ht="15" customHeight="1">
      <c r="A5" s="610"/>
      <c r="B5" s="610"/>
      <c r="C5" s="610"/>
      <c r="D5" s="610"/>
      <c r="E5" s="613"/>
      <c r="F5" s="616"/>
      <c r="G5" s="618"/>
      <c r="H5" s="618"/>
      <c r="I5" s="610"/>
      <c r="J5" s="622"/>
      <c r="K5" s="625"/>
      <c r="L5" s="610"/>
      <c r="M5" s="628"/>
      <c r="N5" s="629"/>
      <c r="O5" s="618" t="s">
        <v>41</v>
      </c>
      <c r="P5" s="618" t="s">
        <v>42</v>
      </c>
      <c r="Q5" s="618" t="s">
        <v>43</v>
      </c>
      <c r="R5" s="619" t="s">
        <v>44</v>
      </c>
      <c r="S5" s="620" t="s">
        <v>45</v>
      </c>
      <c r="T5" s="618" t="s">
        <v>46</v>
      </c>
      <c r="U5" s="618" t="s">
        <v>47</v>
      </c>
      <c r="V5" s="618"/>
      <c r="W5" s="629"/>
      <c r="X5" s="618" t="s">
        <v>13</v>
      </c>
      <c r="Y5" s="618" t="s">
        <v>48</v>
      </c>
      <c r="Z5" s="618" t="s">
        <v>49</v>
      </c>
      <c r="AA5" s="618" t="s">
        <v>47</v>
      </c>
    </row>
    <row r="6" spans="1:27" s="104" customFormat="1" ht="27.75" customHeight="1">
      <c r="A6" s="611"/>
      <c r="B6" s="611"/>
      <c r="C6" s="611"/>
      <c r="D6" s="611"/>
      <c r="E6" s="614"/>
      <c r="F6" s="617"/>
      <c r="G6" s="350" t="s">
        <v>50</v>
      </c>
      <c r="H6" s="384" t="s">
        <v>51</v>
      </c>
      <c r="I6" s="611"/>
      <c r="J6" s="623"/>
      <c r="K6" s="626"/>
      <c r="L6" s="611"/>
      <c r="M6" s="628"/>
      <c r="N6" s="629"/>
      <c r="O6" s="618"/>
      <c r="P6" s="618"/>
      <c r="Q6" s="618"/>
      <c r="R6" s="619"/>
      <c r="S6" s="620"/>
      <c r="T6" s="618"/>
      <c r="U6" s="618"/>
      <c r="V6" s="618"/>
      <c r="W6" s="629"/>
      <c r="X6" s="618"/>
      <c r="Y6" s="618"/>
      <c r="Z6" s="618"/>
      <c r="AA6" s="618"/>
    </row>
    <row r="7" spans="1:27" ht="20.100000000000001" hidden="1" customHeight="1">
      <c r="A7" s="299">
        <v>30100030</v>
      </c>
      <c r="B7" s="386" t="s">
        <v>460</v>
      </c>
      <c r="C7" s="126" t="s">
        <v>179</v>
      </c>
      <c r="D7" s="108">
        <v>5.03</v>
      </c>
      <c r="E7" s="108"/>
      <c r="F7" s="127"/>
      <c r="G7" s="128"/>
      <c r="H7" s="395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387"/>
      <c r="P7" s="387"/>
      <c r="Q7" s="387"/>
      <c r="R7" s="387"/>
      <c r="S7" s="387"/>
      <c r="T7" s="387"/>
      <c r="U7" s="387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461</v>
      </c>
      <c r="C8" s="126" t="s">
        <v>179</v>
      </c>
      <c r="D8" s="108">
        <v>5.03</v>
      </c>
      <c r="E8" s="108"/>
      <c r="F8" s="127"/>
      <c r="G8" s="128"/>
      <c r="H8" s="395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387"/>
      <c r="Q8" s="387"/>
      <c r="R8" s="387"/>
      <c r="S8" s="387"/>
      <c r="T8" s="387"/>
      <c r="U8" s="387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461</v>
      </c>
      <c r="C9" s="126" t="s">
        <v>181</v>
      </c>
      <c r="D9" s="108">
        <v>5.03</v>
      </c>
      <c r="E9" s="108"/>
      <c r="F9" s="127"/>
      <c r="G9" s="128"/>
      <c r="H9" s="395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387"/>
      <c r="P9" s="387"/>
      <c r="Q9" s="387"/>
      <c r="R9" s="387"/>
      <c r="S9" s="387"/>
      <c r="T9" s="387"/>
      <c r="U9" s="387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462</v>
      </c>
      <c r="C10" s="126" t="s">
        <v>179</v>
      </c>
      <c r="D10" s="108">
        <v>5.03</v>
      </c>
      <c r="E10" s="108"/>
      <c r="F10" s="127"/>
      <c r="G10" s="128"/>
      <c r="H10" s="395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387"/>
      <c r="P10" s="387"/>
      <c r="Q10" s="387"/>
      <c r="R10" s="387"/>
      <c r="S10" s="387"/>
      <c r="T10" s="387"/>
      <c r="U10" s="387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462</v>
      </c>
      <c r="C11" s="126" t="s">
        <v>183</v>
      </c>
      <c r="D11" s="108">
        <v>5.03</v>
      </c>
      <c r="E11" s="108"/>
      <c r="F11" s="127"/>
      <c r="G11" s="128"/>
      <c r="H11" s="395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387"/>
      <c r="P11" s="387"/>
      <c r="Q11" s="387"/>
      <c r="R11" s="387"/>
      <c r="S11" s="387"/>
      <c r="T11" s="387"/>
      <c r="U11" s="387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463</v>
      </c>
      <c r="C12" s="126" t="s">
        <v>179</v>
      </c>
      <c r="D12" s="108">
        <v>5.04</v>
      </c>
      <c r="E12" s="108"/>
      <c r="F12" s="136"/>
      <c r="G12" s="137"/>
      <c r="H12" s="395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387"/>
      <c r="P12" s="387"/>
      <c r="Q12" s="387"/>
      <c r="R12" s="387"/>
      <c r="S12" s="387"/>
      <c r="T12" s="387"/>
      <c r="U12" s="387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395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387"/>
      <c r="P13" s="387"/>
      <c r="Q13" s="387"/>
      <c r="R13" s="387"/>
      <c r="S13" s="387"/>
      <c r="T13" s="387"/>
      <c r="U13" s="387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395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387"/>
      <c r="P14" s="387"/>
      <c r="Q14" s="387"/>
      <c r="R14" s="387"/>
      <c r="S14" s="387"/>
      <c r="T14" s="387"/>
      <c r="U14" s="387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395">
        <f t="shared" si="0"/>
        <v>0</v>
      </c>
      <c r="I15" s="395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387"/>
      <c r="P15" s="387"/>
      <c r="Q15" s="387"/>
      <c r="R15" s="387"/>
      <c r="S15" s="387"/>
      <c r="T15" s="387"/>
      <c r="U15" s="387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395">
        <f t="shared" si="0"/>
        <v>0</v>
      </c>
      <c r="I16" s="395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387"/>
      <c r="P16" s="387"/>
      <c r="Q16" s="387"/>
      <c r="R16" s="387"/>
      <c r="S16" s="387"/>
      <c r="T16" s="387"/>
      <c r="U16" s="387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395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387"/>
      <c r="P17" s="387"/>
      <c r="Q17" s="387"/>
      <c r="R17" s="387"/>
      <c r="S17" s="387"/>
      <c r="T17" s="387"/>
      <c r="U17" s="387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395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387"/>
      <c r="P18" s="387"/>
      <c r="Q18" s="387"/>
      <c r="R18" s="387"/>
      <c r="S18" s="387"/>
      <c r="T18" s="387"/>
      <c r="U18" s="387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395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87"/>
      <c r="P19" s="387"/>
      <c r="Q19" s="387"/>
      <c r="R19" s="387"/>
      <c r="S19" s="387"/>
      <c r="T19" s="387"/>
      <c r="U19" s="387"/>
      <c r="V19" s="132">
        <f t="shared" ref="V19:V21" si="5">SUM(X19:AA19)</f>
        <v>0</v>
      </c>
      <c r="W19" s="389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395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387"/>
      <c r="P20" s="387"/>
      <c r="Q20" s="387"/>
      <c r="R20" s="387"/>
      <c r="S20" s="387"/>
      <c r="T20" s="387"/>
      <c r="U20" s="387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395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387"/>
      <c r="P21" s="387"/>
      <c r="Q21" s="387"/>
      <c r="R21" s="387"/>
      <c r="S21" s="387"/>
      <c r="T21" s="387"/>
      <c r="U21" s="387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385" t="s">
        <v>190</v>
      </c>
      <c r="D22" s="108">
        <v>4.8</v>
      </c>
      <c r="E22" s="108"/>
      <c r="F22" s="127"/>
      <c r="G22" s="128"/>
      <c r="H22" s="395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387"/>
      <c r="P22" s="387"/>
      <c r="Q22" s="387"/>
      <c r="R22" s="387"/>
      <c r="S22" s="387"/>
      <c r="T22" s="387"/>
      <c r="U22" s="387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385" t="s">
        <v>187</v>
      </c>
      <c r="D23" s="108">
        <v>4.8</v>
      </c>
      <c r="E23" s="108"/>
      <c r="F23" s="127"/>
      <c r="G23" s="128"/>
      <c r="H23" s="395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387"/>
      <c r="P23" s="387"/>
      <c r="Q23" s="387"/>
      <c r="R23" s="387"/>
      <c r="S23" s="387"/>
      <c r="T23" s="387"/>
      <c r="U23" s="387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385" t="s">
        <v>179</v>
      </c>
      <c r="D24" s="108">
        <v>4.8</v>
      </c>
      <c r="E24" s="108"/>
      <c r="F24" s="127"/>
      <c r="G24" s="128"/>
      <c r="H24" s="395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387"/>
      <c r="P24" s="387"/>
      <c r="Q24" s="387"/>
      <c r="R24" s="387"/>
      <c r="S24" s="387"/>
      <c r="T24" s="387"/>
      <c r="U24" s="387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385" t="s">
        <v>199</v>
      </c>
      <c r="D25" s="108">
        <v>4.8</v>
      </c>
      <c r="E25" s="108"/>
      <c r="F25" s="127"/>
      <c r="G25" s="128"/>
      <c r="H25" s="395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387"/>
      <c r="P25" s="387"/>
      <c r="Q25" s="387"/>
      <c r="R25" s="387"/>
      <c r="S25" s="387"/>
      <c r="T25" s="387"/>
      <c r="U25" s="387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395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387"/>
      <c r="P26" s="387"/>
      <c r="Q26" s="387"/>
      <c r="R26" s="387"/>
      <c r="S26" s="387"/>
      <c r="T26" s="387"/>
      <c r="U26" s="387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395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387"/>
      <c r="P27" s="387"/>
      <c r="Q27" s="387"/>
      <c r="R27" s="387"/>
      <c r="S27" s="387"/>
      <c r="T27" s="387"/>
      <c r="U27" s="387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hidden="1" customHeight="1">
      <c r="A28" s="630" t="s">
        <v>201</v>
      </c>
      <c r="B28" s="631"/>
      <c r="C28" s="393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si="9"/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386" t="s">
        <v>206</v>
      </c>
      <c r="C29" s="126" t="s">
        <v>199</v>
      </c>
      <c r="D29" s="108">
        <v>5.03</v>
      </c>
      <c r="E29" s="108"/>
      <c r="F29" s="127"/>
      <c r="G29" s="128"/>
      <c r="H29" s="395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390"/>
      <c r="P29" s="390"/>
      <c r="Q29" s="390"/>
      <c r="R29" s="390"/>
      <c r="S29" s="390"/>
      <c r="T29" s="390"/>
      <c r="U29" s="390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386" t="s">
        <v>425</v>
      </c>
      <c r="C30" s="187" t="s">
        <v>432</v>
      </c>
      <c r="D30" s="108">
        <v>5.03</v>
      </c>
      <c r="E30" s="108"/>
      <c r="F30" s="127"/>
      <c r="G30" s="128"/>
      <c r="H30" s="395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390"/>
      <c r="P30" s="390"/>
      <c r="Q30" s="390"/>
      <c r="R30" s="390"/>
      <c r="S30" s="390"/>
      <c r="T30" s="390"/>
      <c r="U30" s="390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386" t="s">
        <v>206</v>
      </c>
      <c r="C31" s="126" t="s">
        <v>186</v>
      </c>
      <c r="D31" s="108">
        <v>5.03</v>
      </c>
      <c r="E31" s="108"/>
      <c r="F31" s="127"/>
      <c r="G31" s="128"/>
      <c r="H31" s="395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390"/>
      <c r="P31" s="390"/>
      <c r="Q31" s="390"/>
      <c r="R31" s="390"/>
      <c r="S31" s="390"/>
      <c r="T31" s="390"/>
      <c r="U31" s="390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386" t="s">
        <v>206</v>
      </c>
      <c r="C32" s="126" t="s">
        <v>203</v>
      </c>
      <c r="D32" s="108">
        <v>5.03</v>
      </c>
      <c r="E32" s="108"/>
      <c r="F32" s="127"/>
      <c r="G32" s="128"/>
      <c r="H32" s="395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390"/>
      <c r="P32" s="390"/>
      <c r="Q32" s="390"/>
      <c r="R32" s="390"/>
      <c r="S32" s="390"/>
      <c r="T32" s="390"/>
      <c r="U32" s="390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386" t="s">
        <v>206</v>
      </c>
      <c r="C33" s="126" t="s">
        <v>207</v>
      </c>
      <c r="D33" s="108">
        <v>5.03</v>
      </c>
      <c r="E33" s="108"/>
      <c r="F33" s="127"/>
      <c r="G33" s="128"/>
      <c r="H33" s="395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390"/>
      <c r="P33" s="390"/>
      <c r="Q33" s="390"/>
      <c r="R33" s="390"/>
      <c r="S33" s="390"/>
      <c r="T33" s="390"/>
      <c r="U33" s="390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386" t="s">
        <v>414</v>
      </c>
      <c r="C34" s="187" t="s">
        <v>415</v>
      </c>
      <c r="D34" s="108">
        <v>5.03</v>
      </c>
      <c r="E34" s="108"/>
      <c r="F34" s="127"/>
      <c r="G34" s="128"/>
      <c r="H34" s="395">
        <f t="shared" si="11"/>
        <v>0</v>
      </c>
      <c r="I34" s="129"/>
      <c r="J34" s="130"/>
      <c r="K34" s="131"/>
      <c r="L34" s="129">
        <v>52</v>
      </c>
      <c r="M34" s="109"/>
      <c r="N34" s="130"/>
      <c r="O34" s="390"/>
      <c r="P34" s="390"/>
      <c r="Q34" s="390"/>
      <c r="R34" s="390"/>
      <c r="S34" s="390"/>
      <c r="T34" s="390"/>
      <c r="U34" s="390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386" t="s">
        <v>414</v>
      </c>
      <c r="C35" s="187" t="s">
        <v>416</v>
      </c>
      <c r="D35" s="108">
        <v>5.03</v>
      </c>
      <c r="E35" s="108"/>
      <c r="F35" s="127"/>
      <c r="G35" s="128"/>
      <c r="H35" s="395">
        <f t="shared" si="11"/>
        <v>0</v>
      </c>
      <c r="I35" s="129"/>
      <c r="J35" s="130"/>
      <c r="K35" s="131"/>
      <c r="L35" s="129">
        <v>52</v>
      </c>
      <c r="M35" s="109"/>
      <c r="N35" s="130"/>
      <c r="O35" s="390"/>
      <c r="P35" s="390"/>
      <c r="Q35" s="390"/>
      <c r="R35" s="390"/>
      <c r="S35" s="390"/>
      <c r="T35" s="390"/>
      <c r="U35" s="390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386" t="s">
        <v>414</v>
      </c>
      <c r="C36" s="187" t="s">
        <v>61</v>
      </c>
      <c r="D36" s="108">
        <v>5.03</v>
      </c>
      <c r="E36" s="108"/>
      <c r="F36" s="127"/>
      <c r="G36" s="128"/>
      <c r="H36" s="395">
        <f t="shared" si="11"/>
        <v>0</v>
      </c>
      <c r="I36" s="129"/>
      <c r="J36" s="130"/>
      <c r="K36" s="131"/>
      <c r="L36" s="129">
        <v>52</v>
      </c>
      <c r="M36" s="109"/>
      <c r="N36" s="130"/>
      <c r="O36" s="390"/>
      <c r="P36" s="390"/>
      <c r="Q36" s="390"/>
      <c r="R36" s="390"/>
      <c r="S36" s="390"/>
      <c r="T36" s="390"/>
      <c r="U36" s="390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386" t="s">
        <v>208</v>
      </c>
      <c r="C37" s="126" t="s">
        <v>179</v>
      </c>
      <c r="D37" s="108">
        <v>5.08</v>
      </c>
      <c r="E37" s="108"/>
      <c r="F37" s="127"/>
      <c r="G37" s="128"/>
      <c r="H37" s="395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390"/>
      <c r="P37" s="390"/>
      <c r="Q37" s="390"/>
      <c r="R37" s="390"/>
      <c r="S37" s="390"/>
      <c r="T37" s="390"/>
      <c r="U37" s="390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386" t="s">
        <v>208</v>
      </c>
      <c r="C38" s="126" t="s">
        <v>204</v>
      </c>
      <c r="D38" s="108">
        <v>5.08</v>
      </c>
      <c r="E38" s="108"/>
      <c r="F38" s="127"/>
      <c r="G38" s="128"/>
      <c r="H38" s="395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390"/>
      <c r="P38" s="390"/>
      <c r="Q38" s="390"/>
      <c r="R38" s="390"/>
      <c r="S38" s="390"/>
      <c r="T38" s="390"/>
      <c r="U38" s="390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386" t="s">
        <v>208</v>
      </c>
      <c r="C39" s="126" t="s">
        <v>205</v>
      </c>
      <c r="D39" s="108">
        <v>5.08</v>
      </c>
      <c r="E39" s="108"/>
      <c r="F39" s="127"/>
      <c r="G39" s="128"/>
      <c r="H39" s="395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390"/>
      <c r="P39" s="390"/>
      <c r="Q39" s="390"/>
      <c r="R39" s="390"/>
      <c r="S39" s="390"/>
      <c r="T39" s="390"/>
      <c r="U39" s="390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386" t="s">
        <v>208</v>
      </c>
      <c r="C40" s="126" t="s">
        <v>186</v>
      </c>
      <c r="D40" s="108">
        <v>5.08</v>
      </c>
      <c r="E40" s="108"/>
      <c r="F40" s="127"/>
      <c r="G40" s="128"/>
      <c r="H40" s="395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390"/>
      <c r="P40" s="390"/>
      <c r="Q40" s="390"/>
      <c r="R40" s="390"/>
      <c r="S40" s="390"/>
      <c r="T40" s="390"/>
      <c r="U40" s="390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386" t="s">
        <v>208</v>
      </c>
      <c r="C41" s="126" t="s">
        <v>203</v>
      </c>
      <c r="D41" s="108">
        <v>5.08</v>
      </c>
      <c r="E41" s="108"/>
      <c r="F41" s="127"/>
      <c r="G41" s="128"/>
      <c r="H41" s="395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390"/>
      <c r="P41" s="390"/>
      <c r="Q41" s="390"/>
      <c r="R41" s="390"/>
      <c r="S41" s="390"/>
      <c r="T41" s="390"/>
      <c r="U41" s="390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386" t="s">
        <v>208</v>
      </c>
      <c r="C42" s="126" t="s">
        <v>199</v>
      </c>
      <c r="D42" s="108">
        <v>5.08</v>
      </c>
      <c r="E42" s="108"/>
      <c r="F42" s="127"/>
      <c r="G42" s="128"/>
      <c r="H42" s="395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387"/>
      <c r="P42" s="387"/>
      <c r="Q42" s="387"/>
      <c r="R42" s="387"/>
      <c r="S42" s="387"/>
      <c r="T42" s="387"/>
      <c r="U42" s="387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386" t="s">
        <v>208</v>
      </c>
      <c r="C43" s="126" t="s">
        <v>187</v>
      </c>
      <c r="D43" s="108">
        <v>5.08</v>
      </c>
      <c r="E43" s="108"/>
      <c r="F43" s="127"/>
      <c r="G43" s="128"/>
      <c r="H43" s="395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390"/>
      <c r="P43" s="390"/>
      <c r="Q43" s="390"/>
      <c r="R43" s="390"/>
      <c r="S43" s="390"/>
      <c r="T43" s="390"/>
      <c r="U43" s="390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386" t="s">
        <v>208</v>
      </c>
      <c r="C44" s="126" t="s">
        <v>207</v>
      </c>
      <c r="D44" s="108">
        <v>5.08</v>
      </c>
      <c r="E44" s="108"/>
      <c r="F44" s="127"/>
      <c r="G44" s="128"/>
      <c r="H44" s="395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387"/>
      <c r="P44" s="387"/>
      <c r="Q44" s="387"/>
      <c r="R44" s="387"/>
      <c r="S44" s="387"/>
      <c r="T44" s="387"/>
      <c r="U44" s="387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386" t="s">
        <v>209</v>
      </c>
      <c r="C45" s="126" t="s">
        <v>194</v>
      </c>
      <c r="D45" s="108">
        <v>5.03</v>
      </c>
      <c r="E45" s="108"/>
      <c r="F45" s="127"/>
      <c r="G45" s="128"/>
      <c r="H45" s="395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390"/>
      <c r="P45" s="390"/>
      <c r="Q45" s="390"/>
      <c r="R45" s="390"/>
      <c r="S45" s="390"/>
      <c r="T45" s="390"/>
      <c r="U45" s="390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386" t="s">
        <v>209</v>
      </c>
      <c r="C46" s="126" t="s">
        <v>179</v>
      </c>
      <c r="D46" s="108">
        <v>5.03</v>
      </c>
      <c r="E46" s="108"/>
      <c r="F46" s="127"/>
      <c r="G46" s="128"/>
      <c r="H46" s="395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390"/>
      <c r="P46" s="390"/>
      <c r="Q46" s="390"/>
      <c r="R46" s="390"/>
      <c r="S46" s="390"/>
      <c r="T46" s="390"/>
      <c r="U46" s="390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386" t="s">
        <v>209</v>
      </c>
      <c r="C47" s="126" t="s">
        <v>195</v>
      </c>
      <c r="D47" s="108">
        <v>5.03</v>
      </c>
      <c r="E47" s="108"/>
      <c r="F47" s="127"/>
      <c r="G47" s="128"/>
      <c r="H47" s="395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390"/>
      <c r="P47" s="390"/>
      <c r="Q47" s="390"/>
      <c r="R47" s="390"/>
      <c r="S47" s="390"/>
      <c r="T47" s="390"/>
      <c r="U47" s="390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386" t="s">
        <v>209</v>
      </c>
      <c r="C48" s="126" t="s">
        <v>204</v>
      </c>
      <c r="D48" s="108">
        <v>5.03</v>
      </c>
      <c r="E48" s="108"/>
      <c r="F48" s="127"/>
      <c r="G48" s="128"/>
      <c r="H48" s="395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390"/>
      <c r="P48" s="390"/>
      <c r="Q48" s="390"/>
      <c r="R48" s="390"/>
      <c r="S48" s="390"/>
      <c r="T48" s="390"/>
      <c r="U48" s="390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386" t="s">
        <v>382</v>
      </c>
      <c r="C49" s="187" t="s">
        <v>383</v>
      </c>
      <c r="D49" s="108">
        <v>5.03</v>
      </c>
      <c r="E49" s="108"/>
      <c r="F49" s="127"/>
      <c r="G49" s="128"/>
      <c r="H49" s="395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390"/>
      <c r="P49" s="390"/>
      <c r="Q49" s="390"/>
      <c r="R49" s="390"/>
      <c r="S49" s="390"/>
      <c r="T49" s="390"/>
      <c r="U49" s="390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386" t="s">
        <v>382</v>
      </c>
      <c r="C50" s="187" t="s">
        <v>384</v>
      </c>
      <c r="D50" s="108">
        <v>5.03</v>
      </c>
      <c r="E50" s="108"/>
      <c r="F50" s="127"/>
      <c r="G50" s="128"/>
      <c r="H50" s="395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390"/>
      <c r="P50" s="390"/>
      <c r="Q50" s="390"/>
      <c r="R50" s="390"/>
      <c r="S50" s="390"/>
      <c r="T50" s="390"/>
      <c r="U50" s="390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386" t="s">
        <v>382</v>
      </c>
      <c r="C51" s="187" t="s">
        <v>389</v>
      </c>
      <c r="D51" s="108">
        <v>5.03</v>
      </c>
      <c r="E51" s="108"/>
      <c r="F51" s="127"/>
      <c r="G51" s="128"/>
      <c r="H51" s="395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390"/>
      <c r="P51" s="390"/>
      <c r="Q51" s="390"/>
      <c r="R51" s="390"/>
      <c r="S51" s="390"/>
      <c r="T51" s="390"/>
      <c r="U51" s="390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386" t="s">
        <v>382</v>
      </c>
      <c r="C52" s="187" t="s">
        <v>391</v>
      </c>
      <c r="D52" s="108">
        <v>5.03</v>
      </c>
      <c r="E52" s="108"/>
      <c r="F52" s="127"/>
      <c r="G52" s="128"/>
      <c r="H52" s="395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390"/>
      <c r="P52" s="390"/>
      <c r="Q52" s="390"/>
      <c r="R52" s="390"/>
      <c r="S52" s="390"/>
      <c r="T52" s="390"/>
      <c r="U52" s="390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386" t="s">
        <v>418</v>
      </c>
      <c r="C53" s="187" t="s">
        <v>364</v>
      </c>
      <c r="D53" s="108">
        <v>5.03</v>
      </c>
      <c r="E53" s="108"/>
      <c r="F53" s="127"/>
      <c r="G53" s="128"/>
      <c r="H53" s="395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390"/>
      <c r="P53" s="390"/>
      <c r="Q53" s="390"/>
      <c r="R53" s="390"/>
      <c r="S53" s="390"/>
      <c r="T53" s="390"/>
      <c r="U53" s="390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386" t="s">
        <v>418</v>
      </c>
      <c r="C54" s="187" t="s">
        <v>365</v>
      </c>
      <c r="D54" s="108">
        <v>5.03</v>
      </c>
      <c r="E54" s="108"/>
      <c r="F54" s="127"/>
      <c r="G54" s="128"/>
      <c r="H54" s="395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390"/>
      <c r="P54" s="390"/>
      <c r="Q54" s="390"/>
      <c r="R54" s="390"/>
      <c r="S54" s="390"/>
      <c r="T54" s="390"/>
      <c r="U54" s="390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386" t="s">
        <v>418</v>
      </c>
      <c r="C55" s="187" t="s">
        <v>366</v>
      </c>
      <c r="D55" s="108">
        <v>5.03</v>
      </c>
      <c r="E55" s="108"/>
      <c r="F55" s="127"/>
      <c r="G55" s="128"/>
      <c r="H55" s="395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390"/>
      <c r="P55" s="390"/>
      <c r="Q55" s="390"/>
      <c r="R55" s="390"/>
      <c r="S55" s="390"/>
      <c r="T55" s="390"/>
      <c r="U55" s="390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386" t="s">
        <v>418</v>
      </c>
      <c r="C56" s="187" t="s">
        <v>367</v>
      </c>
      <c r="D56" s="108">
        <v>5.03</v>
      </c>
      <c r="E56" s="108"/>
      <c r="F56" s="127"/>
      <c r="G56" s="128"/>
      <c r="H56" s="395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390"/>
      <c r="P56" s="390"/>
      <c r="Q56" s="390"/>
      <c r="R56" s="390"/>
      <c r="S56" s="390"/>
      <c r="T56" s="390"/>
      <c r="U56" s="390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395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387"/>
      <c r="P57" s="387"/>
      <c r="Q57" s="387"/>
      <c r="R57" s="387"/>
      <c r="S57" s="387"/>
      <c r="T57" s="387"/>
      <c r="U57" s="387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395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387"/>
      <c r="P58" s="387"/>
      <c r="Q58" s="387"/>
      <c r="R58" s="387"/>
      <c r="S58" s="387"/>
      <c r="T58" s="387"/>
      <c r="U58" s="387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395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387"/>
      <c r="P59" s="387"/>
      <c r="Q59" s="387"/>
      <c r="R59" s="387"/>
      <c r="S59" s="387"/>
      <c r="T59" s="387"/>
      <c r="U59" s="387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395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387"/>
      <c r="P60" s="387"/>
      <c r="Q60" s="387"/>
      <c r="R60" s="387"/>
      <c r="S60" s="387"/>
      <c r="T60" s="387"/>
      <c r="U60" s="387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395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387"/>
      <c r="P61" s="387"/>
      <c r="Q61" s="387"/>
      <c r="R61" s="387"/>
      <c r="S61" s="387"/>
      <c r="T61" s="387"/>
      <c r="U61" s="387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395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387"/>
      <c r="P62" s="387"/>
      <c r="Q62" s="387"/>
      <c r="R62" s="387"/>
      <c r="S62" s="387"/>
      <c r="T62" s="387"/>
      <c r="U62" s="387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395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387"/>
      <c r="P63" s="387"/>
      <c r="Q63" s="387"/>
      <c r="R63" s="387"/>
      <c r="S63" s="387"/>
      <c r="T63" s="387"/>
      <c r="U63" s="387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395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387"/>
      <c r="P64" s="387"/>
      <c r="Q64" s="387"/>
      <c r="R64" s="387"/>
      <c r="S64" s="387"/>
      <c r="T64" s="387"/>
      <c r="U64" s="387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395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387"/>
      <c r="P65" s="387"/>
      <c r="Q65" s="387"/>
      <c r="R65" s="387"/>
      <c r="S65" s="387"/>
      <c r="T65" s="387"/>
      <c r="U65" s="387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395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387"/>
      <c r="P66" s="387"/>
      <c r="Q66" s="387"/>
      <c r="R66" s="387"/>
      <c r="S66" s="387"/>
      <c r="T66" s="387"/>
      <c r="U66" s="387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452</v>
      </c>
      <c r="D67" s="108">
        <v>5.03</v>
      </c>
      <c r="E67" s="108"/>
      <c r="F67" s="127"/>
      <c r="G67" s="128"/>
      <c r="H67" s="395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387"/>
      <c r="P67" s="387"/>
      <c r="Q67" s="387"/>
      <c r="R67" s="387"/>
      <c r="S67" s="387"/>
      <c r="T67" s="387"/>
      <c r="U67" s="387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395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387"/>
      <c r="P68" s="387"/>
      <c r="Q68" s="387"/>
      <c r="R68" s="387"/>
      <c r="S68" s="387"/>
      <c r="T68" s="387"/>
      <c r="U68" s="387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395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387"/>
      <c r="P69" s="387"/>
      <c r="Q69" s="387"/>
      <c r="R69" s="387"/>
      <c r="S69" s="387"/>
      <c r="T69" s="387"/>
      <c r="U69" s="387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395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387"/>
      <c r="P70" s="387"/>
      <c r="Q70" s="387"/>
      <c r="R70" s="387"/>
      <c r="S70" s="387"/>
      <c r="T70" s="387"/>
      <c r="U70" s="387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395">
        <f t="shared" si="11"/>
        <v>0</v>
      </c>
      <c r="I71" s="129"/>
      <c r="J71" s="130"/>
      <c r="K71" s="131"/>
      <c r="L71" s="129"/>
      <c r="M71" s="109"/>
      <c r="N71" s="130"/>
      <c r="O71" s="387"/>
      <c r="P71" s="387"/>
      <c r="Q71" s="387"/>
      <c r="R71" s="387"/>
      <c r="S71" s="387"/>
      <c r="T71" s="387"/>
      <c r="U71" s="387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395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387"/>
      <c r="P72" s="387"/>
      <c r="Q72" s="387"/>
      <c r="R72" s="387"/>
      <c r="S72" s="387"/>
      <c r="T72" s="387"/>
      <c r="U72" s="387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395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387"/>
      <c r="P73" s="387"/>
      <c r="Q73" s="387"/>
      <c r="R73" s="387"/>
      <c r="S73" s="387"/>
      <c r="T73" s="387"/>
      <c r="U73" s="387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395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387"/>
      <c r="P74" s="387"/>
      <c r="Q74" s="387"/>
      <c r="R74" s="387"/>
      <c r="S74" s="387"/>
      <c r="T74" s="387"/>
      <c r="U74" s="387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488</v>
      </c>
      <c r="C75" s="126" t="s">
        <v>187</v>
      </c>
      <c r="D75" s="108">
        <v>5.0599999999999996</v>
      </c>
      <c r="E75" s="108"/>
      <c r="F75" s="127"/>
      <c r="G75" s="128"/>
      <c r="H75" s="395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387"/>
      <c r="P75" s="387"/>
      <c r="Q75" s="387"/>
      <c r="R75" s="387"/>
      <c r="S75" s="387"/>
      <c r="T75" s="387"/>
      <c r="U75" s="387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395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387"/>
      <c r="P76" s="387"/>
      <c r="Q76" s="387"/>
      <c r="R76" s="387"/>
      <c r="S76" s="387"/>
      <c r="T76" s="387"/>
      <c r="U76" s="387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395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387"/>
      <c r="P77" s="387"/>
      <c r="Q77" s="387"/>
      <c r="R77" s="387"/>
      <c r="S77" s="387"/>
      <c r="T77" s="387"/>
      <c r="U77" s="387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395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387"/>
      <c r="P78" s="387"/>
      <c r="Q78" s="387"/>
      <c r="R78" s="387"/>
      <c r="S78" s="387"/>
      <c r="T78" s="387"/>
      <c r="U78" s="387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395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387"/>
      <c r="P79" s="387"/>
      <c r="Q79" s="387"/>
      <c r="R79" s="387"/>
      <c r="S79" s="387"/>
      <c r="T79" s="387"/>
      <c r="U79" s="387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395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387"/>
      <c r="P80" s="387"/>
      <c r="Q80" s="387"/>
      <c r="R80" s="387"/>
      <c r="S80" s="387"/>
      <c r="T80" s="387"/>
      <c r="U80" s="387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395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387"/>
      <c r="P81" s="387"/>
      <c r="Q81" s="387"/>
      <c r="R81" s="387"/>
      <c r="S81" s="387"/>
      <c r="T81" s="387"/>
      <c r="U81" s="387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395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387"/>
      <c r="P82" s="387"/>
      <c r="Q82" s="387"/>
      <c r="R82" s="387"/>
      <c r="S82" s="387"/>
      <c r="T82" s="387"/>
      <c r="U82" s="387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395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387"/>
      <c r="P83" s="387"/>
      <c r="Q83" s="387"/>
      <c r="R83" s="387"/>
      <c r="S83" s="387"/>
      <c r="T83" s="387"/>
      <c r="U83" s="387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395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387"/>
      <c r="P84" s="387"/>
      <c r="Q84" s="387"/>
      <c r="R84" s="387"/>
      <c r="S84" s="387"/>
      <c r="T84" s="387"/>
      <c r="U84" s="387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395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387"/>
      <c r="P85" s="387"/>
      <c r="Q85" s="387"/>
      <c r="R85" s="387"/>
      <c r="S85" s="387"/>
      <c r="T85" s="387"/>
      <c r="U85" s="387"/>
      <c r="V85" s="132"/>
      <c r="W85" s="133"/>
      <c r="X85" s="132"/>
      <c r="Y85" s="132"/>
      <c r="Z85" s="132"/>
      <c r="AA85" s="132"/>
    </row>
    <row r="86" spans="1:27" ht="20.100000000000001" hidden="1" customHeight="1">
      <c r="A86" s="641" t="s">
        <v>216</v>
      </c>
      <c r="B86" s="641"/>
      <c r="C86" s="393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4">SUM(M29:M85)</f>
        <v>0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 t="str">
        <f t="shared" ref="W86:W93" si="35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386" t="s">
        <v>217</v>
      </c>
      <c r="C87" s="126" t="s">
        <v>179</v>
      </c>
      <c r="D87" s="108">
        <v>5.03</v>
      </c>
      <c r="E87" s="108"/>
      <c r="F87" s="127"/>
      <c r="G87" s="128"/>
      <c r="H87" s="395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7" si="37">IF(ISERROR(I87-K87),"",I87-K87)</f>
        <v>0</v>
      </c>
      <c r="N87" s="130">
        <f t="shared" ref="N87:N93" si="38">SUM(O87:U87)</f>
        <v>0</v>
      </c>
      <c r="O87" s="387"/>
      <c r="P87" s="387"/>
      <c r="Q87" s="387"/>
      <c r="R87" s="387"/>
      <c r="S87" s="387"/>
      <c r="T87" s="387"/>
      <c r="U87" s="387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386" t="s">
        <v>217</v>
      </c>
      <c r="C88" s="126" t="s">
        <v>186</v>
      </c>
      <c r="D88" s="108">
        <v>5.03</v>
      </c>
      <c r="E88" s="108"/>
      <c r="F88" s="127"/>
      <c r="G88" s="128"/>
      <c r="H88" s="395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387"/>
      <c r="P88" s="387"/>
      <c r="Q88" s="387"/>
      <c r="R88" s="387"/>
      <c r="S88" s="387"/>
      <c r="T88" s="387"/>
      <c r="U88" s="387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386" t="s">
        <v>217</v>
      </c>
      <c r="C89" s="126" t="s">
        <v>204</v>
      </c>
      <c r="D89" s="108">
        <v>5.03</v>
      </c>
      <c r="E89" s="108"/>
      <c r="F89" s="127"/>
      <c r="G89" s="128"/>
      <c r="H89" s="395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387"/>
      <c r="P89" s="387"/>
      <c r="Q89" s="387"/>
      <c r="R89" s="387"/>
      <c r="S89" s="387"/>
      <c r="T89" s="387"/>
      <c r="U89" s="387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395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387"/>
      <c r="P90" s="387"/>
      <c r="Q90" s="387"/>
      <c r="R90" s="387"/>
      <c r="S90" s="387"/>
      <c r="T90" s="387"/>
      <c r="U90" s="387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>
        <v>42707</v>
      </c>
      <c r="G91" s="128">
        <v>54</v>
      </c>
      <c r="H91" s="395">
        <f t="shared" si="36"/>
        <v>271.62</v>
      </c>
      <c r="I91" s="129">
        <v>11</v>
      </c>
      <c r="J91" s="130">
        <f t="array" ref="J91">IF(ISERROR(G91/I91),"",G91/I91)</f>
        <v>4.9090909090909092</v>
      </c>
      <c r="K91" s="131">
        <f t="array" ref="K91">IF(ISERROR(G91/L91),"",G91/L91)</f>
        <v>5.8064516129032251</v>
      </c>
      <c r="L91" s="129">
        <v>9.3000000000000007</v>
      </c>
      <c r="M91" s="109">
        <f t="shared" si="37"/>
        <v>5.1935483870967749</v>
      </c>
      <c r="N91" s="130">
        <f t="shared" si="38"/>
        <v>0</v>
      </c>
      <c r="O91" s="387"/>
      <c r="P91" s="387"/>
      <c r="Q91" s="387"/>
      <c r="R91" s="387"/>
      <c r="S91" s="387"/>
      <c r="T91" s="387"/>
      <c r="U91" s="387"/>
      <c r="V91" s="132">
        <f t="shared" si="39"/>
        <v>0</v>
      </c>
      <c r="W91" s="133">
        <f t="shared" si="35"/>
        <v>0</v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395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387"/>
      <c r="P92" s="387"/>
      <c r="Q92" s="387"/>
      <c r="R92" s="387"/>
      <c r="S92" s="387"/>
      <c r="T92" s="387"/>
      <c r="U92" s="387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395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387"/>
      <c r="P93" s="387"/>
      <c r="Q93" s="387"/>
      <c r="R93" s="387"/>
      <c r="S93" s="387"/>
      <c r="T93" s="387"/>
      <c r="U93" s="387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>
        <v>42707</v>
      </c>
      <c r="G94" s="128">
        <v>72</v>
      </c>
      <c r="H94" s="395">
        <f t="shared" si="36"/>
        <v>362.16</v>
      </c>
      <c r="I94" s="129">
        <v>11</v>
      </c>
      <c r="J94" s="130">
        <f t="array" ref="J94">IF(ISERROR(G94/I94),"",G94/I94)</f>
        <v>6.5454545454545459</v>
      </c>
      <c r="K94" s="131">
        <f t="array" ref="K94">IF(ISERROR(G94/L94),"",G94/L94)</f>
        <v>7.7419354838709671</v>
      </c>
      <c r="L94" s="129">
        <v>9.3000000000000007</v>
      </c>
      <c r="M94" s="109">
        <f t="shared" si="37"/>
        <v>3.2580645161290329</v>
      </c>
      <c r="N94" s="130"/>
      <c r="O94" s="387"/>
      <c r="P94" s="387"/>
      <c r="Q94" s="387"/>
      <c r="R94" s="387"/>
      <c r="S94" s="387"/>
      <c r="T94" s="387"/>
      <c r="U94" s="387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395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387"/>
      <c r="P95" s="387"/>
      <c r="Q95" s="387"/>
      <c r="R95" s="387"/>
      <c r="S95" s="387"/>
      <c r="T95" s="387"/>
      <c r="U95" s="387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395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387"/>
      <c r="P96" s="387"/>
      <c r="Q96" s="387"/>
      <c r="R96" s="387"/>
      <c r="S96" s="387"/>
      <c r="T96" s="387"/>
      <c r="U96" s="387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395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387"/>
      <c r="P97" s="387"/>
      <c r="Q97" s="387"/>
      <c r="R97" s="387"/>
      <c r="S97" s="387"/>
      <c r="T97" s="387"/>
      <c r="U97" s="387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395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387"/>
      <c r="P98" s="387"/>
      <c r="Q98" s="387"/>
      <c r="R98" s="387"/>
      <c r="S98" s="387"/>
      <c r="T98" s="387"/>
      <c r="U98" s="387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395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387"/>
      <c r="P99" s="387"/>
      <c r="Q99" s="387"/>
      <c r="R99" s="387"/>
      <c r="S99" s="387"/>
      <c r="T99" s="387"/>
      <c r="U99" s="387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395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387"/>
      <c r="P100" s="387"/>
      <c r="Q100" s="387"/>
      <c r="R100" s="387"/>
      <c r="S100" s="387"/>
      <c r="T100" s="387"/>
      <c r="U100" s="387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395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387"/>
      <c r="P101" s="387"/>
      <c r="Q101" s="387"/>
      <c r="R101" s="387"/>
      <c r="S101" s="387"/>
      <c r="T101" s="387"/>
      <c r="U101" s="387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395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387"/>
      <c r="P102" s="387"/>
      <c r="Q102" s="387"/>
      <c r="R102" s="387"/>
      <c r="S102" s="387"/>
      <c r="T102" s="387"/>
      <c r="U102" s="387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386" t="s">
        <v>222</v>
      </c>
      <c r="C103" s="126" t="s">
        <v>181</v>
      </c>
      <c r="D103" s="108">
        <v>10.199999999999999</v>
      </c>
      <c r="E103" s="108"/>
      <c r="F103" s="127"/>
      <c r="G103" s="128"/>
      <c r="H103" s="395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387"/>
      <c r="P103" s="387"/>
      <c r="Q103" s="387"/>
      <c r="R103" s="387"/>
      <c r="S103" s="387"/>
      <c r="T103" s="387"/>
      <c r="U103" s="387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386" t="s">
        <v>222</v>
      </c>
      <c r="C104" s="126" t="s">
        <v>179</v>
      </c>
      <c r="D104" s="108">
        <v>10.199999999999999</v>
      </c>
      <c r="E104" s="108"/>
      <c r="F104" s="127"/>
      <c r="G104" s="128"/>
      <c r="H104" s="395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387"/>
      <c r="P104" s="387"/>
      <c r="Q104" s="387"/>
      <c r="R104" s="387"/>
      <c r="S104" s="387"/>
      <c r="T104" s="387"/>
      <c r="U104" s="387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386" t="s">
        <v>222</v>
      </c>
      <c r="C105" s="126" t="s">
        <v>221</v>
      </c>
      <c r="D105" s="108">
        <v>10.199999999999999</v>
      </c>
      <c r="E105" s="108"/>
      <c r="F105" s="127"/>
      <c r="G105" s="128"/>
      <c r="H105" s="395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387"/>
      <c r="P105" s="387"/>
      <c r="Q105" s="387"/>
      <c r="R105" s="387"/>
      <c r="S105" s="387"/>
      <c r="T105" s="387"/>
      <c r="U105" s="387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386" t="s">
        <v>222</v>
      </c>
      <c r="C106" s="126" t="s">
        <v>186</v>
      </c>
      <c r="D106" s="108">
        <v>10.199999999999999</v>
      </c>
      <c r="E106" s="108"/>
      <c r="F106" s="127"/>
      <c r="G106" s="128"/>
      <c r="H106" s="395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387"/>
      <c r="P106" s="387"/>
      <c r="Q106" s="387"/>
      <c r="R106" s="387"/>
      <c r="S106" s="387"/>
      <c r="T106" s="387"/>
      <c r="U106" s="387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386" t="s">
        <v>393</v>
      </c>
      <c r="C107" s="187" t="s">
        <v>395</v>
      </c>
      <c r="D107" s="108">
        <v>5</v>
      </c>
      <c r="E107" s="108"/>
      <c r="F107" s="127"/>
      <c r="G107" s="128"/>
      <c r="H107" s="395">
        <f t="shared" si="36"/>
        <v>0</v>
      </c>
      <c r="I107" s="129"/>
      <c r="J107" s="130" t="str">
        <f t="array" ref="J107">IF(ISERROR(G107/I107),"",G107/I107)</f>
        <v/>
      </c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387"/>
      <c r="P107" s="387"/>
      <c r="Q107" s="387"/>
      <c r="R107" s="387"/>
      <c r="S107" s="387"/>
      <c r="T107" s="387"/>
      <c r="U107" s="387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386" t="s">
        <v>393</v>
      </c>
      <c r="C108" s="187" t="s">
        <v>402</v>
      </c>
      <c r="D108" s="108">
        <v>5</v>
      </c>
      <c r="E108" s="108"/>
      <c r="F108" s="127"/>
      <c r="G108" s="128"/>
      <c r="H108" s="395">
        <f t="shared" si="36"/>
        <v>0</v>
      </c>
      <c r="I108" s="129"/>
      <c r="J108" s="130" t="str">
        <f t="array" ref="J108">IF(ISERROR(G108/I108),"",G108/I108)</f>
        <v/>
      </c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387"/>
      <c r="P108" s="387"/>
      <c r="Q108" s="387"/>
      <c r="R108" s="387"/>
      <c r="S108" s="387"/>
      <c r="T108" s="387"/>
      <c r="U108" s="387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386" t="s">
        <v>404</v>
      </c>
      <c r="C109" s="187" t="s">
        <v>405</v>
      </c>
      <c r="D109" s="108">
        <v>5</v>
      </c>
      <c r="E109" s="108"/>
      <c r="F109" s="127"/>
      <c r="G109" s="128"/>
      <c r="H109" s="395">
        <f t="shared" si="36"/>
        <v>0</v>
      </c>
      <c r="I109" s="129"/>
      <c r="J109" s="130" t="str">
        <f t="array" ref="J109">IF(ISERROR(G109/I109),"",G109/I109)</f>
        <v/>
      </c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387"/>
      <c r="P109" s="387"/>
      <c r="Q109" s="387"/>
      <c r="R109" s="387"/>
      <c r="S109" s="387"/>
      <c r="T109" s="387"/>
      <c r="U109" s="387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386" t="s">
        <v>492</v>
      </c>
      <c r="C110" s="187" t="s">
        <v>372</v>
      </c>
      <c r="D110" s="108">
        <v>5</v>
      </c>
      <c r="E110" s="108"/>
      <c r="F110" s="127"/>
      <c r="G110" s="128"/>
      <c r="H110" s="395">
        <f t="shared" si="36"/>
        <v>0</v>
      </c>
      <c r="I110" s="129"/>
      <c r="J110" s="130" t="str">
        <f t="array" ref="J110">IF(ISERROR(G110/I110),"",G110/I110)</f>
        <v/>
      </c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387"/>
      <c r="P110" s="387"/>
      <c r="Q110" s="387"/>
      <c r="R110" s="387"/>
      <c r="S110" s="387"/>
      <c r="T110" s="387"/>
      <c r="U110" s="387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386" t="s">
        <v>343</v>
      </c>
      <c r="C111" s="126" t="s">
        <v>345</v>
      </c>
      <c r="D111" s="108">
        <v>5</v>
      </c>
      <c r="E111" s="108"/>
      <c r="F111" s="127"/>
      <c r="G111" s="128"/>
      <c r="H111" s="395">
        <f t="shared" si="36"/>
        <v>0</v>
      </c>
      <c r="I111" s="129"/>
      <c r="J111" s="130" t="str">
        <f t="array" ref="J111">IF(ISERROR(G111/I111),"",G111/I111)</f>
        <v/>
      </c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387"/>
      <c r="P111" s="387"/>
      <c r="Q111" s="387"/>
      <c r="R111" s="387"/>
      <c r="S111" s="387"/>
      <c r="T111" s="387"/>
      <c r="U111" s="387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386" t="s">
        <v>343</v>
      </c>
      <c r="C112" s="126" t="s">
        <v>347</v>
      </c>
      <c r="D112" s="108">
        <v>5</v>
      </c>
      <c r="E112" s="108"/>
      <c r="F112" s="127"/>
      <c r="G112" s="128"/>
      <c r="H112" s="395">
        <f t="shared" si="36"/>
        <v>0</v>
      </c>
      <c r="I112" s="129"/>
      <c r="J112" s="130" t="str">
        <f t="array" ref="J112">IF(ISERROR(G112/I112),"",G112/I112)</f>
        <v/>
      </c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387"/>
      <c r="P112" s="387"/>
      <c r="Q112" s="387"/>
      <c r="R112" s="387"/>
      <c r="S112" s="387"/>
      <c r="T112" s="387"/>
      <c r="U112" s="387"/>
      <c r="V112" s="132"/>
      <c r="W112" s="133"/>
      <c r="X112" s="132"/>
      <c r="Y112" s="132"/>
      <c r="Z112" s="132"/>
      <c r="AA112" s="132"/>
    </row>
    <row r="113" spans="1:27" ht="20.10000000000000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>
        <v>42707</v>
      </c>
      <c r="G113" s="128">
        <f>23+60+100+93</f>
        <v>276</v>
      </c>
      <c r="H113" s="395">
        <f t="shared" si="36"/>
        <v>1396.56</v>
      </c>
      <c r="I113" s="129">
        <v>11</v>
      </c>
      <c r="J113" s="130">
        <f t="array" ref="J113">IF(ISERROR(G113/I113),"",G113/I113)</f>
        <v>25.09090909090909</v>
      </c>
      <c r="K113" s="131">
        <f t="array" ref="K113">IF(ISERROR(G113/L113),"",G113/L113)</f>
        <v>17.806451612903224</v>
      </c>
      <c r="L113" s="129">
        <v>15.5</v>
      </c>
      <c r="M113" s="109">
        <f t="shared" si="37"/>
        <v>-6.8064516129032242</v>
      </c>
      <c r="N113" s="130">
        <f t="shared" si="40"/>
        <v>0</v>
      </c>
      <c r="O113" s="387"/>
      <c r="P113" s="387"/>
      <c r="Q113" s="387"/>
      <c r="R113" s="387"/>
      <c r="S113" s="387"/>
      <c r="T113" s="387"/>
      <c r="U113" s="387"/>
      <c r="V113" s="132">
        <f t="shared" ref="V113:V114" si="44">SUM(X113:AA113)</f>
        <v>0</v>
      </c>
      <c r="W113" s="133">
        <f t="shared" ref="W113:W114" si="45">IF(ISERROR(V113/G113),"",V113/G113)</f>
        <v>0</v>
      </c>
      <c r="X113" s="132"/>
      <c r="Y113" s="132"/>
      <c r="Z113" s="132"/>
      <c r="AA113" s="132"/>
    </row>
    <row r="114" spans="1:27" ht="20.10000000000000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>
        <v>42707</v>
      </c>
      <c r="G114" s="128">
        <v>64</v>
      </c>
      <c r="H114" s="395">
        <f t="shared" si="36"/>
        <v>323.83999999999997</v>
      </c>
      <c r="I114" s="129">
        <v>11</v>
      </c>
      <c r="J114" s="130">
        <f t="array" ref="J114">IF(ISERROR(G114/I114),"",G114/I114)</f>
        <v>5.8181818181818183</v>
      </c>
      <c r="K114" s="131">
        <f t="array" ref="K114">IF(ISERROR(G114/L114),"",G114/L114)</f>
        <v>4.129032258064516</v>
      </c>
      <c r="L114" s="129">
        <v>15.5</v>
      </c>
      <c r="M114" s="109">
        <f t="shared" si="37"/>
        <v>6.870967741935484</v>
      </c>
      <c r="N114" s="130">
        <f t="shared" si="40"/>
        <v>0</v>
      </c>
      <c r="O114" s="387"/>
      <c r="P114" s="387"/>
      <c r="Q114" s="387"/>
      <c r="R114" s="387"/>
      <c r="S114" s="387"/>
      <c r="T114" s="387"/>
      <c r="U114" s="387"/>
      <c r="V114" s="132">
        <f t="shared" si="44"/>
        <v>0</v>
      </c>
      <c r="W114" s="133">
        <f t="shared" si="45"/>
        <v>0</v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420</v>
      </c>
      <c r="D115" s="108">
        <v>5</v>
      </c>
      <c r="E115" s="108"/>
      <c r="F115" s="127"/>
      <c r="G115" s="128"/>
      <c r="H115" s="395">
        <f t="shared" si="36"/>
        <v>0</v>
      </c>
      <c r="I115" s="129"/>
      <c r="J115" s="130" t="str">
        <f t="array" ref="J115">IF(ISERROR(G115/I115),"",G115/I115)</f>
        <v/>
      </c>
      <c r="K115" s="131">
        <f t="array" ref="K115">IF(ISERROR(G115/L115),"",G115/L115)</f>
        <v>0</v>
      </c>
      <c r="L115" s="129">
        <v>24</v>
      </c>
      <c r="M115" s="109"/>
      <c r="N115" s="130"/>
      <c r="O115" s="387"/>
      <c r="P115" s="387"/>
      <c r="Q115" s="387"/>
      <c r="R115" s="387"/>
      <c r="S115" s="387"/>
      <c r="T115" s="387"/>
      <c r="U115" s="387"/>
      <c r="V115" s="132"/>
      <c r="W115" s="133"/>
      <c r="X115" s="132"/>
      <c r="Y115" s="132"/>
      <c r="Z115" s="132"/>
      <c r="AA115" s="132"/>
    </row>
    <row r="116" spans="1:27" ht="20.10000000000000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>
        <v>42707</v>
      </c>
      <c r="G116" s="128">
        <f>78+90*3+54</f>
        <v>402</v>
      </c>
      <c r="H116" s="395">
        <f t="shared" si="36"/>
        <v>2010</v>
      </c>
      <c r="I116" s="129">
        <v>20</v>
      </c>
      <c r="J116" s="130">
        <f t="array" ref="J116">IF(ISERROR(G116/I116),"",G116/I116)</f>
        <v>20.100000000000001</v>
      </c>
      <c r="K116" s="131">
        <f t="array" ref="K116">IF(ISERROR(G116/L116),"",G116/L116)</f>
        <v>16.75</v>
      </c>
      <c r="L116" s="129">
        <v>24</v>
      </c>
      <c r="M116" s="109">
        <f t="shared" si="37"/>
        <v>3.25</v>
      </c>
      <c r="N116" s="130"/>
      <c r="O116" s="387"/>
      <c r="P116" s="387"/>
      <c r="Q116" s="387"/>
      <c r="R116" s="387"/>
      <c r="S116" s="387"/>
      <c r="T116" s="387"/>
      <c r="U116" s="387"/>
      <c r="V116" s="132"/>
      <c r="W116" s="133"/>
      <c r="X116" s="132"/>
      <c r="Y116" s="132"/>
      <c r="Z116" s="132"/>
      <c r="AA116" s="132"/>
    </row>
    <row r="117" spans="1:27" ht="20.10000000000000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>
        <v>42707</v>
      </c>
      <c r="G117" s="128">
        <f>90*3+73</f>
        <v>343</v>
      </c>
      <c r="H117" s="395">
        <f t="shared" si="36"/>
        <v>1715</v>
      </c>
      <c r="I117" s="129">
        <f>4*4</f>
        <v>16</v>
      </c>
      <c r="J117" s="130">
        <f t="array" ref="J117">IF(ISERROR(G117/I117),"",G117/I117)</f>
        <v>21.4375</v>
      </c>
      <c r="K117" s="131">
        <f t="array" ref="K117">IF(ISERROR(G117/L117),"",G117/L117)</f>
        <v>14.291666666666666</v>
      </c>
      <c r="L117" s="129">
        <v>24</v>
      </c>
      <c r="M117" s="109">
        <f t="shared" si="37"/>
        <v>1.7083333333333339</v>
      </c>
      <c r="N117" s="130"/>
      <c r="O117" s="387"/>
      <c r="P117" s="387"/>
      <c r="Q117" s="387"/>
      <c r="R117" s="387"/>
      <c r="S117" s="387"/>
      <c r="T117" s="387"/>
      <c r="U117" s="387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395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387"/>
      <c r="P118" s="387"/>
      <c r="Q118" s="387"/>
      <c r="R118" s="387"/>
      <c r="S118" s="387"/>
      <c r="T118" s="387"/>
      <c r="U118" s="387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395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387"/>
      <c r="P119" s="387"/>
      <c r="Q119" s="387"/>
      <c r="R119" s="387"/>
      <c r="S119" s="387"/>
      <c r="T119" s="387"/>
      <c r="U119" s="387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395">
        <f t="shared" si="36"/>
        <v>0</v>
      </c>
      <c r="I120" s="129"/>
      <c r="J120" s="130" t="str">
        <f t="array" ref="J120">IF(ISERROR(G120/I120),"",G120/I120)</f>
        <v/>
      </c>
      <c r="K120" s="395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387"/>
      <c r="P120" s="387"/>
      <c r="Q120" s="387"/>
      <c r="R120" s="387"/>
      <c r="S120" s="387"/>
      <c r="T120" s="387"/>
      <c r="U120" s="387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30" t="s">
        <v>224</v>
      </c>
      <c r="B121" s="631"/>
      <c r="C121" s="393" t="s">
        <v>202</v>
      </c>
      <c r="D121" s="143"/>
      <c r="E121" s="143"/>
      <c r="F121" s="144"/>
      <c r="G121" s="145">
        <f>SUM(G87:G120)</f>
        <v>1211</v>
      </c>
      <c r="H121" s="146">
        <f>SUM(H87:H120)</f>
        <v>6079.18</v>
      </c>
      <c r="I121" s="146">
        <f>SUM(I87:I120)</f>
        <v>80</v>
      </c>
      <c r="J121" s="130">
        <f t="array" ref="J121">IF(ISERROR(G121/I121),"",G121/I121)</f>
        <v>15.137499999999999</v>
      </c>
      <c r="K121" s="146">
        <f>SUM(K87:K120)</f>
        <v>66.525537634408607</v>
      </c>
      <c r="L121" s="147"/>
      <c r="M121" s="150">
        <f t="shared" ref="M121:V121" si="50">SUM(M87:M120)</f>
        <v>13.474462365591402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395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387"/>
      <c r="P122" s="387"/>
      <c r="Q122" s="387"/>
      <c r="R122" s="387"/>
      <c r="S122" s="387"/>
      <c r="T122" s="387"/>
      <c r="U122" s="387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395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387"/>
      <c r="P123" s="387"/>
      <c r="Q123" s="387"/>
      <c r="R123" s="387"/>
      <c r="S123" s="387"/>
      <c r="T123" s="387"/>
      <c r="U123" s="387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395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387"/>
      <c r="P124" s="387"/>
      <c r="Q124" s="387"/>
      <c r="R124" s="387"/>
      <c r="S124" s="387"/>
      <c r="T124" s="387"/>
      <c r="U124" s="387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395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387"/>
      <c r="P125" s="387"/>
      <c r="Q125" s="387"/>
      <c r="R125" s="387"/>
      <c r="S125" s="387"/>
      <c r="T125" s="387"/>
      <c r="U125" s="387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391" t="s">
        <v>203</v>
      </c>
      <c r="D126" s="108">
        <v>5.03</v>
      </c>
      <c r="E126" s="108"/>
      <c r="F126" s="127"/>
      <c r="G126" s="128"/>
      <c r="H126" s="395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387"/>
      <c r="P126" s="387"/>
      <c r="Q126" s="387"/>
      <c r="R126" s="387"/>
      <c r="S126" s="387"/>
      <c r="T126" s="387"/>
      <c r="U126" s="387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395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387"/>
      <c r="P127" s="387"/>
      <c r="Q127" s="387"/>
      <c r="R127" s="387"/>
      <c r="S127" s="387"/>
      <c r="T127" s="387"/>
      <c r="U127" s="387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395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387"/>
      <c r="P128" s="387"/>
      <c r="Q128" s="387"/>
      <c r="R128" s="387"/>
      <c r="S128" s="387"/>
      <c r="T128" s="387"/>
      <c r="U128" s="387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391" t="s">
        <v>228</v>
      </c>
      <c r="D129" s="108">
        <v>5.03</v>
      </c>
      <c r="E129" s="108"/>
      <c r="F129" s="127"/>
      <c r="G129" s="128"/>
      <c r="H129" s="395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387"/>
      <c r="P129" s="387"/>
      <c r="Q129" s="387"/>
      <c r="R129" s="387"/>
      <c r="S129" s="387"/>
      <c r="T129" s="387"/>
      <c r="U129" s="387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496</v>
      </c>
      <c r="C130" s="391" t="s">
        <v>212</v>
      </c>
      <c r="D130" s="108">
        <v>5.03</v>
      </c>
      <c r="E130" s="108"/>
      <c r="F130" s="127"/>
      <c r="G130" s="128"/>
      <c r="H130" s="395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387"/>
      <c r="P130" s="387"/>
      <c r="Q130" s="387"/>
      <c r="R130" s="387"/>
      <c r="S130" s="387"/>
      <c r="T130" s="387"/>
      <c r="U130" s="387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391" t="s">
        <v>203</v>
      </c>
      <c r="D131" s="108">
        <v>5.03</v>
      </c>
      <c r="E131" s="108"/>
      <c r="F131" s="127"/>
      <c r="G131" s="128"/>
      <c r="H131" s="395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387"/>
      <c r="P131" s="387"/>
      <c r="Q131" s="387"/>
      <c r="R131" s="387"/>
      <c r="S131" s="387"/>
      <c r="T131" s="387"/>
      <c r="U131" s="387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391" t="s">
        <v>186</v>
      </c>
      <c r="D132" s="108">
        <v>5.03</v>
      </c>
      <c r="E132" s="108"/>
      <c r="F132" s="127"/>
      <c r="G132" s="128"/>
      <c r="H132" s="395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387"/>
      <c r="P132" s="387"/>
      <c r="Q132" s="387"/>
      <c r="R132" s="387"/>
      <c r="S132" s="387"/>
      <c r="T132" s="387"/>
      <c r="U132" s="387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391" t="s">
        <v>228</v>
      </c>
      <c r="D133" s="108">
        <v>5.03</v>
      </c>
      <c r="E133" s="108"/>
      <c r="F133" s="127"/>
      <c r="G133" s="128"/>
      <c r="H133" s="395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387"/>
      <c r="P133" s="387"/>
      <c r="Q133" s="387"/>
      <c r="R133" s="387"/>
      <c r="S133" s="387"/>
      <c r="T133" s="387"/>
      <c r="U133" s="387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391" t="s">
        <v>199</v>
      </c>
      <c r="D134" s="108">
        <v>5.03</v>
      </c>
      <c r="E134" s="108"/>
      <c r="F134" s="127"/>
      <c r="G134" s="128"/>
      <c r="H134" s="395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387"/>
      <c r="P134" s="387"/>
      <c r="Q134" s="387"/>
      <c r="R134" s="387"/>
      <c r="S134" s="387"/>
      <c r="T134" s="387"/>
      <c r="U134" s="387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395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387"/>
      <c r="P135" s="387"/>
      <c r="Q135" s="387"/>
      <c r="R135" s="387"/>
      <c r="S135" s="387"/>
      <c r="T135" s="387"/>
      <c r="U135" s="387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395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387"/>
      <c r="P136" s="387"/>
      <c r="Q136" s="387"/>
      <c r="R136" s="387"/>
      <c r="S136" s="387"/>
      <c r="T136" s="387"/>
      <c r="U136" s="387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630" t="s">
        <v>231</v>
      </c>
      <c r="B137" s="631"/>
      <c r="C137" s="393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>
        <v>42705</v>
      </c>
      <c r="G138" s="128">
        <v>41</v>
      </c>
      <c r="H138" s="395">
        <f t="shared" ref="H138:H146" si="55">D138*G138</f>
        <v>206.64000000000001</v>
      </c>
      <c r="I138" s="129">
        <v>7</v>
      </c>
      <c r="J138" s="130">
        <f t="array" ref="J138">IF(ISERROR(G138/I138),"",G138/I138)</f>
        <v>5.8571428571428568</v>
      </c>
      <c r="K138" s="131">
        <f t="array" ref="K138">IF(ISERROR(G138/L138),"",G138/L138)</f>
        <v>1.8636363636363635</v>
      </c>
      <c r="L138" s="129">
        <v>22</v>
      </c>
      <c r="M138" s="109">
        <f t="shared" ref="M138:M142" si="56">IF(ISERROR(I138-K138),"",I138-K138)</f>
        <v>5.1363636363636367</v>
      </c>
      <c r="N138" s="130">
        <f t="shared" ref="N138:N142" si="57">SUM(O138:U138)</f>
        <v>0</v>
      </c>
      <c r="O138" s="387"/>
      <c r="P138" s="387"/>
      <c r="Q138" s="387"/>
      <c r="R138" s="387"/>
      <c r="S138" s="387"/>
      <c r="T138" s="387"/>
      <c r="U138" s="387"/>
      <c r="V138" s="132">
        <f t="shared" ref="V138:V142" si="58">SUM(X138:AA138)</f>
        <v>0</v>
      </c>
      <c r="W138" s="133">
        <f t="shared" si="49"/>
        <v>0</v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395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387"/>
      <c r="P139" s="387"/>
      <c r="Q139" s="387"/>
      <c r="R139" s="387"/>
      <c r="S139" s="387"/>
      <c r="T139" s="387"/>
      <c r="U139" s="387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395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387"/>
      <c r="P140" s="387"/>
      <c r="Q140" s="387"/>
      <c r="R140" s="387"/>
      <c r="S140" s="387"/>
      <c r="T140" s="387"/>
      <c r="U140" s="387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497</v>
      </c>
      <c r="C141" s="126" t="s">
        <v>195</v>
      </c>
      <c r="D141" s="108">
        <v>5.04</v>
      </c>
      <c r="E141" s="108"/>
      <c r="F141" s="127"/>
      <c r="G141" s="128"/>
      <c r="H141" s="395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387"/>
      <c r="P141" s="387"/>
      <c r="Q141" s="387"/>
      <c r="R141" s="387"/>
      <c r="S141" s="387"/>
      <c r="T141" s="387"/>
      <c r="U141" s="387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395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387"/>
      <c r="P142" s="387"/>
      <c r="Q142" s="387"/>
      <c r="R142" s="387"/>
      <c r="S142" s="387"/>
      <c r="T142" s="387"/>
      <c r="U142" s="387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395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387"/>
      <c r="P143" s="387"/>
      <c r="Q143" s="387"/>
      <c r="R143" s="387"/>
      <c r="S143" s="387"/>
      <c r="T143" s="387"/>
      <c r="U143" s="387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/>
      <c r="G144" s="128"/>
      <c r="H144" s="479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0"/>
      <c r="P144" s="470"/>
      <c r="Q144" s="470"/>
      <c r="R144" s="470"/>
      <c r="S144" s="470"/>
      <c r="T144" s="470"/>
      <c r="U144" s="470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>
        <v>42705</v>
      </c>
      <c r="G146" s="128">
        <v>20</v>
      </c>
      <c r="H146" s="395">
        <f t="shared" si="55"/>
        <v>100.8</v>
      </c>
      <c r="I146" s="129">
        <v>3</v>
      </c>
      <c r="J146" s="130">
        <f t="array" ref="J146">IF(ISERROR(G146/I146),"",G146/I146)</f>
        <v>6.666666666666667</v>
      </c>
      <c r="K146" s="131">
        <f t="array" ref="K146">IF(ISERROR(G146/L146),"",G146/L146)</f>
        <v>0.90909090909090906</v>
      </c>
      <c r="L146" s="129">
        <v>22</v>
      </c>
      <c r="M146" s="109">
        <f t="shared" ref="M146" si="59">IF(ISERROR(I146-K146),"",I146-K146)</f>
        <v>2.0909090909090908</v>
      </c>
      <c r="N146" s="130">
        <f t="shared" ref="N146" si="60">SUM(O146:U146)</f>
        <v>0</v>
      </c>
      <c r="O146" s="387"/>
      <c r="P146" s="387"/>
      <c r="Q146" s="387"/>
      <c r="R146" s="387"/>
      <c r="S146" s="387"/>
      <c r="T146" s="387"/>
      <c r="U146" s="387"/>
      <c r="V146" s="132">
        <f t="shared" ref="V146" si="61">SUM(X146:AA146)</f>
        <v>0</v>
      </c>
      <c r="W146" s="133">
        <f t="shared" ref="W146:W151" si="62">IF(ISERROR(V146/G146),"",V146/G146)</f>
        <v>0</v>
      </c>
      <c r="X146" s="132"/>
      <c r="Y146" s="132"/>
      <c r="Z146" s="132"/>
      <c r="AA146" s="132"/>
    </row>
    <row r="147" spans="1:27" ht="20.100000000000001" customHeight="1">
      <c r="A147" s="630" t="s">
        <v>234</v>
      </c>
      <c r="B147" s="631"/>
      <c r="C147" s="393" t="s">
        <v>202</v>
      </c>
      <c r="D147" s="143"/>
      <c r="E147" s="143"/>
      <c r="F147" s="144"/>
      <c r="G147" s="145">
        <f>SUM(G138:G146)</f>
        <v>61</v>
      </c>
      <c r="H147" s="146">
        <f>SUM(H138:H146)</f>
        <v>307.44</v>
      </c>
      <c r="I147" s="146">
        <f>SUM(I138:I146)</f>
        <v>10</v>
      </c>
      <c r="J147" s="130">
        <f t="array" ref="J147">IF(ISERROR(G147/I147),"",G147/I147)</f>
        <v>6.1</v>
      </c>
      <c r="K147" s="146">
        <f>SUM(K138:K146)</f>
        <v>2.7727272727272725</v>
      </c>
      <c r="L147" s="147"/>
      <c r="M147" s="150">
        <f>SUM(M138:M146)</f>
        <v>7.2272727272727275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>
        <f t="shared" si="62"/>
        <v>0</v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385"/>
      <c r="D148" s="108">
        <v>3.65</v>
      </c>
      <c r="E148" s="108"/>
      <c r="F148" s="153"/>
      <c r="G148" s="128"/>
      <c r="H148" s="395">
        <f t="shared" ref="H148:H161" si="63">D148*G148</f>
        <v>0</v>
      </c>
      <c r="I148" s="129"/>
      <c r="J148" s="130" t="str">
        <f t="array" ref="J148">IF(ISERROR(G148/I148),"",G148/I148)</f>
        <v/>
      </c>
      <c r="K148" s="395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387"/>
      <c r="P148" s="387"/>
      <c r="Q148" s="387"/>
      <c r="R148" s="387"/>
      <c r="S148" s="387"/>
      <c r="T148" s="387"/>
      <c r="U148" s="387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385"/>
      <c r="D149" s="108">
        <v>6.58</v>
      </c>
      <c r="E149" s="108"/>
      <c r="F149" s="127"/>
      <c r="G149" s="128"/>
      <c r="H149" s="395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387"/>
      <c r="P149" s="387"/>
      <c r="Q149" s="387"/>
      <c r="R149" s="387"/>
      <c r="S149" s="387"/>
      <c r="T149" s="387"/>
      <c r="U149" s="387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customHeight="1">
      <c r="A150" s="299">
        <v>30700016</v>
      </c>
      <c r="B150" s="141" t="s">
        <v>237</v>
      </c>
      <c r="C150" s="385"/>
      <c r="D150" s="108">
        <v>7.8</v>
      </c>
      <c r="E150" s="108"/>
      <c r="F150" s="127">
        <v>42707</v>
      </c>
      <c r="G150" s="128">
        <v>36</v>
      </c>
      <c r="H150" s="395">
        <f t="shared" si="63"/>
        <v>280.8</v>
      </c>
      <c r="I150" s="129">
        <v>7</v>
      </c>
      <c r="J150" s="130">
        <f t="array" ref="J150">IF(ISERROR(G150/I150),"",G150/I150)</f>
        <v>5.1428571428571432</v>
      </c>
      <c r="K150" s="131">
        <f t="array" ref="K150">IF(ISERROR(G150/L150),"",G150/L150)</f>
        <v>7.8260869565217401</v>
      </c>
      <c r="L150" s="129">
        <v>4.5999999999999996</v>
      </c>
      <c r="M150" s="109">
        <f t="shared" si="64"/>
        <v>-0.82608695652174013</v>
      </c>
      <c r="N150" s="130">
        <f t="shared" si="65"/>
        <v>0</v>
      </c>
      <c r="O150" s="387"/>
      <c r="P150" s="387"/>
      <c r="Q150" s="387"/>
      <c r="R150" s="387"/>
      <c r="S150" s="387"/>
      <c r="T150" s="387"/>
      <c r="U150" s="387"/>
      <c r="V150" s="132">
        <f t="shared" si="66"/>
        <v>0</v>
      </c>
      <c r="W150" s="133">
        <f t="shared" si="62"/>
        <v>0</v>
      </c>
      <c r="X150" s="132"/>
      <c r="Y150" s="132"/>
      <c r="Z150" s="132"/>
      <c r="AA150" s="132"/>
    </row>
    <row r="151" spans="1:27" ht="20.100000000000001" customHeight="1">
      <c r="A151" s="299">
        <v>30700017</v>
      </c>
      <c r="B151" s="141" t="s">
        <v>238</v>
      </c>
      <c r="C151" s="385"/>
      <c r="D151" s="108">
        <v>4.4000000000000004</v>
      </c>
      <c r="E151" s="108"/>
      <c r="F151" s="127">
        <v>42708</v>
      </c>
      <c r="G151" s="128">
        <f>72*2</f>
        <v>144</v>
      </c>
      <c r="H151" s="395">
        <f t="shared" si="63"/>
        <v>633.6</v>
      </c>
      <c r="I151" s="129">
        <v>6</v>
      </c>
      <c r="J151" s="130">
        <f t="array" ref="J151">IF(ISERROR(G151/I151),"",G151/I151)</f>
        <v>24</v>
      </c>
      <c r="K151" s="131">
        <f t="array" ref="K151">IF(ISERROR(G151/L151),"",G151/L151)</f>
        <v>24.827586206896552</v>
      </c>
      <c r="L151" s="129">
        <v>5.8</v>
      </c>
      <c r="M151" s="109">
        <f t="shared" si="64"/>
        <v>-18.827586206896552</v>
      </c>
      <c r="N151" s="130">
        <f t="shared" si="65"/>
        <v>0</v>
      </c>
      <c r="O151" s="387"/>
      <c r="P151" s="387"/>
      <c r="Q151" s="387"/>
      <c r="R151" s="387"/>
      <c r="S151" s="387"/>
      <c r="T151" s="387"/>
      <c r="U151" s="387"/>
      <c r="V151" s="132">
        <f t="shared" si="66"/>
        <v>0</v>
      </c>
      <c r="W151" s="133">
        <f t="shared" si="62"/>
        <v>0</v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395">
        <f t="shared" si="63"/>
        <v>0</v>
      </c>
      <c r="I152" s="129"/>
      <c r="J152" s="130"/>
      <c r="K152" s="131"/>
      <c r="L152" s="129">
        <v>6</v>
      </c>
      <c r="M152" s="109"/>
      <c r="N152" s="130"/>
      <c r="O152" s="387"/>
      <c r="P152" s="387"/>
      <c r="Q152" s="387"/>
      <c r="R152" s="387"/>
      <c r="S152" s="387"/>
      <c r="T152" s="387"/>
      <c r="U152" s="387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385" t="s">
        <v>499</v>
      </c>
      <c r="C153" s="385" t="s">
        <v>179</v>
      </c>
      <c r="D153" s="108">
        <v>6.04</v>
      </c>
      <c r="E153" s="108"/>
      <c r="F153" s="127"/>
      <c r="G153" s="128"/>
      <c r="H153" s="395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387"/>
      <c r="P153" s="387"/>
      <c r="Q153" s="387"/>
      <c r="R153" s="387"/>
      <c r="S153" s="387"/>
      <c r="T153" s="387"/>
      <c r="U153" s="387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385" t="s">
        <v>239</v>
      </c>
      <c r="C154" s="385" t="s">
        <v>186</v>
      </c>
      <c r="D154" s="108">
        <v>6.04</v>
      </c>
      <c r="E154" s="108"/>
      <c r="F154" s="127"/>
      <c r="G154" s="128"/>
      <c r="H154" s="395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387"/>
      <c r="P154" s="387"/>
      <c r="Q154" s="387"/>
      <c r="R154" s="387"/>
      <c r="S154" s="387"/>
      <c r="T154" s="387"/>
      <c r="U154" s="387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385" t="s">
        <v>443</v>
      </c>
      <c r="C155" s="385" t="s">
        <v>179</v>
      </c>
      <c r="D155" s="108">
        <v>6</v>
      </c>
      <c r="E155" s="108"/>
      <c r="F155" s="127"/>
      <c r="G155" s="128"/>
      <c r="H155" s="395">
        <f t="shared" si="63"/>
        <v>0</v>
      </c>
      <c r="I155" s="129"/>
      <c r="J155" s="130"/>
      <c r="K155" s="131"/>
      <c r="L155" s="129"/>
      <c r="M155" s="109"/>
      <c r="N155" s="130"/>
      <c r="O155" s="387"/>
      <c r="P155" s="387"/>
      <c r="Q155" s="387"/>
      <c r="R155" s="387"/>
      <c r="S155" s="387"/>
      <c r="T155" s="387"/>
      <c r="U155" s="387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385" t="s">
        <v>443</v>
      </c>
      <c r="C156" s="385" t="s">
        <v>445</v>
      </c>
      <c r="D156" s="108">
        <v>6</v>
      </c>
      <c r="E156" s="108"/>
      <c r="F156" s="127"/>
      <c r="G156" s="128"/>
      <c r="H156" s="395">
        <f t="shared" si="63"/>
        <v>0</v>
      </c>
      <c r="I156" s="129"/>
      <c r="J156" s="130"/>
      <c r="K156" s="131"/>
      <c r="L156" s="129">
        <v>6</v>
      </c>
      <c r="M156" s="109"/>
      <c r="N156" s="130"/>
      <c r="O156" s="387"/>
      <c r="P156" s="387"/>
      <c r="Q156" s="387"/>
      <c r="R156" s="387"/>
      <c r="S156" s="387"/>
      <c r="T156" s="387"/>
      <c r="U156" s="387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386" t="s">
        <v>240</v>
      </c>
      <c r="C157" s="126"/>
      <c r="D157" s="108">
        <v>7.3</v>
      </c>
      <c r="E157" s="108"/>
      <c r="F157" s="127"/>
      <c r="G157" s="128"/>
      <c r="H157" s="395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387"/>
      <c r="P157" s="387"/>
      <c r="Q157" s="387"/>
      <c r="R157" s="387"/>
      <c r="S157" s="387"/>
      <c r="T157" s="387"/>
      <c r="U157" s="387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386" t="s">
        <v>241</v>
      </c>
      <c r="C158" s="126"/>
      <c r="D158" s="108">
        <f>78*120/1000</f>
        <v>9.36</v>
      </c>
      <c r="E158" s="108"/>
      <c r="F158" s="127"/>
      <c r="G158" s="128"/>
      <c r="H158" s="395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387"/>
      <c r="P158" s="387"/>
      <c r="Q158" s="387"/>
      <c r="R158" s="387"/>
      <c r="S158" s="387"/>
      <c r="T158" s="387"/>
      <c r="U158" s="387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386" t="s">
        <v>242</v>
      </c>
      <c r="C159" s="126"/>
      <c r="D159" s="108">
        <v>4.5</v>
      </c>
      <c r="E159" s="108"/>
      <c r="F159" s="127"/>
      <c r="G159" s="128"/>
      <c r="H159" s="395">
        <f t="shared" si="63"/>
        <v>0</v>
      </c>
      <c r="I159" s="129"/>
      <c r="J159" s="130"/>
      <c r="K159" s="131"/>
      <c r="L159" s="129"/>
      <c r="M159" s="109"/>
      <c r="N159" s="130"/>
      <c r="O159" s="387"/>
      <c r="P159" s="387"/>
      <c r="Q159" s="387"/>
      <c r="R159" s="387"/>
      <c r="S159" s="387"/>
      <c r="T159" s="387"/>
      <c r="U159" s="387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386" t="s">
        <v>243</v>
      </c>
      <c r="C160" s="126"/>
      <c r="D160" s="108">
        <v>4.5</v>
      </c>
      <c r="E160" s="108"/>
      <c r="F160" s="127"/>
      <c r="G160" s="128"/>
      <c r="H160" s="395">
        <f t="shared" si="63"/>
        <v>0</v>
      </c>
      <c r="I160" s="129"/>
      <c r="J160" s="130"/>
      <c r="K160" s="131"/>
      <c r="L160" s="129"/>
      <c r="M160" s="109"/>
      <c r="N160" s="130"/>
      <c r="O160" s="387"/>
      <c r="P160" s="387"/>
      <c r="Q160" s="387"/>
      <c r="R160" s="387"/>
      <c r="S160" s="387"/>
      <c r="T160" s="387"/>
      <c r="U160" s="387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395">
        <f t="shared" si="63"/>
        <v>0</v>
      </c>
      <c r="I161" s="129"/>
      <c r="J161" s="130"/>
      <c r="K161" s="131"/>
      <c r="L161" s="129"/>
      <c r="M161" s="109"/>
      <c r="N161" s="130"/>
      <c r="O161" s="387"/>
      <c r="P161" s="387"/>
      <c r="Q161" s="387"/>
      <c r="R161" s="387"/>
      <c r="S161" s="387"/>
      <c r="T161" s="387"/>
      <c r="U161" s="387"/>
      <c r="V161" s="132"/>
      <c r="W161" s="133"/>
      <c r="X161" s="132"/>
      <c r="Y161" s="132"/>
      <c r="Z161" s="132"/>
      <c r="AA161" s="132"/>
    </row>
    <row r="162" spans="1:27" ht="20.100000000000001" customHeight="1">
      <c r="A162" s="630" t="s">
        <v>244</v>
      </c>
      <c r="B162" s="631"/>
      <c r="C162" s="393" t="s">
        <v>202</v>
      </c>
      <c r="D162" s="143"/>
      <c r="E162" s="143"/>
      <c r="F162" s="144"/>
      <c r="G162" s="145">
        <f>SUM(G148:G160)</f>
        <v>180</v>
      </c>
      <c r="H162" s="146">
        <f>SUM(H148:H158)</f>
        <v>914.40000000000009</v>
      </c>
      <c r="I162" s="146">
        <f>SUM(I148:I160)</f>
        <v>13</v>
      </c>
      <c r="J162" s="130">
        <f t="array" ref="J162">IF(ISERROR(G162/I162),"",G162/I162)</f>
        <v>13.846153846153847</v>
      </c>
      <c r="K162" s="146">
        <f>SUM(K148:K158)</f>
        <v>32.65367316341829</v>
      </c>
      <c r="L162" s="147"/>
      <c r="M162" s="150">
        <f t="shared" ref="M162:V162" si="75">SUM(M148:M158)</f>
        <v>-19.65367316341829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>
        <f>IF(ISERROR(V162/G162),"",V162/G162)</f>
        <v>0</v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32" t="s">
        <v>246</v>
      </c>
      <c r="B163" s="633"/>
      <c r="C163" s="633"/>
      <c r="D163" s="633"/>
      <c r="E163" s="633"/>
      <c r="F163" s="634"/>
      <c r="G163" s="154">
        <f>SUM(G28,G86,G121,G137,G147,G162)</f>
        <v>1452</v>
      </c>
      <c r="H163" s="154">
        <f>SUM(H28,H86,H121,H137,H147,H162)</f>
        <v>7301.02</v>
      </c>
      <c r="I163" s="154">
        <f>SUM(I28,I86,I121,I137,I147,I162)</f>
        <v>103</v>
      </c>
      <c r="J163" s="155">
        <f t="array" ref="J163">IF(ISERROR(G163/I163),"",G163/I163)</f>
        <v>14.097087378640778</v>
      </c>
      <c r="K163" s="154">
        <f>SUM(K28,K86,K121,K137,K147,K162)</f>
        <v>101.95193807055416</v>
      </c>
      <c r="L163" s="155">
        <f>IF(ISERROR(G163/K163),"",G163/K163)</f>
        <v>14.242004884646404</v>
      </c>
      <c r="M163" s="154">
        <f t="shared" ref="M163:AA163" si="76">SUM(M28,M86,M121,M137,M147,M162)</f>
        <v>1.04806192944584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635" t="s">
        <v>476</v>
      </c>
      <c r="B164" s="392" t="s">
        <v>247</v>
      </c>
      <c r="C164" s="638" t="s">
        <v>248</v>
      </c>
      <c r="D164" s="639"/>
      <c r="E164" s="640" t="s">
        <v>249</v>
      </c>
      <c r="F164" s="640"/>
      <c r="G164" s="643" t="s">
        <v>250</v>
      </c>
      <c r="H164" s="643"/>
      <c r="I164" s="640" t="s">
        <v>251</v>
      </c>
      <c r="J164" s="640"/>
      <c r="K164" s="640" t="s">
        <v>252</v>
      </c>
      <c r="L164" s="640"/>
      <c r="M164" s="640" t="s">
        <v>253</v>
      </c>
      <c r="N164" s="640"/>
      <c r="O164" s="640" t="s">
        <v>254</v>
      </c>
      <c r="P164" s="643" t="s">
        <v>255</v>
      </c>
      <c r="Q164" s="643"/>
      <c r="R164" s="643" t="s">
        <v>252</v>
      </c>
      <c r="S164" s="643"/>
      <c r="T164" s="643" t="s">
        <v>256</v>
      </c>
      <c r="U164" s="643"/>
      <c r="V164" s="643" t="s">
        <v>257</v>
      </c>
      <c r="W164" s="643"/>
      <c r="X164" s="643" t="s">
        <v>252</v>
      </c>
      <c r="Y164" s="643"/>
      <c r="Z164" s="643" t="s">
        <v>256</v>
      </c>
      <c r="AA164" s="643"/>
    </row>
    <row r="165" spans="1:27" ht="20.100000000000001" customHeight="1">
      <c r="A165" s="636"/>
      <c r="B165" s="392" t="s">
        <v>258</v>
      </c>
      <c r="C165" s="638">
        <v>1</v>
      </c>
      <c r="D165" s="639"/>
      <c r="E165" s="642">
        <f>C165*11</f>
        <v>11</v>
      </c>
      <c r="F165" s="642"/>
      <c r="G165" s="643">
        <v>1</v>
      </c>
      <c r="H165" s="643"/>
      <c r="I165" s="642">
        <f>G165*11</f>
        <v>11</v>
      </c>
      <c r="J165" s="642"/>
      <c r="K165" s="642">
        <f>E165-I165</f>
        <v>0</v>
      </c>
      <c r="L165" s="642"/>
      <c r="M165" s="644">
        <f>IF(ISERROR(K165/E165),"",K165/E165)</f>
        <v>0</v>
      </c>
      <c r="N165" s="644"/>
      <c r="O165" s="640"/>
      <c r="P165" s="643" t="s">
        <v>201</v>
      </c>
      <c r="Q165" s="643"/>
      <c r="R165" s="645">
        <f>SUM(O28:U28)</f>
        <v>0</v>
      </c>
      <c r="S165" s="645"/>
      <c r="T165" s="646" t="str">
        <f t="array" ref="T165">IF(ISERROR(R165/R172),"",R165/R172)</f>
        <v/>
      </c>
      <c r="U165" s="646"/>
      <c r="V165" s="643" t="s">
        <v>259</v>
      </c>
      <c r="W165" s="643"/>
      <c r="X165" s="647">
        <f>SUM(P27,P85,P120,P136,P146,P160)</f>
        <v>0</v>
      </c>
      <c r="Y165" s="647"/>
      <c r="Z165" s="646" t="str">
        <f t="array" ref="Z165">IF(ISERROR(X165/X172),"",X165/X172)</f>
        <v/>
      </c>
      <c r="AA165" s="646"/>
    </row>
    <row r="166" spans="1:27" ht="20.100000000000001" customHeight="1">
      <c r="A166" s="636"/>
      <c r="B166" s="392" t="s">
        <v>260</v>
      </c>
      <c r="C166" s="638">
        <v>1</v>
      </c>
      <c r="D166" s="639"/>
      <c r="E166" s="642">
        <f>C166*11</f>
        <v>11</v>
      </c>
      <c r="F166" s="642"/>
      <c r="G166" s="643">
        <v>1</v>
      </c>
      <c r="H166" s="643"/>
      <c r="I166" s="642">
        <f>G166*11</f>
        <v>11</v>
      </c>
      <c r="J166" s="642"/>
      <c r="K166" s="642">
        <f>E166-I166</f>
        <v>0</v>
      </c>
      <c r="L166" s="642"/>
      <c r="M166" s="644">
        <f>IF(ISERROR(K166/E166),"",K166/E166)</f>
        <v>0</v>
      </c>
      <c r="N166" s="644"/>
      <c r="O166" s="640"/>
      <c r="P166" s="643" t="s">
        <v>216</v>
      </c>
      <c r="Q166" s="643"/>
      <c r="R166" s="645">
        <f>SUM(O86:U86)</f>
        <v>0</v>
      </c>
      <c r="S166" s="645"/>
      <c r="T166" s="646" t="str">
        <f>IF(ISERROR(R166/R172),"",R166/R172)</f>
        <v/>
      </c>
      <c r="U166" s="646"/>
      <c r="V166" s="643" t="s">
        <v>261</v>
      </c>
      <c r="W166" s="643"/>
      <c r="X166" s="647">
        <f>SUM(P28,P86,P121,P137,P147,P162)</f>
        <v>0</v>
      </c>
      <c r="Y166" s="647"/>
      <c r="Z166" s="646" t="str">
        <f>IF(ISERROR(X166/X172),"",X166/X172)</f>
        <v/>
      </c>
      <c r="AA166" s="646"/>
    </row>
    <row r="167" spans="1:27" ht="20.100000000000001" customHeight="1">
      <c r="A167" s="636"/>
      <c r="B167" s="392" t="s">
        <v>262</v>
      </c>
      <c r="C167" s="638">
        <v>1</v>
      </c>
      <c r="D167" s="639"/>
      <c r="E167" s="642">
        <f>C167*8</f>
        <v>8</v>
      </c>
      <c r="F167" s="642"/>
      <c r="G167" s="643">
        <v>1</v>
      </c>
      <c r="H167" s="643"/>
      <c r="I167" s="642">
        <f>G167*8</f>
        <v>8</v>
      </c>
      <c r="J167" s="642"/>
      <c r="K167" s="642">
        <f>E167-I167</f>
        <v>0</v>
      </c>
      <c r="L167" s="642"/>
      <c r="M167" s="644">
        <f>IF(ISERROR(K167/E167),"",K167/E167)</f>
        <v>0</v>
      </c>
      <c r="N167" s="644"/>
      <c r="O167" s="640"/>
      <c r="P167" s="643" t="s">
        <v>224</v>
      </c>
      <c r="Q167" s="643"/>
      <c r="R167" s="645">
        <f>SUM(O121:U121)</f>
        <v>0</v>
      </c>
      <c r="S167" s="645"/>
      <c r="T167" s="646" t="str">
        <f>IF(ISERROR(R167/R172),"",R167/R172)</f>
        <v/>
      </c>
      <c r="U167" s="646"/>
      <c r="V167" s="643" t="s">
        <v>263</v>
      </c>
      <c r="W167" s="643"/>
      <c r="X167" s="647">
        <f>SUM(P29,P87,P122,P138,P148,P163)</f>
        <v>0</v>
      </c>
      <c r="Y167" s="647"/>
      <c r="Z167" s="646" t="str">
        <f>IF(ISERROR(X167/X172),"",X167/X172)</f>
        <v/>
      </c>
      <c r="AA167" s="646"/>
    </row>
    <row r="168" spans="1:27" ht="20.100000000000001" customHeight="1">
      <c r="A168" s="636"/>
      <c r="B168" s="392" t="s">
        <v>264</v>
      </c>
      <c r="C168" s="638">
        <v>1</v>
      </c>
      <c r="D168" s="639"/>
      <c r="E168" s="642">
        <f>C168*11</f>
        <v>11</v>
      </c>
      <c r="F168" s="642"/>
      <c r="G168" s="643">
        <v>1</v>
      </c>
      <c r="H168" s="643"/>
      <c r="I168" s="642">
        <f>G168*11</f>
        <v>11</v>
      </c>
      <c r="J168" s="642"/>
      <c r="K168" s="642">
        <f>E168-I168</f>
        <v>0</v>
      </c>
      <c r="L168" s="642"/>
      <c r="M168" s="644">
        <f>IF(ISERROR(K168/E168),"",K168/E168)</f>
        <v>0</v>
      </c>
      <c r="N168" s="644"/>
      <c r="O168" s="640"/>
      <c r="P168" s="643" t="s">
        <v>231</v>
      </c>
      <c r="Q168" s="643"/>
      <c r="R168" s="645">
        <f>SUM(O137:U137)</f>
        <v>0</v>
      </c>
      <c r="S168" s="645"/>
      <c r="T168" s="646" t="str">
        <f>IF(ISERROR(R168/R172),"",R168/R172)</f>
        <v/>
      </c>
      <c r="U168" s="646"/>
      <c r="V168" s="643" t="s">
        <v>265</v>
      </c>
      <c r="W168" s="643"/>
      <c r="X168" s="647">
        <f>SUM(P31,P88,P123,P139,P149,P164)</f>
        <v>0</v>
      </c>
      <c r="Y168" s="647"/>
      <c r="Z168" s="646" t="str">
        <f>IF(ISERROR(X168/X172),"",X168/X172)</f>
        <v/>
      </c>
      <c r="AA168" s="646"/>
    </row>
    <row r="169" spans="1:27" ht="20.100000000000001" customHeight="1">
      <c r="A169" s="637"/>
      <c r="B169" s="392" t="s">
        <v>266</v>
      </c>
      <c r="C169" s="648">
        <f>SUM(C165:D168)</f>
        <v>4</v>
      </c>
      <c r="D169" s="649"/>
      <c r="E169" s="642">
        <f>SUM(E165:F168)</f>
        <v>41</v>
      </c>
      <c r="F169" s="642"/>
      <c r="G169" s="643">
        <f>SUM(G165:H168)</f>
        <v>4</v>
      </c>
      <c r="H169" s="643"/>
      <c r="I169" s="642">
        <f>SUM(I165:J168)</f>
        <v>41</v>
      </c>
      <c r="J169" s="642"/>
      <c r="K169" s="642">
        <f>SUM(K165:L168)</f>
        <v>0</v>
      </c>
      <c r="L169" s="642"/>
      <c r="M169" s="644">
        <f>IF(ISERROR(K169/E169),"",K169/E169)</f>
        <v>0</v>
      </c>
      <c r="N169" s="644"/>
      <c r="O169" s="640"/>
      <c r="P169" s="643" t="s">
        <v>234</v>
      </c>
      <c r="Q169" s="643"/>
      <c r="R169" s="645">
        <f>SUM(O147:U147)</f>
        <v>0</v>
      </c>
      <c r="S169" s="645"/>
      <c r="T169" s="646" t="str">
        <f>IF(ISERROR(R169/R172),"",R169/R172)</f>
        <v/>
      </c>
      <c r="U169" s="646"/>
      <c r="V169" s="643" t="s">
        <v>267</v>
      </c>
      <c r="W169" s="643"/>
      <c r="X169" s="647">
        <f>SUM(P32,P89,P124,P140,P150,P165)</f>
        <v>0</v>
      </c>
      <c r="Y169" s="647"/>
      <c r="Z169" s="646" t="str">
        <f>IF(ISERROR(X169/X172),"",X169/X172)</f>
        <v/>
      </c>
      <c r="AA169" s="646"/>
    </row>
    <row r="170" spans="1:27" ht="20.100000000000001" customHeight="1">
      <c r="A170" s="307" t="s">
        <v>477</v>
      </c>
      <c r="B170" s="392">
        <f>G163</f>
        <v>1452</v>
      </c>
      <c r="C170" s="650" t="s">
        <v>269</v>
      </c>
      <c r="D170" s="651"/>
      <c r="E170" s="643">
        <f>H163</f>
        <v>7301.02</v>
      </c>
      <c r="F170" s="643"/>
      <c r="G170" s="643" t="s">
        <v>270</v>
      </c>
      <c r="H170" s="643"/>
      <c r="I170" s="652">
        <f>L163</f>
        <v>14.242004884646404</v>
      </c>
      <c r="J170" s="652"/>
      <c r="K170" s="640" t="s">
        <v>271</v>
      </c>
      <c r="L170" s="640"/>
      <c r="M170" s="652">
        <f>J163</f>
        <v>14.097087378640778</v>
      </c>
      <c r="N170" s="652"/>
      <c r="O170" s="640"/>
      <c r="P170" s="643" t="s">
        <v>244</v>
      </c>
      <c r="Q170" s="643"/>
      <c r="R170" s="645">
        <f>SUM(O162:U162)</f>
        <v>0</v>
      </c>
      <c r="S170" s="645"/>
      <c r="T170" s="646" t="str">
        <f>IF(ISERROR(R170/R172),"",R170/R172)</f>
        <v/>
      </c>
      <c r="U170" s="646"/>
      <c r="V170" s="643" t="s">
        <v>272</v>
      </c>
      <c r="W170" s="643"/>
      <c r="X170" s="647">
        <f>SUM(P33,P90,P125,P141,P151,P166)</f>
        <v>0</v>
      </c>
      <c r="Y170" s="647"/>
      <c r="Z170" s="646" t="str">
        <f>IF(ISERROR(X170/X172),"",X170/X172)</f>
        <v/>
      </c>
      <c r="AA170" s="646"/>
    </row>
    <row r="171" spans="1:27" ht="20.100000000000001" customHeight="1">
      <c r="A171" s="308" t="s">
        <v>478</v>
      </c>
      <c r="B171" s="392">
        <f>I163+C169</f>
        <v>107</v>
      </c>
      <c r="C171" s="653" t="s">
        <v>251</v>
      </c>
      <c r="D171" s="654"/>
      <c r="E171" s="655">
        <f>K163+I169</f>
        <v>142.95193807055415</v>
      </c>
      <c r="F171" s="655"/>
      <c r="G171" s="643" t="s">
        <v>274</v>
      </c>
      <c r="H171" s="643"/>
      <c r="I171" s="652">
        <f>B171-E171</f>
        <v>-35.951938070554149</v>
      </c>
      <c r="J171" s="652"/>
      <c r="K171" s="640" t="s">
        <v>275</v>
      </c>
      <c r="L171" s="640"/>
      <c r="M171" s="644">
        <f>IF(ISERROR(I171/E171),"",I171/E171)</f>
        <v>-0.25149668172256617</v>
      </c>
      <c r="N171" s="644"/>
      <c r="O171" s="640"/>
      <c r="P171" s="643" t="s">
        <v>245</v>
      </c>
      <c r="Q171" s="643"/>
      <c r="R171" s="645"/>
      <c r="S171" s="645"/>
      <c r="T171" s="646" t="str">
        <f>IF(ISERROR(R171/R172),"",R171/R172)</f>
        <v/>
      </c>
      <c r="U171" s="646"/>
      <c r="V171" s="643" t="s">
        <v>264</v>
      </c>
      <c r="W171" s="643"/>
      <c r="X171" s="647"/>
      <c r="Y171" s="647"/>
      <c r="Z171" s="646" t="str">
        <f>IF(ISERROR(X171/X172),"",X171/X172)</f>
        <v/>
      </c>
      <c r="AA171" s="646"/>
    </row>
    <row r="172" spans="1:27" ht="20.100000000000001" customHeight="1">
      <c r="A172" s="308" t="s">
        <v>479</v>
      </c>
      <c r="B172" s="392">
        <f>N163</f>
        <v>0</v>
      </c>
      <c r="C172" s="653" t="s">
        <v>277</v>
      </c>
      <c r="D172" s="654"/>
      <c r="E172" s="646">
        <f>IF(ISERROR(B172/B171),"",B172/B171)</f>
        <v>0</v>
      </c>
      <c r="F172" s="646"/>
      <c r="G172" s="643" t="s">
        <v>278</v>
      </c>
      <c r="H172" s="643"/>
      <c r="I172" s="640">
        <f>V163</f>
        <v>0</v>
      </c>
      <c r="J172" s="640"/>
      <c r="K172" s="640" t="s">
        <v>279</v>
      </c>
      <c r="L172" s="640"/>
      <c r="M172" s="644">
        <f t="array" ref="M172">IF(ISERROR(I172/B170),"",I172/B170)</f>
        <v>0</v>
      </c>
      <c r="N172" s="644"/>
      <c r="O172" s="640"/>
      <c r="P172" s="643" t="s">
        <v>266</v>
      </c>
      <c r="Q172" s="643"/>
      <c r="R172" s="645">
        <f>SUM(R165:S171)</f>
        <v>0</v>
      </c>
      <c r="S172" s="645"/>
      <c r="T172" s="646"/>
      <c r="U172" s="646"/>
      <c r="V172" s="643" t="s">
        <v>266</v>
      </c>
      <c r="W172" s="643"/>
      <c r="X172" s="647">
        <f>SUM(X165:Y171)</f>
        <v>0</v>
      </c>
      <c r="Y172" s="647"/>
      <c r="Z172" s="646"/>
      <c r="AA172" s="646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56" t="s">
        <v>480</v>
      </c>
      <c r="B174" s="659" t="s">
        <v>280</v>
      </c>
      <c r="C174" s="659" t="s">
        <v>281</v>
      </c>
      <c r="D174" s="659" t="s">
        <v>282</v>
      </c>
      <c r="E174" s="662" t="s">
        <v>283</v>
      </c>
      <c r="F174" s="675" t="s">
        <v>284</v>
      </c>
      <c r="G174" s="640" t="s">
        <v>285</v>
      </c>
      <c r="H174" s="640"/>
      <c r="I174" s="659" t="s">
        <v>286</v>
      </c>
      <c r="J174" s="665" t="s">
        <v>271</v>
      </c>
      <c r="K174" s="668" t="s">
        <v>287</v>
      </c>
      <c r="L174" s="659" t="s">
        <v>270</v>
      </c>
      <c r="M174" s="671" t="s">
        <v>288</v>
      </c>
      <c r="N174" s="673" t="s">
        <v>252</v>
      </c>
      <c r="O174" s="640" t="s">
        <v>289</v>
      </c>
      <c r="P174" s="640"/>
      <c r="Q174" s="640"/>
      <c r="R174" s="640"/>
      <c r="S174" s="640"/>
      <c r="T174" s="640"/>
      <c r="U174" s="640"/>
      <c r="V174" s="640" t="s">
        <v>290</v>
      </c>
      <c r="W174" s="673" t="s">
        <v>291</v>
      </c>
      <c r="X174" s="640" t="s">
        <v>292</v>
      </c>
      <c r="Y174" s="640"/>
      <c r="Z174" s="640"/>
      <c r="AA174" s="640"/>
    </row>
    <row r="175" spans="1:27" ht="21.95" customHeight="1">
      <c r="A175" s="657"/>
      <c r="B175" s="660"/>
      <c r="C175" s="660"/>
      <c r="D175" s="660"/>
      <c r="E175" s="663"/>
      <c r="F175" s="676"/>
      <c r="G175" s="640"/>
      <c r="H175" s="640"/>
      <c r="I175" s="660"/>
      <c r="J175" s="666"/>
      <c r="K175" s="669"/>
      <c r="L175" s="660"/>
      <c r="M175" s="672"/>
      <c r="N175" s="673"/>
      <c r="O175" s="640" t="s">
        <v>259</v>
      </c>
      <c r="P175" s="640" t="s">
        <v>261</v>
      </c>
      <c r="Q175" s="640" t="s">
        <v>263</v>
      </c>
      <c r="R175" s="674" t="s">
        <v>265</v>
      </c>
      <c r="S175" s="643" t="s">
        <v>267</v>
      </c>
      <c r="T175" s="640" t="s">
        <v>272</v>
      </c>
      <c r="U175" s="640" t="s">
        <v>264</v>
      </c>
      <c r="V175" s="640"/>
      <c r="W175" s="673"/>
      <c r="X175" s="640" t="s">
        <v>293</v>
      </c>
      <c r="Y175" s="640" t="s">
        <v>294</v>
      </c>
      <c r="Z175" s="640" t="s">
        <v>295</v>
      </c>
      <c r="AA175" s="640" t="s">
        <v>264</v>
      </c>
    </row>
    <row r="176" spans="1:27" ht="21.95" customHeight="1">
      <c r="A176" s="658"/>
      <c r="B176" s="661"/>
      <c r="C176" s="661"/>
      <c r="D176" s="661"/>
      <c r="E176" s="664"/>
      <c r="F176" s="677"/>
      <c r="G176" s="348" t="s">
        <v>516</v>
      </c>
      <c r="H176" s="385" t="s">
        <v>297</v>
      </c>
      <c r="I176" s="661"/>
      <c r="J176" s="667"/>
      <c r="K176" s="670"/>
      <c r="L176" s="661"/>
      <c r="M176" s="672"/>
      <c r="N176" s="673"/>
      <c r="O176" s="640"/>
      <c r="P176" s="640"/>
      <c r="Q176" s="640"/>
      <c r="R176" s="674"/>
      <c r="S176" s="643"/>
      <c r="T176" s="640"/>
      <c r="U176" s="640"/>
      <c r="V176" s="640"/>
      <c r="W176" s="673"/>
      <c r="X176" s="640"/>
      <c r="Y176" s="640"/>
      <c r="Z176" s="640"/>
      <c r="AA176" s="640"/>
    </row>
    <row r="177" spans="1:27" ht="20.100000000000001" customHeight="1">
      <c r="A177" s="299">
        <v>30100030</v>
      </c>
      <c r="B177" s="386" t="s">
        <v>178</v>
      </c>
      <c r="C177" s="126" t="s">
        <v>179</v>
      </c>
      <c r="D177" s="108">
        <v>5.03</v>
      </c>
      <c r="E177" s="108"/>
      <c r="F177" s="127">
        <v>42709</v>
      </c>
      <c r="G177" s="128">
        <f>95+108*4</f>
        <v>527</v>
      </c>
      <c r="H177" s="395">
        <f t="shared" ref="H177:H186" si="77">D177*G177</f>
        <v>2650.81</v>
      </c>
      <c r="I177" s="129">
        <f>10*4</f>
        <v>40</v>
      </c>
      <c r="J177" s="130">
        <f t="array" ref="J177">IF(ISERROR(G177/I177),"",G177/I177)</f>
        <v>13.175000000000001</v>
      </c>
      <c r="K177" s="131">
        <f t="array" ref="K177">IF(ISERROR(G177/L177),"",G177/L177)</f>
        <v>32.9375</v>
      </c>
      <c r="L177" s="129">
        <v>16</v>
      </c>
      <c r="M177" s="109">
        <f t="shared" ref="M177:M186" si="78">IF(ISERROR(I177-K177),"",I177-K177)</f>
        <v>7.0625</v>
      </c>
      <c r="N177" s="130">
        <f>SUM(O177:U177)</f>
        <v>0</v>
      </c>
      <c r="O177" s="387"/>
      <c r="P177" s="387"/>
      <c r="Q177" s="387"/>
      <c r="R177" s="387"/>
      <c r="S177" s="387"/>
      <c r="T177" s="387"/>
      <c r="U177" s="387"/>
      <c r="V177" s="132">
        <f t="shared" ref="V177:V182" si="79">SUM(X177:AA177)</f>
        <v>0</v>
      </c>
      <c r="W177" s="133">
        <f t="shared" ref="W177:W182" si="80">IF(ISERROR(V177/G177),"",V177/G177)</f>
        <v>0</v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395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387"/>
      <c r="P178" s="387"/>
      <c r="Q178" s="387"/>
      <c r="R178" s="387"/>
      <c r="S178" s="387"/>
      <c r="T178" s="387"/>
      <c r="U178" s="387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395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387"/>
      <c r="P179" s="387"/>
      <c r="Q179" s="387"/>
      <c r="R179" s="387"/>
      <c r="S179" s="387"/>
      <c r="T179" s="387"/>
      <c r="U179" s="387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395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387"/>
      <c r="P180" s="387"/>
      <c r="Q180" s="387"/>
      <c r="R180" s="387"/>
      <c r="S180" s="387"/>
      <c r="T180" s="387"/>
      <c r="U180" s="387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>
        <v>42709</v>
      </c>
      <c r="G181" s="128">
        <f>106+108*4+89</f>
        <v>627</v>
      </c>
      <c r="H181" s="395">
        <f t="shared" si="77"/>
        <v>3153.81</v>
      </c>
      <c r="I181" s="129">
        <f>10*4</f>
        <v>40</v>
      </c>
      <c r="J181" s="130">
        <f t="array" ref="J181">IF(ISERROR(G181/I181),"",G181/I181)</f>
        <v>15.675000000000001</v>
      </c>
      <c r="K181" s="131">
        <f t="array" ref="K181">IF(ISERROR(G181/L181),"",G181/L181)</f>
        <v>31.35</v>
      </c>
      <c r="L181" s="129">
        <v>20</v>
      </c>
      <c r="M181" s="109">
        <f t="shared" si="78"/>
        <v>8.6499999999999986</v>
      </c>
      <c r="N181" s="130">
        <f t="shared" si="81"/>
        <v>0</v>
      </c>
      <c r="O181" s="387"/>
      <c r="P181" s="387"/>
      <c r="Q181" s="387"/>
      <c r="R181" s="387"/>
      <c r="S181" s="387"/>
      <c r="T181" s="387"/>
      <c r="U181" s="387"/>
      <c r="V181" s="132">
        <f t="shared" si="79"/>
        <v>0</v>
      </c>
      <c r="W181" s="133">
        <f t="shared" si="80"/>
        <v>0</v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395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387"/>
      <c r="P182" s="387"/>
      <c r="Q182" s="387"/>
      <c r="R182" s="387"/>
      <c r="S182" s="387"/>
      <c r="T182" s="387"/>
      <c r="U182" s="387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395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387"/>
      <c r="P183" s="387"/>
      <c r="Q183" s="387"/>
      <c r="R183" s="387"/>
      <c r="S183" s="387"/>
      <c r="T183" s="387"/>
      <c r="U183" s="387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395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387"/>
      <c r="P184" s="387"/>
      <c r="Q184" s="387"/>
      <c r="R184" s="387"/>
      <c r="S184" s="387"/>
      <c r="T184" s="387"/>
      <c r="U184" s="387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395">
        <f t="shared" si="77"/>
        <v>0</v>
      </c>
      <c r="I185" s="395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387"/>
      <c r="P185" s="387"/>
      <c r="Q185" s="387"/>
      <c r="R185" s="387"/>
      <c r="S185" s="387"/>
      <c r="T185" s="387"/>
      <c r="U185" s="387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395">
        <f t="shared" si="77"/>
        <v>0</v>
      </c>
      <c r="I186" s="395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387"/>
      <c r="P186" s="387"/>
      <c r="Q186" s="387"/>
      <c r="R186" s="387"/>
      <c r="S186" s="387"/>
      <c r="T186" s="387"/>
      <c r="U186" s="387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395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387"/>
      <c r="P187" s="387"/>
      <c r="Q187" s="387"/>
      <c r="R187" s="387"/>
      <c r="S187" s="387"/>
      <c r="T187" s="387"/>
      <c r="U187" s="387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395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387"/>
      <c r="P188" s="387"/>
      <c r="Q188" s="387"/>
      <c r="R188" s="387"/>
      <c r="S188" s="387"/>
      <c r="T188" s="387"/>
      <c r="U188" s="387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395">
        <f t="shared" ref="H189:H197" si="82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3">IF(ISERROR(I189-K189),"",I189-K189)</f>
        <v>0</v>
      </c>
      <c r="N189" s="130">
        <f t="shared" ref="N189:N191" si="84">SUM(O189:U189)</f>
        <v>0</v>
      </c>
      <c r="O189" s="387"/>
      <c r="P189" s="387"/>
      <c r="Q189" s="387"/>
      <c r="R189" s="387"/>
      <c r="S189" s="387"/>
      <c r="T189" s="387"/>
      <c r="U189" s="387"/>
      <c r="V189" s="132">
        <f t="shared" ref="V189:V191" si="85">SUM(X189:AA189)</f>
        <v>0</v>
      </c>
      <c r="W189" s="133" t="str">
        <f t="shared" ref="W189:W191" si="86">IF(ISERROR(V189/G189),"",V189/G189)</f>
        <v/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395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387"/>
      <c r="P190" s="387"/>
      <c r="Q190" s="387"/>
      <c r="R190" s="387"/>
      <c r="S190" s="387"/>
      <c r="T190" s="387"/>
      <c r="U190" s="387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395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387"/>
      <c r="P191" s="387"/>
      <c r="Q191" s="387"/>
      <c r="R191" s="387"/>
      <c r="S191" s="387"/>
      <c r="T191" s="387"/>
      <c r="U191" s="387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385" t="s">
        <v>190</v>
      </c>
      <c r="D192" s="108">
        <v>4.8</v>
      </c>
      <c r="E192" s="108"/>
      <c r="F192" s="127"/>
      <c r="G192" s="128"/>
      <c r="H192" s="395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387"/>
      <c r="P192" s="387"/>
      <c r="Q192" s="387"/>
      <c r="R192" s="387"/>
      <c r="S192" s="387"/>
      <c r="T192" s="387"/>
      <c r="U192" s="387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385" t="s">
        <v>187</v>
      </c>
      <c r="D193" s="108">
        <v>4.8</v>
      </c>
      <c r="E193" s="108"/>
      <c r="F193" s="127"/>
      <c r="G193" s="128"/>
      <c r="H193" s="395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387"/>
      <c r="P193" s="387"/>
      <c r="Q193" s="387"/>
      <c r="R193" s="387"/>
      <c r="S193" s="387"/>
      <c r="T193" s="387"/>
      <c r="U193" s="387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385" t="s">
        <v>179</v>
      </c>
      <c r="D194" s="108">
        <v>4.8</v>
      </c>
      <c r="E194" s="108"/>
      <c r="F194" s="127"/>
      <c r="G194" s="128"/>
      <c r="H194" s="395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387"/>
      <c r="P194" s="387"/>
      <c r="Q194" s="387"/>
      <c r="R194" s="387"/>
      <c r="S194" s="387"/>
      <c r="T194" s="387"/>
      <c r="U194" s="387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385" t="s">
        <v>199</v>
      </c>
      <c r="D195" s="108">
        <v>4.8</v>
      </c>
      <c r="E195" s="108"/>
      <c r="F195" s="127"/>
      <c r="G195" s="128"/>
      <c r="H195" s="395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387"/>
      <c r="P195" s="387"/>
      <c r="Q195" s="387"/>
      <c r="R195" s="387"/>
      <c r="S195" s="387"/>
      <c r="T195" s="387"/>
      <c r="U195" s="387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395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387"/>
      <c r="P196" s="387"/>
      <c r="Q196" s="387"/>
      <c r="R196" s="387"/>
      <c r="S196" s="387"/>
      <c r="T196" s="387"/>
      <c r="U196" s="387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395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387"/>
      <c r="P197" s="387"/>
      <c r="Q197" s="387"/>
      <c r="R197" s="387"/>
      <c r="S197" s="387"/>
      <c r="T197" s="387"/>
      <c r="U197" s="387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customHeight="1">
      <c r="A198" s="630" t="s">
        <v>201</v>
      </c>
      <c r="B198" s="631"/>
      <c r="C198" s="393" t="s">
        <v>202</v>
      </c>
      <c r="D198" s="143"/>
      <c r="E198" s="143"/>
      <c r="F198" s="144"/>
      <c r="G198" s="145">
        <f>SUM(G177:G197)</f>
        <v>1154</v>
      </c>
      <c r="H198" s="146">
        <f>SUM(H177:H197)</f>
        <v>5804.62</v>
      </c>
      <c r="I198" s="146">
        <f>SUM(I177:I197)</f>
        <v>80</v>
      </c>
      <c r="J198" s="130">
        <f t="array" ref="J198">IF(ISERROR(G198/I198),"",G198/I198)</f>
        <v>14.425000000000001</v>
      </c>
      <c r="K198" s="146">
        <f>SUM(K177:K197)</f>
        <v>64.287499999999994</v>
      </c>
      <c r="L198" s="147"/>
      <c r="M198" s="150">
        <f t="shared" ref="M198:AA198" si="90">SUM(M177:M197)</f>
        <v>15.712499999999999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386" t="s">
        <v>206</v>
      </c>
      <c r="C199" s="126" t="s">
        <v>199</v>
      </c>
      <c r="D199" s="108">
        <v>5.03</v>
      </c>
      <c r="E199" s="108"/>
      <c r="F199" s="127"/>
      <c r="G199" s="128"/>
      <c r="H199" s="395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390"/>
      <c r="P199" s="390"/>
      <c r="Q199" s="390"/>
      <c r="R199" s="390"/>
      <c r="S199" s="390"/>
      <c r="T199" s="390"/>
      <c r="U199" s="390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386" t="s">
        <v>426</v>
      </c>
      <c r="C200" s="187" t="s">
        <v>428</v>
      </c>
      <c r="D200" s="108">
        <v>5.03</v>
      </c>
      <c r="E200" s="108"/>
      <c r="F200" s="127"/>
      <c r="G200" s="128"/>
      <c r="H200" s="395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390"/>
      <c r="P200" s="390"/>
      <c r="Q200" s="390"/>
      <c r="R200" s="390"/>
      <c r="S200" s="390"/>
      <c r="T200" s="390"/>
      <c r="U200" s="390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386" t="s">
        <v>206</v>
      </c>
      <c r="C201" s="126" t="s">
        <v>186</v>
      </c>
      <c r="D201" s="108">
        <v>5.03</v>
      </c>
      <c r="E201" s="108"/>
      <c r="F201" s="127"/>
      <c r="G201" s="128"/>
      <c r="H201" s="395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390"/>
      <c r="P201" s="390"/>
      <c r="Q201" s="390"/>
      <c r="R201" s="390"/>
      <c r="S201" s="390"/>
      <c r="T201" s="390"/>
      <c r="U201" s="390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386" t="s">
        <v>206</v>
      </c>
      <c r="C202" s="126" t="s">
        <v>203</v>
      </c>
      <c r="D202" s="108">
        <v>5.03</v>
      </c>
      <c r="E202" s="108"/>
      <c r="F202" s="127"/>
      <c r="G202" s="128"/>
      <c r="H202" s="395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390"/>
      <c r="P202" s="390"/>
      <c r="Q202" s="390"/>
      <c r="R202" s="390"/>
      <c r="S202" s="390"/>
      <c r="T202" s="390"/>
      <c r="U202" s="390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386" t="s">
        <v>206</v>
      </c>
      <c r="C203" s="126" t="s">
        <v>207</v>
      </c>
      <c r="D203" s="108">
        <v>5.03</v>
      </c>
      <c r="E203" s="108"/>
      <c r="F203" s="127"/>
      <c r="G203" s="128"/>
      <c r="H203" s="395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0">IF(ISERROR(I203-K203),"",I203-K203)</f>
        <v>0</v>
      </c>
      <c r="N203" s="130">
        <f t="shared" si="97"/>
        <v>0</v>
      </c>
      <c r="O203" s="390"/>
      <c r="P203" s="390"/>
      <c r="Q203" s="390"/>
      <c r="R203" s="390"/>
      <c r="S203" s="390"/>
      <c r="T203" s="390"/>
      <c r="U203" s="390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386" t="s">
        <v>414</v>
      </c>
      <c r="C204" s="187" t="s">
        <v>415</v>
      </c>
      <c r="D204" s="108">
        <v>5.03</v>
      </c>
      <c r="E204" s="108"/>
      <c r="F204" s="127"/>
      <c r="G204" s="128"/>
      <c r="H204" s="395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390"/>
      <c r="P204" s="390"/>
      <c r="Q204" s="390"/>
      <c r="R204" s="390"/>
      <c r="S204" s="390"/>
      <c r="T204" s="390"/>
      <c r="U204" s="390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386" t="s">
        <v>414</v>
      </c>
      <c r="C205" s="187" t="s">
        <v>416</v>
      </c>
      <c r="D205" s="108">
        <v>5.03</v>
      </c>
      <c r="E205" s="108"/>
      <c r="F205" s="127"/>
      <c r="G205" s="128"/>
      <c r="H205" s="395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390"/>
      <c r="P205" s="390"/>
      <c r="Q205" s="390"/>
      <c r="R205" s="390"/>
      <c r="S205" s="390"/>
      <c r="T205" s="390"/>
      <c r="U205" s="390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386" t="s">
        <v>414</v>
      </c>
      <c r="C206" s="187" t="s">
        <v>61</v>
      </c>
      <c r="D206" s="108">
        <v>5.03</v>
      </c>
      <c r="E206" s="108"/>
      <c r="F206" s="127"/>
      <c r="G206" s="128"/>
      <c r="H206" s="395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390"/>
      <c r="P206" s="390"/>
      <c r="Q206" s="390"/>
      <c r="R206" s="390"/>
      <c r="S206" s="390"/>
      <c r="T206" s="390"/>
      <c r="U206" s="390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386" t="s">
        <v>208</v>
      </c>
      <c r="C207" s="126" t="s">
        <v>179</v>
      </c>
      <c r="D207" s="108">
        <v>5.08</v>
      </c>
      <c r="E207" s="108"/>
      <c r="F207" s="127"/>
      <c r="G207" s="128"/>
      <c r="H207" s="395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1">IF(ISERROR(I207-K207),"",I207-K207)</f>
        <v>0</v>
      </c>
      <c r="N207" s="130">
        <f t="shared" ref="N207:N236" si="102">SUM(O207:U207)</f>
        <v>0</v>
      </c>
      <c r="O207" s="390"/>
      <c r="P207" s="390"/>
      <c r="Q207" s="390"/>
      <c r="R207" s="390"/>
      <c r="S207" s="390"/>
      <c r="T207" s="390"/>
      <c r="U207" s="390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386" t="s">
        <v>208</v>
      </c>
      <c r="C208" s="126" t="s">
        <v>204</v>
      </c>
      <c r="D208" s="108">
        <v>5.08</v>
      </c>
      <c r="E208" s="108"/>
      <c r="F208" s="127"/>
      <c r="G208" s="128"/>
      <c r="H208" s="395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390"/>
      <c r="P208" s="390"/>
      <c r="Q208" s="390"/>
      <c r="R208" s="390"/>
      <c r="S208" s="390"/>
      <c r="T208" s="390"/>
      <c r="U208" s="390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386" t="s">
        <v>208</v>
      </c>
      <c r="C209" s="126" t="s">
        <v>205</v>
      </c>
      <c r="D209" s="108">
        <v>5.08</v>
      </c>
      <c r="E209" s="108"/>
      <c r="F209" s="127"/>
      <c r="G209" s="128"/>
      <c r="H209" s="395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390"/>
      <c r="P209" s="390"/>
      <c r="Q209" s="390"/>
      <c r="R209" s="390"/>
      <c r="S209" s="390"/>
      <c r="T209" s="390"/>
      <c r="U209" s="390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386" t="s">
        <v>208</v>
      </c>
      <c r="C210" s="126" t="s">
        <v>186</v>
      </c>
      <c r="D210" s="108">
        <v>5.08</v>
      </c>
      <c r="E210" s="108"/>
      <c r="F210" s="127"/>
      <c r="G210" s="128"/>
      <c r="H210" s="395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390"/>
      <c r="P210" s="390"/>
      <c r="Q210" s="390"/>
      <c r="R210" s="390"/>
      <c r="S210" s="390"/>
      <c r="T210" s="390"/>
      <c r="U210" s="390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386" t="s">
        <v>208</v>
      </c>
      <c r="C211" s="126" t="s">
        <v>203</v>
      </c>
      <c r="D211" s="108">
        <v>5.08</v>
      </c>
      <c r="E211" s="108"/>
      <c r="F211" s="127"/>
      <c r="G211" s="128"/>
      <c r="H211" s="395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390"/>
      <c r="P211" s="390"/>
      <c r="Q211" s="390"/>
      <c r="R211" s="390"/>
      <c r="S211" s="390"/>
      <c r="T211" s="390"/>
      <c r="U211" s="390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386" t="s">
        <v>208</v>
      </c>
      <c r="C212" s="126" t="s">
        <v>199</v>
      </c>
      <c r="D212" s="108">
        <v>5.08</v>
      </c>
      <c r="E212" s="108"/>
      <c r="F212" s="127"/>
      <c r="G212" s="128"/>
      <c r="H212" s="395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387"/>
      <c r="P212" s="387"/>
      <c r="Q212" s="387"/>
      <c r="R212" s="387"/>
      <c r="S212" s="387"/>
      <c r="T212" s="387"/>
      <c r="U212" s="387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386" t="s">
        <v>208</v>
      </c>
      <c r="C213" s="126" t="s">
        <v>187</v>
      </c>
      <c r="D213" s="108">
        <v>5.08</v>
      </c>
      <c r="E213" s="108"/>
      <c r="F213" s="127"/>
      <c r="G213" s="128"/>
      <c r="H213" s="395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390"/>
      <c r="P213" s="390"/>
      <c r="Q213" s="390"/>
      <c r="R213" s="390"/>
      <c r="S213" s="390"/>
      <c r="T213" s="390"/>
      <c r="U213" s="390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386" t="s">
        <v>208</v>
      </c>
      <c r="C214" s="126" t="s">
        <v>207</v>
      </c>
      <c r="D214" s="108">
        <v>5.08</v>
      </c>
      <c r="E214" s="108"/>
      <c r="F214" s="127"/>
      <c r="G214" s="128"/>
      <c r="H214" s="395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387"/>
      <c r="P214" s="387"/>
      <c r="Q214" s="387"/>
      <c r="R214" s="387"/>
      <c r="S214" s="387"/>
      <c r="T214" s="387"/>
      <c r="U214" s="387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386" t="s">
        <v>209</v>
      </c>
      <c r="C215" s="126" t="s">
        <v>194</v>
      </c>
      <c r="D215" s="108">
        <v>5.03</v>
      </c>
      <c r="E215" s="108"/>
      <c r="F215" s="127"/>
      <c r="G215" s="128"/>
      <c r="H215" s="395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390"/>
      <c r="P215" s="390"/>
      <c r="Q215" s="390"/>
      <c r="R215" s="390"/>
      <c r="S215" s="390"/>
      <c r="T215" s="390"/>
      <c r="U215" s="390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386" t="s">
        <v>209</v>
      </c>
      <c r="C216" s="126" t="s">
        <v>179</v>
      </c>
      <c r="D216" s="108">
        <v>5.03</v>
      </c>
      <c r="E216" s="108"/>
      <c r="F216" s="127"/>
      <c r="G216" s="128"/>
      <c r="H216" s="395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390"/>
      <c r="P216" s="390"/>
      <c r="Q216" s="390"/>
      <c r="R216" s="390"/>
      <c r="S216" s="390"/>
      <c r="T216" s="390"/>
      <c r="U216" s="390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386" t="s">
        <v>209</v>
      </c>
      <c r="C217" s="126" t="s">
        <v>195</v>
      </c>
      <c r="D217" s="108">
        <v>5.03</v>
      </c>
      <c r="E217" s="108"/>
      <c r="F217" s="127"/>
      <c r="G217" s="128"/>
      <c r="H217" s="395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390"/>
      <c r="P217" s="390"/>
      <c r="Q217" s="390"/>
      <c r="R217" s="390"/>
      <c r="S217" s="390"/>
      <c r="T217" s="390"/>
      <c r="U217" s="390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386" t="s">
        <v>209</v>
      </c>
      <c r="C218" s="126" t="s">
        <v>204</v>
      </c>
      <c r="D218" s="108">
        <v>5.03</v>
      </c>
      <c r="E218" s="108"/>
      <c r="F218" s="127"/>
      <c r="G218" s="128"/>
      <c r="H218" s="395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390"/>
      <c r="P218" s="390"/>
      <c r="Q218" s="390"/>
      <c r="R218" s="390"/>
      <c r="S218" s="390"/>
      <c r="T218" s="390"/>
      <c r="U218" s="390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386" t="s">
        <v>382</v>
      </c>
      <c r="C219" s="187" t="s">
        <v>383</v>
      </c>
      <c r="D219" s="108">
        <v>5.03</v>
      </c>
      <c r="E219" s="108"/>
      <c r="F219" s="127"/>
      <c r="G219" s="128"/>
      <c r="H219" s="395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390"/>
      <c r="P219" s="390"/>
      <c r="Q219" s="390"/>
      <c r="R219" s="390"/>
      <c r="S219" s="390"/>
      <c r="T219" s="390"/>
      <c r="U219" s="390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386" t="s">
        <v>382</v>
      </c>
      <c r="C220" s="187" t="s">
        <v>384</v>
      </c>
      <c r="D220" s="108">
        <v>5.03</v>
      </c>
      <c r="E220" s="108"/>
      <c r="F220" s="127"/>
      <c r="G220" s="128"/>
      <c r="H220" s="395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390"/>
      <c r="P220" s="390"/>
      <c r="Q220" s="390"/>
      <c r="R220" s="390"/>
      <c r="S220" s="390"/>
      <c r="T220" s="390"/>
      <c r="U220" s="390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386" t="s">
        <v>382</v>
      </c>
      <c r="C221" s="187" t="s">
        <v>389</v>
      </c>
      <c r="D221" s="108">
        <v>5.03</v>
      </c>
      <c r="E221" s="108"/>
      <c r="F221" s="127"/>
      <c r="G221" s="128"/>
      <c r="H221" s="395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390"/>
      <c r="P221" s="390"/>
      <c r="Q221" s="390"/>
      <c r="R221" s="390"/>
      <c r="S221" s="390"/>
      <c r="T221" s="390"/>
      <c r="U221" s="390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386" t="s">
        <v>382</v>
      </c>
      <c r="C222" s="187" t="s">
        <v>391</v>
      </c>
      <c r="D222" s="108">
        <v>5.03</v>
      </c>
      <c r="E222" s="108"/>
      <c r="F222" s="127"/>
      <c r="G222" s="128"/>
      <c r="H222" s="395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390"/>
      <c r="P222" s="390"/>
      <c r="Q222" s="390"/>
      <c r="R222" s="390"/>
      <c r="S222" s="390"/>
      <c r="T222" s="390"/>
      <c r="U222" s="390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386" t="s">
        <v>418</v>
      </c>
      <c r="C223" s="187" t="s">
        <v>364</v>
      </c>
      <c r="D223" s="108">
        <v>5.03</v>
      </c>
      <c r="E223" s="108"/>
      <c r="F223" s="127"/>
      <c r="G223" s="128"/>
      <c r="H223" s="395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390"/>
      <c r="P223" s="390"/>
      <c r="Q223" s="390"/>
      <c r="R223" s="390"/>
      <c r="S223" s="390"/>
      <c r="T223" s="390"/>
      <c r="U223" s="390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386" t="s">
        <v>418</v>
      </c>
      <c r="C224" s="187" t="s">
        <v>365</v>
      </c>
      <c r="D224" s="108">
        <v>5.03</v>
      </c>
      <c r="E224" s="108"/>
      <c r="F224" s="127"/>
      <c r="G224" s="128"/>
      <c r="H224" s="395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390"/>
      <c r="P224" s="390"/>
      <c r="Q224" s="390"/>
      <c r="R224" s="390"/>
      <c r="S224" s="390"/>
      <c r="T224" s="390"/>
      <c r="U224" s="390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386" t="s">
        <v>418</v>
      </c>
      <c r="C225" s="187" t="s">
        <v>366</v>
      </c>
      <c r="D225" s="108">
        <v>5.03</v>
      </c>
      <c r="E225" s="108"/>
      <c r="F225" s="127"/>
      <c r="G225" s="128"/>
      <c r="H225" s="395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390"/>
      <c r="P225" s="390"/>
      <c r="Q225" s="390"/>
      <c r="R225" s="390"/>
      <c r="S225" s="390"/>
      <c r="T225" s="390"/>
      <c r="U225" s="390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386" t="s">
        <v>418</v>
      </c>
      <c r="C226" s="187" t="s">
        <v>367</v>
      </c>
      <c r="D226" s="108">
        <v>5.03</v>
      </c>
      <c r="E226" s="108"/>
      <c r="F226" s="127"/>
      <c r="G226" s="128"/>
      <c r="H226" s="395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390"/>
      <c r="P226" s="390"/>
      <c r="Q226" s="390"/>
      <c r="R226" s="390"/>
      <c r="S226" s="390"/>
      <c r="T226" s="390"/>
      <c r="U226" s="390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395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387"/>
      <c r="P227" s="387"/>
      <c r="Q227" s="387"/>
      <c r="R227" s="387"/>
      <c r="S227" s="387"/>
      <c r="T227" s="387"/>
      <c r="U227" s="387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395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387"/>
      <c r="P228" s="387"/>
      <c r="Q228" s="387"/>
      <c r="R228" s="387"/>
      <c r="S228" s="387"/>
      <c r="T228" s="387"/>
      <c r="U228" s="387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395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387"/>
      <c r="P229" s="387"/>
      <c r="Q229" s="387"/>
      <c r="R229" s="387"/>
      <c r="S229" s="387"/>
      <c r="T229" s="387"/>
      <c r="U229" s="387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395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387"/>
      <c r="P230" s="387"/>
      <c r="Q230" s="387"/>
      <c r="R230" s="387"/>
      <c r="S230" s="387"/>
      <c r="T230" s="387"/>
      <c r="U230" s="387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395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387"/>
      <c r="P231" s="387"/>
      <c r="Q231" s="387"/>
      <c r="R231" s="387"/>
      <c r="S231" s="387"/>
      <c r="T231" s="387"/>
      <c r="U231" s="387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395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387"/>
      <c r="P232" s="387"/>
      <c r="Q232" s="387"/>
      <c r="R232" s="387"/>
      <c r="S232" s="387"/>
      <c r="T232" s="387"/>
      <c r="U232" s="387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395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387"/>
      <c r="P233" s="387"/>
      <c r="Q233" s="387"/>
      <c r="R233" s="387"/>
      <c r="S233" s="387"/>
      <c r="T233" s="387"/>
      <c r="U233" s="387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395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387"/>
      <c r="P234" s="387"/>
      <c r="Q234" s="387"/>
      <c r="R234" s="387"/>
      <c r="S234" s="387"/>
      <c r="T234" s="387"/>
      <c r="U234" s="387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395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387"/>
      <c r="P235" s="387"/>
      <c r="Q235" s="387"/>
      <c r="R235" s="387"/>
      <c r="S235" s="387"/>
      <c r="T235" s="387"/>
      <c r="U235" s="387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395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387"/>
      <c r="P236" s="387"/>
      <c r="Q236" s="387"/>
      <c r="R236" s="387"/>
      <c r="S236" s="387"/>
      <c r="T236" s="387"/>
      <c r="U236" s="387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430</v>
      </c>
      <c r="C237" s="187" t="s">
        <v>428</v>
      </c>
      <c r="D237" s="108">
        <v>5.03</v>
      </c>
      <c r="E237" s="108"/>
      <c r="F237" s="127"/>
      <c r="G237" s="128"/>
      <c r="H237" s="395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387"/>
      <c r="P237" s="387"/>
      <c r="Q237" s="387"/>
      <c r="R237" s="387"/>
      <c r="S237" s="387"/>
      <c r="T237" s="387"/>
      <c r="U237" s="387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395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7">IF(ISERROR(I238-K238),"",I238-K238)</f>
        <v>0</v>
      </c>
      <c r="N238" s="130"/>
      <c r="O238" s="387"/>
      <c r="P238" s="387"/>
      <c r="Q238" s="387"/>
      <c r="R238" s="387"/>
      <c r="S238" s="387"/>
      <c r="T238" s="387"/>
      <c r="U238" s="387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395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7"/>
        <v>0</v>
      </c>
      <c r="N239" s="130">
        <f t="shared" ref="N239:N240" si="108">SUM(O239:U239)</f>
        <v>0</v>
      </c>
      <c r="O239" s="387"/>
      <c r="P239" s="387"/>
      <c r="Q239" s="387"/>
      <c r="R239" s="387"/>
      <c r="S239" s="387"/>
      <c r="T239" s="387"/>
      <c r="U239" s="387"/>
      <c r="V239" s="132">
        <f t="shared" ref="V239:V240" si="109">SUM(X239:AA239)</f>
        <v>0</v>
      </c>
      <c r="W239" s="133" t="str">
        <f t="shared" ref="W239:W240" si="110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395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387"/>
      <c r="P240" s="387"/>
      <c r="Q240" s="387"/>
      <c r="R240" s="387"/>
      <c r="S240" s="387"/>
      <c r="T240" s="387"/>
      <c r="U240" s="387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395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387"/>
      <c r="P241" s="387"/>
      <c r="Q241" s="387"/>
      <c r="R241" s="387"/>
      <c r="S241" s="387"/>
      <c r="T241" s="387"/>
      <c r="U241" s="387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395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387"/>
      <c r="P242" s="387"/>
      <c r="Q242" s="387"/>
      <c r="R242" s="387"/>
      <c r="S242" s="387"/>
      <c r="T242" s="387"/>
      <c r="U242" s="387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395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387"/>
      <c r="P243" s="387"/>
      <c r="Q243" s="387"/>
      <c r="R243" s="387"/>
      <c r="S243" s="387"/>
      <c r="T243" s="387"/>
      <c r="U243" s="387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395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387"/>
      <c r="P244" s="387"/>
      <c r="Q244" s="387"/>
      <c r="R244" s="387"/>
      <c r="S244" s="387"/>
      <c r="T244" s="387"/>
      <c r="U244" s="387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395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387"/>
      <c r="P245" s="387"/>
      <c r="Q245" s="387"/>
      <c r="R245" s="387"/>
      <c r="S245" s="387"/>
      <c r="T245" s="387"/>
      <c r="U245" s="387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395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387"/>
      <c r="P246" s="387"/>
      <c r="Q246" s="387"/>
      <c r="R246" s="387"/>
      <c r="S246" s="387"/>
      <c r="T246" s="387"/>
      <c r="U246" s="387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395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387"/>
      <c r="P247" s="387"/>
      <c r="Q247" s="387"/>
      <c r="R247" s="387"/>
      <c r="S247" s="387"/>
      <c r="T247" s="387"/>
      <c r="U247" s="387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395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387"/>
      <c r="P248" s="387"/>
      <c r="Q248" s="387"/>
      <c r="R248" s="387"/>
      <c r="S248" s="387"/>
      <c r="T248" s="387"/>
      <c r="U248" s="387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395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387"/>
      <c r="P249" s="387"/>
      <c r="Q249" s="387"/>
      <c r="R249" s="387"/>
      <c r="S249" s="387"/>
      <c r="T249" s="387"/>
      <c r="U249" s="387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395">
        <f t="shared" si="91"/>
        <v>0</v>
      </c>
      <c r="I250" s="129"/>
      <c r="J250" s="130"/>
      <c r="K250" s="131"/>
      <c r="L250" s="129">
        <v>4</v>
      </c>
      <c r="M250" s="109"/>
      <c r="N250" s="130"/>
      <c r="O250" s="387"/>
      <c r="P250" s="387"/>
      <c r="Q250" s="387"/>
      <c r="R250" s="387"/>
      <c r="S250" s="387"/>
      <c r="T250" s="387"/>
      <c r="U250" s="387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395">
        <f t="shared" si="91"/>
        <v>0</v>
      </c>
      <c r="I251" s="129"/>
      <c r="J251" s="130"/>
      <c r="K251" s="131"/>
      <c r="L251" s="129">
        <v>4</v>
      </c>
      <c r="M251" s="109"/>
      <c r="N251" s="130"/>
      <c r="O251" s="387"/>
      <c r="P251" s="387"/>
      <c r="Q251" s="387"/>
      <c r="R251" s="387"/>
      <c r="S251" s="387"/>
      <c r="T251" s="387"/>
      <c r="U251" s="387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395">
        <f t="shared" si="91"/>
        <v>0</v>
      </c>
      <c r="I252" s="129"/>
      <c r="J252" s="130"/>
      <c r="K252" s="131"/>
      <c r="L252" s="129">
        <v>4</v>
      </c>
      <c r="M252" s="109"/>
      <c r="N252" s="130"/>
      <c r="O252" s="387"/>
      <c r="P252" s="387"/>
      <c r="Q252" s="387"/>
      <c r="R252" s="387"/>
      <c r="S252" s="387"/>
      <c r="T252" s="387"/>
      <c r="U252" s="387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395">
        <f t="shared" si="91"/>
        <v>0</v>
      </c>
      <c r="I253" s="129"/>
      <c r="J253" s="130"/>
      <c r="K253" s="131"/>
      <c r="L253" s="129">
        <v>4</v>
      </c>
      <c r="M253" s="109"/>
      <c r="N253" s="130"/>
      <c r="O253" s="387"/>
      <c r="P253" s="387"/>
      <c r="Q253" s="387"/>
      <c r="R253" s="387"/>
      <c r="S253" s="387"/>
      <c r="T253" s="387"/>
      <c r="U253" s="387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395">
        <f t="shared" si="91"/>
        <v>0</v>
      </c>
      <c r="I254" s="129"/>
      <c r="J254" s="130"/>
      <c r="K254" s="131"/>
      <c r="L254" s="129">
        <v>4</v>
      </c>
      <c r="M254" s="109"/>
      <c r="N254" s="130"/>
      <c r="O254" s="387"/>
      <c r="P254" s="387"/>
      <c r="Q254" s="387"/>
      <c r="R254" s="387"/>
      <c r="S254" s="387"/>
      <c r="T254" s="387"/>
      <c r="U254" s="387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395">
        <f t="shared" si="91"/>
        <v>0</v>
      </c>
      <c r="I255" s="129"/>
      <c r="J255" s="130"/>
      <c r="K255" s="131"/>
      <c r="L255" s="129">
        <v>4</v>
      </c>
      <c r="M255" s="109"/>
      <c r="N255" s="130"/>
      <c r="O255" s="387"/>
      <c r="P255" s="387"/>
      <c r="Q255" s="387"/>
      <c r="R255" s="387"/>
      <c r="S255" s="387"/>
      <c r="T255" s="387"/>
      <c r="U255" s="387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641" t="s">
        <v>216</v>
      </c>
      <c r="B256" s="641"/>
      <c r="C256" s="393" t="s">
        <v>202</v>
      </c>
      <c r="D256" s="143"/>
      <c r="E256" s="143"/>
      <c r="F256" s="144"/>
      <c r="G256" s="145">
        <f>SUM(G199:G255)</f>
        <v>0</v>
      </c>
      <c r="H256" s="146">
        <f>SUM(H199:H255)</f>
        <v>0</v>
      </c>
      <c r="I256" s="146">
        <f>SUM(I199:I255)</f>
        <v>0</v>
      </c>
      <c r="J256" s="130" t="str">
        <f t="array" ref="J256">IF(ISERROR(G256/I256),"",G256/I256)</f>
        <v/>
      </c>
      <c r="K256" s="146">
        <f>SUM(K199:K255)</f>
        <v>0</v>
      </c>
      <c r="L256" s="147"/>
      <c r="M256" s="150">
        <f t="shared" ref="M256:V256" si="114">SUM(M199:M255)</f>
        <v>0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 t="str">
        <f t="shared" ref="W256:W263" si="115">IF(ISERROR(V256/G256),"",V256/G256)</f>
        <v/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386" t="s">
        <v>217</v>
      </c>
      <c r="C257" s="126" t="s">
        <v>179</v>
      </c>
      <c r="D257" s="108">
        <v>5.03</v>
      </c>
      <c r="E257" s="108"/>
      <c r="F257" s="127"/>
      <c r="G257" s="128"/>
      <c r="H257" s="395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387"/>
      <c r="P257" s="387"/>
      <c r="Q257" s="387"/>
      <c r="R257" s="387"/>
      <c r="S257" s="387"/>
      <c r="T257" s="387"/>
      <c r="U257" s="387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386" t="s">
        <v>217</v>
      </c>
      <c r="C258" s="126" t="s">
        <v>186</v>
      </c>
      <c r="D258" s="108">
        <v>5.03</v>
      </c>
      <c r="E258" s="108"/>
      <c r="F258" s="127"/>
      <c r="G258" s="128"/>
      <c r="H258" s="395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387"/>
      <c r="P258" s="387"/>
      <c r="Q258" s="387"/>
      <c r="R258" s="387"/>
      <c r="S258" s="387"/>
      <c r="T258" s="387"/>
      <c r="U258" s="387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386" t="s">
        <v>217</v>
      </c>
      <c r="C259" s="126" t="s">
        <v>204</v>
      </c>
      <c r="D259" s="108">
        <v>5.03</v>
      </c>
      <c r="E259" s="108"/>
      <c r="F259" s="127"/>
      <c r="G259" s="128"/>
      <c r="H259" s="395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387"/>
      <c r="P259" s="387"/>
      <c r="Q259" s="387"/>
      <c r="R259" s="387"/>
      <c r="S259" s="387"/>
      <c r="T259" s="387"/>
      <c r="U259" s="387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395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387"/>
      <c r="P260" s="387"/>
      <c r="Q260" s="387"/>
      <c r="R260" s="387"/>
      <c r="S260" s="387"/>
      <c r="T260" s="387"/>
      <c r="U260" s="387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>
        <v>42707</v>
      </c>
      <c r="G261" s="128">
        <v>48</v>
      </c>
      <c r="H261" s="395">
        <f t="shared" si="116"/>
        <v>241.44</v>
      </c>
      <c r="I261" s="129">
        <f>11.5</f>
        <v>11.5</v>
      </c>
      <c r="J261" s="130">
        <f t="array" ref="J261">IF(ISERROR(G261/I261),"",G261/I261)</f>
        <v>4.1739130434782608</v>
      </c>
      <c r="K261" s="131">
        <f t="array" ref="K261">IF(ISERROR(G261/L261),"",G261/L261)</f>
        <v>5.161290322580645</v>
      </c>
      <c r="L261" s="129">
        <v>9.3000000000000007</v>
      </c>
      <c r="M261" s="109">
        <f t="shared" si="117"/>
        <v>6.338709677419355</v>
      </c>
      <c r="N261" s="130">
        <f t="shared" si="118"/>
        <v>0</v>
      </c>
      <c r="O261" s="387"/>
      <c r="P261" s="387"/>
      <c r="Q261" s="387"/>
      <c r="R261" s="387"/>
      <c r="S261" s="387"/>
      <c r="T261" s="387"/>
      <c r="U261" s="387"/>
      <c r="V261" s="132">
        <f t="shared" si="119"/>
        <v>0</v>
      </c>
      <c r="W261" s="133">
        <f t="shared" si="115"/>
        <v>0</v>
      </c>
      <c r="X261" s="132"/>
      <c r="Y261" s="132"/>
      <c r="Z261" s="132"/>
      <c r="AA261" s="132"/>
    </row>
    <row r="262" spans="1:27" ht="20.10000000000000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>
        <v>42707</v>
      </c>
      <c r="G262" s="128">
        <v>58</v>
      </c>
      <c r="H262" s="395">
        <f t="shared" si="116"/>
        <v>291.74</v>
      </c>
      <c r="I262" s="129">
        <f>9*1</f>
        <v>9</v>
      </c>
      <c r="J262" s="130">
        <f t="array" ref="J262">IF(ISERROR(G262/I262),"",G262/I262)</f>
        <v>6.4444444444444446</v>
      </c>
      <c r="K262" s="131">
        <f t="array" ref="K262">IF(ISERROR(G262/L262),"",G262/L262)</f>
        <v>6.236559139784946</v>
      </c>
      <c r="L262" s="129">
        <v>9.3000000000000007</v>
      </c>
      <c r="M262" s="109">
        <f t="shared" si="117"/>
        <v>2.763440860215054</v>
      </c>
      <c r="N262" s="130">
        <f t="shared" si="118"/>
        <v>0</v>
      </c>
      <c r="O262" s="387"/>
      <c r="P262" s="387"/>
      <c r="Q262" s="387"/>
      <c r="R262" s="387"/>
      <c r="S262" s="387"/>
      <c r="T262" s="387"/>
      <c r="U262" s="387"/>
      <c r="V262" s="132">
        <f t="shared" si="119"/>
        <v>0</v>
      </c>
      <c r="W262" s="133">
        <f t="shared" si="115"/>
        <v>0</v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395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387"/>
      <c r="P263" s="387"/>
      <c r="Q263" s="387"/>
      <c r="R263" s="387"/>
      <c r="S263" s="387"/>
      <c r="T263" s="387"/>
      <c r="U263" s="387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>
        <v>42707</v>
      </c>
      <c r="G264" s="128">
        <v>27</v>
      </c>
      <c r="H264" s="395">
        <f t="shared" si="116"/>
        <v>135.81</v>
      </c>
      <c r="I264" s="129">
        <v>8.5</v>
      </c>
      <c r="J264" s="130">
        <f t="array" ref="J264">IF(ISERROR(G264/I264),"",G264/I264)</f>
        <v>3.1764705882352939</v>
      </c>
      <c r="K264" s="131">
        <f t="array" ref="K264">IF(ISERROR(G264/L264),"",G264/L264)</f>
        <v>2.9032258064516125</v>
      </c>
      <c r="L264" s="129">
        <v>9.3000000000000007</v>
      </c>
      <c r="M264" s="109">
        <f t="shared" si="117"/>
        <v>5.5967741935483879</v>
      </c>
      <c r="N264" s="130">
        <f t="shared" si="118"/>
        <v>0</v>
      </c>
      <c r="O264" s="387"/>
      <c r="P264" s="387"/>
      <c r="Q264" s="387"/>
      <c r="R264" s="387"/>
      <c r="S264" s="387"/>
      <c r="T264" s="387"/>
      <c r="U264" s="387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395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387"/>
      <c r="P265" s="387"/>
      <c r="Q265" s="387"/>
      <c r="R265" s="387"/>
      <c r="S265" s="387"/>
      <c r="T265" s="387"/>
      <c r="U265" s="387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395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387"/>
      <c r="P266" s="387"/>
      <c r="Q266" s="387"/>
      <c r="R266" s="387"/>
      <c r="S266" s="387"/>
      <c r="T266" s="387"/>
      <c r="U266" s="387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395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387"/>
      <c r="P267" s="387"/>
      <c r="Q267" s="387"/>
      <c r="R267" s="387"/>
      <c r="S267" s="387"/>
      <c r="T267" s="387"/>
      <c r="U267" s="387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395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387"/>
      <c r="P268" s="387"/>
      <c r="Q268" s="387"/>
      <c r="R268" s="387"/>
      <c r="S268" s="387"/>
      <c r="T268" s="387"/>
      <c r="U268" s="387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395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7" si="120">IF(ISERROR(I269-K269),"",I269-K269)</f>
        <v>0</v>
      </c>
      <c r="N269" s="130">
        <f t="shared" ref="N269:N284" si="121">SUM(O269:U269)</f>
        <v>0</v>
      </c>
      <c r="O269" s="387"/>
      <c r="P269" s="387"/>
      <c r="Q269" s="387"/>
      <c r="R269" s="387"/>
      <c r="S269" s="387"/>
      <c r="T269" s="387"/>
      <c r="U269" s="387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395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387"/>
      <c r="P270" s="387"/>
      <c r="Q270" s="387"/>
      <c r="R270" s="387"/>
      <c r="S270" s="387"/>
      <c r="T270" s="387"/>
      <c r="U270" s="387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395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387"/>
      <c r="P271" s="387"/>
      <c r="Q271" s="387"/>
      <c r="R271" s="387"/>
      <c r="S271" s="387"/>
      <c r="T271" s="387"/>
      <c r="U271" s="387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395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387"/>
      <c r="P272" s="387"/>
      <c r="Q272" s="387"/>
      <c r="R272" s="387"/>
      <c r="S272" s="387"/>
      <c r="T272" s="387"/>
      <c r="U272" s="387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386" t="s">
        <v>222</v>
      </c>
      <c r="C273" s="126" t="s">
        <v>181</v>
      </c>
      <c r="D273" s="108">
        <v>9.36</v>
      </c>
      <c r="E273" s="108"/>
      <c r="F273" s="127"/>
      <c r="G273" s="128"/>
      <c r="H273" s="395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387"/>
      <c r="P273" s="387"/>
      <c r="Q273" s="387"/>
      <c r="R273" s="387"/>
      <c r="S273" s="387"/>
      <c r="T273" s="387"/>
      <c r="U273" s="387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386" t="s">
        <v>222</v>
      </c>
      <c r="C274" s="126" t="s">
        <v>179</v>
      </c>
      <c r="D274" s="108">
        <v>9.36</v>
      </c>
      <c r="E274" s="108"/>
      <c r="F274" s="127"/>
      <c r="G274" s="128"/>
      <c r="H274" s="395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387"/>
      <c r="P274" s="387"/>
      <c r="Q274" s="387"/>
      <c r="R274" s="387"/>
      <c r="S274" s="387"/>
      <c r="T274" s="387"/>
      <c r="U274" s="387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386" t="s">
        <v>222</v>
      </c>
      <c r="C275" s="126" t="s">
        <v>221</v>
      </c>
      <c r="D275" s="108">
        <v>9.36</v>
      </c>
      <c r="E275" s="108"/>
      <c r="F275" s="127"/>
      <c r="G275" s="128"/>
      <c r="H275" s="395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387"/>
      <c r="P275" s="387"/>
      <c r="Q275" s="387"/>
      <c r="R275" s="387"/>
      <c r="S275" s="387"/>
      <c r="T275" s="387"/>
      <c r="U275" s="387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386" t="s">
        <v>222</v>
      </c>
      <c r="C276" s="126" t="s">
        <v>186</v>
      </c>
      <c r="D276" s="108">
        <v>9.36</v>
      </c>
      <c r="E276" s="108"/>
      <c r="F276" s="127"/>
      <c r="G276" s="128"/>
      <c r="H276" s="395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387"/>
      <c r="P276" s="387"/>
      <c r="Q276" s="387"/>
      <c r="R276" s="387"/>
      <c r="S276" s="387"/>
      <c r="T276" s="387"/>
      <c r="U276" s="387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386" t="s">
        <v>393</v>
      </c>
      <c r="C277" s="187" t="s">
        <v>395</v>
      </c>
      <c r="D277" s="108">
        <v>5</v>
      </c>
      <c r="E277" s="108"/>
      <c r="F277" s="127"/>
      <c r="G277" s="128"/>
      <c r="H277" s="395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387"/>
      <c r="P277" s="387"/>
      <c r="Q277" s="387"/>
      <c r="R277" s="387"/>
      <c r="S277" s="387"/>
      <c r="T277" s="387"/>
      <c r="U277" s="387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386" t="s">
        <v>393</v>
      </c>
      <c r="C278" s="187" t="s">
        <v>402</v>
      </c>
      <c r="D278" s="108">
        <v>5</v>
      </c>
      <c r="E278" s="108"/>
      <c r="F278" s="127"/>
      <c r="G278" s="128"/>
      <c r="H278" s="395">
        <f t="shared" si="116"/>
        <v>0</v>
      </c>
      <c r="I278" s="129"/>
      <c r="J278" s="130" t="str">
        <f t="array" ref="J278">IF(ISERROR(G278/I278),"",G278/I278)</f>
        <v/>
      </c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387"/>
      <c r="P278" s="387"/>
      <c r="Q278" s="387"/>
      <c r="R278" s="387"/>
      <c r="S278" s="387"/>
      <c r="T278" s="387"/>
      <c r="U278" s="387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386" t="s">
        <v>404</v>
      </c>
      <c r="C279" s="187" t="s">
        <v>405</v>
      </c>
      <c r="D279" s="108">
        <v>5</v>
      </c>
      <c r="E279" s="108"/>
      <c r="F279" s="127"/>
      <c r="G279" s="128"/>
      <c r="H279" s="395">
        <f t="shared" si="116"/>
        <v>0</v>
      </c>
      <c r="I279" s="129"/>
      <c r="J279" s="130" t="str">
        <f t="array" ref="J279">IF(ISERROR(G279/I279),"",G279/I279)</f>
        <v/>
      </c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387"/>
      <c r="P279" s="387"/>
      <c r="Q279" s="387"/>
      <c r="R279" s="387"/>
      <c r="S279" s="387"/>
      <c r="T279" s="387"/>
      <c r="U279" s="387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386" t="s">
        <v>342</v>
      </c>
      <c r="C280" s="187" t="s">
        <v>372</v>
      </c>
      <c r="D280" s="108">
        <v>5</v>
      </c>
      <c r="E280" s="108"/>
      <c r="F280" s="127"/>
      <c r="G280" s="128"/>
      <c r="H280" s="395">
        <f t="shared" si="116"/>
        <v>0</v>
      </c>
      <c r="I280" s="129"/>
      <c r="J280" s="130" t="str">
        <f t="array" ref="J280">IF(ISERROR(G280/I280),"",G280/I280)</f>
        <v/>
      </c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387"/>
      <c r="P280" s="387"/>
      <c r="Q280" s="387"/>
      <c r="R280" s="387"/>
      <c r="S280" s="387"/>
      <c r="T280" s="387"/>
      <c r="U280" s="387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386" t="s">
        <v>343</v>
      </c>
      <c r="C281" s="126" t="s">
        <v>345</v>
      </c>
      <c r="D281" s="108">
        <v>5</v>
      </c>
      <c r="E281" s="108"/>
      <c r="F281" s="127"/>
      <c r="G281" s="128"/>
      <c r="H281" s="395">
        <f t="shared" si="116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387"/>
      <c r="P281" s="387"/>
      <c r="Q281" s="387"/>
      <c r="R281" s="387"/>
      <c r="S281" s="387"/>
      <c r="T281" s="387"/>
      <c r="U281" s="387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386" t="s">
        <v>343</v>
      </c>
      <c r="C282" s="126" t="s">
        <v>347</v>
      </c>
      <c r="D282" s="108">
        <v>5</v>
      </c>
      <c r="E282" s="108"/>
      <c r="F282" s="127"/>
      <c r="G282" s="128"/>
      <c r="H282" s="395">
        <f t="shared" si="116"/>
        <v>0</v>
      </c>
      <c r="I282" s="129"/>
      <c r="J282" s="130" t="str">
        <f t="array" ref="J282">IF(ISERROR(G282/I282),"",G282/I282)</f>
        <v/>
      </c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387"/>
      <c r="P282" s="387"/>
      <c r="Q282" s="387"/>
      <c r="R282" s="387"/>
      <c r="S282" s="387"/>
      <c r="T282" s="387"/>
      <c r="U282" s="387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395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387"/>
      <c r="P283" s="387"/>
      <c r="Q283" s="387"/>
      <c r="R283" s="387"/>
      <c r="S283" s="387"/>
      <c r="T283" s="387"/>
      <c r="U283" s="387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395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387"/>
      <c r="P284" s="387"/>
      <c r="Q284" s="387"/>
      <c r="R284" s="387"/>
      <c r="S284" s="387"/>
      <c r="T284" s="387"/>
      <c r="U284" s="387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customHeight="1">
      <c r="A285" s="299">
        <v>30400004</v>
      </c>
      <c r="B285" s="151" t="s">
        <v>419</v>
      </c>
      <c r="C285" s="187" t="s">
        <v>420</v>
      </c>
      <c r="D285" s="108">
        <v>5.03</v>
      </c>
      <c r="E285" s="108"/>
      <c r="F285" s="127">
        <v>42707</v>
      </c>
      <c r="G285" s="128">
        <f>90+23</f>
        <v>113</v>
      </c>
      <c r="H285" s="395">
        <f t="shared" si="116"/>
        <v>568.39</v>
      </c>
      <c r="I285" s="129">
        <f>1*6</f>
        <v>6</v>
      </c>
      <c r="J285" s="130">
        <f t="array" ref="J285">IF(ISERROR(G285/I285),"",G285/I285)</f>
        <v>18.833333333333332</v>
      </c>
      <c r="K285" s="131">
        <f t="array" ref="K285">IF(ISERROR(G285/L285),"",G285/L285)</f>
        <v>4.708333333333333</v>
      </c>
      <c r="L285" s="129">
        <v>24</v>
      </c>
      <c r="M285" s="109">
        <f t="shared" si="120"/>
        <v>1.291666666666667</v>
      </c>
      <c r="N285" s="130"/>
      <c r="O285" s="387"/>
      <c r="P285" s="387"/>
      <c r="Q285" s="387"/>
      <c r="R285" s="387"/>
      <c r="S285" s="387"/>
      <c r="T285" s="387"/>
      <c r="U285" s="387"/>
      <c r="V285" s="132"/>
      <c r="W285" s="133"/>
      <c r="X285" s="132"/>
      <c r="Y285" s="132"/>
      <c r="Z285" s="132"/>
      <c r="AA285" s="132"/>
    </row>
    <row r="286" spans="1:27" ht="20.10000000000000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>
        <v>42707</v>
      </c>
      <c r="G286" s="128">
        <f>26+6</f>
        <v>32</v>
      </c>
      <c r="H286" s="395">
        <f t="shared" si="116"/>
        <v>160.96</v>
      </c>
      <c r="I286" s="129">
        <f>0.5*6</f>
        <v>3</v>
      </c>
      <c r="J286" s="130">
        <f t="array" ref="J286">IF(ISERROR(G286/I286),"",G286/I286)</f>
        <v>10.666666666666666</v>
      </c>
      <c r="K286" s="131">
        <f t="array" ref="K286">IF(ISERROR(G286/L286),"",G286/L286)</f>
        <v>1.3333333333333333</v>
      </c>
      <c r="L286" s="129">
        <v>24</v>
      </c>
      <c r="M286" s="109">
        <f t="shared" si="120"/>
        <v>1.6666666666666667</v>
      </c>
      <c r="N286" s="130"/>
      <c r="O286" s="387"/>
      <c r="P286" s="387"/>
      <c r="Q286" s="387"/>
      <c r="R286" s="387"/>
      <c r="S286" s="387"/>
      <c r="T286" s="387"/>
      <c r="U286" s="387"/>
      <c r="V286" s="132"/>
      <c r="W286" s="133"/>
      <c r="X286" s="132"/>
      <c r="Y286" s="132"/>
      <c r="Z286" s="132"/>
      <c r="AA286" s="132"/>
    </row>
    <row r="287" spans="1:27" ht="20.10000000000000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>
        <v>42707</v>
      </c>
      <c r="G287" s="128">
        <v>68</v>
      </c>
      <c r="H287" s="395">
        <f t="shared" si="116"/>
        <v>342.04</v>
      </c>
      <c r="I287" s="129">
        <f>6*1</f>
        <v>6</v>
      </c>
      <c r="J287" s="130">
        <f t="array" ref="J287">IF(ISERROR(G287/I287),"",G287/I287)</f>
        <v>11.333333333333334</v>
      </c>
      <c r="K287" s="131">
        <f t="array" ref="K287">IF(ISERROR(G287/L287),"",G287/L287)</f>
        <v>2.8333333333333335</v>
      </c>
      <c r="L287" s="129">
        <v>24</v>
      </c>
      <c r="M287" s="109">
        <f t="shared" si="120"/>
        <v>3.1666666666666665</v>
      </c>
      <c r="N287" s="130"/>
      <c r="O287" s="387"/>
      <c r="P287" s="387"/>
      <c r="Q287" s="387"/>
      <c r="R287" s="387"/>
      <c r="S287" s="387"/>
      <c r="T287" s="387"/>
      <c r="U287" s="387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395">
        <f t="shared" si="116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7">IF(ISERROR(I288-K288),"",I288-K288)</f>
        <v>0</v>
      </c>
      <c r="N288" s="130">
        <f t="shared" ref="N288:N290" si="128">SUM(O288:U288)</f>
        <v>0</v>
      </c>
      <c r="O288" s="387"/>
      <c r="P288" s="387"/>
      <c r="Q288" s="387"/>
      <c r="R288" s="387"/>
      <c r="S288" s="387"/>
      <c r="T288" s="387"/>
      <c r="U288" s="387"/>
      <c r="V288" s="132">
        <f t="shared" ref="V288:V290" si="129">SUM(X288:AA288)</f>
        <v>0</v>
      </c>
      <c r="W288" s="133" t="str">
        <f t="shared" ref="W288:W312" si="130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395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387"/>
      <c r="P289" s="387"/>
      <c r="Q289" s="387"/>
      <c r="R289" s="387"/>
      <c r="S289" s="387"/>
      <c r="T289" s="387"/>
      <c r="U289" s="387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395">
        <f t="shared" si="116"/>
        <v>0</v>
      </c>
      <c r="I290" s="129"/>
      <c r="J290" s="130" t="str">
        <f t="array" ref="J290">IF(ISERROR(G290/I290),"",G290/I290)</f>
        <v/>
      </c>
      <c r="K290" s="395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387"/>
      <c r="P290" s="387"/>
      <c r="Q290" s="387"/>
      <c r="R290" s="387"/>
      <c r="S290" s="387"/>
      <c r="T290" s="387"/>
      <c r="U290" s="387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630" t="s">
        <v>224</v>
      </c>
      <c r="B291" s="631"/>
      <c r="C291" s="393" t="s">
        <v>202</v>
      </c>
      <c r="D291" s="143"/>
      <c r="E291" s="143"/>
      <c r="F291" s="144"/>
      <c r="G291" s="145">
        <f>SUM(G257:G290)</f>
        <v>346</v>
      </c>
      <c r="H291" s="146">
        <f>SUM(H257:H290)</f>
        <v>1740.38</v>
      </c>
      <c r="I291" s="146">
        <f>SUM(I257:I290)</f>
        <v>44</v>
      </c>
      <c r="J291" s="130">
        <f t="array" ref="J291">IF(ISERROR(G291/I291),"",G291/I291)</f>
        <v>7.8636363636363633</v>
      </c>
      <c r="K291" s="146">
        <f>SUM(K257:K290)</f>
        <v>23.1760752688172</v>
      </c>
      <c r="L291" s="147"/>
      <c r="M291" s="150">
        <f t="shared" ref="M291:V291" si="131">SUM(M257:M290)</f>
        <v>20.8239247311828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>
        <f t="shared" si="130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395">
        <f t="shared" ref="H292:H306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3">IF(ISERROR(I292-K292),"",I292-K292)</f>
        <v>0</v>
      </c>
      <c r="N292" s="130">
        <f t="shared" ref="N292:N306" si="134">SUM(O292:U292)</f>
        <v>0</v>
      </c>
      <c r="O292" s="387"/>
      <c r="P292" s="387"/>
      <c r="Q292" s="387"/>
      <c r="R292" s="387"/>
      <c r="S292" s="387"/>
      <c r="T292" s="387"/>
      <c r="U292" s="387"/>
      <c r="V292" s="132">
        <f t="shared" ref="V292:V306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395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387"/>
      <c r="P293" s="387"/>
      <c r="Q293" s="387"/>
      <c r="R293" s="387"/>
      <c r="S293" s="387"/>
      <c r="T293" s="387"/>
      <c r="U293" s="387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395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3"/>
        <v>0</v>
      </c>
      <c r="N294" s="130">
        <f t="shared" si="134"/>
        <v>0</v>
      </c>
      <c r="O294" s="387"/>
      <c r="P294" s="387"/>
      <c r="Q294" s="387"/>
      <c r="R294" s="387"/>
      <c r="S294" s="387"/>
      <c r="T294" s="387"/>
      <c r="U294" s="387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395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387"/>
      <c r="P295" s="387"/>
      <c r="Q295" s="387"/>
      <c r="R295" s="387"/>
      <c r="S295" s="387"/>
      <c r="T295" s="387"/>
      <c r="U295" s="387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391" t="s">
        <v>203</v>
      </c>
      <c r="D296" s="108">
        <v>5.03</v>
      </c>
      <c r="E296" s="108"/>
      <c r="F296" s="127"/>
      <c r="G296" s="128"/>
      <c r="H296" s="395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387"/>
      <c r="P296" s="387"/>
      <c r="Q296" s="387"/>
      <c r="R296" s="387"/>
      <c r="S296" s="387"/>
      <c r="T296" s="387"/>
      <c r="U296" s="387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395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387"/>
      <c r="P297" s="387"/>
      <c r="Q297" s="387"/>
      <c r="R297" s="387"/>
      <c r="S297" s="387"/>
      <c r="T297" s="387"/>
      <c r="U297" s="387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395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387"/>
      <c r="P298" s="387"/>
      <c r="Q298" s="387"/>
      <c r="R298" s="387"/>
      <c r="S298" s="387"/>
      <c r="T298" s="387"/>
      <c r="U298" s="387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391" t="s">
        <v>228</v>
      </c>
      <c r="D299" s="108">
        <v>5.03</v>
      </c>
      <c r="E299" s="108"/>
      <c r="F299" s="127"/>
      <c r="G299" s="128"/>
      <c r="H299" s="395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387"/>
      <c r="P299" s="387"/>
      <c r="Q299" s="387"/>
      <c r="R299" s="387"/>
      <c r="S299" s="387"/>
      <c r="T299" s="387"/>
      <c r="U299" s="387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391" t="s">
        <v>212</v>
      </c>
      <c r="D300" s="108">
        <v>5.03</v>
      </c>
      <c r="E300" s="108"/>
      <c r="F300" s="127"/>
      <c r="G300" s="128"/>
      <c r="H300" s="395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387"/>
      <c r="P300" s="387"/>
      <c r="Q300" s="387"/>
      <c r="R300" s="387"/>
      <c r="S300" s="387"/>
      <c r="T300" s="387"/>
      <c r="U300" s="387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391" t="s">
        <v>203</v>
      </c>
      <c r="D301" s="108">
        <v>5.03</v>
      </c>
      <c r="E301" s="108"/>
      <c r="F301" s="127"/>
      <c r="G301" s="128"/>
      <c r="H301" s="395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387"/>
      <c r="P301" s="387"/>
      <c r="Q301" s="387"/>
      <c r="R301" s="387"/>
      <c r="S301" s="387"/>
      <c r="T301" s="387"/>
      <c r="U301" s="387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391" t="s">
        <v>186</v>
      </c>
      <c r="D302" s="108">
        <v>5.03</v>
      </c>
      <c r="E302" s="108"/>
      <c r="F302" s="127"/>
      <c r="G302" s="128"/>
      <c r="H302" s="395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387"/>
      <c r="P302" s="387"/>
      <c r="Q302" s="387"/>
      <c r="R302" s="387"/>
      <c r="S302" s="387"/>
      <c r="T302" s="387"/>
      <c r="U302" s="387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391" t="s">
        <v>228</v>
      </c>
      <c r="D303" s="108">
        <v>5.03</v>
      </c>
      <c r="E303" s="108"/>
      <c r="F303" s="127"/>
      <c r="G303" s="128"/>
      <c r="H303" s="395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387"/>
      <c r="P303" s="387"/>
      <c r="Q303" s="387"/>
      <c r="R303" s="387"/>
      <c r="S303" s="387"/>
      <c r="T303" s="387"/>
      <c r="U303" s="387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391" t="s">
        <v>199</v>
      </c>
      <c r="D304" s="108">
        <v>5.03</v>
      </c>
      <c r="E304" s="108"/>
      <c r="F304" s="127"/>
      <c r="G304" s="128"/>
      <c r="H304" s="395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387"/>
      <c r="P304" s="387"/>
      <c r="Q304" s="387"/>
      <c r="R304" s="387"/>
      <c r="S304" s="387"/>
      <c r="T304" s="387"/>
      <c r="U304" s="387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395">
        <f t="shared" si="132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3"/>
        <v>0</v>
      </c>
      <c r="N305" s="130">
        <f t="shared" si="134"/>
        <v>0</v>
      </c>
      <c r="O305" s="387"/>
      <c r="P305" s="387"/>
      <c r="Q305" s="387"/>
      <c r="R305" s="387"/>
      <c r="S305" s="387"/>
      <c r="T305" s="387"/>
      <c r="U305" s="387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395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387"/>
      <c r="P306" s="387"/>
      <c r="Q306" s="387"/>
      <c r="R306" s="387"/>
      <c r="S306" s="387"/>
      <c r="T306" s="387"/>
      <c r="U306" s="387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630" t="s">
        <v>231</v>
      </c>
      <c r="B307" s="631"/>
      <c r="C307" s="393" t="s">
        <v>202</v>
      </c>
      <c r="D307" s="143"/>
      <c r="E307" s="143"/>
      <c r="F307" s="144"/>
      <c r="G307" s="145">
        <f>SUM(G292:G306)</f>
        <v>0</v>
      </c>
      <c r="H307" s="146">
        <f>SUM(H292:H306)</f>
        <v>0</v>
      </c>
      <c r="I307" s="146">
        <f>SUM(I292:I306)</f>
        <v>0</v>
      </c>
      <c r="J307" s="130" t="str">
        <f t="array" ref="J307">IF(ISERROR(G307/I307),"",G307/I307)</f>
        <v/>
      </c>
      <c r="K307" s="146">
        <f>SUM(K292:K306)</f>
        <v>0</v>
      </c>
      <c r="L307" s="146"/>
      <c r="M307" s="150">
        <f>SUM(M292:M306)</f>
        <v>0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 t="str">
        <f t="shared" si="130"/>
        <v/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>
        <v>42705</v>
      </c>
      <c r="G308" s="128">
        <v>11</v>
      </c>
      <c r="H308" s="395">
        <f t="shared" ref="H308:H315" si="136">D308*G308</f>
        <v>55.44</v>
      </c>
      <c r="I308" s="129">
        <f>0.5*6</f>
        <v>3</v>
      </c>
      <c r="J308" s="130">
        <f t="array" ref="J308">IF(ISERROR(G308/I308),"",G308/I308)</f>
        <v>3.6666666666666665</v>
      </c>
      <c r="K308" s="131">
        <f t="array" ref="K308">IF(ISERROR(G308/L308),"",G308/L308)</f>
        <v>0.5</v>
      </c>
      <c r="L308" s="129">
        <v>22</v>
      </c>
      <c r="M308" s="109">
        <f t="shared" ref="M308:M312" si="137">IF(ISERROR(I308-K308),"",I308-K308)</f>
        <v>2.5</v>
      </c>
      <c r="N308" s="130">
        <f t="shared" ref="N308:N312" si="138">SUM(O308:U308)</f>
        <v>0</v>
      </c>
      <c r="O308" s="387"/>
      <c r="P308" s="387"/>
      <c r="Q308" s="387"/>
      <c r="R308" s="387"/>
      <c r="S308" s="387"/>
      <c r="T308" s="387"/>
      <c r="U308" s="387"/>
      <c r="V308" s="132">
        <f t="shared" ref="V308:V312" si="139">SUM(X308:AA308)</f>
        <v>0</v>
      </c>
      <c r="W308" s="133">
        <f t="shared" si="130"/>
        <v>0</v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395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387"/>
      <c r="P309" s="387"/>
      <c r="Q309" s="387"/>
      <c r="R309" s="387"/>
      <c r="S309" s="387"/>
      <c r="T309" s="387"/>
      <c r="U309" s="387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395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387"/>
      <c r="P310" s="387"/>
      <c r="Q310" s="387"/>
      <c r="R310" s="387"/>
      <c r="S310" s="387"/>
      <c r="T310" s="387"/>
      <c r="U310" s="387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395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387"/>
      <c r="P311" s="387"/>
      <c r="Q311" s="387"/>
      <c r="R311" s="387"/>
      <c r="S311" s="387"/>
      <c r="T311" s="387"/>
      <c r="U311" s="387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395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387"/>
      <c r="P312" s="387"/>
      <c r="Q312" s="387"/>
      <c r="R312" s="387"/>
      <c r="S312" s="387"/>
      <c r="T312" s="387"/>
      <c r="U312" s="387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79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387"/>
      <c r="P313" s="387"/>
      <c r="Q313" s="387"/>
      <c r="R313" s="387"/>
      <c r="S313" s="387"/>
      <c r="T313" s="387"/>
      <c r="U313" s="387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/>
      <c r="G314" s="128"/>
      <c r="H314" s="479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70"/>
      <c r="P314" s="470"/>
      <c r="Q314" s="470"/>
      <c r="R314" s="470"/>
      <c r="S314" s="470"/>
      <c r="T314" s="470"/>
      <c r="U314" s="470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>
        <v>42705</v>
      </c>
      <c r="G316" s="128">
        <v>7</v>
      </c>
      <c r="H316" s="395">
        <f t="shared" ref="H316" si="140">D316*G316</f>
        <v>35.28</v>
      </c>
      <c r="I316" s="129">
        <f>0.5*6</f>
        <v>3</v>
      </c>
      <c r="J316" s="130">
        <f t="array" ref="J316">IF(ISERROR(G316/I316),"",G316/I316)</f>
        <v>2.3333333333333335</v>
      </c>
      <c r="K316" s="131">
        <f t="array" ref="K316">IF(ISERROR(G316/L316),"",G316/L316)</f>
        <v>0.31818181818181818</v>
      </c>
      <c r="L316" s="129">
        <v>22</v>
      </c>
      <c r="M316" s="109">
        <f t="shared" ref="M316" si="141">IF(ISERROR(I316-K316),"",I316-K316)</f>
        <v>2.6818181818181817</v>
      </c>
      <c r="N316" s="130">
        <f t="shared" ref="N316" si="142">SUM(O316:U316)</f>
        <v>0</v>
      </c>
      <c r="O316" s="387"/>
      <c r="P316" s="387"/>
      <c r="Q316" s="387"/>
      <c r="R316" s="387"/>
      <c r="S316" s="387"/>
      <c r="T316" s="387"/>
      <c r="U316" s="387"/>
      <c r="V316" s="132">
        <f t="shared" ref="V316" si="143">SUM(X316:AA316)</f>
        <v>0</v>
      </c>
      <c r="W316" s="133">
        <f t="shared" ref="W316:W321" si="144">IF(ISERROR(V316/G316),"",V316/G316)</f>
        <v>0</v>
      </c>
      <c r="X316" s="132"/>
      <c r="Y316" s="132"/>
      <c r="Z316" s="132"/>
      <c r="AA316" s="132"/>
    </row>
    <row r="317" spans="1:27" ht="20.100000000000001" customHeight="1">
      <c r="A317" s="630" t="s">
        <v>234</v>
      </c>
      <c r="B317" s="631"/>
      <c r="C317" s="393" t="s">
        <v>202</v>
      </c>
      <c r="D317" s="143"/>
      <c r="E317" s="143"/>
      <c r="F317" s="144"/>
      <c r="G317" s="145">
        <f>SUM(G308:G316)</f>
        <v>18</v>
      </c>
      <c r="H317" s="146">
        <f>SUM(H308:H316)</f>
        <v>90.72</v>
      </c>
      <c r="I317" s="146">
        <f>SUM(I308:I316)</f>
        <v>6</v>
      </c>
      <c r="J317" s="130">
        <f t="array" ref="J317">IF(ISERROR(G317/I317),"",G317/I317)</f>
        <v>3</v>
      </c>
      <c r="K317" s="146">
        <f>SUM(K308:K316)</f>
        <v>0.81818181818181812</v>
      </c>
      <c r="L317" s="147"/>
      <c r="M317" s="150">
        <f>SUM(M308:M316)</f>
        <v>5.1818181818181817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>
        <f t="shared" si="144"/>
        <v>0</v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385"/>
      <c r="D318" s="108">
        <v>3.65</v>
      </c>
      <c r="E318" s="108"/>
      <c r="F318" s="153"/>
      <c r="G318" s="128"/>
      <c r="H318" s="395">
        <f t="shared" ref="H318:H331" si="145">D318*G318</f>
        <v>0</v>
      </c>
      <c r="I318" s="129"/>
      <c r="J318" s="130" t="str">
        <f t="array" ref="J318">IF(ISERROR(G318/I318),"",G318/I318)</f>
        <v/>
      </c>
      <c r="K318" s="395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387"/>
      <c r="P318" s="387"/>
      <c r="Q318" s="387"/>
      <c r="R318" s="387"/>
      <c r="S318" s="387"/>
      <c r="T318" s="387"/>
      <c r="U318" s="387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385"/>
      <c r="D319" s="108">
        <v>6.58</v>
      </c>
      <c r="E319" s="108"/>
      <c r="F319" s="127"/>
      <c r="G319" s="128"/>
      <c r="H319" s="395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387"/>
      <c r="P319" s="387"/>
      <c r="Q319" s="387"/>
      <c r="R319" s="387"/>
      <c r="S319" s="387"/>
      <c r="T319" s="387"/>
      <c r="U319" s="387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385"/>
      <c r="D320" s="108">
        <v>7.8</v>
      </c>
      <c r="E320" s="108"/>
      <c r="F320" s="127"/>
      <c r="G320" s="128"/>
      <c r="H320" s="395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387"/>
      <c r="P320" s="387"/>
      <c r="Q320" s="387"/>
      <c r="R320" s="387"/>
      <c r="S320" s="387"/>
      <c r="T320" s="387"/>
      <c r="U320" s="387"/>
      <c r="V320" s="132">
        <f t="shared" si="148"/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385"/>
      <c r="D321" s="108">
        <v>4.4000000000000004</v>
      </c>
      <c r="E321" s="108"/>
      <c r="F321" s="127"/>
      <c r="G321" s="128"/>
      <c r="H321" s="395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387"/>
      <c r="P321" s="387"/>
      <c r="Q321" s="387"/>
      <c r="R321" s="387"/>
      <c r="S321" s="387"/>
      <c r="T321" s="387"/>
      <c r="U321" s="387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385"/>
      <c r="D322" s="108"/>
      <c r="E322" s="108"/>
      <c r="F322" s="127"/>
      <c r="G322" s="128"/>
      <c r="H322" s="395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387"/>
      <c r="P322" s="387"/>
      <c r="Q322" s="387"/>
      <c r="R322" s="387"/>
      <c r="S322" s="387"/>
      <c r="T322" s="387"/>
      <c r="U322" s="387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385" t="s">
        <v>239</v>
      </c>
      <c r="C323" s="385" t="s">
        <v>179</v>
      </c>
      <c r="D323" s="108">
        <v>6.04</v>
      </c>
      <c r="E323" s="108"/>
      <c r="F323" s="127"/>
      <c r="G323" s="128"/>
      <c r="H323" s="395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387"/>
      <c r="P323" s="387"/>
      <c r="Q323" s="387"/>
      <c r="R323" s="387"/>
      <c r="S323" s="387"/>
      <c r="T323" s="387"/>
      <c r="U323" s="387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385" t="s">
        <v>239</v>
      </c>
      <c r="C324" s="385" t="s">
        <v>186</v>
      </c>
      <c r="D324" s="108">
        <v>6.04</v>
      </c>
      <c r="E324" s="108"/>
      <c r="F324" s="127"/>
      <c r="G324" s="128"/>
      <c r="H324" s="395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387"/>
      <c r="P324" s="387"/>
      <c r="Q324" s="387"/>
      <c r="R324" s="387"/>
      <c r="S324" s="387"/>
      <c r="T324" s="387"/>
      <c r="U324" s="387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385" t="s">
        <v>443</v>
      </c>
      <c r="C325" s="385" t="s">
        <v>179</v>
      </c>
      <c r="D325" s="108">
        <v>6</v>
      </c>
      <c r="E325" s="108"/>
      <c r="F325" s="127"/>
      <c r="G325" s="128"/>
      <c r="H325" s="395">
        <f t="shared" si="145"/>
        <v>0</v>
      </c>
      <c r="I325" s="129"/>
      <c r="J325" s="130"/>
      <c r="K325" s="131"/>
      <c r="L325" s="129"/>
      <c r="M325" s="109"/>
      <c r="N325" s="130"/>
      <c r="O325" s="387"/>
      <c r="P325" s="387"/>
      <c r="Q325" s="387"/>
      <c r="R325" s="387"/>
      <c r="S325" s="387"/>
      <c r="T325" s="387"/>
      <c r="U325" s="387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385" t="s">
        <v>443</v>
      </c>
      <c r="C326" s="385" t="s">
        <v>445</v>
      </c>
      <c r="D326" s="108">
        <v>6</v>
      </c>
      <c r="E326" s="108"/>
      <c r="F326" s="127"/>
      <c r="G326" s="128"/>
      <c r="H326" s="395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387"/>
      <c r="P326" s="387"/>
      <c r="Q326" s="387"/>
      <c r="R326" s="387"/>
      <c r="S326" s="387"/>
      <c r="T326" s="387"/>
      <c r="U326" s="387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386" t="s">
        <v>240</v>
      </c>
      <c r="C327" s="126"/>
      <c r="D327" s="108">
        <v>7.3</v>
      </c>
      <c r="E327" s="108"/>
      <c r="F327" s="127"/>
      <c r="G327" s="128"/>
      <c r="H327" s="395">
        <f t="shared" si="145"/>
        <v>0</v>
      </c>
      <c r="I327" s="129"/>
      <c r="J327" s="130"/>
      <c r="K327" s="131"/>
      <c r="L327" s="129"/>
      <c r="M327" s="109"/>
      <c r="N327" s="130"/>
      <c r="O327" s="387"/>
      <c r="P327" s="387"/>
      <c r="Q327" s="387"/>
      <c r="R327" s="387"/>
      <c r="S327" s="387"/>
      <c r="T327" s="387"/>
      <c r="U327" s="387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386" t="s">
        <v>241</v>
      </c>
      <c r="C328" s="126"/>
      <c r="D328" s="108">
        <f>78*120/1000</f>
        <v>9.36</v>
      </c>
      <c r="E328" s="108"/>
      <c r="F328" s="127"/>
      <c r="G328" s="128"/>
      <c r="H328" s="395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387"/>
      <c r="P328" s="387"/>
      <c r="Q328" s="387"/>
      <c r="R328" s="387"/>
      <c r="S328" s="387"/>
      <c r="T328" s="387"/>
      <c r="U328" s="387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386" t="s">
        <v>242</v>
      </c>
      <c r="C329" s="126"/>
      <c r="D329" s="108">
        <v>4.5</v>
      </c>
      <c r="E329" s="108"/>
      <c r="F329" s="127"/>
      <c r="G329" s="128"/>
      <c r="H329" s="395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387"/>
      <c r="P329" s="387"/>
      <c r="Q329" s="387"/>
      <c r="R329" s="387"/>
      <c r="S329" s="387"/>
      <c r="T329" s="387"/>
      <c r="U329" s="387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386" t="s">
        <v>243</v>
      </c>
      <c r="C330" s="126"/>
      <c r="D330" s="108">
        <v>4.5</v>
      </c>
      <c r="E330" s="108"/>
      <c r="F330" s="127"/>
      <c r="G330" s="128"/>
      <c r="H330" s="395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387"/>
      <c r="P330" s="387"/>
      <c r="Q330" s="387"/>
      <c r="R330" s="387"/>
      <c r="S330" s="387"/>
      <c r="T330" s="387"/>
      <c r="U330" s="387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395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387"/>
      <c r="P331" s="387"/>
      <c r="Q331" s="387"/>
      <c r="R331" s="387"/>
      <c r="S331" s="387"/>
      <c r="T331" s="387"/>
      <c r="U331" s="387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630" t="s">
        <v>244</v>
      </c>
      <c r="B332" s="631"/>
      <c r="C332" s="393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6">SUM(M318:M328)</f>
        <v>0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632" t="s">
        <v>246</v>
      </c>
      <c r="B333" s="633"/>
      <c r="C333" s="633"/>
      <c r="D333" s="633"/>
      <c r="E333" s="633"/>
      <c r="F333" s="634"/>
      <c r="G333" s="154">
        <f>SUM(G198,G256,G291,G307,G317,G332)</f>
        <v>1518</v>
      </c>
      <c r="H333" s="154">
        <f>SUM(H198,H256,H291,H307,H317,H332)</f>
        <v>7635.72</v>
      </c>
      <c r="I333" s="154">
        <f>SUM(I198,I256,I291,I307,I317,I332)</f>
        <v>130</v>
      </c>
      <c r="J333" s="155">
        <f t="array" ref="J333">IF(ISERROR(G333/I333),"",G333/I333)</f>
        <v>11.676923076923076</v>
      </c>
      <c r="K333" s="154">
        <f>SUM(K198,K256,K291,K307,K317,K332)</f>
        <v>88.281757086999008</v>
      </c>
      <c r="L333" s="155">
        <f>IF(ISERROR(G333/K333),"",G333/K333)</f>
        <v>17.194945480118353</v>
      </c>
      <c r="M333" s="154">
        <f t="shared" ref="M333:AA333" si="157">SUM(M198,M256,M291,M307,M317,M332)</f>
        <v>41.718242913000978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635" t="s">
        <v>476</v>
      </c>
      <c r="B334" s="392" t="s">
        <v>247</v>
      </c>
      <c r="C334" s="638" t="s">
        <v>248</v>
      </c>
      <c r="D334" s="639"/>
      <c r="E334" s="640" t="s">
        <v>249</v>
      </c>
      <c r="F334" s="640"/>
      <c r="G334" s="643" t="s">
        <v>250</v>
      </c>
      <c r="H334" s="643"/>
      <c r="I334" s="640" t="s">
        <v>251</v>
      </c>
      <c r="J334" s="640"/>
      <c r="K334" s="640" t="s">
        <v>252</v>
      </c>
      <c r="L334" s="640"/>
      <c r="M334" s="640" t="s">
        <v>253</v>
      </c>
      <c r="N334" s="640"/>
      <c r="O334" s="640" t="s">
        <v>254</v>
      </c>
      <c r="P334" s="643" t="s">
        <v>255</v>
      </c>
      <c r="Q334" s="643"/>
      <c r="R334" s="643" t="s">
        <v>252</v>
      </c>
      <c r="S334" s="643"/>
      <c r="T334" s="643" t="s">
        <v>256</v>
      </c>
      <c r="U334" s="643"/>
      <c r="V334" s="643" t="s">
        <v>257</v>
      </c>
      <c r="W334" s="643"/>
      <c r="X334" s="643" t="s">
        <v>252</v>
      </c>
      <c r="Y334" s="643"/>
      <c r="Z334" s="643" t="s">
        <v>256</v>
      </c>
      <c r="AA334" s="643"/>
    </row>
    <row r="335" spans="1:27" ht="20.100000000000001" customHeight="1">
      <c r="A335" s="636"/>
      <c r="B335" s="392" t="s">
        <v>258</v>
      </c>
      <c r="C335" s="678">
        <v>1</v>
      </c>
      <c r="D335" s="679"/>
      <c r="E335" s="642">
        <f>C335*11</f>
        <v>11</v>
      </c>
      <c r="F335" s="642"/>
      <c r="G335" s="643">
        <v>1</v>
      </c>
      <c r="H335" s="643"/>
      <c r="I335" s="642">
        <f>G335*11</f>
        <v>11</v>
      </c>
      <c r="J335" s="642"/>
      <c r="K335" s="642">
        <f>E335-I335</f>
        <v>0</v>
      </c>
      <c r="L335" s="642"/>
      <c r="M335" s="644">
        <f>IF(ISERROR(K335/E335),"",K335/E335)</f>
        <v>0</v>
      </c>
      <c r="N335" s="644"/>
      <c r="O335" s="640"/>
      <c r="P335" s="643" t="s">
        <v>201</v>
      </c>
      <c r="Q335" s="643"/>
      <c r="R335" s="645">
        <f>SUM(O198:U198)</f>
        <v>0</v>
      </c>
      <c r="S335" s="645"/>
      <c r="T335" s="646" t="str">
        <f t="array" ref="T335">IF(ISERROR(R335/R342),"",R335/R342)</f>
        <v/>
      </c>
      <c r="U335" s="646"/>
      <c r="V335" s="643" t="s">
        <v>259</v>
      </c>
      <c r="W335" s="643"/>
      <c r="X335" s="680">
        <f>SUM(P197,P255,P290,P306,P316,P331)</f>
        <v>0</v>
      </c>
      <c r="Y335" s="681"/>
      <c r="Z335" s="646" t="str">
        <f t="array" ref="Z335">IF(ISERROR(X335/X342),"",X335/X342)</f>
        <v/>
      </c>
      <c r="AA335" s="646"/>
    </row>
    <row r="336" spans="1:27" ht="20.100000000000001" customHeight="1">
      <c r="A336" s="636"/>
      <c r="B336" s="392" t="s">
        <v>260</v>
      </c>
      <c r="C336" s="638">
        <v>0</v>
      </c>
      <c r="D336" s="639"/>
      <c r="E336" s="642">
        <f>C336*11</f>
        <v>0</v>
      </c>
      <c r="F336" s="642"/>
      <c r="G336" s="643">
        <v>0</v>
      </c>
      <c r="H336" s="643"/>
      <c r="I336" s="642">
        <f>G336*11</f>
        <v>0</v>
      </c>
      <c r="J336" s="642"/>
      <c r="K336" s="642">
        <f>E336-I336</f>
        <v>0</v>
      </c>
      <c r="L336" s="642"/>
      <c r="M336" s="644" t="str">
        <f>IF(ISERROR(K336/E336),"",K336/E336)</f>
        <v/>
      </c>
      <c r="N336" s="644"/>
      <c r="O336" s="640"/>
      <c r="P336" s="643" t="s">
        <v>216</v>
      </c>
      <c r="Q336" s="643"/>
      <c r="R336" s="645">
        <f>SUM(O256:U256)</f>
        <v>0</v>
      </c>
      <c r="S336" s="645"/>
      <c r="T336" s="646" t="str">
        <f>IF(ISERROR(R336/R342),"",R336/R342)</f>
        <v/>
      </c>
      <c r="U336" s="646"/>
      <c r="V336" s="643" t="s">
        <v>261</v>
      </c>
      <c r="W336" s="643"/>
      <c r="X336" s="680">
        <f>SUM(P198,P256,P291,P307,P317,P332)</f>
        <v>0</v>
      </c>
      <c r="Y336" s="681"/>
      <c r="Z336" s="646" t="str">
        <f>IF(ISERROR(X336/X342),"",X336/X342)</f>
        <v/>
      </c>
      <c r="AA336" s="646"/>
    </row>
    <row r="337" spans="1:27" ht="20.100000000000001" customHeight="1">
      <c r="A337" s="636"/>
      <c r="B337" s="392" t="s">
        <v>262</v>
      </c>
      <c r="C337" s="638">
        <v>0</v>
      </c>
      <c r="D337" s="639"/>
      <c r="E337" s="642">
        <f>C337*8</f>
        <v>0</v>
      </c>
      <c r="F337" s="642"/>
      <c r="G337" s="643">
        <v>1</v>
      </c>
      <c r="H337" s="643"/>
      <c r="I337" s="642">
        <f>G337*8</f>
        <v>8</v>
      </c>
      <c r="J337" s="642"/>
      <c r="K337" s="642">
        <f>E337-I337</f>
        <v>-8</v>
      </c>
      <c r="L337" s="642"/>
      <c r="M337" s="644" t="str">
        <f>IF(ISERROR(K337/E337),"",K337/E337)</f>
        <v/>
      </c>
      <c r="N337" s="644"/>
      <c r="O337" s="640"/>
      <c r="P337" s="643" t="s">
        <v>224</v>
      </c>
      <c r="Q337" s="643"/>
      <c r="R337" s="645">
        <f>SUM(O291:U291)</f>
        <v>0</v>
      </c>
      <c r="S337" s="645"/>
      <c r="T337" s="646" t="str">
        <f>IF(ISERROR(R337/R342),"",R337/R342)</f>
        <v/>
      </c>
      <c r="U337" s="646"/>
      <c r="V337" s="643" t="s">
        <v>263</v>
      </c>
      <c r="W337" s="643"/>
      <c r="X337" s="680">
        <f>SUM(P199,P257,P292,P308,P318,P333)</f>
        <v>0</v>
      </c>
      <c r="Y337" s="681"/>
      <c r="Z337" s="646" t="str">
        <f>IF(ISERROR(X337/X342),"",X337/X342)</f>
        <v/>
      </c>
      <c r="AA337" s="646"/>
    </row>
    <row r="338" spans="1:27" ht="20.100000000000001" customHeight="1">
      <c r="A338" s="636"/>
      <c r="B338" s="392" t="s">
        <v>264</v>
      </c>
      <c r="C338" s="638">
        <v>1</v>
      </c>
      <c r="D338" s="639"/>
      <c r="E338" s="642">
        <f>C338*11</f>
        <v>11</v>
      </c>
      <c r="F338" s="642"/>
      <c r="G338" s="643">
        <v>1</v>
      </c>
      <c r="H338" s="643"/>
      <c r="I338" s="642">
        <f>G338*11</f>
        <v>11</v>
      </c>
      <c r="J338" s="642"/>
      <c r="K338" s="642">
        <f>E338-I338</f>
        <v>0</v>
      </c>
      <c r="L338" s="642"/>
      <c r="M338" s="644">
        <f>IF(ISERROR(K338/E338),"",K338/E338)</f>
        <v>0</v>
      </c>
      <c r="N338" s="644"/>
      <c r="O338" s="640"/>
      <c r="P338" s="643" t="s">
        <v>231</v>
      </c>
      <c r="Q338" s="643"/>
      <c r="R338" s="645">
        <f>SUM(O307:U307)</f>
        <v>0</v>
      </c>
      <c r="S338" s="645"/>
      <c r="T338" s="646" t="str">
        <f>IF(ISERROR(R338/R342),"",R338/R342)</f>
        <v/>
      </c>
      <c r="U338" s="646"/>
      <c r="V338" s="643" t="s">
        <v>265</v>
      </c>
      <c r="W338" s="643"/>
      <c r="X338" s="680">
        <f>SUM(P201,P258,P293,P309,P319,P334)</f>
        <v>0</v>
      </c>
      <c r="Y338" s="681"/>
      <c r="Z338" s="646" t="str">
        <f>IF(ISERROR(X338/X342),"",X338/X342)</f>
        <v/>
      </c>
      <c r="AA338" s="646"/>
    </row>
    <row r="339" spans="1:27" ht="20.100000000000001" customHeight="1">
      <c r="A339" s="637"/>
      <c r="B339" s="392" t="s">
        <v>266</v>
      </c>
      <c r="C339" s="648">
        <f>SUM(C335:D338)</f>
        <v>2</v>
      </c>
      <c r="D339" s="649"/>
      <c r="E339" s="642">
        <f>SUM(E335:F338)</f>
        <v>22</v>
      </c>
      <c r="F339" s="642"/>
      <c r="G339" s="643">
        <f>SUM(G335:H338)</f>
        <v>3</v>
      </c>
      <c r="H339" s="643"/>
      <c r="I339" s="642">
        <f>SUM(I335:J338)</f>
        <v>30</v>
      </c>
      <c r="J339" s="642"/>
      <c r="K339" s="642">
        <f>SUM(K335:L338)</f>
        <v>-8</v>
      </c>
      <c r="L339" s="642"/>
      <c r="M339" s="644">
        <f>IF(ISERROR(K339/E339),"",K339/E339)</f>
        <v>-0.36363636363636365</v>
      </c>
      <c r="N339" s="644"/>
      <c r="O339" s="640"/>
      <c r="P339" s="643" t="s">
        <v>234</v>
      </c>
      <c r="Q339" s="643"/>
      <c r="R339" s="645">
        <f>SUM(O317:U317)</f>
        <v>0</v>
      </c>
      <c r="S339" s="645"/>
      <c r="T339" s="646" t="str">
        <f>IF(ISERROR(R339/R342),"",R339/R342)</f>
        <v/>
      </c>
      <c r="U339" s="646"/>
      <c r="V339" s="643" t="s">
        <v>267</v>
      </c>
      <c r="W339" s="643"/>
      <c r="X339" s="680">
        <f>SUM(P202,P259,P294,P310,P320,P335)</f>
        <v>0</v>
      </c>
      <c r="Y339" s="681"/>
      <c r="Z339" s="646" t="str">
        <f>IF(ISERROR(X339/X342),"",X339/X342)</f>
        <v/>
      </c>
      <c r="AA339" s="646"/>
    </row>
    <row r="340" spans="1:27" ht="20.100000000000001" customHeight="1">
      <c r="A340" s="309" t="s">
        <v>477</v>
      </c>
      <c r="B340" s="392">
        <f>G333</f>
        <v>1518</v>
      </c>
      <c r="C340" s="650" t="s">
        <v>269</v>
      </c>
      <c r="D340" s="651"/>
      <c r="E340" s="643">
        <f>H333</f>
        <v>7635.72</v>
      </c>
      <c r="F340" s="643"/>
      <c r="G340" s="643" t="s">
        <v>270</v>
      </c>
      <c r="H340" s="643"/>
      <c r="I340" s="652">
        <f>L333</f>
        <v>17.194945480118353</v>
      </c>
      <c r="J340" s="652"/>
      <c r="K340" s="640" t="s">
        <v>271</v>
      </c>
      <c r="L340" s="640"/>
      <c r="M340" s="652">
        <f>J333</f>
        <v>11.676923076923076</v>
      </c>
      <c r="N340" s="652"/>
      <c r="O340" s="640"/>
      <c r="P340" s="643" t="s">
        <v>244</v>
      </c>
      <c r="Q340" s="643"/>
      <c r="R340" s="645">
        <f>SUM(O332:U332)</f>
        <v>0</v>
      </c>
      <c r="S340" s="645"/>
      <c r="T340" s="646" t="str">
        <f>IF(ISERROR(R340/R342),"",R340/R342)</f>
        <v/>
      </c>
      <c r="U340" s="646"/>
      <c r="V340" s="643" t="s">
        <v>272</v>
      </c>
      <c r="W340" s="643"/>
      <c r="X340" s="680">
        <f>SUM(P203,P260,P295,P311,P321,P336)</f>
        <v>0</v>
      </c>
      <c r="Y340" s="681"/>
      <c r="Z340" s="646" t="str">
        <f>IF(ISERROR(X340/X342),"",X340/X342)</f>
        <v/>
      </c>
      <c r="AA340" s="646"/>
    </row>
    <row r="341" spans="1:27" ht="20.100000000000001" customHeight="1">
      <c r="A341" s="310" t="s">
        <v>478</v>
      </c>
      <c r="B341" s="392">
        <f>I333+C339</f>
        <v>132</v>
      </c>
      <c r="C341" s="653" t="s">
        <v>251</v>
      </c>
      <c r="D341" s="654"/>
      <c r="E341" s="655">
        <f>K333+I339</f>
        <v>118.28175708699901</v>
      </c>
      <c r="F341" s="655"/>
      <c r="G341" s="643" t="s">
        <v>274</v>
      </c>
      <c r="H341" s="643"/>
      <c r="I341" s="652">
        <f>B341-E341</f>
        <v>13.718242913000992</v>
      </c>
      <c r="J341" s="652"/>
      <c r="K341" s="640" t="s">
        <v>275</v>
      </c>
      <c r="L341" s="640"/>
      <c r="M341" s="644">
        <f>IF(ISERROR(I341/E341),"",I341/E341)</f>
        <v>0.1159793636047434</v>
      </c>
      <c r="N341" s="644"/>
      <c r="O341" s="640"/>
      <c r="P341" s="643" t="s">
        <v>245</v>
      </c>
      <c r="Q341" s="643"/>
      <c r="R341" s="645"/>
      <c r="S341" s="645"/>
      <c r="T341" s="646" t="str">
        <f>IF(ISERROR(R341/R342),"",R341/R342)</f>
        <v/>
      </c>
      <c r="U341" s="646"/>
      <c r="V341" s="643" t="s">
        <v>264</v>
      </c>
      <c r="W341" s="643"/>
      <c r="X341" s="680">
        <f>SUM(P204,P261,P296,P312,P322,P337)</f>
        <v>0</v>
      </c>
      <c r="Y341" s="681"/>
      <c r="Z341" s="646" t="str">
        <f>IF(ISERROR(X341/X342),"",X341/X342)</f>
        <v/>
      </c>
      <c r="AA341" s="646"/>
    </row>
    <row r="342" spans="1:27" ht="20.100000000000001" customHeight="1">
      <c r="A342" s="310" t="s">
        <v>479</v>
      </c>
      <c r="B342" s="392">
        <f>N333</f>
        <v>0</v>
      </c>
      <c r="C342" s="653" t="s">
        <v>277</v>
      </c>
      <c r="D342" s="654"/>
      <c r="E342" s="646">
        <f>IF(ISERROR(B342/B341),"",B342/B341)</f>
        <v>0</v>
      </c>
      <c r="F342" s="646"/>
      <c r="G342" s="643" t="s">
        <v>278</v>
      </c>
      <c r="H342" s="643"/>
      <c r="I342" s="640">
        <f>V333</f>
        <v>0</v>
      </c>
      <c r="J342" s="640"/>
      <c r="K342" s="640" t="s">
        <v>279</v>
      </c>
      <c r="L342" s="640"/>
      <c r="M342" s="644">
        <f t="array" ref="M342">IF(ISERROR(I342/B340),"",I342/B340)</f>
        <v>0</v>
      </c>
      <c r="N342" s="644"/>
      <c r="O342" s="640"/>
      <c r="P342" s="643" t="s">
        <v>266</v>
      </c>
      <c r="Q342" s="643"/>
      <c r="R342" s="645">
        <f>SUM(R335:S341)</f>
        <v>0</v>
      </c>
      <c r="S342" s="645"/>
      <c r="T342" s="646"/>
      <c r="U342" s="646"/>
      <c r="V342" s="643" t="s">
        <v>266</v>
      </c>
      <c r="W342" s="643"/>
      <c r="X342" s="647">
        <f>SUM(X335:Y341)</f>
        <v>0</v>
      </c>
      <c r="Y342" s="647"/>
      <c r="Z342" s="646"/>
      <c r="AA342" s="646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56" t="s">
        <v>480</v>
      </c>
      <c r="B344" s="659" t="s">
        <v>280</v>
      </c>
      <c r="C344" s="659" t="s">
        <v>281</v>
      </c>
      <c r="D344" s="659" t="s">
        <v>282</v>
      </c>
      <c r="E344" s="662" t="s">
        <v>283</v>
      </c>
      <c r="F344" s="675" t="s">
        <v>284</v>
      </c>
      <c r="G344" s="640" t="s">
        <v>285</v>
      </c>
      <c r="H344" s="640"/>
      <c r="I344" s="659" t="s">
        <v>286</v>
      </c>
      <c r="J344" s="665" t="s">
        <v>271</v>
      </c>
      <c r="K344" s="668" t="s">
        <v>287</v>
      </c>
      <c r="L344" s="659" t="s">
        <v>270</v>
      </c>
      <c r="M344" s="671" t="s">
        <v>288</v>
      </c>
      <c r="N344" s="673" t="s">
        <v>252</v>
      </c>
      <c r="O344" s="640" t="s">
        <v>289</v>
      </c>
      <c r="P344" s="640"/>
      <c r="Q344" s="640"/>
      <c r="R344" s="640"/>
      <c r="S344" s="640"/>
      <c r="T344" s="640"/>
      <c r="U344" s="640"/>
      <c r="V344" s="640" t="s">
        <v>290</v>
      </c>
      <c r="W344" s="673" t="s">
        <v>291</v>
      </c>
      <c r="X344" s="640" t="s">
        <v>292</v>
      </c>
      <c r="Y344" s="640"/>
      <c r="Z344" s="640"/>
      <c r="AA344" s="640"/>
    </row>
    <row r="345" spans="1:27" ht="21.95" customHeight="1">
      <c r="A345" s="657"/>
      <c r="B345" s="660"/>
      <c r="C345" s="660"/>
      <c r="D345" s="660"/>
      <c r="E345" s="663"/>
      <c r="F345" s="676"/>
      <c r="G345" s="640"/>
      <c r="H345" s="640"/>
      <c r="I345" s="660"/>
      <c r="J345" s="666"/>
      <c r="K345" s="669"/>
      <c r="L345" s="660"/>
      <c r="M345" s="672"/>
      <c r="N345" s="673"/>
      <c r="O345" s="640" t="s">
        <v>259</v>
      </c>
      <c r="P345" s="640" t="s">
        <v>261</v>
      </c>
      <c r="Q345" s="640" t="s">
        <v>263</v>
      </c>
      <c r="R345" s="674" t="s">
        <v>265</v>
      </c>
      <c r="S345" s="643" t="s">
        <v>267</v>
      </c>
      <c r="T345" s="640" t="s">
        <v>272</v>
      </c>
      <c r="U345" s="640" t="s">
        <v>264</v>
      </c>
      <c r="V345" s="640"/>
      <c r="W345" s="673"/>
      <c r="X345" s="640" t="s">
        <v>293</v>
      </c>
      <c r="Y345" s="640" t="s">
        <v>294</v>
      </c>
      <c r="Z345" s="640" t="s">
        <v>295</v>
      </c>
      <c r="AA345" s="640" t="s">
        <v>264</v>
      </c>
    </row>
    <row r="346" spans="1:27" ht="21.95" customHeight="1">
      <c r="A346" s="658"/>
      <c r="B346" s="661"/>
      <c r="C346" s="661"/>
      <c r="D346" s="661"/>
      <c r="E346" s="664"/>
      <c r="F346" s="677"/>
      <c r="G346" s="348" t="s">
        <v>516</v>
      </c>
      <c r="H346" s="385" t="s">
        <v>297</v>
      </c>
      <c r="I346" s="661"/>
      <c r="J346" s="667"/>
      <c r="K346" s="670"/>
      <c r="L346" s="661"/>
      <c r="M346" s="672"/>
      <c r="N346" s="673"/>
      <c r="O346" s="640"/>
      <c r="P346" s="640"/>
      <c r="Q346" s="640"/>
      <c r="R346" s="674"/>
      <c r="S346" s="643"/>
      <c r="T346" s="640"/>
      <c r="U346" s="640"/>
      <c r="V346" s="640"/>
      <c r="W346" s="673"/>
      <c r="X346" s="640"/>
      <c r="Y346" s="640"/>
      <c r="Z346" s="640"/>
      <c r="AA346" s="640"/>
    </row>
    <row r="347" spans="1:27" ht="20.100000000000001" hidden="1" customHeight="1">
      <c r="A347" s="299">
        <v>30100030</v>
      </c>
      <c r="B347" s="386" t="s">
        <v>178</v>
      </c>
      <c r="C347" s="126" t="s">
        <v>179</v>
      </c>
      <c r="D347" s="108">
        <v>5.03</v>
      </c>
      <c r="E347" s="108"/>
      <c r="F347" s="127"/>
      <c r="G347" s="128"/>
      <c r="H347" s="395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387"/>
      <c r="P347" s="387"/>
      <c r="Q347" s="387"/>
      <c r="R347" s="387"/>
      <c r="S347" s="387"/>
      <c r="T347" s="387"/>
      <c r="U347" s="387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395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387"/>
      <c r="P348" s="387"/>
      <c r="Q348" s="387"/>
      <c r="R348" s="387"/>
      <c r="S348" s="387"/>
      <c r="T348" s="387"/>
      <c r="U348" s="387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395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387"/>
      <c r="P349" s="387"/>
      <c r="Q349" s="387"/>
      <c r="R349" s="387"/>
      <c r="S349" s="387"/>
      <c r="T349" s="387"/>
      <c r="U349" s="387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395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387"/>
      <c r="P350" s="387"/>
      <c r="Q350" s="387"/>
      <c r="R350" s="387"/>
      <c r="S350" s="387"/>
      <c r="T350" s="387"/>
      <c r="U350" s="387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395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387"/>
      <c r="P351" s="387"/>
      <c r="Q351" s="387"/>
      <c r="R351" s="387"/>
      <c r="S351" s="387"/>
      <c r="T351" s="387"/>
      <c r="U351" s="387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395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387"/>
      <c r="P352" s="387"/>
      <c r="Q352" s="387"/>
      <c r="R352" s="387"/>
      <c r="S352" s="387"/>
      <c r="T352" s="387"/>
      <c r="U352" s="387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395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387"/>
      <c r="P353" s="387"/>
      <c r="Q353" s="387"/>
      <c r="R353" s="387"/>
      <c r="S353" s="387"/>
      <c r="T353" s="387"/>
      <c r="U353" s="387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395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387"/>
      <c r="P354" s="387"/>
      <c r="Q354" s="387"/>
      <c r="R354" s="387"/>
      <c r="S354" s="387"/>
      <c r="T354" s="387"/>
      <c r="U354" s="387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395">
        <f t="shared" si="158"/>
        <v>0</v>
      </c>
      <c r="I355" s="395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387"/>
      <c r="P355" s="387"/>
      <c r="Q355" s="387"/>
      <c r="R355" s="387"/>
      <c r="S355" s="387"/>
      <c r="T355" s="387"/>
      <c r="U355" s="387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395">
        <f t="shared" si="158"/>
        <v>0</v>
      </c>
      <c r="I356" s="395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387"/>
      <c r="P356" s="387"/>
      <c r="Q356" s="387"/>
      <c r="R356" s="387"/>
      <c r="S356" s="387"/>
      <c r="T356" s="387"/>
      <c r="U356" s="387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395">
        <f t="shared" si="158"/>
        <v>0</v>
      </c>
      <c r="I357" s="395"/>
      <c r="J357" s="130"/>
      <c r="K357" s="131"/>
      <c r="L357" s="129"/>
      <c r="M357" s="109"/>
      <c r="N357" s="130"/>
      <c r="O357" s="387"/>
      <c r="P357" s="387"/>
      <c r="Q357" s="387"/>
      <c r="R357" s="387"/>
      <c r="S357" s="387"/>
      <c r="T357" s="387"/>
      <c r="U357" s="387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395">
        <f t="shared" si="158"/>
        <v>0</v>
      </c>
      <c r="I358" s="395"/>
      <c r="J358" s="130"/>
      <c r="K358" s="131"/>
      <c r="L358" s="129"/>
      <c r="M358" s="109"/>
      <c r="N358" s="130"/>
      <c r="O358" s="387"/>
      <c r="P358" s="387"/>
      <c r="Q358" s="387"/>
      <c r="R358" s="387"/>
      <c r="S358" s="387"/>
      <c r="T358" s="387"/>
      <c r="U358" s="387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395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387"/>
      <c r="P359" s="387"/>
      <c r="Q359" s="387"/>
      <c r="R359" s="387"/>
      <c r="S359" s="387"/>
      <c r="T359" s="387"/>
      <c r="U359" s="387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395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387"/>
      <c r="P360" s="387"/>
      <c r="Q360" s="387"/>
      <c r="R360" s="387"/>
      <c r="S360" s="387"/>
      <c r="T360" s="387"/>
      <c r="U360" s="387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395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387"/>
      <c r="P361" s="387"/>
      <c r="Q361" s="387"/>
      <c r="R361" s="387"/>
      <c r="S361" s="387"/>
      <c r="T361" s="387"/>
      <c r="U361" s="387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385" t="s">
        <v>190</v>
      </c>
      <c r="D362" s="108">
        <v>4.8</v>
      </c>
      <c r="E362" s="108"/>
      <c r="F362" s="127"/>
      <c r="G362" s="128"/>
      <c r="H362" s="395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387"/>
      <c r="P362" s="387"/>
      <c r="Q362" s="387"/>
      <c r="R362" s="387"/>
      <c r="S362" s="387"/>
      <c r="T362" s="387"/>
      <c r="U362" s="387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385" t="s">
        <v>187</v>
      </c>
      <c r="D363" s="108">
        <v>4.8</v>
      </c>
      <c r="E363" s="108"/>
      <c r="F363" s="127"/>
      <c r="G363" s="128"/>
      <c r="H363" s="395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387"/>
      <c r="P363" s="387"/>
      <c r="Q363" s="387"/>
      <c r="R363" s="387"/>
      <c r="S363" s="387"/>
      <c r="T363" s="387"/>
      <c r="U363" s="387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385" t="s">
        <v>179</v>
      </c>
      <c r="D364" s="108">
        <v>4.8</v>
      </c>
      <c r="E364" s="108"/>
      <c r="F364" s="127"/>
      <c r="G364" s="128"/>
      <c r="H364" s="395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387"/>
      <c r="P364" s="387"/>
      <c r="Q364" s="387"/>
      <c r="R364" s="387"/>
      <c r="S364" s="387"/>
      <c r="T364" s="387"/>
      <c r="U364" s="387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385" t="s">
        <v>199</v>
      </c>
      <c r="D365" s="108">
        <v>4.8</v>
      </c>
      <c r="E365" s="108"/>
      <c r="F365" s="127"/>
      <c r="G365" s="128"/>
      <c r="H365" s="395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387"/>
      <c r="P365" s="387"/>
      <c r="Q365" s="387"/>
      <c r="R365" s="387"/>
      <c r="S365" s="387"/>
      <c r="T365" s="387"/>
      <c r="U365" s="387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395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387"/>
      <c r="P366" s="387"/>
      <c r="Q366" s="387"/>
      <c r="R366" s="387"/>
      <c r="S366" s="387"/>
      <c r="T366" s="387"/>
      <c r="U366" s="387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395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387"/>
      <c r="P367" s="387"/>
      <c r="Q367" s="387"/>
      <c r="R367" s="387"/>
      <c r="S367" s="387"/>
      <c r="T367" s="387"/>
      <c r="U367" s="387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630" t="s">
        <v>201</v>
      </c>
      <c r="B368" s="631"/>
      <c r="C368" s="393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386" t="s">
        <v>206</v>
      </c>
      <c r="C369" s="126" t="s">
        <v>199</v>
      </c>
      <c r="D369" s="108">
        <v>5.03</v>
      </c>
      <c r="E369" s="108"/>
      <c r="F369" s="127"/>
      <c r="G369" s="128"/>
      <c r="H369" s="395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390"/>
      <c r="P369" s="390"/>
      <c r="Q369" s="390"/>
      <c r="R369" s="390"/>
      <c r="S369" s="390"/>
      <c r="T369" s="390"/>
      <c r="U369" s="390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386" t="s">
        <v>431</v>
      </c>
      <c r="C370" s="187" t="s">
        <v>432</v>
      </c>
      <c r="D370" s="108">
        <v>5.03</v>
      </c>
      <c r="E370" s="108"/>
      <c r="F370" s="127"/>
      <c r="G370" s="128"/>
      <c r="H370" s="395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390"/>
      <c r="P370" s="390"/>
      <c r="Q370" s="390"/>
      <c r="R370" s="390"/>
      <c r="S370" s="390"/>
      <c r="T370" s="390"/>
      <c r="U370" s="390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386" t="s">
        <v>206</v>
      </c>
      <c r="C371" s="126" t="s">
        <v>186</v>
      </c>
      <c r="D371" s="108">
        <v>5.03</v>
      </c>
      <c r="E371" s="108"/>
      <c r="F371" s="127"/>
      <c r="G371" s="128"/>
      <c r="H371" s="395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390"/>
      <c r="P371" s="390"/>
      <c r="Q371" s="390"/>
      <c r="R371" s="390"/>
      <c r="S371" s="390"/>
      <c r="T371" s="390"/>
      <c r="U371" s="390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386" t="s">
        <v>206</v>
      </c>
      <c r="C372" s="126" t="s">
        <v>203</v>
      </c>
      <c r="D372" s="108">
        <v>5.03</v>
      </c>
      <c r="E372" s="108"/>
      <c r="F372" s="127"/>
      <c r="G372" s="128"/>
      <c r="H372" s="395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390"/>
      <c r="P372" s="390"/>
      <c r="Q372" s="390"/>
      <c r="R372" s="390"/>
      <c r="S372" s="390"/>
      <c r="T372" s="390"/>
      <c r="U372" s="390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386" t="s">
        <v>206</v>
      </c>
      <c r="C373" s="126" t="s">
        <v>207</v>
      </c>
      <c r="D373" s="108">
        <v>5.03</v>
      </c>
      <c r="E373" s="108"/>
      <c r="F373" s="127"/>
      <c r="G373" s="128"/>
      <c r="H373" s="395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390"/>
      <c r="P373" s="390"/>
      <c r="Q373" s="390"/>
      <c r="R373" s="390"/>
      <c r="S373" s="390"/>
      <c r="T373" s="390"/>
      <c r="U373" s="390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386" t="s">
        <v>414</v>
      </c>
      <c r="C374" s="187" t="s">
        <v>415</v>
      </c>
      <c r="D374" s="108"/>
      <c r="E374" s="108"/>
      <c r="F374" s="127"/>
      <c r="G374" s="128"/>
      <c r="H374" s="395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390"/>
      <c r="P374" s="390"/>
      <c r="Q374" s="390"/>
      <c r="R374" s="390"/>
      <c r="S374" s="390"/>
      <c r="T374" s="390"/>
      <c r="U374" s="390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386" t="s">
        <v>414</v>
      </c>
      <c r="C375" s="187" t="s">
        <v>416</v>
      </c>
      <c r="D375" s="108"/>
      <c r="E375" s="108"/>
      <c r="F375" s="127"/>
      <c r="G375" s="128"/>
      <c r="H375" s="395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390"/>
      <c r="P375" s="390"/>
      <c r="Q375" s="390"/>
      <c r="R375" s="390"/>
      <c r="S375" s="390"/>
      <c r="T375" s="390"/>
      <c r="U375" s="390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386" t="s">
        <v>414</v>
      </c>
      <c r="C376" s="187" t="s">
        <v>61</v>
      </c>
      <c r="D376" s="108"/>
      <c r="E376" s="108"/>
      <c r="F376" s="127"/>
      <c r="G376" s="128"/>
      <c r="H376" s="395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390"/>
      <c r="P376" s="390"/>
      <c r="Q376" s="390"/>
      <c r="R376" s="390"/>
      <c r="S376" s="390"/>
      <c r="T376" s="390"/>
      <c r="U376" s="390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386" t="s">
        <v>208</v>
      </c>
      <c r="C377" s="126" t="s">
        <v>179</v>
      </c>
      <c r="D377" s="108">
        <v>5.08</v>
      </c>
      <c r="E377" s="108"/>
      <c r="F377" s="127"/>
      <c r="G377" s="128"/>
      <c r="H377" s="395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390"/>
      <c r="P377" s="390"/>
      <c r="Q377" s="390"/>
      <c r="R377" s="390"/>
      <c r="S377" s="390"/>
      <c r="T377" s="390"/>
      <c r="U377" s="390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386" t="s">
        <v>208</v>
      </c>
      <c r="C378" s="126" t="s">
        <v>204</v>
      </c>
      <c r="D378" s="108">
        <v>5.08</v>
      </c>
      <c r="E378" s="108"/>
      <c r="F378" s="127"/>
      <c r="G378" s="128"/>
      <c r="H378" s="395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390"/>
      <c r="P378" s="390"/>
      <c r="Q378" s="390"/>
      <c r="R378" s="390"/>
      <c r="S378" s="390"/>
      <c r="T378" s="390"/>
      <c r="U378" s="390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386" t="s">
        <v>208</v>
      </c>
      <c r="C379" s="126" t="s">
        <v>205</v>
      </c>
      <c r="D379" s="108">
        <v>5.08</v>
      </c>
      <c r="E379" s="108"/>
      <c r="F379" s="127"/>
      <c r="G379" s="128"/>
      <c r="H379" s="395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390"/>
      <c r="P379" s="390"/>
      <c r="Q379" s="390"/>
      <c r="R379" s="390"/>
      <c r="S379" s="390"/>
      <c r="T379" s="390"/>
      <c r="U379" s="390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386" t="s">
        <v>208</v>
      </c>
      <c r="C380" s="126" t="s">
        <v>186</v>
      </c>
      <c r="D380" s="108">
        <v>5.08</v>
      </c>
      <c r="E380" s="108"/>
      <c r="F380" s="127"/>
      <c r="G380" s="128"/>
      <c r="H380" s="395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390"/>
      <c r="P380" s="390"/>
      <c r="Q380" s="390"/>
      <c r="R380" s="390"/>
      <c r="S380" s="390"/>
      <c r="T380" s="390"/>
      <c r="U380" s="390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386" t="s">
        <v>208</v>
      </c>
      <c r="C381" s="126" t="s">
        <v>203</v>
      </c>
      <c r="D381" s="108">
        <v>5.08</v>
      </c>
      <c r="E381" s="108"/>
      <c r="F381" s="127"/>
      <c r="G381" s="128"/>
      <c r="H381" s="395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390"/>
      <c r="P381" s="390"/>
      <c r="Q381" s="390"/>
      <c r="R381" s="390"/>
      <c r="S381" s="390"/>
      <c r="T381" s="390"/>
      <c r="U381" s="390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386" t="s">
        <v>208</v>
      </c>
      <c r="C382" s="126" t="s">
        <v>199</v>
      </c>
      <c r="D382" s="108">
        <v>5.08</v>
      </c>
      <c r="E382" s="108"/>
      <c r="F382" s="127"/>
      <c r="G382" s="128"/>
      <c r="H382" s="395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387"/>
      <c r="P382" s="387"/>
      <c r="Q382" s="387"/>
      <c r="R382" s="387"/>
      <c r="S382" s="387"/>
      <c r="T382" s="387"/>
      <c r="U382" s="387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386" t="s">
        <v>208</v>
      </c>
      <c r="C383" s="126" t="s">
        <v>187</v>
      </c>
      <c r="D383" s="108">
        <v>5.08</v>
      </c>
      <c r="E383" s="108"/>
      <c r="F383" s="127"/>
      <c r="G383" s="128"/>
      <c r="H383" s="395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390"/>
      <c r="P383" s="390"/>
      <c r="Q383" s="390"/>
      <c r="R383" s="390"/>
      <c r="S383" s="390"/>
      <c r="T383" s="390"/>
      <c r="U383" s="390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386" t="s">
        <v>208</v>
      </c>
      <c r="C384" s="126" t="s">
        <v>207</v>
      </c>
      <c r="D384" s="108">
        <v>5.08</v>
      </c>
      <c r="E384" s="108"/>
      <c r="F384" s="127"/>
      <c r="G384" s="128"/>
      <c r="H384" s="395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387"/>
      <c r="P384" s="387"/>
      <c r="Q384" s="387"/>
      <c r="R384" s="387"/>
      <c r="S384" s="387"/>
      <c r="T384" s="387"/>
      <c r="U384" s="387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386" t="s">
        <v>209</v>
      </c>
      <c r="C385" s="126" t="s">
        <v>194</v>
      </c>
      <c r="D385" s="108">
        <v>5.03</v>
      </c>
      <c r="E385" s="108"/>
      <c r="F385" s="127"/>
      <c r="G385" s="128"/>
      <c r="H385" s="395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390"/>
      <c r="P385" s="390"/>
      <c r="Q385" s="390"/>
      <c r="R385" s="390"/>
      <c r="S385" s="390"/>
      <c r="T385" s="390"/>
      <c r="U385" s="390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386" t="s">
        <v>209</v>
      </c>
      <c r="C386" s="126" t="s">
        <v>179</v>
      </c>
      <c r="D386" s="108">
        <v>5.03</v>
      </c>
      <c r="E386" s="108"/>
      <c r="F386" s="127"/>
      <c r="G386" s="128"/>
      <c r="H386" s="395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390"/>
      <c r="P386" s="390"/>
      <c r="Q386" s="390"/>
      <c r="R386" s="390"/>
      <c r="S386" s="390"/>
      <c r="T386" s="390"/>
      <c r="U386" s="390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386" t="s">
        <v>209</v>
      </c>
      <c r="C387" s="126" t="s">
        <v>195</v>
      </c>
      <c r="D387" s="108">
        <v>5.03</v>
      </c>
      <c r="E387" s="108"/>
      <c r="F387" s="127"/>
      <c r="G387" s="128"/>
      <c r="H387" s="395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390"/>
      <c r="P387" s="390"/>
      <c r="Q387" s="390"/>
      <c r="R387" s="390"/>
      <c r="S387" s="390"/>
      <c r="T387" s="390"/>
      <c r="U387" s="390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386" t="s">
        <v>209</v>
      </c>
      <c r="C388" s="126" t="s">
        <v>204</v>
      </c>
      <c r="D388" s="108">
        <v>5.03</v>
      </c>
      <c r="E388" s="108"/>
      <c r="F388" s="127"/>
      <c r="G388" s="128"/>
      <c r="H388" s="395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390"/>
      <c r="P388" s="390"/>
      <c r="Q388" s="390"/>
      <c r="R388" s="390"/>
      <c r="S388" s="390"/>
      <c r="T388" s="390"/>
      <c r="U388" s="390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386" t="s">
        <v>382</v>
      </c>
      <c r="C389" s="187" t="s">
        <v>383</v>
      </c>
      <c r="D389" s="108">
        <v>5.03</v>
      </c>
      <c r="E389" s="108"/>
      <c r="F389" s="127"/>
      <c r="G389" s="128"/>
      <c r="H389" s="395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390"/>
      <c r="P389" s="390"/>
      <c r="Q389" s="390"/>
      <c r="R389" s="390"/>
      <c r="S389" s="390"/>
      <c r="T389" s="390"/>
      <c r="U389" s="390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386" t="s">
        <v>382</v>
      </c>
      <c r="C390" s="187" t="s">
        <v>384</v>
      </c>
      <c r="D390" s="108">
        <v>5.03</v>
      </c>
      <c r="E390" s="108"/>
      <c r="F390" s="127"/>
      <c r="G390" s="128"/>
      <c r="H390" s="395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390"/>
      <c r="P390" s="390"/>
      <c r="Q390" s="390"/>
      <c r="R390" s="390"/>
      <c r="S390" s="390"/>
      <c r="T390" s="390"/>
      <c r="U390" s="390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386" t="s">
        <v>382</v>
      </c>
      <c r="C391" s="187" t="s">
        <v>389</v>
      </c>
      <c r="D391" s="108">
        <v>5.03</v>
      </c>
      <c r="E391" s="108"/>
      <c r="F391" s="127"/>
      <c r="G391" s="128"/>
      <c r="H391" s="395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390"/>
      <c r="P391" s="390"/>
      <c r="Q391" s="390"/>
      <c r="R391" s="390"/>
      <c r="S391" s="390"/>
      <c r="T391" s="390"/>
      <c r="U391" s="390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386" t="s">
        <v>382</v>
      </c>
      <c r="C392" s="187" t="s">
        <v>391</v>
      </c>
      <c r="D392" s="108">
        <v>5.03</v>
      </c>
      <c r="E392" s="108"/>
      <c r="F392" s="127"/>
      <c r="G392" s="128"/>
      <c r="H392" s="395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390"/>
      <c r="P392" s="390"/>
      <c r="Q392" s="390"/>
      <c r="R392" s="390"/>
      <c r="S392" s="390"/>
      <c r="T392" s="390"/>
      <c r="U392" s="390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386" t="s">
        <v>418</v>
      </c>
      <c r="C393" s="187" t="s">
        <v>364</v>
      </c>
      <c r="D393" s="108">
        <v>5.03</v>
      </c>
      <c r="E393" s="108"/>
      <c r="F393" s="127"/>
      <c r="G393" s="128"/>
      <c r="H393" s="395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390"/>
      <c r="P393" s="390"/>
      <c r="Q393" s="390"/>
      <c r="R393" s="390"/>
      <c r="S393" s="390"/>
      <c r="T393" s="390"/>
      <c r="U393" s="390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386" t="s">
        <v>418</v>
      </c>
      <c r="C394" s="187" t="s">
        <v>365</v>
      </c>
      <c r="D394" s="108">
        <v>5.03</v>
      </c>
      <c r="E394" s="108"/>
      <c r="F394" s="127"/>
      <c r="G394" s="128"/>
      <c r="H394" s="395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390"/>
      <c r="P394" s="390"/>
      <c r="Q394" s="390"/>
      <c r="R394" s="390"/>
      <c r="S394" s="390"/>
      <c r="T394" s="390"/>
      <c r="U394" s="390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386" t="s">
        <v>418</v>
      </c>
      <c r="C395" s="187" t="s">
        <v>366</v>
      </c>
      <c r="D395" s="108">
        <v>5.03</v>
      </c>
      <c r="E395" s="108"/>
      <c r="F395" s="127"/>
      <c r="G395" s="128"/>
      <c r="H395" s="395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390"/>
      <c r="P395" s="390"/>
      <c r="Q395" s="390"/>
      <c r="R395" s="390"/>
      <c r="S395" s="390"/>
      <c r="T395" s="390"/>
      <c r="U395" s="390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386" t="s">
        <v>418</v>
      </c>
      <c r="C396" s="187" t="s">
        <v>367</v>
      </c>
      <c r="D396" s="108">
        <v>5.03</v>
      </c>
      <c r="E396" s="108"/>
      <c r="F396" s="127"/>
      <c r="G396" s="128"/>
      <c r="H396" s="395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390"/>
      <c r="P396" s="390"/>
      <c r="Q396" s="390"/>
      <c r="R396" s="390"/>
      <c r="S396" s="390"/>
      <c r="T396" s="390"/>
      <c r="U396" s="390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395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387"/>
      <c r="P397" s="387"/>
      <c r="Q397" s="387"/>
      <c r="R397" s="387"/>
      <c r="S397" s="387"/>
      <c r="T397" s="387"/>
      <c r="U397" s="387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395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387"/>
      <c r="P398" s="387"/>
      <c r="Q398" s="387"/>
      <c r="R398" s="387"/>
      <c r="S398" s="387"/>
      <c r="T398" s="387"/>
      <c r="U398" s="387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395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387"/>
      <c r="P399" s="387"/>
      <c r="Q399" s="387"/>
      <c r="R399" s="387"/>
      <c r="S399" s="387"/>
      <c r="T399" s="387"/>
      <c r="U399" s="387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395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387"/>
      <c r="P400" s="387"/>
      <c r="Q400" s="387"/>
      <c r="R400" s="387"/>
      <c r="S400" s="387"/>
      <c r="T400" s="387"/>
      <c r="U400" s="387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395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387"/>
      <c r="P401" s="387"/>
      <c r="Q401" s="387"/>
      <c r="R401" s="387"/>
      <c r="S401" s="387"/>
      <c r="T401" s="387"/>
      <c r="U401" s="387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395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387"/>
      <c r="P402" s="387"/>
      <c r="Q402" s="387"/>
      <c r="R402" s="387"/>
      <c r="S402" s="387"/>
      <c r="T402" s="387"/>
      <c r="U402" s="387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395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387"/>
      <c r="P403" s="387"/>
      <c r="Q403" s="387"/>
      <c r="R403" s="387"/>
      <c r="S403" s="387"/>
      <c r="T403" s="387"/>
      <c r="U403" s="387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395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387"/>
      <c r="P404" s="387"/>
      <c r="Q404" s="387"/>
      <c r="R404" s="387"/>
      <c r="S404" s="387"/>
      <c r="T404" s="387"/>
      <c r="U404" s="387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395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387"/>
      <c r="P405" s="387"/>
      <c r="Q405" s="387"/>
      <c r="R405" s="387"/>
      <c r="S405" s="387"/>
      <c r="T405" s="387"/>
      <c r="U405" s="387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395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387"/>
      <c r="P406" s="387"/>
      <c r="Q406" s="387"/>
      <c r="R406" s="387"/>
      <c r="S406" s="387"/>
      <c r="T406" s="387"/>
      <c r="U406" s="387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433</v>
      </c>
      <c r="C407" s="187" t="s">
        <v>432</v>
      </c>
      <c r="D407" s="108">
        <v>50.3</v>
      </c>
      <c r="E407" s="108"/>
      <c r="F407" s="127"/>
      <c r="G407" s="128"/>
      <c r="H407" s="395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387"/>
      <c r="P407" s="387"/>
      <c r="Q407" s="387"/>
      <c r="R407" s="387"/>
      <c r="S407" s="387"/>
      <c r="T407" s="387"/>
      <c r="U407" s="387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395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387"/>
      <c r="P408" s="387"/>
      <c r="Q408" s="387"/>
      <c r="R408" s="387"/>
      <c r="S408" s="387"/>
      <c r="T408" s="387"/>
      <c r="U408" s="387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395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387"/>
      <c r="P409" s="387"/>
      <c r="Q409" s="387"/>
      <c r="R409" s="387"/>
      <c r="S409" s="387"/>
      <c r="T409" s="387"/>
      <c r="U409" s="387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395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387"/>
      <c r="P410" s="387"/>
      <c r="Q410" s="387"/>
      <c r="R410" s="387"/>
      <c r="S410" s="387"/>
      <c r="T410" s="387"/>
      <c r="U410" s="387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395">
        <f t="shared" si="171"/>
        <v>0</v>
      </c>
      <c r="I411" s="129"/>
      <c r="J411" s="130"/>
      <c r="K411" s="131"/>
      <c r="L411" s="129"/>
      <c r="M411" s="109"/>
      <c r="N411" s="130"/>
      <c r="O411" s="387"/>
      <c r="P411" s="387"/>
      <c r="Q411" s="387"/>
      <c r="R411" s="387"/>
      <c r="S411" s="387"/>
      <c r="T411" s="387"/>
      <c r="U411" s="387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395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387"/>
      <c r="P412" s="387"/>
      <c r="Q412" s="387"/>
      <c r="R412" s="387"/>
      <c r="S412" s="387"/>
      <c r="T412" s="387"/>
      <c r="U412" s="387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395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387"/>
      <c r="P413" s="387"/>
      <c r="Q413" s="387"/>
      <c r="R413" s="387"/>
      <c r="S413" s="387"/>
      <c r="T413" s="387"/>
      <c r="U413" s="387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395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387"/>
      <c r="P414" s="387"/>
      <c r="Q414" s="387"/>
      <c r="R414" s="387"/>
      <c r="S414" s="387"/>
      <c r="T414" s="387"/>
      <c r="U414" s="387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395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387"/>
      <c r="P415" s="387"/>
      <c r="Q415" s="387"/>
      <c r="R415" s="387"/>
      <c r="S415" s="387"/>
      <c r="T415" s="387"/>
      <c r="U415" s="387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395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387"/>
      <c r="P416" s="387"/>
      <c r="Q416" s="387"/>
      <c r="R416" s="387"/>
      <c r="S416" s="387"/>
      <c r="T416" s="387"/>
      <c r="U416" s="387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395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387"/>
      <c r="P417" s="387"/>
      <c r="Q417" s="387"/>
      <c r="R417" s="387"/>
      <c r="S417" s="387"/>
      <c r="T417" s="387"/>
      <c r="U417" s="387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395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387"/>
      <c r="P418" s="387"/>
      <c r="Q418" s="387"/>
      <c r="R418" s="387"/>
      <c r="S418" s="387"/>
      <c r="T418" s="387"/>
      <c r="U418" s="387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395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387"/>
      <c r="P419" s="387"/>
      <c r="Q419" s="387"/>
      <c r="R419" s="387"/>
      <c r="S419" s="387"/>
      <c r="T419" s="387"/>
      <c r="U419" s="387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395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387"/>
      <c r="P420" s="387"/>
      <c r="Q420" s="387"/>
      <c r="R420" s="387"/>
      <c r="S420" s="387"/>
      <c r="T420" s="387"/>
      <c r="U420" s="387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395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387"/>
      <c r="P421" s="387"/>
      <c r="Q421" s="387"/>
      <c r="R421" s="387"/>
      <c r="S421" s="387"/>
      <c r="T421" s="387"/>
      <c r="U421" s="387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395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387"/>
      <c r="P422" s="387"/>
      <c r="Q422" s="387"/>
      <c r="R422" s="387"/>
      <c r="S422" s="387"/>
      <c r="T422" s="387"/>
      <c r="U422" s="387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395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387"/>
      <c r="P423" s="387"/>
      <c r="Q423" s="387"/>
      <c r="R423" s="387"/>
      <c r="S423" s="387"/>
      <c r="T423" s="387"/>
      <c r="U423" s="387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395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387"/>
      <c r="P424" s="387"/>
      <c r="Q424" s="387"/>
      <c r="R424" s="387"/>
      <c r="S424" s="387"/>
      <c r="T424" s="387"/>
      <c r="U424" s="387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395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387"/>
      <c r="P425" s="387"/>
      <c r="Q425" s="387"/>
      <c r="R425" s="387"/>
      <c r="S425" s="387"/>
      <c r="T425" s="387"/>
      <c r="U425" s="387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41" t="s">
        <v>216</v>
      </c>
      <c r="B426" s="641"/>
      <c r="C426" s="393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386" t="s">
        <v>217</v>
      </c>
      <c r="C427" s="126" t="s">
        <v>179</v>
      </c>
      <c r="D427" s="108">
        <v>5.03</v>
      </c>
      <c r="E427" s="108"/>
      <c r="F427" s="127"/>
      <c r="G427" s="128"/>
      <c r="H427" s="395">
        <f t="shared" ref="H427:H460" si="196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7">IF(ISERROR(I427-K427),"",I427-K427)</f>
        <v>0</v>
      </c>
      <c r="N427" s="130">
        <f t="shared" ref="N427:N434" si="198">SUM(O427:U427)</f>
        <v>0</v>
      </c>
      <c r="O427" s="387"/>
      <c r="P427" s="387"/>
      <c r="Q427" s="387"/>
      <c r="R427" s="387"/>
      <c r="S427" s="387"/>
      <c r="T427" s="387"/>
      <c r="U427" s="387"/>
      <c r="V427" s="132">
        <f t="shared" ref="V427:V433" si="199">SUM(X427:AA427)</f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386" t="s">
        <v>217</v>
      </c>
      <c r="C428" s="126" t="s">
        <v>186</v>
      </c>
      <c r="D428" s="108">
        <v>5.03</v>
      </c>
      <c r="E428" s="108"/>
      <c r="F428" s="127"/>
      <c r="G428" s="128"/>
      <c r="H428" s="395">
        <f t="shared" si="196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7"/>
        <v>0</v>
      </c>
      <c r="N428" s="130">
        <f t="shared" si="198"/>
        <v>0</v>
      </c>
      <c r="O428" s="387"/>
      <c r="P428" s="387"/>
      <c r="Q428" s="387"/>
      <c r="R428" s="387"/>
      <c r="S428" s="387"/>
      <c r="T428" s="387"/>
      <c r="U428" s="387"/>
      <c r="V428" s="132">
        <f t="shared" si="199"/>
        <v>0</v>
      </c>
      <c r="W428" s="133" t="str">
        <f t="shared" si="195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386" t="s">
        <v>217</v>
      </c>
      <c r="C429" s="126" t="s">
        <v>204</v>
      </c>
      <c r="D429" s="108">
        <v>5.03</v>
      </c>
      <c r="E429" s="108"/>
      <c r="F429" s="127"/>
      <c r="G429" s="128"/>
      <c r="H429" s="395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7"/>
        <v>0</v>
      </c>
      <c r="N429" s="130">
        <f t="shared" si="198"/>
        <v>0</v>
      </c>
      <c r="O429" s="387"/>
      <c r="P429" s="387"/>
      <c r="Q429" s="387"/>
      <c r="R429" s="387"/>
      <c r="S429" s="387"/>
      <c r="T429" s="387"/>
      <c r="U429" s="387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395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387"/>
      <c r="P430" s="387"/>
      <c r="Q430" s="387"/>
      <c r="R430" s="387"/>
      <c r="S430" s="387"/>
      <c r="T430" s="387"/>
      <c r="U430" s="387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395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7"/>
        <v>0</v>
      </c>
      <c r="N431" s="130">
        <f t="shared" si="198"/>
        <v>0</v>
      </c>
      <c r="O431" s="387"/>
      <c r="P431" s="387"/>
      <c r="Q431" s="387"/>
      <c r="R431" s="387"/>
      <c r="S431" s="387"/>
      <c r="T431" s="387"/>
      <c r="U431" s="387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395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7"/>
        <v>0</v>
      </c>
      <c r="N432" s="130">
        <f t="shared" si="198"/>
        <v>0</v>
      </c>
      <c r="O432" s="387"/>
      <c r="P432" s="387"/>
      <c r="Q432" s="387"/>
      <c r="R432" s="387"/>
      <c r="S432" s="387"/>
      <c r="T432" s="387"/>
      <c r="U432" s="387"/>
      <c r="V432" s="132">
        <f t="shared" si="199"/>
        <v>0</v>
      </c>
      <c r="W432" s="133" t="str">
        <f t="shared" si="195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395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387"/>
      <c r="P433" s="387"/>
      <c r="Q433" s="387"/>
      <c r="R433" s="387"/>
      <c r="S433" s="387"/>
      <c r="T433" s="387"/>
      <c r="U433" s="387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395">
        <f t="shared" si="196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387"/>
      <c r="P434" s="387"/>
      <c r="Q434" s="387"/>
      <c r="R434" s="387"/>
      <c r="S434" s="387"/>
      <c r="T434" s="387"/>
      <c r="U434" s="387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395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387"/>
      <c r="P435" s="387"/>
      <c r="Q435" s="387"/>
      <c r="R435" s="387"/>
      <c r="S435" s="387"/>
      <c r="T435" s="387"/>
      <c r="U435" s="387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395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387"/>
      <c r="P436" s="387"/>
      <c r="Q436" s="387"/>
      <c r="R436" s="387"/>
      <c r="S436" s="387"/>
      <c r="T436" s="387"/>
      <c r="U436" s="387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395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387"/>
      <c r="P437" s="387"/>
      <c r="Q437" s="387"/>
      <c r="R437" s="387"/>
      <c r="S437" s="387"/>
      <c r="T437" s="387"/>
      <c r="U437" s="387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395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387"/>
      <c r="P438" s="387"/>
      <c r="Q438" s="387"/>
      <c r="R438" s="387"/>
      <c r="S438" s="387"/>
      <c r="T438" s="387"/>
      <c r="U438" s="387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395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387"/>
      <c r="P439" s="387"/>
      <c r="Q439" s="387"/>
      <c r="R439" s="387"/>
      <c r="S439" s="387"/>
      <c r="T439" s="387"/>
      <c r="U439" s="387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395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387"/>
      <c r="P440" s="387"/>
      <c r="Q440" s="387"/>
      <c r="R440" s="387"/>
      <c r="S440" s="387"/>
      <c r="T440" s="387"/>
      <c r="U440" s="387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395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387"/>
      <c r="P441" s="387"/>
      <c r="Q441" s="387"/>
      <c r="R441" s="387"/>
      <c r="S441" s="387"/>
      <c r="T441" s="387"/>
      <c r="U441" s="387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395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387"/>
      <c r="P442" s="387"/>
      <c r="Q442" s="387"/>
      <c r="R442" s="387"/>
      <c r="S442" s="387"/>
      <c r="T442" s="387"/>
      <c r="U442" s="387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386" t="s">
        <v>222</v>
      </c>
      <c r="C443" s="126" t="s">
        <v>181</v>
      </c>
      <c r="D443" s="108">
        <v>9.36</v>
      </c>
      <c r="E443" s="108"/>
      <c r="F443" s="127"/>
      <c r="G443" s="128"/>
      <c r="H443" s="395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387"/>
      <c r="P443" s="387"/>
      <c r="Q443" s="387"/>
      <c r="R443" s="387"/>
      <c r="S443" s="387"/>
      <c r="T443" s="387"/>
      <c r="U443" s="387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386" t="s">
        <v>222</v>
      </c>
      <c r="C444" s="126" t="s">
        <v>179</v>
      </c>
      <c r="D444" s="108">
        <v>9.36</v>
      </c>
      <c r="E444" s="108"/>
      <c r="F444" s="127"/>
      <c r="G444" s="128"/>
      <c r="H444" s="395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387"/>
      <c r="P444" s="387"/>
      <c r="Q444" s="387"/>
      <c r="R444" s="387"/>
      <c r="S444" s="387"/>
      <c r="T444" s="387"/>
      <c r="U444" s="387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386" t="s">
        <v>222</v>
      </c>
      <c r="C445" s="126" t="s">
        <v>221</v>
      </c>
      <c r="D445" s="108">
        <v>9.36</v>
      </c>
      <c r="E445" s="108"/>
      <c r="F445" s="127"/>
      <c r="G445" s="128"/>
      <c r="H445" s="395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387"/>
      <c r="P445" s="387"/>
      <c r="Q445" s="387"/>
      <c r="R445" s="387"/>
      <c r="S445" s="387"/>
      <c r="T445" s="387"/>
      <c r="U445" s="387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386" t="s">
        <v>222</v>
      </c>
      <c r="C446" s="126" t="s">
        <v>186</v>
      </c>
      <c r="D446" s="108">
        <v>9.36</v>
      </c>
      <c r="E446" s="108"/>
      <c r="F446" s="127"/>
      <c r="G446" s="128"/>
      <c r="H446" s="395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387"/>
      <c r="P446" s="387"/>
      <c r="Q446" s="387"/>
      <c r="R446" s="387"/>
      <c r="S446" s="387"/>
      <c r="T446" s="387"/>
      <c r="U446" s="387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386" t="s">
        <v>393</v>
      </c>
      <c r="C447" s="187" t="s">
        <v>395</v>
      </c>
      <c r="D447" s="108">
        <v>5</v>
      </c>
      <c r="E447" s="108"/>
      <c r="F447" s="127"/>
      <c r="G447" s="128"/>
      <c r="H447" s="395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387"/>
      <c r="P447" s="387"/>
      <c r="Q447" s="387"/>
      <c r="R447" s="387"/>
      <c r="S447" s="387"/>
      <c r="T447" s="387"/>
      <c r="U447" s="387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386" t="s">
        <v>393</v>
      </c>
      <c r="C448" s="187" t="s">
        <v>402</v>
      </c>
      <c r="D448" s="108">
        <v>5</v>
      </c>
      <c r="E448" s="108"/>
      <c r="F448" s="127"/>
      <c r="G448" s="128"/>
      <c r="H448" s="395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387"/>
      <c r="P448" s="387"/>
      <c r="Q448" s="387"/>
      <c r="R448" s="387"/>
      <c r="S448" s="387"/>
      <c r="T448" s="387"/>
      <c r="U448" s="387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386" t="s">
        <v>404</v>
      </c>
      <c r="C449" s="187" t="s">
        <v>405</v>
      </c>
      <c r="D449" s="108">
        <v>5</v>
      </c>
      <c r="E449" s="108"/>
      <c r="F449" s="127"/>
      <c r="G449" s="128"/>
      <c r="H449" s="395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387"/>
      <c r="P449" s="387"/>
      <c r="Q449" s="387"/>
      <c r="R449" s="387"/>
      <c r="S449" s="387"/>
      <c r="T449" s="387"/>
      <c r="U449" s="387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386" t="s">
        <v>342</v>
      </c>
      <c r="C450" s="187" t="s">
        <v>372</v>
      </c>
      <c r="D450" s="108">
        <v>5</v>
      </c>
      <c r="E450" s="108"/>
      <c r="F450" s="127"/>
      <c r="G450" s="128"/>
      <c r="H450" s="395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387"/>
      <c r="P450" s="387"/>
      <c r="Q450" s="387"/>
      <c r="R450" s="387"/>
      <c r="S450" s="387"/>
      <c r="T450" s="387"/>
      <c r="U450" s="387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386" t="s">
        <v>343</v>
      </c>
      <c r="C451" s="126" t="s">
        <v>345</v>
      </c>
      <c r="D451" s="108">
        <v>5</v>
      </c>
      <c r="E451" s="108"/>
      <c r="F451" s="127"/>
      <c r="G451" s="128"/>
      <c r="H451" s="395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387"/>
      <c r="P451" s="387"/>
      <c r="Q451" s="387"/>
      <c r="R451" s="387"/>
      <c r="S451" s="387"/>
      <c r="T451" s="387"/>
      <c r="U451" s="387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386" t="s">
        <v>343</v>
      </c>
      <c r="C452" s="126" t="s">
        <v>347</v>
      </c>
      <c r="D452" s="108">
        <v>5</v>
      </c>
      <c r="E452" s="108"/>
      <c r="F452" s="127"/>
      <c r="G452" s="128"/>
      <c r="H452" s="395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387"/>
      <c r="P452" s="387"/>
      <c r="Q452" s="387"/>
      <c r="R452" s="387"/>
      <c r="S452" s="387"/>
      <c r="T452" s="387"/>
      <c r="U452" s="387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395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387"/>
      <c r="P453" s="387"/>
      <c r="Q453" s="387"/>
      <c r="R453" s="387"/>
      <c r="S453" s="387"/>
      <c r="T453" s="387"/>
      <c r="U453" s="387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395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387"/>
      <c r="P454" s="387"/>
      <c r="Q454" s="387"/>
      <c r="R454" s="387"/>
      <c r="S454" s="387"/>
      <c r="T454" s="387"/>
      <c r="U454" s="387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420</v>
      </c>
      <c r="D455" s="108"/>
      <c r="E455" s="108"/>
      <c r="F455" s="127"/>
      <c r="G455" s="128"/>
      <c r="H455" s="395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387"/>
      <c r="P455" s="387"/>
      <c r="Q455" s="387"/>
      <c r="R455" s="387"/>
      <c r="S455" s="387"/>
      <c r="T455" s="387"/>
      <c r="U455" s="387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395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387"/>
      <c r="P456" s="387"/>
      <c r="Q456" s="387"/>
      <c r="R456" s="387"/>
      <c r="S456" s="387"/>
      <c r="T456" s="387"/>
      <c r="U456" s="387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395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387"/>
      <c r="P457" s="387"/>
      <c r="Q457" s="387"/>
      <c r="R457" s="387"/>
      <c r="S457" s="387"/>
      <c r="T457" s="387"/>
      <c r="U457" s="387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395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387"/>
      <c r="P458" s="387"/>
      <c r="Q458" s="387"/>
      <c r="R458" s="387"/>
      <c r="S458" s="387"/>
      <c r="T458" s="387"/>
      <c r="U458" s="387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395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387"/>
      <c r="P459" s="387"/>
      <c r="Q459" s="387"/>
      <c r="R459" s="387"/>
      <c r="S459" s="387"/>
      <c r="T459" s="387"/>
      <c r="U459" s="387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395">
        <f t="shared" si="196"/>
        <v>0</v>
      </c>
      <c r="I460" s="129"/>
      <c r="J460" s="130" t="str">
        <f t="array" ref="J460">IF(ISERROR(G460/I460),"",G460/I460)</f>
        <v/>
      </c>
      <c r="K460" s="395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387"/>
      <c r="P460" s="387"/>
      <c r="Q460" s="387"/>
      <c r="R460" s="387"/>
      <c r="S460" s="387"/>
      <c r="T460" s="387"/>
      <c r="U460" s="387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hidden="1" customHeight="1">
      <c r="A461" s="630" t="s">
        <v>224</v>
      </c>
      <c r="B461" s="631"/>
      <c r="C461" s="393" t="s">
        <v>202</v>
      </c>
      <c r="D461" s="143"/>
      <c r="E461" s="143"/>
      <c r="F461" s="144"/>
      <c r="G461" s="145">
        <f>SUM(G427:G460)</f>
        <v>0</v>
      </c>
      <c r="H461" s="146">
        <f>SUM(H427:H460)</f>
        <v>0</v>
      </c>
      <c r="I461" s="146">
        <f>SUM(I427:I460)</f>
        <v>0</v>
      </c>
      <c r="J461" s="130" t="str">
        <f t="array" ref="J461">IF(ISERROR(G461/I461),"",G461/I461)</f>
        <v/>
      </c>
      <c r="K461" s="146">
        <f>SUM(K427:K460)</f>
        <v>0</v>
      </c>
      <c r="L461" s="147"/>
      <c r="M461" s="150">
        <f t="shared" ref="M461:V461" si="210">SUM(M427:M460)</f>
        <v>0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 t="str">
        <f t="shared" si="209"/>
        <v/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395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387"/>
      <c r="P462" s="387"/>
      <c r="Q462" s="387"/>
      <c r="R462" s="387"/>
      <c r="S462" s="387"/>
      <c r="T462" s="387"/>
      <c r="U462" s="387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395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387"/>
      <c r="P463" s="387"/>
      <c r="Q463" s="387"/>
      <c r="R463" s="387"/>
      <c r="S463" s="387"/>
      <c r="T463" s="387"/>
      <c r="U463" s="387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395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387"/>
      <c r="P464" s="387"/>
      <c r="Q464" s="387"/>
      <c r="R464" s="387"/>
      <c r="S464" s="387"/>
      <c r="T464" s="387"/>
      <c r="U464" s="387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395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387"/>
      <c r="P465" s="387"/>
      <c r="Q465" s="387"/>
      <c r="R465" s="387"/>
      <c r="S465" s="387"/>
      <c r="T465" s="387"/>
      <c r="U465" s="387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391" t="s">
        <v>203</v>
      </c>
      <c r="D466" s="108">
        <v>5.03</v>
      </c>
      <c r="E466" s="108"/>
      <c r="F466" s="127"/>
      <c r="G466" s="128"/>
      <c r="H466" s="395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387"/>
      <c r="P466" s="387"/>
      <c r="Q466" s="387"/>
      <c r="R466" s="387"/>
      <c r="S466" s="387"/>
      <c r="T466" s="387"/>
      <c r="U466" s="387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395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387"/>
      <c r="P467" s="387"/>
      <c r="Q467" s="387"/>
      <c r="R467" s="387"/>
      <c r="S467" s="387"/>
      <c r="T467" s="387"/>
      <c r="U467" s="387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395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387"/>
      <c r="P468" s="387"/>
      <c r="Q468" s="387"/>
      <c r="R468" s="387"/>
      <c r="S468" s="387"/>
      <c r="T468" s="387"/>
      <c r="U468" s="387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391" t="s">
        <v>228</v>
      </c>
      <c r="D469" s="108">
        <v>5.03</v>
      </c>
      <c r="E469" s="108"/>
      <c r="F469" s="127"/>
      <c r="G469" s="128"/>
      <c r="H469" s="395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387"/>
      <c r="P469" s="387"/>
      <c r="Q469" s="387"/>
      <c r="R469" s="387"/>
      <c r="S469" s="387"/>
      <c r="T469" s="387"/>
      <c r="U469" s="387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391" t="s">
        <v>212</v>
      </c>
      <c r="D470" s="108">
        <v>5.03</v>
      </c>
      <c r="E470" s="108"/>
      <c r="F470" s="127"/>
      <c r="G470" s="128"/>
      <c r="H470" s="395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387"/>
      <c r="P470" s="387"/>
      <c r="Q470" s="387"/>
      <c r="R470" s="387"/>
      <c r="S470" s="387"/>
      <c r="T470" s="387"/>
      <c r="U470" s="387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391" t="s">
        <v>203</v>
      </c>
      <c r="D471" s="108">
        <v>5.03</v>
      </c>
      <c r="E471" s="108"/>
      <c r="F471" s="127"/>
      <c r="G471" s="128"/>
      <c r="H471" s="395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387"/>
      <c r="P471" s="387"/>
      <c r="Q471" s="387"/>
      <c r="R471" s="387"/>
      <c r="S471" s="387"/>
      <c r="T471" s="387"/>
      <c r="U471" s="387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391" t="s">
        <v>186</v>
      </c>
      <c r="D472" s="108">
        <v>5.03</v>
      </c>
      <c r="E472" s="108"/>
      <c r="F472" s="127"/>
      <c r="G472" s="128"/>
      <c r="H472" s="395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387"/>
      <c r="P472" s="387"/>
      <c r="Q472" s="387"/>
      <c r="R472" s="387"/>
      <c r="S472" s="387"/>
      <c r="T472" s="387"/>
      <c r="U472" s="387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391" t="s">
        <v>228</v>
      </c>
      <c r="D473" s="108">
        <v>5.03</v>
      </c>
      <c r="E473" s="108"/>
      <c r="F473" s="127"/>
      <c r="G473" s="128"/>
      <c r="H473" s="395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387"/>
      <c r="P473" s="387"/>
      <c r="Q473" s="387"/>
      <c r="R473" s="387"/>
      <c r="S473" s="387"/>
      <c r="T473" s="387"/>
      <c r="U473" s="387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391" t="s">
        <v>199</v>
      </c>
      <c r="D474" s="108">
        <v>5.03</v>
      </c>
      <c r="E474" s="108"/>
      <c r="F474" s="127"/>
      <c r="G474" s="128"/>
      <c r="H474" s="395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387"/>
      <c r="P474" s="387"/>
      <c r="Q474" s="387"/>
      <c r="R474" s="387"/>
      <c r="S474" s="387"/>
      <c r="T474" s="387"/>
      <c r="U474" s="387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395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387"/>
      <c r="P475" s="387"/>
      <c r="Q475" s="387"/>
      <c r="R475" s="387"/>
      <c r="S475" s="387"/>
      <c r="T475" s="387"/>
      <c r="U475" s="387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395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387"/>
      <c r="P476" s="387"/>
      <c r="Q476" s="387"/>
      <c r="R476" s="387"/>
      <c r="S476" s="387"/>
      <c r="T476" s="387"/>
      <c r="U476" s="387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630" t="s">
        <v>231</v>
      </c>
      <c r="B477" s="631"/>
      <c r="C477" s="393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395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387"/>
      <c r="P478" s="387"/>
      <c r="Q478" s="387"/>
      <c r="R478" s="387"/>
      <c r="S478" s="387"/>
      <c r="T478" s="387"/>
      <c r="U478" s="387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395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387"/>
      <c r="P479" s="387"/>
      <c r="Q479" s="387"/>
      <c r="R479" s="387"/>
      <c r="S479" s="387"/>
      <c r="T479" s="387"/>
      <c r="U479" s="387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395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387"/>
      <c r="P480" s="387"/>
      <c r="Q480" s="387"/>
      <c r="R480" s="387"/>
      <c r="S480" s="387"/>
      <c r="T480" s="387"/>
      <c r="U480" s="387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395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387"/>
      <c r="P481" s="387"/>
      <c r="Q481" s="387"/>
      <c r="R481" s="387"/>
      <c r="S481" s="387"/>
      <c r="T481" s="387"/>
      <c r="U481" s="387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395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387"/>
      <c r="P482" s="387"/>
      <c r="Q482" s="387"/>
      <c r="R482" s="387"/>
      <c r="S482" s="387"/>
      <c r="T482" s="387"/>
      <c r="U482" s="387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395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387"/>
      <c r="P483" s="387"/>
      <c r="Q483" s="387"/>
      <c r="R483" s="387"/>
      <c r="S483" s="387"/>
      <c r="T483" s="387"/>
      <c r="U483" s="387"/>
      <c r="V483" s="132"/>
      <c r="W483" s="133"/>
      <c r="X483" s="132"/>
      <c r="Y483" s="132"/>
      <c r="Z483" s="132"/>
      <c r="AA483" s="132"/>
    </row>
    <row r="484" spans="1:27" ht="20.10000000000000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470"/>
      <c r="P484" s="470"/>
      <c r="Q484" s="470"/>
      <c r="R484" s="470"/>
      <c r="S484" s="470"/>
      <c r="T484" s="470"/>
      <c r="U484" s="470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395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387"/>
      <c r="P486" s="387"/>
      <c r="Q486" s="387"/>
      <c r="R486" s="387"/>
      <c r="S486" s="387"/>
      <c r="T486" s="387"/>
      <c r="U486" s="387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30" t="s">
        <v>234</v>
      </c>
      <c r="B487" s="631"/>
      <c r="C487" s="393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385"/>
      <c r="D488" s="108">
        <v>3.65</v>
      </c>
      <c r="E488" s="108"/>
      <c r="F488" s="153"/>
      <c r="G488" s="128"/>
      <c r="H488" s="395">
        <f t="shared" ref="H488:H502" si="223">D488*G488</f>
        <v>0</v>
      </c>
      <c r="I488" s="129"/>
      <c r="J488" s="130" t="str">
        <f t="array" ref="J488">IF(ISERROR(G488/I488),"",G488/I488)</f>
        <v/>
      </c>
      <c r="K488" s="395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387"/>
      <c r="P488" s="387"/>
      <c r="Q488" s="387"/>
      <c r="R488" s="387"/>
      <c r="S488" s="387"/>
      <c r="T488" s="387"/>
      <c r="U488" s="387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385"/>
      <c r="D489" s="108">
        <v>6.58</v>
      </c>
      <c r="E489" s="108"/>
      <c r="F489" s="127"/>
      <c r="G489" s="128"/>
      <c r="H489" s="395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387"/>
      <c r="P489" s="387"/>
      <c r="Q489" s="387"/>
      <c r="R489" s="387"/>
      <c r="S489" s="387"/>
      <c r="T489" s="387"/>
      <c r="U489" s="387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385"/>
      <c r="D490" s="108">
        <v>7.8</v>
      </c>
      <c r="E490" s="108"/>
      <c r="F490" s="127"/>
      <c r="G490" s="128"/>
      <c r="H490" s="395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387"/>
      <c r="P490" s="387"/>
      <c r="Q490" s="387"/>
      <c r="R490" s="387"/>
      <c r="S490" s="387"/>
      <c r="T490" s="387"/>
      <c r="U490" s="387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385"/>
      <c r="D491" s="108">
        <v>4.4000000000000004</v>
      </c>
      <c r="E491" s="108"/>
      <c r="F491" s="127"/>
      <c r="G491" s="128"/>
      <c r="H491" s="395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387"/>
      <c r="P491" s="387"/>
      <c r="Q491" s="387"/>
      <c r="R491" s="387"/>
      <c r="S491" s="387"/>
      <c r="T491" s="387"/>
      <c r="U491" s="387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395">
        <f t="shared" si="223"/>
        <v>0</v>
      </c>
      <c r="I492" s="129"/>
      <c r="J492" s="130"/>
      <c r="K492" s="131"/>
      <c r="L492" s="129"/>
      <c r="M492" s="109"/>
      <c r="N492" s="130"/>
      <c r="O492" s="387"/>
      <c r="P492" s="387"/>
      <c r="Q492" s="387"/>
      <c r="R492" s="387"/>
      <c r="S492" s="387"/>
      <c r="T492" s="387"/>
      <c r="U492" s="387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385"/>
      <c r="D493" s="108"/>
      <c r="E493" s="108"/>
      <c r="F493" s="127"/>
      <c r="G493" s="128"/>
      <c r="H493" s="395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387"/>
      <c r="P493" s="387"/>
      <c r="Q493" s="387"/>
      <c r="R493" s="387"/>
      <c r="S493" s="387"/>
      <c r="T493" s="387"/>
      <c r="U493" s="387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385" t="s">
        <v>239</v>
      </c>
      <c r="C494" s="385" t="s">
        <v>179</v>
      </c>
      <c r="D494" s="108">
        <v>6.04</v>
      </c>
      <c r="E494" s="108"/>
      <c r="F494" s="127"/>
      <c r="G494" s="128"/>
      <c r="H494" s="395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387"/>
      <c r="P494" s="387"/>
      <c r="Q494" s="387"/>
      <c r="R494" s="387"/>
      <c r="S494" s="387"/>
      <c r="T494" s="387"/>
      <c r="U494" s="387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385" t="s">
        <v>239</v>
      </c>
      <c r="C495" s="385" t="s">
        <v>186</v>
      </c>
      <c r="D495" s="108">
        <v>6.04</v>
      </c>
      <c r="E495" s="108"/>
      <c r="F495" s="127"/>
      <c r="G495" s="128"/>
      <c r="H495" s="395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387"/>
      <c r="P495" s="387"/>
      <c r="Q495" s="387"/>
      <c r="R495" s="387"/>
      <c r="S495" s="387"/>
      <c r="T495" s="387"/>
      <c r="U495" s="387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385" t="s">
        <v>443</v>
      </c>
      <c r="C496" s="385" t="s">
        <v>179</v>
      </c>
      <c r="D496" s="108"/>
      <c r="E496" s="108"/>
      <c r="F496" s="127"/>
      <c r="G496" s="128"/>
      <c r="H496" s="395">
        <f t="shared" si="223"/>
        <v>0</v>
      </c>
      <c r="I496" s="129"/>
      <c r="J496" s="130"/>
      <c r="K496" s="131"/>
      <c r="L496" s="129"/>
      <c r="M496" s="109"/>
      <c r="N496" s="130"/>
      <c r="O496" s="387"/>
      <c r="P496" s="387"/>
      <c r="Q496" s="387"/>
      <c r="R496" s="387"/>
      <c r="S496" s="387"/>
      <c r="T496" s="387"/>
      <c r="U496" s="387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385" t="s">
        <v>443</v>
      </c>
      <c r="C497" s="385" t="s">
        <v>186</v>
      </c>
      <c r="D497" s="108"/>
      <c r="E497" s="108"/>
      <c r="F497" s="127"/>
      <c r="G497" s="128"/>
      <c r="H497" s="395">
        <f t="shared" si="223"/>
        <v>0</v>
      </c>
      <c r="I497" s="129"/>
      <c r="J497" s="130"/>
      <c r="K497" s="131"/>
      <c r="L497" s="129"/>
      <c r="M497" s="109"/>
      <c r="N497" s="130"/>
      <c r="O497" s="387"/>
      <c r="P497" s="387"/>
      <c r="Q497" s="387"/>
      <c r="R497" s="387"/>
      <c r="S497" s="387"/>
      <c r="T497" s="387"/>
      <c r="U497" s="387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386" t="s">
        <v>240</v>
      </c>
      <c r="C498" s="126"/>
      <c r="D498" s="108">
        <v>7.3</v>
      </c>
      <c r="E498" s="108"/>
      <c r="F498" s="127"/>
      <c r="G498" s="128"/>
      <c r="H498" s="395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387"/>
      <c r="P498" s="387"/>
      <c r="Q498" s="387"/>
      <c r="R498" s="387"/>
      <c r="S498" s="387"/>
      <c r="T498" s="387"/>
      <c r="U498" s="387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386" t="s">
        <v>241</v>
      </c>
      <c r="C499" s="126"/>
      <c r="D499" s="108">
        <f>78*120/1000</f>
        <v>9.36</v>
      </c>
      <c r="E499" s="108"/>
      <c r="F499" s="127"/>
      <c r="G499" s="128"/>
      <c r="H499" s="395">
        <f t="shared" si="223"/>
        <v>0</v>
      </c>
      <c r="I499" s="129"/>
      <c r="J499" s="130"/>
      <c r="K499" s="131"/>
      <c r="L499" s="129"/>
      <c r="M499" s="109"/>
      <c r="N499" s="130"/>
      <c r="O499" s="387"/>
      <c r="P499" s="387"/>
      <c r="Q499" s="387"/>
      <c r="R499" s="387"/>
      <c r="S499" s="387"/>
      <c r="T499" s="387"/>
      <c r="U499" s="387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386" t="s">
        <v>242</v>
      </c>
      <c r="C500" s="126"/>
      <c r="D500" s="108">
        <v>4.5</v>
      </c>
      <c r="E500" s="108"/>
      <c r="F500" s="127"/>
      <c r="G500" s="128"/>
      <c r="H500" s="395">
        <f t="shared" si="223"/>
        <v>0</v>
      </c>
      <c r="I500" s="129"/>
      <c r="J500" s="130"/>
      <c r="K500" s="131"/>
      <c r="L500" s="129"/>
      <c r="M500" s="109"/>
      <c r="N500" s="130"/>
      <c r="O500" s="387"/>
      <c r="P500" s="387"/>
      <c r="Q500" s="387"/>
      <c r="R500" s="387"/>
      <c r="S500" s="387"/>
      <c r="T500" s="387"/>
      <c r="U500" s="387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386" t="s">
        <v>243</v>
      </c>
      <c r="C501" s="126"/>
      <c r="D501" s="108">
        <v>4.5</v>
      </c>
      <c r="E501" s="108"/>
      <c r="F501" s="127"/>
      <c r="G501" s="128"/>
      <c r="H501" s="395">
        <f t="shared" si="223"/>
        <v>0</v>
      </c>
      <c r="I501" s="129"/>
      <c r="J501" s="130"/>
      <c r="K501" s="131"/>
      <c r="L501" s="129"/>
      <c r="M501" s="109"/>
      <c r="N501" s="130"/>
      <c r="O501" s="387"/>
      <c r="P501" s="387"/>
      <c r="Q501" s="387"/>
      <c r="R501" s="387"/>
      <c r="S501" s="387"/>
      <c r="T501" s="387"/>
      <c r="U501" s="387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386"/>
      <c r="C502" s="126"/>
      <c r="D502" s="108"/>
      <c r="E502" s="108"/>
      <c r="F502" s="127"/>
      <c r="G502" s="128"/>
      <c r="H502" s="395">
        <f t="shared" si="223"/>
        <v>0</v>
      </c>
      <c r="I502" s="129"/>
      <c r="J502" s="130"/>
      <c r="K502" s="131"/>
      <c r="L502" s="129"/>
      <c r="M502" s="109"/>
      <c r="N502" s="130"/>
      <c r="O502" s="387"/>
      <c r="P502" s="387"/>
      <c r="Q502" s="387"/>
      <c r="R502" s="387"/>
      <c r="S502" s="387"/>
      <c r="T502" s="387"/>
      <c r="U502" s="387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30" t="s">
        <v>244</v>
      </c>
      <c r="B503" s="631"/>
      <c r="C503" s="393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632" t="s">
        <v>246</v>
      </c>
      <c r="B504" s="633"/>
      <c r="C504" s="633"/>
      <c r="D504" s="633"/>
      <c r="E504" s="633"/>
      <c r="F504" s="634"/>
      <c r="G504" s="154">
        <f>SUM(G368,G426,G461,G477,G487,G503)</f>
        <v>0</v>
      </c>
      <c r="H504" s="154">
        <f>SUM(H368,H426,H461,H477,H487,H503)</f>
        <v>0</v>
      </c>
      <c r="I504" s="154">
        <f>SUM(I368,I426,I461,I477,I487,I503)</f>
        <v>0</v>
      </c>
      <c r="J504" s="155" t="str">
        <f t="array" ref="J504">IF(ISERROR(G504/I504),"",G504/I504)</f>
        <v/>
      </c>
      <c r="K504" s="154">
        <f>SUM(K368,K426,K461,K477,K487,K503)</f>
        <v>0</v>
      </c>
      <c r="L504" s="155" t="str">
        <f>IF(ISERROR(G504/K504),"",G504/K504)</f>
        <v/>
      </c>
      <c r="M504" s="154">
        <f t="shared" ref="M504:V504" si="236">SUM(M368,M426,M461,M477,M487,M503)</f>
        <v>0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 t="str">
        <f t="shared" ref="W504" si="237">IF(ISERROR(V504/G504),"",V504/G504)</f>
        <v/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35" t="s">
        <v>476</v>
      </c>
      <c r="B505" s="392" t="s">
        <v>247</v>
      </c>
      <c r="C505" s="638" t="s">
        <v>248</v>
      </c>
      <c r="D505" s="639"/>
      <c r="E505" s="640" t="s">
        <v>249</v>
      </c>
      <c r="F505" s="640"/>
      <c r="G505" s="643" t="s">
        <v>250</v>
      </c>
      <c r="H505" s="643"/>
      <c r="I505" s="640" t="s">
        <v>251</v>
      </c>
      <c r="J505" s="640"/>
      <c r="K505" s="640" t="s">
        <v>252</v>
      </c>
      <c r="L505" s="640"/>
      <c r="M505" s="640" t="s">
        <v>253</v>
      </c>
      <c r="N505" s="640"/>
      <c r="O505" s="640" t="s">
        <v>254</v>
      </c>
      <c r="P505" s="643" t="s">
        <v>255</v>
      </c>
      <c r="Q505" s="643"/>
      <c r="R505" s="643" t="s">
        <v>252</v>
      </c>
      <c r="S505" s="643"/>
      <c r="T505" s="643" t="s">
        <v>256</v>
      </c>
      <c r="U505" s="643"/>
      <c r="V505" s="643" t="s">
        <v>257</v>
      </c>
      <c r="W505" s="643"/>
      <c r="X505" s="643" t="s">
        <v>252</v>
      </c>
      <c r="Y505" s="643"/>
      <c r="Z505" s="643" t="s">
        <v>256</v>
      </c>
      <c r="AA505" s="643"/>
    </row>
    <row r="506" spans="1:27" ht="20.100000000000001" customHeight="1">
      <c r="A506" s="636"/>
      <c r="B506" s="392" t="s">
        <v>258</v>
      </c>
      <c r="C506" s="638">
        <v>0</v>
      </c>
      <c r="D506" s="639"/>
      <c r="E506" s="642">
        <f>C506*11</f>
        <v>0</v>
      </c>
      <c r="F506" s="642"/>
      <c r="G506" s="643">
        <v>0</v>
      </c>
      <c r="H506" s="643"/>
      <c r="I506" s="642">
        <f>G506*11</f>
        <v>0</v>
      </c>
      <c r="J506" s="642"/>
      <c r="K506" s="642">
        <f>E506-I506</f>
        <v>0</v>
      </c>
      <c r="L506" s="642"/>
      <c r="M506" s="644" t="str">
        <f>IF(ISERROR(K506/E506),"",K506/E506)</f>
        <v/>
      </c>
      <c r="N506" s="644"/>
      <c r="O506" s="640"/>
      <c r="P506" s="643" t="s">
        <v>201</v>
      </c>
      <c r="Q506" s="643"/>
      <c r="R506" s="645">
        <f>SUM(O368:U368)</f>
        <v>0</v>
      </c>
      <c r="S506" s="645"/>
      <c r="T506" s="646" t="str">
        <f t="array" ref="T506">IF(ISERROR(R506/R513),"",R506/R513)</f>
        <v/>
      </c>
      <c r="U506" s="646"/>
      <c r="V506" s="643" t="s">
        <v>259</v>
      </c>
      <c r="W506" s="643"/>
      <c r="X506" s="647">
        <f>SUM(O368,O426,O461,O477,O487,O503)</f>
        <v>0</v>
      </c>
      <c r="Y506" s="647"/>
      <c r="Z506" s="646" t="str">
        <f t="array" ref="Z506">IF(ISERROR(X506/X513),"",X506/X513)</f>
        <v/>
      </c>
      <c r="AA506" s="646"/>
    </row>
    <row r="507" spans="1:27" ht="20.100000000000001" customHeight="1">
      <c r="A507" s="636"/>
      <c r="B507" s="392" t="s">
        <v>260</v>
      </c>
      <c r="C507" s="638">
        <v>0</v>
      </c>
      <c r="D507" s="639"/>
      <c r="E507" s="642">
        <f>C507*11</f>
        <v>0</v>
      </c>
      <c r="F507" s="642"/>
      <c r="G507" s="643">
        <v>0</v>
      </c>
      <c r="H507" s="643"/>
      <c r="I507" s="642">
        <f>G507*11</f>
        <v>0</v>
      </c>
      <c r="J507" s="642"/>
      <c r="K507" s="642">
        <f>E507-I507</f>
        <v>0</v>
      </c>
      <c r="L507" s="642"/>
      <c r="M507" s="644" t="str">
        <f>IF(ISERROR(K507/E507),"",K507/E507)</f>
        <v/>
      </c>
      <c r="N507" s="644"/>
      <c r="O507" s="640"/>
      <c r="P507" s="643" t="s">
        <v>216</v>
      </c>
      <c r="Q507" s="643"/>
      <c r="R507" s="645">
        <f>SUM(O426:U426)</f>
        <v>0</v>
      </c>
      <c r="S507" s="645"/>
      <c r="T507" s="646" t="str">
        <f>IF(ISERROR(R507/R513),"",R507/R513)</f>
        <v/>
      </c>
      <c r="U507" s="646"/>
      <c r="V507" s="643" t="s">
        <v>261</v>
      </c>
      <c r="W507" s="643"/>
      <c r="X507" s="647">
        <f>SUM(O369,O427,O462,O478,O488,O504)</f>
        <v>0</v>
      </c>
      <c r="Y507" s="647"/>
      <c r="Z507" s="646" t="str">
        <f>IF(ISERROR(X507/X513),"",X507/X513)</f>
        <v/>
      </c>
      <c r="AA507" s="646"/>
    </row>
    <row r="508" spans="1:27" ht="20.100000000000001" customHeight="1">
      <c r="A508" s="636"/>
      <c r="B508" s="392" t="s">
        <v>262</v>
      </c>
      <c r="C508" s="638">
        <v>0</v>
      </c>
      <c r="D508" s="639"/>
      <c r="E508" s="642">
        <f>C508*11</f>
        <v>0</v>
      </c>
      <c r="F508" s="642"/>
      <c r="G508" s="643">
        <v>0</v>
      </c>
      <c r="H508" s="643"/>
      <c r="I508" s="642">
        <f>G508*11</f>
        <v>0</v>
      </c>
      <c r="J508" s="642"/>
      <c r="K508" s="642">
        <f>E508-I508</f>
        <v>0</v>
      </c>
      <c r="L508" s="642"/>
      <c r="M508" s="644" t="str">
        <f>IF(ISERROR(K508/E508),"",K508/E508)</f>
        <v/>
      </c>
      <c r="N508" s="644"/>
      <c r="O508" s="640"/>
      <c r="P508" s="643" t="s">
        <v>224</v>
      </c>
      <c r="Q508" s="643"/>
      <c r="R508" s="645">
        <f>SUM(O461:U461)</f>
        <v>0</v>
      </c>
      <c r="S508" s="645"/>
      <c r="T508" s="646" t="str">
        <f>IF(ISERROR(R508/R513),"",R508/R513)</f>
        <v/>
      </c>
      <c r="U508" s="646"/>
      <c r="V508" s="643" t="s">
        <v>263</v>
      </c>
      <c r="W508" s="643"/>
      <c r="X508" s="647">
        <f>SUM(O371,O428,O463,O479,O489,O505)</f>
        <v>0</v>
      </c>
      <c r="Y508" s="647"/>
      <c r="Z508" s="646" t="str">
        <f>IF(ISERROR(X508/X513),"",X508/X513)</f>
        <v/>
      </c>
      <c r="AA508" s="646"/>
    </row>
    <row r="509" spans="1:27" ht="20.100000000000001" customHeight="1">
      <c r="A509" s="636"/>
      <c r="B509" s="392" t="s">
        <v>264</v>
      </c>
      <c r="C509" s="638">
        <v>1</v>
      </c>
      <c r="D509" s="639"/>
      <c r="E509" s="642">
        <f>C509*11</f>
        <v>11</v>
      </c>
      <c r="F509" s="642"/>
      <c r="G509" s="643">
        <v>1</v>
      </c>
      <c r="H509" s="643"/>
      <c r="I509" s="642">
        <f>G509*11</f>
        <v>11</v>
      </c>
      <c r="J509" s="642"/>
      <c r="K509" s="642">
        <f>E509-I509</f>
        <v>0</v>
      </c>
      <c r="L509" s="642"/>
      <c r="M509" s="644">
        <f>IF(ISERROR(K509/E509),"",K509/E509)</f>
        <v>0</v>
      </c>
      <c r="N509" s="644"/>
      <c r="O509" s="640"/>
      <c r="P509" s="643" t="s">
        <v>231</v>
      </c>
      <c r="Q509" s="643"/>
      <c r="R509" s="645">
        <f>SUM(O477:U477)</f>
        <v>0</v>
      </c>
      <c r="S509" s="645"/>
      <c r="T509" s="646" t="str">
        <f>IF(ISERROR(R509/R513),"",R509/R513)</f>
        <v/>
      </c>
      <c r="U509" s="646"/>
      <c r="V509" s="643" t="s">
        <v>265</v>
      </c>
      <c r="W509" s="643"/>
      <c r="X509" s="647">
        <f>SUM(O372,O429,O464,O480,O490,O506)</f>
        <v>0</v>
      </c>
      <c r="Y509" s="647"/>
      <c r="Z509" s="646" t="str">
        <f>IF(ISERROR(X509/X513),"",X509/X513)</f>
        <v/>
      </c>
      <c r="AA509" s="646"/>
    </row>
    <row r="510" spans="1:27" ht="20.100000000000001" customHeight="1">
      <c r="A510" s="637"/>
      <c r="B510" s="392" t="s">
        <v>266</v>
      </c>
      <c r="C510" s="648">
        <f>SUM(C506:D509)</f>
        <v>1</v>
      </c>
      <c r="D510" s="649"/>
      <c r="E510" s="642">
        <f>SUM(E506:F509)</f>
        <v>11</v>
      </c>
      <c r="F510" s="642"/>
      <c r="G510" s="643">
        <f>SUM(G506:H509)</f>
        <v>1</v>
      </c>
      <c r="H510" s="643"/>
      <c r="I510" s="642">
        <f>SUM(I506:J509)</f>
        <v>11</v>
      </c>
      <c r="J510" s="642"/>
      <c r="K510" s="642">
        <f>SUM(K506:L509)</f>
        <v>0</v>
      </c>
      <c r="L510" s="642"/>
      <c r="M510" s="644">
        <f>IF(ISERROR(K510/E510),"",K510/E510)</f>
        <v>0</v>
      </c>
      <c r="N510" s="644"/>
      <c r="O510" s="640"/>
      <c r="P510" s="643" t="s">
        <v>234</v>
      </c>
      <c r="Q510" s="643"/>
      <c r="R510" s="645">
        <f>SUM(O487:U487)</f>
        <v>0</v>
      </c>
      <c r="S510" s="645"/>
      <c r="T510" s="646" t="str">
        <f>IF(ISERROR(R510/R513),"",R510/R513)</f>
        <v/>
      </c>
      <c r="U510" s="646"/>
      <c r="V510" s="643" t="s">
        <v>267</v>
      </c>
      <c r="W510" s="643"/>
      <c r="X510" s="647">
        <f>SUM(O373,O430,O465,O481,O491,O507)</f>
        <v>0</v>
      </c>
      <c r="Y510" s="647"/>
      <c r="Z510" s="646" t="str">
        <f>IF(ISERROR(X510/X513),"",X510/X513)</f>
        <v/>
      </c>
      <c r="AA510" s="646"/>
    </row>
    <row r="511" spans="1:27" ht="20.100000000000001" customHeight="1">
      <c r="A511" s="307" t="s">
        <v>477</v>
      </c>
      <c r="B511" s="392">
        <f>G504</f>
        <v>0</v>
      </c>
      <c r="C511" s="650" t="s">
        <v>269</v>
      </c>
      <c r="D511" s="651"/>
      <c r="E511" s="643">
        <f>H504</f>
        <v>0</v>
      </c>
      <c r="F511" s="643"/>
      <c r="G511" s="643" t="s">
        <v>270</v>
      </c>
      <c r="H511" s="643"/>
      <c r="I511" s="652" t="str">
        <f>L504</f>
        <v/>
      </c>
      <c r="J511" s="652"/>
      <c r="K511" s="640" t="s">
        <v>271</v>
      </c>
      <c r="L511" s="640"/>
      <c r="M511" s="652" t="str">
        <f>J504</f>
        <v/>
      </c>
      <c r="N511" s="652"/>
      <c r="O511" s="640"/>
      <c r="P511" s="643" t="s">
        <v>244</v>
      </c>
      <c r="Q511" s="643"/>
      <c r="R511" s="645">
        <f>SUM(O503:U503)</f>
        <v>0</v>
      </c>
      <c r="S511" s="645"/>
      <c r="T511" s="646" t="str">
        <f>IF(ISERROR(R511/R513),"",R511/R513)</f>
        <v/>
      </c>
      <c r="U511" s="646"/>
      <c r="V511" s="643" t="s">
        <v>272</v>
      </c>
      <c r="W511" s="643"/>
      <c r="X511" s="647">
        <f>SUM(O374,O431,O466,O482,O492,O508)</f>
        <v>0</v>
      </c>
      <c r="Y511" s="647"/>
      <c r="Z511" s="646" t="str">
        <f>IF(ISERROR(X511/X513),"",X511/X513)</f>
        <v/>
      </c>
      <c r="AA511" s="646"/>
    </row>
    <row r="512" spans="1:27" ht="20.100000000000001" customHeight="1">
      <c r="A512" s="308" t="s">
        <v>478</v>
      </c>
      <c r="B512" s="392">
        <f>I504+C510</f>
        <v>1</v>
      </c>
      <c r="C512" s="653" t="s">
        <v>251</v>
      </c>
      <c r="D512" s="654"/>
      <c r="E512" s="655">
        <f>K504+I510</f>
        <v>11</v>
      </c>
      <c r="F512" s="655"/>
      <c r="G512" s="643" t="s">
        <v>274</v>
      </c>
      <c r="H512" s="643"/>
      <c r="I512" s="652">
        <f>B512-E512</f>
        <v>-10</v>
      </c>
      <c r="J512" s="652"/>
      <c r="K512" s="640" t="s">
        <v>275</v>
      </c>
      <c r="L512" s="640"/>
      <c r="M512" s="644">
        <f>IF(ISERROR(I512/E512),"",I512/E512)</f>
        <v>-0.90909090909090906</v>
      </c>
      <c r="N512" s="644"/>
      <c r="O512" s="640"/>
      <c r="P512" s="643" t="s">
        <v>245</v>
      </c>
      <c r="Q512" s="643"/>
      <c r="R512" s="645"/>
      <c r="S512" s="645"/>
      <c r="T512" s="646" t="str">
        <f>IF(ISERROR(R512/R513),"",R512/R513)</f>
        <v/>
      </c>
      <c r="U512" s="646"/>
      <c r="V512" s="643" t="s">
        <v>264</v>
      </c>
      <c r="W512" s="643"/>
      <c r="X512" s="647">
        <f>SUM(O375,O432,O467,O486,O493,O509)</f>
        <v>0</v>
      </c>
      <c r="Y512" s="647"/>
      <c r="Z512" s="646" t="str">
        <f>IF(ISERROR(X512/X513),"",X512/X513)</f>
        <v/>
      </c>
      <c r="AA512" s="646"/>
    </row>
    <row r="513" spans="1:27" ht="20.100000000000001" customHeight="1">
      <c r="A513" s="308" t="s">
        <v>479</v>
      </c>
      <c r="B513" s="392">
        <f>N504</f>
        <v>0</v>
      </c>
      <c r="C513" s="653" t="s">
        <v>277</v>
      </c>
      <c r="D513" s="654"/>
      <c r="E513" s="646">
        <f>IF(ISERROR(B513/B512),"",B513/B512)</f>
        <v>0</v>
      </c>
      <c r="F513" s="646"/>
      <c r="G513" s="643" t="s">
        <v>278</v>
      </c>
      <c r="H513" s="643"/>
      <c r="I513" s="640">
        <f>V504</f>
        <v>0</v>
      </c>
      <c r="J513" s="640"/>
      <c r="K513" s="640" t="s">
        <v>279</v>
      </c>
      <c r="L513" s="640"/>
      <c r="M513" s="644" t="str">
        <f t="array" ref="M513">IF(ISERROR(I513/B511),"",I513/B511)</f>
        <v/>
      </c>
      <c r="N513" s="644"/>
      <c r="O513" s="640"/>
      <c r="P513" s="643" t="s">
        <v>266</v>
      </c>
      <c r="Q513" s="643"/>
      <c r="R513" s="645">
        <f>SUM(R506:S512)</f>
        <v>0</v>
      </c>
      <c r="S513" s="645"/>
      <c r="T513" s="646"/>
      <c r="U513" s="646"/>
      <c r="V513" s="643" t="s">
        <v>266</v>
      </c>
      <c r="W513" s="643"/>
      <c r="X513" s="647">
        <f>SUM(X506:Y512)</f>
        <v>0</v>
      </c>
      <c r="Y513" s="647"/>
      <c r="Z513" s="646"/>
      <c r="AA513" s="646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682" t="str">
        <f>IF(ISERROR(#REF!/#REF!),"",#REF!/#REF!)</f>
        <v/>
      </c>
      <c r="H514" s="682"/>
      <c r="I514" s="682"/>
      <c r="J514" s="125"/>
      <c r="K514" s="160"/>
      <c r="L514" s="122"/>
      <c r="M514" s="122"/>
      <c r="N514" s="682" t="str">
        <f>IF(ISERROR(G514/#REF!),"",G514/#REF!)</f>
        <v/>
      </c>
      <c r="O514" s="682"/>
      <c r="P514" s="682"/>
      <c r="Q514" s="682"/>
      <c r="R514" s="682"/>
      <c r="S514" s="394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685" t="s">
        <v>268</v>
      </c>
      <c r="B516" s="685"/>
      <c r="C516" s="638">
        <f>SUM(B170,B340,B511)</f>
        <v>2970</v>
      </c>
      <c r="D516" s="639"/>
      <c r="E516" s="685" t="s">
        <v>269</v>
      </c>
      <c r="F516" s="685"/>
      <c r="G516" s="655">
        <f>SUM(E170,E340,E511)</f>
        <v>14936.740000000002</v>
      </c>
      <c r="H516" s="655"/>
      <c r="I516" s="643" t="s">
        <v>270</v>
      </c>
      <c r="J516" s="685"/>
      <c r="K516" s="638">
        <f>IF(ISERROR(C516/G517),"",C516/G517)</f>
        <v>10.909744285258794</v>
      </c>
      <c r="L516" s="639"/>
      <c r="M516" s="643" t="s">
        <v>271</v>
      </c>
      <c r="N516" s="643"/>
      <c r="O516" s="680">
        <f t="array" ref="O516">IF(ISERROR(C516/C517),"",C516/C517)</f>
        <v>12.375</v>
      </c>
      <c r="P516" s="681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643" t="s">
        <v>273</v>
      </c>
      <c r="B517" s="643"/>
      <c r="C517" s="638">
        <f>SUM(B171,B341,B512)</f>
        <v>240</v>
      </c>
      <c r="D517" s="639"/>
      <c r="E517" s="643" t="s">
        <v>251</v>
      </c>
      <c r="F517" s="643"/>
      <c r="G517" s="655">
        <f>SUM(E171,E341,E512)</f>
        <v>272.23369515755314</v>
      </c>
      <c r="H517" s="655"/>
      <c r="I517" s="653" t="s">
        <v>274</v>
      </c>
      <c r="J517" s="654"/>
      <c r="K517" s="650">
        <f>C517-G517</f>
        <v>-32.233695157553143</v>
      </c>
      <c r="L517" s="651"/>
      <c r="M517" s="650" t="s">
        <v>275</v>
      </c>
      <c r="N517" s="651"/>
      <c r="O517" s="683">
        <f>IF(ISERROR(K517/C517),"",K517/C517)</f>
        <v>-0.13430706315647142</v>
      </c>
      <c r="P517" s="684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653" t="s">
        <v>276</v>
      </c>
      <c r="B518" s="654"/>
      <c r="C518" s="638">
        <f>SUM(B172,B342,B513)</f>
        <v>0</v>
      </c>
      <c r="D518" s="639"/>
      <c r="E518" s="653" t="s">
        <v>277</v>
      </c>
      <c r="F518" s="654"/>
      <c r="G518" s="646">
        <f>IF(ISERROR(C518/C517),"",C518/C517)</f>
        <v>0</v>
      </c>
      <c r="H518" s="646"/>
      <c r="I518" s="643" t="s">
        <v>278</v>
      </c>
      <c r="J518" s="685"/>
      <c r="K518" s="655">
        <f>SUM(I172,I342,I513)</f>
        <v>0</v>
      </c>
      <c r="L518" s="655"/>
      <c r="M518" s="685" t="s">
        <v>279</v>
      </c>
      <c r="N518" s="685"/>
      <c r="O518" s="683">
        <f t="array" ref="O518">IF(ISERROR(K518/C516),"",K518/C516)</f>
        <v>0</v>
      </c>
      <c r="P518" s="684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394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653" t="s">
        <v>298</v>
      </c>
      <c r="B520" s="654"/>
      <c r="C520" s="653" t="s">
        <v>299</v>
      </c>
      <c r="D520" s="654"/>
      <c r="E520" s="653" t="s">
        <v>256</v>
      </c>
      <c r="F520" s="654"/>
      <c r="G520" s="686" t="s">
        <v>254</v>
      </c>
      <c r="H520" s="687"/>
      <c r="I520" s="653" t="s">
        <v>255</v>
      </c>
      <c r="J520" s="651"/>
      <c r="K520" s="653" t="s">
        <v>300</v>
      </c>
      <c r="L520" s="654"/>
      <c r="M520" s="653" t="s">
        <v>256</v>
      </c>
      <c r="N520" s="654"/>
      <c r="O520" s="643" t="s">
        <v>257</v>
      </c>
      <c r="P520" s="643"/>
      <c r="Q520" s="653" t="s">
        <v>300</v>
      </c>
      <c r="R520" s="654"/>
      <c r="S520" s="653" t="s">
        <v>256</v>
      </c>
      <c r="T520" s="654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692" t="s">
        <v>201</v>
      </c>
      <c r="B521" s="654"/>
      <c r="C521" s="653">
        <f>SUM(G28,G198,G368)</f>
        <v>1154</v>
      </c>
      <c r="D521" s="654"/>
      <c r="E521" s="693">
        <f>IF(ISERROR(C521/C527),"",C521/C527)</f>
        <v>0.38855218855218854</v>
      </c>
      <c r="F521" s="694"/>
      <c r="G521" s="688"/>
      <c r="H521" s="689"/>
      <c r="I521" s="695" t="s">
        <v>301</v>
      </c>
      <c r="J521" s="696"/>
      <c r="K521" s="650">
        <f t="shared" ref="K521:K526" si="238">SUM(R165,U335,U506)</f>
        <v>0</v>
      </c>
      <c r="L521" s="651"/>
      <c r="M521" s="693" t="str">
        <f t="array" ref="M521">IF(ISERROR(K521/K527),"",K521/K527)</f>
        <v/>
      </c>
      <c r="N521" s="694"/>
      <c r="O521" s="643" t="s">
        <v>259</v>
      </c>
      <c r="P521" s="643"/>
      <c r="Q521" s="680">
        <f t="shared" ref="Q521:Q526" si="239">SUM(X165,AA335,AA506)</f>
        <v>0</v>
      </c>
      <c r="R521" s="681"/>
      <c r="S521" s="693" t="str">
        <f t="array" ref="S521">IF(ISERROR(Q521/Q527),"",Q521/Q527)</f>
        <v/>
      </c>
      <c r="T521" s="694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692" t="s">
        <v>216</v>
      </c>
      <c r="B522" s="654"/>
      <c r="C522" s="653">
        <f>SUM(G86,G256,G426)</f>
        <v>0</v>
      </c>
      <c r="D522" s="654"/>
      <c r="E522" s="693">
        <f>IF(ISERROR(C522/C527),"",C522/C527)</f>
        <v>0</v>
      </c>
      <c r="F522" s="694"/>
      <c r="G522" s="688"/>
      <c r="H522" s="689"/>
      <c r="I522" s="695" t="s">
        <v>302</v>
      </c>
      <c r="J522" s="696"/>
      <c r="K522" s="650">
        <f t="shared" si="238"/>
        <v>0</v>
      </c>
      <c r="L522" s="651"/>
      <c r="M522" s="693" t="str">
        <f>IF(ISERROR(K522/K527),"",K522/K527)</f>
        <v/>
      </c>
      <c r="N522" s="694"/>
      <c r="O522" s="643" t="s">
        <v>261</v>
      </c>
      <c r="P522" s="643"/>
      <c r="Q522" s="680">
        <f t="shared" si="239"/>
        <v>0</v>
      </c>
      <c r="R522" s="681"/>
      <c r="S522" s="693" t="str">
        <f>IF(ISERROR(Q522/Q527),"",Q522/Q527)</f>
        <v/>
      </c>
      <c r="T522" s="694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692" t="s">
        <v>224</v>
      </c>
      <c r="B523" s="654"/>
      <c r="C523" s="653">
        <f>SUM(G121,G291,G461)</f>
        <v>1557</v>
      </c>
      <c r="D523" s="654"/>
      <c r="E523" s="693">
        <f>IF(ISERROR(C523/C527),"",C523/C527)</f>
        <v>0.52424242424242429</v>
      </c>
      <c r="F523" s="694"/>
      <c r="G523" s="688"/>
      <c r="H523" s="689"/>
      <c r="I523" s="695" t="s">
        <v>303</v>
      </c>
      <c r="J523" s="696"/>
      <c r="K523" s="650">
        <f t="shared" si="238"/>
        <v>0</v>
      </c>
      <c r="L523" s="651"/>
      <c r="M523" s="693" t="str">
        <f>IF(ISERROR(K523/K527),"",K523/K527)</f>
        <v/>
      </c>
      <c r="N523" s="694"/>
      <c r="O523" s="643" t="s">
        <v>263</v>
      </c>
      <c r="P523" s="643"/>
      <c r="Q523" s="680">
        <f t="shared" si="239"/>
        <v>0</v>
      </c>
      <c r="R523" s="681"/>
      <c r="S523" s="693" t="str">
        <f>IF(ISERROR(Q523/Q527),"",Q523/Q527)</f>
        <v/>
      </c>
      <c r="T523" s="694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692" t="s">
        <v>231</v>
      </c>
      <c r="B524" s="654"/>
      <c r="C524" s="653">
        <f>SUM(G137,G307,G477)</f>
        <v>0</v>
      </c>
      <c r="D524" s="654"/>
      <c r="E524" s="693">
        <f>IF(ISERROR(C524/C527),"",C524/C527)</f>
        <v>0</v>
      </c>
      <c r="F524" s="694"/>
      <c r="G524" s="688"/>
      <c r="H524" s="689"/>
      <c r="I524" s="695" t="s">
        <v>304</v>
      </c>
      <c r="J524" s="696"/>
      <c r="K524" s="650">
        <f t="shared" si="238"/>
        <v>0</v>
      </c>
      <c r="L524" s="651"/>
      <c r="M524" s="693" t="str">
        <f>IF(ISERROR(K524/K527),"",K524/K527)</f>
        <v/>
      </c>
      <c r="N524" s="694"/>
      <c r="O524" s="643" t="s">
        <v>305</v>
      </c>
      <c r="P524" s="643"/>
      <c r="Q524" s="680">
        <f t="shared" si="239"/>
        <v>0</v>
      </c>
      <c r="R524" s="681"/>
      <c r="S524" s="693" t="str">
        <f>IF(ISERROR(Q524/Q527),"",Q524/Q527)</f>
        <v/>
      </c>
      <c r="T524" s="694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92" t="s">
        <v>234</v>
      </c>
      <c r="B525" s="654"/>
      <c r="C525" s="653">
        <f>SUM(G147,G317,G487)</f>
        <v>79</v>
      </c>
      <c r="D525" s="654"/>
      <c r="E525" s="693">
        <f>IF(ISERROR(C525/C527),"",C525/C527)</f>
        <v>2.6599326599326598E-2</v>
      </c>
      <c r="F525" s="694"/>
      <c r="G525" s="688"/>
      <c r="H525" s="689"/>
      <c r="I525" s="695" t="s">
        <v>306</v>
      </c>
      <c r="J525" s="696"/>
      <c r="K525" s="650">
        <f t="shared" si="238"/>
        <v>0</v>
      </c>
      <c r="L525" s="651"/>
      <c r="M525" s="693" t="str">
        <f>IF(ISERROR(K525/K527),"",K525/K527)</f>
        <v/>
      </c>
      <c r="N525" s="694"/>
      <c r="O525" s="643" t="s">
        <v>267</v>
      </c>
      <c r="P525" s="643"/>
      <c r="Q525" s="680">
        <f t="shared" si="239"/>
        <v>0</v>
      </c>
      <c r="R525" s="681"/>
      <c r="S525" s="693" t="str">
        <f>IF(ISERROR(Q525/Q527),"",Q525/Q527)</f>
        <v/>
      </c>
      <c r="T525" s="694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92" t="s">
        <v>244</v>
      </c>
      <c r="B526" s="654"/>
      <c r="C526" s="653">
        <f>SUM(G162,G332,G503)</f>
        <v>180</v>
      </c>
      <c r="D526" s="654"/>
      <c r="E526" s="693">
        <f>IF(ISERROR(C526/C527),"",C526/C527)</f>
        <v>6.0606060606060608E-2</v>
      </c>
      <c r="F526" s="694"/>
      <c r="G526" s="688"/>
      <c r="H526" s="689"/>
      <c r="I526" s="695" t="s">
        <v>307</v>
      </c>
      <c r="J526" s="696"/>
      <c r="K526" s="650">
        <f t="shared" si="238"/>
        <v>0</v>
      </c>
      <c r="L526" s="651"/>
      <c r="M526" s="693" t="str">
        <f>IF(ISERROR(K526/K527),"",K526/K527)</f>
        <v/>
      </c>
      <c r="N526" s="694"/>
      <c r="O526" s="643" t="s">
        <v>272</v>
      </c>
      <c r="P526" s="643"/>
      <c r="Q526" s="680">
        <f t="shared" si="239"/>
        <v>0</v>
      </c>
      <c r="R526" s="681"/>
      <c r="S526" s="693" t="str">
        <f>IF(ISERROR(Q526/Q527),"",Q526/Q527)</f>
        <v/>
      </c>
      <c r="T526" s="694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53" t="s">
        <v>266</v>
      </c>
      <c r="B527" s="654"/>
      <c r="C527" s="653">
        <f>SUM(C521:C526)</f>
        <v>2970</v>
      </c>
      <c r="D527" s="654"/>
      <c r="E527" s="693">
        <f>SUM(E521:F526)</f>
        <v>1</v>
      </c>
      <c r="F527" s="694"/>
      <c r="G527" s="690"/>
      <c r="H527" s="691"/>
      <c r="I527" s="653" t="s">
        <v>266</v>
      </c>
      <c r="J527" s="651"/>
      <c r="K527" s="650">
        <f>SUM(R172,U342,U513)</f>
        <v>0</v>
      </c>
      <c r="L527" s="651"/>
      <c r="M527" s="693"/>
      <c r="N527" s="694"/>
      <c r="O527" s="643" t="s">
        <v>266</v>
      </c>
      <c r="P527" s="643"/>
      <c r="Q527" s="680">
        <f>SUM(Q521:R526)</f>
        <v>0</v>
      </c>
      <c r="R527" s="681"/>
      <c r="S527" s="693">
        <f>SUM(S521:T526)</f>
        <v>0</v>
      </c>
      <c r="T527" s="694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695" t="s">
        <v>308</v>
      </c>
      <c r="B529" s="649"/>
      <c r="C529" s="385" t="s">
        <v>309</v>
      </c>
      <c r="D529" s="385" t="s">
        <v>310</v>
      </c>
      <c r="E529" s="385" t="s">
        <v>311</v>
      </c>
      <c r="F529" s="385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387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395" t="s">
        <v>322</v>
      </c>
      <c r="Q529" s="129" t="s">
        <v>323</v>
      </c>
      <c r="R529" s="109" t="s">
        <v>324</v>
      </c>
      <c r="S529" s="385" t="s">
        <v>325</v>
      </c>
      <c r="T529" s="385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697" t="s">
        <v>327</v>
      </c>
      <c r="B530" s="698"/>
      <c r="C530" s="106">
        <f>D530+E530+F530-G530-O530-P530</f>
        <v>31</v>
      </c>
      <c r="D530" s="106">
        <v>31</v>
      </c>
      <c r="E530" s="106"/>
      <c r="F530" s="106"/>
      <c r="G530" s="107"/>
      <c r="H530" s="106"/>
      <c r="I530" s="106"/>
      <c r="J530" s="106">
        <f>C530-H530-I530</f>
        <v>31</v>
      </c>
      <c r="K530" s="106"/>
      <c r="L530" s="106"/>
      <c r="M530" s="106"/>
      <c r="N530" s="106"/>
      <c r="O530" s="106"/>
      <c r="P530" s="108"/>
      <c r="Q530" s="106">
        <f>J530-K530-L530</f>
        <v>31</v>
      </c>
      <c r="R530" s="109">
        <f>Q530*11-M530-N530</f>
        <v>341</v>
      </c>
      <c r="S530" s="388">
        <f t="array" ref="S530">IF(ISERROR(Q530/J530),"",Q530/J530)</f>
        <v>1</v>
      </c>
      <c r="T530" s="388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697" t="s">
        <v>328</v>
      </c>
      <c r="B531" s="698"/>
      <c r="C531" s="106">
        <f>D531+E531+F531-G531-O531-P531</f>
        <v>30</v>
      </c>
      <c r="D531" s="110">
        <v>30</v>
      </c>
      <c r="E531" s="110"/>
      <c r="F531" s="110"/>
      <c r="G531" s="107"/>
      <c r="H531" s="106"/>
      <c r="I531" s="106"/>
      <c r="J531" s="106">
        <f>C531-H531-I531</f>
        <v>30</v>
      </c>
      <c r="K531" s="106"/>
      <c r="L531" s="106"/>
      <c r="M531" s="106"/>
      <c r="N531" s="106"/>
      <c r="O531" s="110"/>
      <c r="P531" s="111"/>
      <c r="Q531" s="106">
        <f>J531-K531-L531</f>
        <v>30</v>
      </c>
      <c r="R531" s="109">
        <f>Q531*11-M531-N531</f>
        <v>330</v>
      </c>
      <c r="S531" s="388">
        <f t="array" ref="S531">IF(ISERROR(Q531/J531),"",Q531/J531)</f>
        <v>1</v>
      </c>
      <c r="T531" s="388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697" t="s">
        <v>329</v>
      </c>
      <c r="B532" s="698"/>
      <c r="C532" s="106">
        <f>D532+E532+F532-G532-O532-P532</f>
        <v>10</v>
      </c>
      <c r="D532" s="110"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388">
        <f t="array" ref="S532">IF(ISERROR(Q532/J532),"",Q532/J532)</f>
        <v>1</v>
      </c>
      <c r="T532" s="388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699" t="s">
        <v>330</v>
      </c>
      <c r="B533" s="700"/>
      <c r="C533" s="112">
        <f>SUM(C530:C532)</f>
        <v>71</v>
      </c>
      <c r="D533" s="112">
        <f t="shared" ref="D533:N533" si="240">SUM(D530:D532)</f>
        <v>71</v>
      </c>
      <c r="E533" s="112">
        <f t="shared" si="240"/>
        <v>0</v>
      </c>
      <c r="F533" s="112">
        <f t="shared" si="240"/>
        <v>0</v>
      </c>
      <c r="G533" s="113">
        <f t="shared" si="240"/>
        <v>0</v>
      </c>
      <c r="H533" s="112">
        <f t="shared" si="240"/>
        <v>0</v>
      </c>
      <c r="I533" s="112">
        <f t="shared" si="240"/>
        <v>0</v>
      </c>
      <c r="J533" s="112">
        <f t="shared" si="240"/>
        <v>71</v>
      </c>
      <c r="K533" s="112">
        <f t="shared" si="240"/>
        <v>0</v>
      </c>
      <c r="L533" s="112">
        <f t="shared" si="240"/>
        <v>0</v>
      </c>
      <c r="M533" s="112">
        <f t="shared" si="240"/>
        <v>0</v>
      </c>
      <c r="N533" s="112">
        <f t="shared" si="240"/>
        <v>0</v>
      </c>
      <c r="O533" s="112">
        <f>SUM(O530:O532)</f>
        <v>0</v>
      </c>
      <c r="P533" s="112">
        <f>SUM(P530:P532)</f>
        <v>0</v>
      </c>
      <c r="Q533" s="112">
        <f>SUM(Q530:Q532)</f>
        <v>71</v>
      </c>
      <c r="R533" s="114">
        <f>SUM(R530:R532)</f>
        <v>781</v>
      </c>
      <c r="S533" s="115">
        <f t="array" ref="S533">IF(ISERROR(Q533/J533),"",Q533/J533)</f>
        <v>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174" activePane="bottomRight" state="frozen"/>
      <selection activeCell="F484" sqref="F484"/>
      <selection pane="topRight" activeCell="F484" sqref="F484"/>
      <selection pane="bottomLeft" activeCell="F484" sqref="F484"/>
      <selection pane="bottomRight" activeCell="F484" sqref="F48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07" t="s">
        <v>413</v>
      </c>
      <c r="B1" s="607"/>
      <c r="C1" s="607"/>
      <c r="D1" s="607"/>
      <c r="E1" s="607"/>
      <c r="F1" s="607"/>
      <c r="G1" s="607"/>
      <c r="H1" s="607"/>
      <c r="I1" s="607"/>
      <c r="J1" s="607"/>
      <c r="K1" s="607"/>
      <c r="L1" s="607"/>
      <c r="M1" s="607"/>
      <c r="N1" s="607"/>
      <c r="O1" s="607"/>
      <c r="P1" s="607"/>
      <c r="Q1" s="607"/>
      <c r="R1" s="607"/>
      <c r="S1" s="607"/>
      <c r="T1" s="607"/>
      <c r="U1" s="607"/>
      <c r="V1" s="607"/>
      <c r="W1" s="607"/>
      <c r="X1" s="607"/>
      <c r="Y1" s="607"/>
      <c r="Z1" s="607"/>
      <c r="AA1" s="607"/>
    </row>
    <row r="2" spans="1:27" ht="18.75">
      <c r="A2" s="608"/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09" t="s">
        <v>12</v>
      </c>
      <c r="B4" s="609" t="s">
        <v>25</v>
      </c>
      <c r="C4" s="609" t="s">
        <v>26</v>
      </c>
      <c r="D4" s="609" t="s">
        <v>27</v>
      </c>
      <c r="E4" s="612" t="s">
        <v>28</v>
      </c>
      <c r="F4" s="615" t="s">
        <v>29</v>
      </c>
      <c r="G4" s="618" t="s">
        <v>30</v>
      </c>
      <c r="H4" s="618"/>
      <c r="I4" s="609" t="s">
        <v>31</v>
      </c>
      <c r="J4" s="621" t="s">
        <v>32</v>
      </c>
      <c r="K4" s="624" t="s">
        <v>33</v>
      </c>
      <c r="L4" s="609" t="s">
        <v>34</v>
      </c>
      <c r="M4" s="627" t="s">
        <v>35</v>
      </c>
      <c r="N4" s="629" t="s">
        <v>36</v>
      </c>
      <c r="O4" s="618" t="s">
        <v>37</v>
      </c>
      <c r="P4" s="618"/>
      <c r="Q4" s="618"/>
      <c r="R4" s="618"/>
      <c r="S4" s="618"/>
      <c r="T4" s="618"/>
      <c r="U4" s="618"/>
      <c r="V4" s="618" t="s">
        <v>38</v>
      </c>
      <c r="W4" s="629" t="s">
        <v>39</v>
      </c>
      <c r="X4" s="618" t="s">
        <v>40</v>
      </c>
      <c r="Y4" s="618"/>
      <c r="Z4" s="618"/>
      <c r="AA4" s="618"/>
    </row>
    <row r="5" spans="1:27" s="104" customFormat="1" ht="15" customHeight="1">
      <c r="A5" s="610"/>
      <c r="B5" s="610"/>
      <c r="C5" s="610"/>
      <c r="D5" s="610"/>
      <c r="E5" s="613"/>
      <c r="F5" s="616"/>
      <c r="G5" s="618"/>
      <c r="H5" s="618"/>
      <c r="I5" s="610"/>
      <c r="J5" s="622"/>
      <c r="K5" s="625"/>
      <c r="L5" s="610"/>
      <c r="M5" s="628"/>
      <c r="N5" s="629"/>
      <c r="O5" s="618" t="s">
        <v>41</v>
      </c>
      <c r="P5" s="618" t="s">
        <v>42</v>
      </c>
      <c r="Q5" s="618" t="s">
        <v>43</v>
      </c>
      <c r="R5" s="619" t="s">
        <v>44</v>
      </c>
      <c r="S5" s="620" t="s">
        <v>45</v>
      </c>
      <c r="T5" s="618" t="s">
        <v>46</v>
      </c>
      <c r="U5" s="618" t="s">
        <v>47</v>
      </c>
      <c r="V5" s="618"/>
      <c r="W5" s="629"/>
      <c r="X5" s="618" t="s">
        <v>13</v>
      </c>
      <c r="Y5" s="618" t="s">
        <v>48</v>
      </c>
      <c r="Z5" s="618" t="s">
        <v>49</v>
      </c>
      <c r="AA5" s="618" t="s">
        <v>47</v>
      </c>
    </row>
    <row r="6" spans="1:27" s="104" customFormat="1" ht="27.75" customHeight="1">
      <c r="A6" s="611"/>
      <c r="B6" s="611"/>
      <c r="C6" s="611"/>
      <c r="D6" s="611"/>
      <c r="E6" s="614"/>
      <c r="F6" s="617"/>
      <c r="G6" s="350" t="s">
        <v>50</v>
      </c>
      <c r="H6" s="396" t="s">
        <v>51</v>
      </c>
      <c r="I6" s="611"/>
      <c r="J6" s="623"/>
      <c r="K6" s="626"/>
      <c r="L6" s="611"/>
      <c r="M6" s="628"/>
      <c r="N6" s="629"/>
      <c r="O6" s="618"/>
      <c r="P6" s="618"/>
      <c r="Q6" s="618"/>
      <c r="R6" s="619"/>
      <c r="S6" s="620"/>
      <c r="T6" s="618"/>
      <c r="U6" s="618"/>
      <c r="V6" s="618"/>
      <c r="W6" s="629"/>
      <c r="X6" s="618"/>
      <c r="Y6" s="618"/>
      <c r="Z6" s="618"/>
      <c r="AA6" s="618"/>
    </row>
    <row r="7" spans="1:27" ht="20.100000000000001" customHeight="1">
      <c r="A7" s="299">
        <v>30100030</v>
      </c>
      <c r="B7" s="398" t="s">
        <v>178</v>
      </c>
      <c r="C7" s="126" t="s">
        <v>179</v>
      </c>
      <c r="D7" s="108">
        <v>5.03</v>
      </c>
      <c r="E7" s="108"/>
      <c r="F7" s="127">
        <v>42710</v>
      </c>
      <c r="G7" s="128">
        <f>108*5+18</f>
        <v>558</v>
      </c>
      <c r="H7" s="407">
        <f t="shared" ref="H7:H27" si="0">D7*G7</f>
        <v>2806.7400000000002</v>
      </c>
      <c r="I7" s="129">
        <f>11*4</f>
        <v>44</v>
      </c>
      <c r="J7" s="130">
        <f t="array" ref="J7">IF(ISERROR(G7/I7),"",G7/I7)</f>
        <v>12.681818181818182</v>
      </c>
      <c r="K7" s="131">
        <f t="array" ref="K7">IF(ISERROR(G7/L7),"",G7/L7)</f>
        <v>34.875</v>
      </c>
      <c r="L7" s="129">
        <v>16</v>
      </c>
      <c r="M7" s="109">
        <f t="shared" ref="M7:M27" si="1">IF(ISERROR(I7-K7),"",I7-K7)</f>
        <v>9.125</v>
      </c>
      <c r="N7" s="130">
        <f>SUM(O7:U7)</f>
        <v>0</v>
      </c>
      <c r="O7" s="399"/>
      <c r="P7" s="399"/>
      <c r="Q7" s="399"/>
      <c r="R7" s="399"/>
      <c r="S7" s="399"/>
      <c r="T7" s="399"/>
      <c r="U7" s="399"/>
      <c r="V7" s="132">
        <f t="shared" ref="V7:V12" si="2">SUM(X7:AA7)</f>
        <v>0</v>
      </c>
      <c r="W7" s="133">
        <f t="shared" ref="W7:W12" si="3">IF(ISERROR(V7/G7),"",V7/G7)</f>
        <v>0</v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07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399"/>
      <c r="Q8" s="399"/>
      <c r="R8" s="399"/>
      <c r="S8" s="399"/>
      <c r="T8" s="399"/>
      <c r="U8" s="39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07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399"/>
      <c r="P9" s="399"/>
      <c r="Q9" s="399"/>
      <c r="R9" s="399"/>
      <c r="S9" s="399"/>
      <c r="T9" s="399"/>
      <c r="U9" s="39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>
        <v>42709</v>
      </c>
      <c r="G10" s="128">
        <f>37+108</f>
        <v>145</v>
      </c>
      <c r="H10" s="407">
        <f t="shared" si="0"/>
        <v>729.35</v>
      </c>
      <c r="I10" s="129">
        <f>2*4</f>
        <v>8</v>
      </c>
      <c r="J10" s="130">
        <f t="array" ref="J10">IF(ISERROR(G10/I10),"",G10/I10)</f>
        <v>18.125</v>
      </c>
      <c r="K10" s="131">
        <f t="array" ref="K10">IF(ISERROR(G10/L10),"",G10/L10)</f>
        <v>7.6315789473684212</v>
      </c>
      <c r="L10" s="129">
        <v>19</v>
      </c>
      <c r="M10" s="109">
        <f t="shared" si="1"/>
        <v>0.36842105263157876</v>
      </c>
      <c r="N10" s="130">
        <f t="shared" si="4"/>
        <v>0</v>
      </c>
      <c r="O10" s="399"/>
      <c r="P10" s="399"/>
      <c r="Q10" s="399"/>
      <c r="R10" s="399"/>
      <c r="S10" s="399"/>
      <c r="T10" s="399"/>
      <c r="U10" s="399"/>
      <c r="V10" s="132">
        <f t="shared" si="2"/>
        <v>0</v>
      </c>
      <c r="W10" s="133">
        <f t="shared" si="3"/>
        <v>0</v>
      </c>
      <c r="X10" s="132"/>
      <c r="Y10" s="132"/>
      <c r="Z10" s="132"/>
      <c r="AA10" s="132"/>
    </row>
    <row r="11" spans="1:27" ht="20.10000000000000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>
        <v>42709</v>
      </c>
      <c r="G11" s="128">
        <f>108*5+29</f>
        <v>569</v>
      </c>
      <c r="H11" s="407">
        <f t="shared" si="0"/>
        <v>2862.07</v>
      </c>
      <c r="I11" s="129">
        <f>9*4</f>
        <v>36</v>
      </c>
      <c r="J11" s="130">
        <f t="array" ref="J11">IF(ISERROR(G11/I11),"",G11/I11)</f>
        <v>15.805555555555555</v>
      </c>
      <c r="K11" s="131">
        <f t="array" ref="K11">IF(ISERROR(G11/L11),"",G11/L11)</f>
        <v>28.45</v>
      </c>
      <c r="L11" s="129">
        <v>20</v>
      </c>
      <c r="M11" s="109">
        <f t="shared" si="1"/>
        <v>7.5500000000000007</v>
      </c>
      <c r="N11" s="130">
        <f t="shared" si="4"/>
        <v>0</v>
      </c>
      <c r="O11" s="399"/>
      <c r="P11" s="399"/>
      <c r="Q11" s="399"/>
      <c r="R11" s="399"/>
      <c r="S11" s="399"/>
      <c r="T11" s="399"/>
      <c r="U11" s="399"/>
      <c r="V11" s="132">
        <f t="shared" si="2"/>
        <v>0</v>
      </c>
      <c r="W11" s="133">
        <f t="shared" si="3"/>
        <v>0</v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07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399"/>
      <c r="P12" s="399"/>
      <c r="Q12" s="399"/>
      <c r="R12" s="399"/>
      <c r="S12" s="399"/>
      <c r="T12" s="399"/>
      <c r="U12" s="39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07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399"/>
      <c r="P13" s="399"/>
      <c r="Q13" s="399"/>
      <c r="R13" s="399"/>
      <c r="S13" s="399"/>
      <c r="T13" s="399"/>
      <c r="U13" s="399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07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399"/>
      <c r="P14" s="399"/>
      <c r="Q14" s="399"/>
      <c r="R14" s="399"/>
      <c r="S14" s="399"/>
      <c r="T14" s="399"/>
      <c r="U14" s="399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07">
        <f t="shared" si="0"/>
        <v>0</v>
      </c>
      <c r="I15" s="407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399"/>
      <c r="P15" s="399"/>
      <c r="Q15" s="399"/>
      <c r="R15" s="399"/>
      <c r="S15" s="399"/>
      <c r="T15" s="399"/>
      <c r="U15" s="39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07">
        <f t="shared" si="0"/>
        <v>0</v>
      </c>
      <c r="I16" s="407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399"/>
      <c r="P16" s="399"/>
      <c r="Q16" s="399"/>
      <c r="R16" s="399"/>
      <c r="S16" s="399"/>
      <c r="T16" s="399"/>
      <c r="U16" s="39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07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399"/>
      <c r="P17" s="399"/>
      <c r="Q17" s="399"/>
      <c r="R17" s="399"/>
      <c r="S17" s="399"/>
      <c r="T17" s="399"/>
      <c r="U17" s="399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07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399"/>
      <c r="P18" s="399"/>
      <c r="Q18" s="399"/>
      <c r="R18" s="399"/>
      <c r="S18" s="399"/>
      <c r="T18" s="399"/>
      <c r="U18" s="399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07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99"/>
      <c r="P19" s="399"/>
      <c r="Q19" s="399"/>
      <c r="R19" s="399"/>
      <c r="S19" s="399"/>
      <c r="T19" s="399"/>
      <c r="U19" s="399"/>
      <c r="V19" s="132">
        <f t="shared" ref="V19:V21" si="5">SUM(X19:AA19)</f>
        <v>0</v>
      </c>
      <c r="W19" s="400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07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399"/>
      <c r="P20" s="399"/>
      <c r="Q20" s="399"/>
      <c r="R20" s="399"/>
      <c r="S20" s="399"/>
      <c r="T20" s="399"/>
      <c r="U20" s="39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07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399"/>
      <c r="P21" s="399"/>
      <c r="Q21" s="399"/>
      <c r="R21" s="399"/>
      <c r="S21" s="399"/>
      <c r="T21" s="399"/>
      <c r="U21" s="399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397" t="s">
        <v>190</v>
      </c>
      <c r="D22" s="108">
        <v>4.8</v>
      </c>
      <c r="E22" s="108"/>
      <c r="F22" s="127"/>
      <c r="G22" s="128"/>
      <c r="H22" s="407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399"/>
      <c r="P22" s="399"/>
      <c r="Q22" s="399"/>
      <c r="R22" s="399"/>
      <c r="S22" s="399"/>
      <c r="T22" s="399"/>
      <c r="U22" s="399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397" t="s">
        <v>187</v>
      </c>
      <c r="D23" s="108">
        <v>4.8</v>
      </c>
      <c r="E23" s="108"/>
      <c r="F23" s="127"/>
      <c r="G23" s="128"/>
      <c r="H23" s="407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399"/>
      <c r="P23" s="399"/>
      <c r="Q23" s="399"/>
      <c r="R23" s="399"/>
      <c r="S23" s="399"/>
      <c r="T23" s="399"/>
      <c r="U23" s="399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397" t="s">
        <v>179</v>
      </c>
      <c r="D24" s="108">
        <v>4.8</v>
      </c>
      <c r="E24" s="108"/>
      <c r="F24" s="127"/>
      <c r="G24" s="128"/>
      <c r="H24" s="407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399"/>
      <c r="P24" s="399"/>
      <c r="Q24" s="399"/>
      <c r="R24" s="399"/>
      <c r="S24" s="399"/>
      <c r="T24" s="399"/>
      <c r="U24" s="399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397" t="s">
        <v>199</v>
      </c>
      <c r="D25" s="108">
        <v>4.8</v>
      </c>
      <c r="E25" s="108"/>
      <c r="F25" s="127"/>
      <c r="G25" s="128"/>
      <c r="H25" s="407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399"/>
      <c r="P25" s="399"/>
      <c r="Q25" s="399"/>
      <c r="R25" s="399"/>
      <c r="S25" s="399"/>
      <c r="T25" s="399"/>
      <c r="U25" s="399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07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399"/>
      <c r="P26" s="399"/>
      <c r="Q26" s="399"/>
      <c r="R26" s="399"/>
      <c r="S26" s="399"/>
      <c r="T26" s="399"/>
      <c r="U26" s="399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07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399"/>
      <c r="P27" s="399"/>
      <c r="Q27" s="399"/>
      <c r="R27" s="399"/>
      <c r="S27" s="399"/>
      <c r="T27" s="399"/>
      <c r="U27" s="39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30" t="s">
        <v>201</v>
      </c>
      <c r="B28" s="631"/>
      <c r="C28" s="405" t="s">
        <v>202</v>
      </c>
      <c r="D28" s="143"/>
      <c r="E28" s="143"/>
      <c r="F28" s="144"/>
      <c r="G28" s="145">
        <f>SUM(G7:G27)</f>
        <v>1272</v>
      </c>
      <c r="H28" s="146">
        <f>SUM(H7:H27)</f>
        <v>6398.16</v>
      </c>
      <c r="I28" s="146">
        <f>SUM(I7:I27)</f>
        <v>88</v>
      </c>
      <c r="J28" s="130">
        <f t="array" ref="J28">IF(ISERROR(G28/I28),"",G28/I28)</f>
        <v>14.454545454545455</v>
      </c>
      <c r="K28" s="146">
        <f>SUM(K7:K27)</f>
        <v>70.956578947368428</v>
      </c>
      <c r="L28" s="147"/>
      <c r="M28" s="146">
        <f t="shared" ref="M28:V28" si="10">SUM(M7:M27)</f>
        <v>17.043421052631579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398" t="s">
        <v>206</v>
      </c>
      <c r="C29" s="126" t="s">
        <v>199</v>
      </c>
      <c r="D29" s="108">
        <v>5.03</v>
      </c>
      <c r="E29" s="108"/>
      <c r="F29" s="127"/>
      <c r="G29" s="128"/>
      <c r="H29" s="407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01"/>
      <c r="P29" s="401"/>
      <c r="Q29" s="401"/>
      <c r="R29" s="401"/>
      <c r="S29" s="401"/>
      <c r="T29" s="401"/>
      <c r="U29" s="401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398" t="s">
        <v>425</v>
      </c>
      <c r="C30" s="187" t="s">
        <v>427</v>
      </c>
      <c r="D30" s="108">
        <v>5.03</v>
      </c>
      <c r="E30" s="108"/>
      <c r="F30" s="127"/>
      <c r="G30" s="128"/>
      <c r="H30" s="407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01"/>
      <c r="P30" s="401"/>
      <c r="Q30" s="401"/>
      <c r="R30" s="401"/>
      <c r="S30" s="401"/>
      <c r="T30" s="401"/>
      <c r="U30" s="401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398" t="s">
        <v>206</v>
      </c>
      <c r="C31" s="126" t="s">
        <v>186</v>
      </c>
      <c r="D31" s="108">
        <v>5.03</v>
      </c>
      <c r="E31" s="108"/>
      <c r="F31" s="127"/>
      <c r="G31" s="128"/>
      <c r="H31" s="407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01"/>
      <c r="P31" s="401"/>
      <c r="Q31" s="401"/>
      <c r="R31" s="401"/>
      <c r="S31" s="401"/>
      <c r="T31" s="401"/>
      <c r="U31" s="401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398" t="s">
        <v>206</v>
      </c>
      <c r="C32" s="126" t="s">
        <v>203</v>
      </c>
      <c r="D32" s="108">
        <v>5.03</v>
      </c>
      <c r="E32" s="108"/>
      <c r="F32" s="127"/>
      <c r="G32" s="128"/>
      <c r="H32" s="407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01"/>
      <c r="P32" s="401"/>
      <c r="Q32" s="401"/>
      <c r="R32" s="401"/>
      <c r="S32" s="401"/>
      <c r="T32" s="401"/>
      <c r="U32" s="401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398" t="s">
        <v>206</v>
      </c>
      <c r="C33" s="126" t="s">
        <v>207</v>
      </c>
      <c r="D33" s="108">
        <v>5.03</v>
      </c>
      <c r="E33" s="108"/>
      <c r="F33" s="127"/>
      <c r="G33" s="128"/>
      <c r="H33" s="407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01"/>
      <c r="P33" s="401"/>
      <c r="Q33" s="401"/>
      <c r="R33" s="401"/>
      <c r="S33" s="401"/>
      <c r="T33" s="401"/>
      <c r="U33" s="401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398" t="s">
        <v>414</v>
      </c>
      <c r="C34" s="187" t="s">
        <v>415</v>
      </c>
      <c r="D34" s="108">
        <v>5.03</v>
      </c>
      <c r="E34" s="108"/>
      <c r="F34" s="127"/>
      <c r="G34" s="128"/>
      <c r="H34" s="407">
        <f t="shared" si="11"/>
        <v>0</v>
      </c>
      <c r="I34" s="129"/>
      <c r="J34" s="130"/>
      <c r="K34" s="131"/>
      <c r="L34" s="129">
        <v>52</v>
      </c>
      <c r="M34" s="109"/>
      <c r="N34" s="130"/>
      <c r="O34" s="401"/>
      <c r="P34" s="401"/>
      <c r="Q34" s="401"/>
      <c r="R34" s="401"/>
      <c r="S34" s="401"/>
      <c r="T34" s="401"/>
      <c r="U34" s="401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398" t="s">
        <v>414</v>
      </c>
      <c r="C35" s="187" t="s">
        <v>416</v>
      </c>
      <c r="D35" s="108">
        <v>5.03</v>
      </c>
      <c r="E35" s="108"/>
      <c r="F35" s="127"/>
      <c r="G35" s="128"/>
      <c r="H35" s="407">
        <f t="shared" si="11"/>
        <v>0</v>
      </c>
      <c r="I35" s="129"/>
      <c r="J35" s="130"/>
      <c r="K35" s="131"/>
      <c r="L35" s="129">
        <v>52</v>
      </c>
      <c r="M35" s="109"/>
      <c r="N35" s="130"/>
      <c r="O35" s="401"/>
      <c r="P35" s="401"/>
      <c r="Q35" s="401"/>
      <c r="R35" s="401"/>
      <c r="S35" s="401"/>
      <c r="T35" s="401"/>
      <c r="U35" s="401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398" t="s">
        <v>414</v>
      </c>
      <c r="C36" s="187" t="s">
        <v>61</v>
      </c>
      <c r="D36" s="108">
        <v>5.03</v>
      </c>
      <c r="E36" s="108"/>
      <c r="F36" s="127"/>
      <c r="G36" s="128"/>
      <c r="H36" s="407">
        <f t="shared" si="11"/>
        <v>0</v>
      </c>
      <c r="I36" s="129"/>
      <c r="J36" s="130"/>
      <c r="K36" s="131"/>
      <c r="L36" s="129">
        <v>52</v>
      </c>
      <c r="M36" s="109"/>
      <c r="N36" s="130"/>
      <c r="O36" s="401"/>
      <c r="P36" s="401"/>
      <c r="Q36" s="401"/>
      <c r="R36" s="401"/>
      <c r="S36" s="401"/>
      <c r="T36" s="401"/>
      <c r="U36" s="401"/>
      <c r="V36" s="132"/>
      <c r="W36" s="133"/>
      <c r="X36" s="132"/>
      <c r="Y36" s="132"/>
      <c r="Z36" s="132"/>
      <c r="AA36" s="132"/>
    </row>
    <row r="37" spans="1:27" ht="20.100000000000001" customHeight="1">
      <c r="A37" s="300">
        <v>30100027</v>
      </c>
      <c r="B37" s="398" t="s">
        <v>208</v>
      </c>
      <c r="C37" s="126" t="s">
        <v>179</v>
      </c>
      <c r="D37" s="108">
        <v>5.08</v>
      </c>
      <c r="E37" s="108"/>
      <c r="F37" s="127">
        <v>42710</v>
      </c>
      <c r="G37" s="128">
        <f>108*2+102</f>
        <v>318</v>
      </c>
      <c r="H37" s="407">
        <f t="shared" si="11"/>
        <v>1615.44</v>
      </c>
      <c r="I37" s="129">
        <f>4.5*4</f>
        <v>18</v>
      </c>
      <c r="J37" s="130">
        <f t="array" ref="J37">IF(ISERROR(G37/I37),"",G37/I37)</f>
        <v>17.666666666666668</v>
      </c>
      <c r="K37" s="131">
        <f t="array" ref="K37">IF(ISERROR(G37/L37),"",G37/L37)</f>
        <v>15.142857142857142</v>
      </c>
      <c r="L37" s="129">
        <v>21</v>
      </c>
      <c r="M37" s="109">
        <f t="shared" ref="M37:M66" si="19">IF(ISERROR(I37-K37),"",I37-K37)</f>
        <v>2.8571428571428577</v>
      </c>
      <c r="N37" s="130">
        <f t="shared" ref="N37:N52" si="20">SUM(O37:U37)</f>
        <v>0</v>
      </c>
      <c r="O37" s="401"/>
      <c r="P37" s="401"/>
      <c r="Q37" s="401"/>
      <c r="R37" s="401"/>
      <c r="S37" s="401"/>
      <c r="T37" s="401"/>
      <c r="U37" s="401"/>
      <c r="V37" s="132">
        <f t="shared" ref="V37:V48" si="21">SUM(X37:AA37)</f>
        <v>0</v>
      </c>
      <c r="W37" s="133">
        <f t="shared" ref="W37:W48" si="22">IF(ISERROR(V37/G37),"",V37/G37)</f>
        <v>0</v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398" t="s">
        <v>208</v>
      </c>
      <c r="C38" s="126" t="s">
        <v>204</v>
      </c>
      <c r="D38" s="108">
        <v>5.08</v>
      </c>
      <c r="E38" s="108"/>
      <c r="F38" s="127"/>
      <c r="G38" s="128"/>
      <c r="H38" s="407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01"/>
      <c r="P38" s="401"/>
      <c r="Q38" s="401"/>
      <c r="R38" s="401"/>
      <c r="S38" s="401"/>
      <c r="T38" s="401"/>
      <c r="U38" s="401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398" t="s">
        <v>208</v>
      </c>
      <c r="C39" s="126" t="s">
        <v>205</v>
      </c>
      <c r="D39" s="108">
        <v>5.08</v>
      </c>
      <c r="E39" s="108"/>
      <c r="F39" s="127"/>
      <c r="G39" s="128"/>
      <c r="H39" s="407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01"/>
      <c r="P39" s="401"/>
      <c r="Q39" s="401"/>
      <c r="R39" s="401"/>
      <c r="S39" s="401"/>
      <c r="T39" s="401"/>
      <c r="U39" s="401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398" t="s">
        <v>208</v>
      </c>
      <c r="C40" s="126" t="s">
        <v>186</v>
      </c>
      <c r="D40" s="108">
        <v>5.08</v>
      </c>
      <c r="E40" s="108"/>
      <c r="F40" s="127"/>
      <c r="G40" s="128"/>
      <c r="H40" s="407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01"/>
      <c r="P40" s="401"/>
      <c r="Q40" s="401"/>
      <c r="R40" s="401"/>
      <c r="S40" s="401"/>
      <c r="T40" s="401"/>
      <c r="U40" s="401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398" t="s">
        <v>208</v>
      </c>
      <c r="C41" s="126" t="s">
        <v>203</v>
      </c>
      <c r="D41" s="108">
        <v>5.08</v>
      </c>
      <c r="E41" s="108"/>
      <c r="F41" s="127"/>
      <c r="G41" s="128"/>
      <c r="H41" s="407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01"/>
      <c r="P41" s="401"/>
      <c r="Q41" s="401"/>
      <c r="R41" s="401"/>
      <c r="S41" s="401"/>
      <c r="T41" s="401"/>
      <c r="U41" s="401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398" t="s">
        <v>208</v>
      </c>
      <c r="C42" s="126" t="s">
        <v>199</v>
      </c>
      <c r="D42" s="108">
        <v>5.08</v>
      </c>
      <c r="E42" s="108"/>
      <c r="F42" s="127"/>
      <c r="G42" s="128"/>
      <c r="H42" s="407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399"/>
      <c r="P42" s="399"/>
      <c r="Q42" s="399"/>
      <c r="R42" s="399"/>
      <c r="S42" s="399"/>
      <c r="T42" s="399"/>
      <c r="U42" s="399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398" t="s">
        <v>208</v>
      </c>
      <c r="C43" s="126" t="s">
        <v>187</v>
      </c>
      <c r="D43" s="108">
        <v>5.08</v>
      </c>
      <c r="E43" s="108"/>
      <c r="F43" s="127"/>
      <c r="G43" s="128"/>
      <c r="H43" s="407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01"/>
      <c r="P43" s="401"/>
      <c r="Q43" s="401"/>
      <c r="R43" s="401"/>
      <c r="S43" s="401"/>
      <c r="T43" s="401"/>
      <c r="U43" s="401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398" t="s">
        <v>208</v>
      </c>
      <c r="C44" s="126" t="s">
        <v>207</v>
      </c>
      <c r="D44" s="108">
        <v>5.08</v>
      </c>
      <c r="E44" s="108"/>
      <c r="F44" s="127"/>
      <c r="G44" s="128"/>
      <c r="H44" s="407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399"/>
      <c r="P44" s="399"/>
      <c r="Q44" s="399"/>
      <c r="R44" s="399"/>
      <c r="S44" s="399"/>
      <c r="T44" s="399"/>
      <c r="U44" s="399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398" t="s">
        <v>209</v>
      </c>
      <c r="C45" s="126" t="s">
        <v>194</v>
      </c>
      <c r="D45" s="108">
        <v>5.03</v>
      </c>
      <c r="E45" s="108"/>
      <c r="F45" s="127"/>
      <c r="G45" s="128"/>
      <c r="H45" s="407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01"/>
      <c r="P45" s="401"/>
      <c r="Q45" s="401"/>
      <c r="R45" s="401"/>
      <c r="S45" s="401"/>
      <c r="T45" s="401"/>
      <c r="U45" s="401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398" t="s">
        <v>209</v>
      </c>
      <c r="C46" s="126" t="s">
        <v>179</v>
      </c>
      <c r="D46" s="108">
        <v>5.03</v>
      </c>
      <c r="E46" s="108"/>
      <c r="F46" s="127"/>
      <c r="G46" s="128"/>
      <c r="H46" s="407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01"/>
      <c r="P46" s="401"/>
      <c r="Q46" s="401"/>
      <c r="R46" s="401"/>
      <c r="S46" s="401"/>
      <c r="T46" s="401"/>
      <c r="U46" s="401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398" t="s">
        <v>209</v>
      </c>
      <c r="C47" s="126" t="s">
        <v>195</v>
      </c>
      <c r="D47" s="108">
        <v>5.03</v>
      </c>
      <c r="E47" s="108"/>
      <c r="F47" s="127"/>
      <c r="G47" s="128"/>
      <c r="H47" s="407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01"/>
      <c r="P47" s="401"/>
      <c r="Q47" s="401"/>
      <c r="R47" s="401"/>
      <c r="S47" s="401"/>
      <c r="T47" s="401"/>
      <c r="U47" s="401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398" t="s">
        <v>209</v>
      </c>
      <c r="C48" s="126" t="s">
        <v>204</v>
      </c>
      <c r="D48" s="108">
        <v>5.03</v>
      </c>
      <c r="E48" s="108"/>
      <c r="F48" s="127"/>
      <c r="G48" s="128"/>
      <c r="H48" s="407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01"/>
      <c r="P48" s="401"/>
      <c r="Q48" s="401"/>
      <c r="R48" s="401"/>
      <c r="S48" s="401"/>
      <c r="T48" s="401"/>
      <c r="U48" s="401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398" t="s">
        <v>382</v>
      </c>
      <c r="C49" s="187" t="s">
        <v>383</v>
      </c>
      <c r="D49" s="108">
        <v>5.03</v>
      </c>
      <c r="E49" s="108"/>
      <c r="F49" s="127"/>
      <c r="G49" s="128"/>
      <c r="H49" s="407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01"/>
      <c r="P49" s="401"/>
      <c r="Q49" s="401"/>
      <c r="R49" s="401"/>
      <c r="S49" s="401"/>
      <c r="T49" s="401"/>
      <c r="U49" s="401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398" t="s">
        <v>382</v>
      </c>
      <c r="C50" s="187" t="s">
        <v>384</v>
      </c>
      <c r="D50" s="108">
        <v>5.03</v>
      </c>
      <c r="E50" s="108"/>
      <c r="F50" s="127"/>
      <c r="G50" s="128"/>
      <c r="H50" s="407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01"/>
      <c r="P50" s="401"/>
      <c r="Q50" s="401"/>
      <c r="R50" s="401"/>
      <c r="S50" s="401"/>
      <c r="T50" s="401"/>
      <c r="U50" s="401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398" t="s">
        <v>382</v>
      </c>
      <c r="C51" s="187" t="s">
        <v>389</v>
      </c>
      <c r="D51" s="108">
        <v>5.03</v>
      </c>
      <c r="E51" s="108"/>
      <c r="F51" s="127"/>
      <c r="G51" s="128"/>
      <c r="H51" s="407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01"/>
      <c r="P51" s="401"/>
      <c r="Q51" s="401"/>
      <c r="R51" s="401"/>
      <c r="S51" s="401"/>
      <c r="T51" s="401"/>
      <c r="U51" s="401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398" t="s">
        <v>382</v>
      </c>
      <c r="C52" s="187" t="s">
        <v>391</v>
      </c>
      <c r="D52" s="108">
        <v>5.03</v>
      </c>
      <c r="E52" s="108"/>
      <c r="F52" s="127"/>
      <c r="G52" s="128"/>
      <c r="H52" s="407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01"/>
      <c r="P52" s="401"/>
      <c r="Q52" s="401"/>
      <c r="R52" s="401"/>
      <c r="S52" s="401"/>
      <c r="T52" s="401"/>
      <c r="U52" s="401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398" t="s">
        <v>418</v>
      </c>
      <c r="C53" s="187" t="s">
        <v>364</v>
      </c>
      <c r="D53" s="108">
        <v>5.03</v>
      </c>
      <c r="E53" s="108"/>
      <c r="F53" s="127"/>
      <c r="G53" s="128"/>
      <c r="H53" s="407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01"/>
      <c r="P53" s="401"/>
      <c r="Q53" s="401"/>
      <c r="R53" s="401"/>
      <c r="S53" s="401"/>
      <c r="T53" s="401"/>
      <c r="U53" s="401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398" t="s">
        <v>418</v>
      </c>
      <c r="C54" s="187" t="s">
        <v>365</v>
      </c>
      <c r="D54" s="108">
        <v>5.03</v>
      </c>
      <c r="E54" s="108"/>
      <c r="F54" s="127"/>
      <c r="G54" s="128"/>
      <c r="H54" s="407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01"/>
      <c r="P54" s="401"/>
      <c r="Q54" s="401"/>
      <c r="R54" s="401"/>
      <c r="S54" s="401"/>
      <c r="T54" s="401"/>
      <c r="U54" s="401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398" t="s">
        <v>418</v>
      </c>
      <c r="C55" s="187" t="s">
        <v>366</v>
      </c>
      <c r="D55" s="108">
        <v>5.03</v>
      </c>
      <c r="E55" s="108"/>
      <c r="F55" s="127"/>
      <c r="G55" s="128"/>
      <c r="H55" s="407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01"/>
      <c r="P55" s="401"/>
      <c r="Q55" s="401"/>
      <c r="R55" s="401"/>
      <c r="S55" s="401"/>
      <c r="T55" s="401"/>
      <c r="U55" s="401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398" t="s">
        <v>418</v>
      </c>
      <c r="C56" s="187" t="s">
        <v>367</v>
      </c>
      <c r="D56" s="108">
        <v>5.03</v>
      </c>
      <c r="E56" s="108"/>
      <c r="F56" s="127"/>
      <c r="G56" s="128"/>
      <c r="H56" s="407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01"/>
      <c r="P56" s="401"/>
      <c r="Q56" s="401"/>
      <c r="R56" s="401"/>
      <c r="S56" s="401"/>
      <c r="T56" s="401"/>
      <c r="U56" s="401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07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399"/>
      <c r="P57" s="399"/>
      <c r="Q57" s="399"/>
      <c r="R57" s="399"/>
      <c r="S57" s="399"/>
      <c r="T57" s="399"/>
      <c r="U57" s="399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07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399"/>
      <c r="P58" s="399"/>
      <c r="Q58" s="399"/>
      <c r="R58" s="399"/>
      <c r="S58" s="399"/>
      <c r="T58" s="399"/>
      <c r="U58" s="399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07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399"/>
      <c r="P59" s="399"/>
      <c r="Q59" s="399"/>
      <c r="R59" s="399"/>
      <c r="S59" s="399"/>
      <c r="T59" s="399"/>
      <c r="U59" s="399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07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399"/>
      <c r="P60" s="399"/>
      <c r="Q60" s="399"/>
      <c r="R60" s="399"/>
      <c r="S60" s="399"/>
      <c r="T60" s="399"/>
      <c r="U60" s="399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07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399"/>
      <c r="P61" s="399"/>
      <c r="Q61" s="399"/>
      <c r="R61" s="399"/>
      <c r="S61" s="399"/>
      <c r="T61" s="399"/>
      <c r="U61" s="399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07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399"/>
      <c r="P62" s="399"/>
      <c r="Q62" s="399"/>
      <c r="R62" s="399"/>
      <c r="S62" s="399"/>
      <c r="T62" s="399"/>
      <c r="U62" s="399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07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399"/>
      <c r="P63" s="399"/>
      <c r="Q63" s="399"/>
      <c r="R63" s="399"/>
      <c r="S63" s="399"/>
      <c r="T63" s="399"/>
      <c r="U63" s="399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07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399"/>
      <c r="P64" s="399"/>
      <c r="Q64" s="399"/>
      <c r="R64" s="399"/>
      <c r="S64" s="399"/>
      <c r="T64" s="399"/>
      <c r="U64" s="399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07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399"/>
      <c r="P65" s="399"/>
      <c r="Q65" s="399"/>
      <c r="R65" s="399"/>
      <c r="S65" s="399"/>
      <c r="T65" s="399"/>
      <c r="U65" s="399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07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399"/>
      <c r="P66" s="399"/>
      <c r="Q66" s="399"/>
      <c r="R66" s="399"/>
      <c r="S66" s="399"/>
      <c r="T66" s="399"/>
      <c r="U66" s="399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07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399"/>
      <c r="P67" s="399"/>
      <c r="Q67" s="399"/>
      <c r="R67" s="399"/>
      <c r="S67" s="399"/>
      <c r="T67" s="399"/>
      <c r="U67" s="399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07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399"/>
      <c r="P68" s="399"/>
      <c r="Q68" s="399"/>
      <c r="R68" s="399"/>
      <c r="S68" s="399"/>
      <c r="T68" s="399"/>
      <c r="U68" s="399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07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399"/>
      <c r="P69" s="399"/>
      <c r="Q69" s="399"/>
      <c r="R69" s="399"/>
      <c r="S69" s="399"/>
      <c r="T69" s="399"/>
      <c r="U69" s="399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07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399"/>
      <c r="P70" s="399"/>
      <c r="Q70" s="399"/>
      <c r="R70" s="399"/>
      <c r="S70" s="399"/>
      <c r="T70" s="399"/>
      <c r="U70" s="399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07">
        <f t="shared" si="11"/>
        <v>0</v>
      </c>
      <c r="I71" s="129"/>
      <c r="J71" s="130"/>
      <c r="K71" s="131"/>
      <c r="L71" s="129"/>
      <c r="M71" s="109"/>
      <c r="N71" s="130"/>
      <c r="O71" s="399"/>
      <c r="P71" s="399"/>
      <c r="Q71" s="399"/>
      <c r="R71" s="399"/>
      <c r="S71" s="399"/>
      <c r="T71" s="399"/>
      <c r="U71" s="399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07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399"/>
      <c r="P72" s="399"/>
      <c r="Q72" s="399"/>
      <c r="R72" s="399"/>
      <c r="S72" s="399"/>
      <c r="T72" s="399"/>
      <c r="U72" s="399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07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399"/>
      <c r="P73" s="399"/>
      <c r="Q73" s="399"/>
      <c r="R73" s="399"/>
      <c r="S73" s="399"/>
      <c r="T73" s="399"/>
      <c r="U73" s="399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07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399"/>
      <c r="P74" s="399"/>
      <c r="Q74" s="399"/>
      <c r="R74" s="399"/>
      <c r="S74" s="399"/>
      <c r="T74" s="399"/>
      <c r="U74" s="399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07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399"/>
      <c r="P75" s="399"/>
      <c r="Q75" s="399"/>
      <c r="R75" s="399"/>
      <c r="S75" s="399"/>
      <c r="T75" s="399"/>
      <c r="U75" s="399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07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399"/>
      <c r="P76" s="399"/>
      <c r="Q76" s="399"/>
      <c r="R76" s="399"/>
      <c r="S76" s="399"/>
      <c r="T76" s="399"/>
      <c r="U76" s="399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07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399"/>
      <c r="P77" s="399"/>
      <c r="Q77" s="399"/>
      <c r="R77" s="399"/>
      <c r="S77" s="399"/>
      <c r="T77" s="399"/>
      <c r="U77" s="399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07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399"/>
      <c r="P78" s="399"/>
      <c r="Q78" s="399"/>
      <c r="R78" s="399"/>
      <c r="S78" s="399"/>
      <c r="T78" s="399"/>
      <c r="U78" s="399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07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399"/>
      <c r="P79" s="399"/>
      <c r="Q79" s="399"/>
      <c r="R79" s="399"/>
      <c r="S79" s="399"/>
      <c r="T79" s="399"/>
      <c r="U79" s="399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07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399"/>
      <c r="P80" s="399"/>
      <c r="Q80" s="399"/>
      <c r="R80" s="399"/>
      <c r="S80" s="399"/>
      <c r="T80" s="399"/>
      <c r="U80" s="399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07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399"/>
      <c r="P81" s="399"/>
      <c r="Q81" s="399"/>
      <c r="R81" s="399"/>
      <c r="S81" s="399"/>
      <c r="T81" s="399"/>
      <c r="U81" s="399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07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399"/>
      <c r="P82" s="399"/>
      <c r="Q82" s="399"/>
      <c r="R82" s="399"/>
      <c r="S82" s="399"/>
      <c r="T82" s="399"/>
      <c r="U82" s="399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07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399"/>
      <c r="P83" s="399"/>
      <c r="Q83" s="399"/>
      <c r="R83" s="399"/>
      <c r="S83" s="399"/>
      <c r="T83" s="399"/>
      <c r="U83" s="399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07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399"/>
      <c r="P84" s="399"/>
      <c r="Q84" s="399"/>
      <c r="R84" s="399"/>
      <c r="S84" s="399"/>
      <c r="T84" s="399"/>
      <c r="U84" s="399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07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399"/>
      <c r="P85" s="399"/>
      <c r="Q85" s="399"/>
      <c r="R85" s="399"/>
      <c r="S85" s="399"/>
      <c r="T85" s="399"/>
      <c r="U85" s="399"/>
      <c r="V85" s="132"/>
      <c r="W85" s="133"/>
      <c r="X85" s="132"/>
      <c r="Y85" s="132"/>
      <c r="Z85" s="132"/>
      <c r="AA85" s="132"/>
    </row>
    <row r="86" spans="1:27" ht="20.100000000000001" customHeight="1">
      <c r="A86" s="641" t="s">
        <v>216</v>
      </c>
      <c r="B86" s="641"/>
      <c r="C86" s="405" t="s">
        <v>202</v>
      </c>
      <c r="D86" s="143"/>
      <c r="E86" s="143"/>
      <c r="F86" s="144"/>
      <c r="G86" s="145">
        <f>SUM(G29:G85)</f>
        <v>318</v>
      </c>
      <c r="H86" s="146">
        <f>SUM(H29:H85)</f>
        <v>1615.44</v>
      </c>
      <c r="I86" s="146">
        <f>SUM(I29:I85)</f>
        <v>18</v>
      </c>
      <c r="J86" s="130">
        <f t="array" ref="J86">IF(ISERROR(G86/I86),"",G86/I86)</f>
        <v>17.666666666666668</v>
      </c>
      <c r="K86" s="146">
        <f>SUM(K29:K85)</f>
        <v>15.142857142857142</v>
      </c>
      <c r="L86" s="147"/>
      <c r="M86" s="150">
        <f t="shared" ref="M86:V86" si="34">SUM(M29:M85)</f>
        <v>2.8571428571428577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398" t="s">
        <v>217</v>
      </c>
      <c r="C87" s="126" t="s">
        <v>179</v>
      </c>
      <c r="D87" s="108">
        <v>5.03</v>
      </c>
      <c r="E87" s="108"/>
      <c r="F87" s="127"/>
      <c r="G87" s="128"/>
      <c r="H87" s="407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399"/>
      <c r="P87" s="399"/>
      <c r="Q87" s="399"/>
      <c r="R87" s="399"/>
      <c r="S87" s="399"/>
      <c r="T87" s="399"/>
      <c r="U87" s="399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398" t="s">
        <v>217</v>
      </c>
      <c r="C88" s="126" t="s">
        <v>186</v>
      </c>
      <c r="D88" s="108">
        <v>5.03</v>
      </c>
      <c r="E88" s="108"/>
      <c r="F88" s="127"/>
      <c r="G88" s="128"/>
      <c r="H88" s="407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399"/>
      <c r="P88" s="399"/>
      <c r="Q88" s="399"/>
      <c r="R88" s="399"/>
      <c r="S88" s="399"/>
      <c r="T88" s="399"/>
      <c r="U88" s="399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398" t="s">
        <v>217</v>
      </c>
      <c r="C89" s="126" t="s">
        <v>204</v>
      </c>
      <c r="D89" s="108">
        <v>5.03</v>
      </c>
      <c r="E89" s="108"/>
      <c r="F89" s="127"/>
      <c r="G89" s="128"/>
      <c r="H89" s="407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399"/>
      <c r="P89" s="399"/>
      <c r="Q89" s="399"/>
      <c r="R89" s="399"/>
      <c r="S89" s="399"/>
      <c r="T89" s="399"/>
      <c r="U89" s="399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07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399"/>
      <c r="P90" s="399"/>
      <c r="Q90" s="399"/>
      <c r="R90" s="399"/>
      <c r="S90" s="399"/>
      <c r="T90" s="399"/>
      <c r="U90" s="399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>
        <v>42707</v>
      </c>
      <c r="G91" s="128">
        <v>107</v>
      </c>
      <c r="H91" s="407">
        <f t="shared" si="36"/>
        <v>538.21</v>
      </c>
      <c r="I91" s="129">
        <f>11+11</f>
        <v>22</v>
      </c>
      <c r="J91" s="130">
        <f t="array" ref="J91">IF(ISERROR(G91/I91),"",G91/I91)</f>
        <v>4.8636363636363633</v>
      </c>
      <c r="K91" s="131">
        <f t="array" ref="K91">IF(ISERROR(G91/L91),"",G91/L91)</f>
        <v>11.50537634408602</v>
      </c>
      <c r="L91" s="129">
        <v>9.3000000000000007</v>
      </c>
      <c r="M91" s="109">
        <f t="shared" si="37"/>
        <v>10.49462365591398</v>
      </c>
      <c r="N91" s="130">
        <f t="shared" si="38"/>
        <v>0</v>
      </c>
      <c r="O91" s="399"/>
      <c r="P91" s="399"/>
      <c r="Q91" s="399"/>
      <c r="R91" s="399"/>
      <c r="S91" s="399"/>
      <c r="T91" s="399"/>
      <c r="U91" s="399"/>
      <c r="V91" s="132">
        <f t="shared" si="39"/>
        <v>0</v>
      </c>
      <c r="W91" s="133">
        <f t="shared" si="35"/>
        <v>0</v>
      </c>
      <c r="X91" s="132"/>
      <c r="Y91" s="132"/>
      <c r="Z91" s="132"/>
      <c r="AA91" s="132"/>
    </row>
    <row r="92" spans="1:27" ht="20.10000000000000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>
        <v>42707</v>
      </c>
      <c r="G92" s="128">
        <f>108</f>
        <v>108</v>
      </c>
      <c r="H92" s="407">
        <f t="shared" si="36"/>
        <v>543.24</v>
      </c>
      <c r="I92" s="129">
        <v>11</v>
      </c>
      <c r="J92" s="130">
        <f t="array" ref="J92">IF(ISERROR(G92/I92),"",G92/I92)</f>
        <v>9.8181818181818183</v>
      </c>
      <c r="K92" s="131">
        <f t="array" ref="K92">IF(ISERROR(G92/L92),"",G92/L92)</f>
        <v>11.61290322580645</v>
      </c>
      <c r="L92" s="129">
        <v>9.3000000000000007</v>
      </c>
      <c r="M92" s="109">
        <f t="shared" si="37"/>
        <v>-0.61290322580645018</v>
      </c>
      <c r="N92" s="130">
        <f t="shared" si="38"/>
        <v>0</v>
      </c>
      <c r="O92" s="399"/>
      <c r="P92" s="399"/>
      <c r="Q92" s="399"/>
      <c r="R92" s="399"/>
      <c r="S92" s="399"/>
      <c r="T92" s="399"/>
      <c r="U92" s="399"/>
      <c r="V92" s="132">
        <f t="shared" si="39"/>
        <v>0</v>
      </c>
      <c r="W92" s="133">
        <f t="shared" si="35"/>
        <v>0</v>
      </c>
      <c r="X92" s="132"/>
      <c r="Y92" s="132"/>
      <c r="Z92" s="132"/>
      <c r="AA92" s="132"/>
    </row>
    <row r="93" spans="1:27" ht="20.10000000000000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>
        <v>42708</v>
      </c>
      <c r="G93" s="128">
        <v>42</v>
      </c>
      <c r="H93" s="407">
        <f t="shared" si="36"/>
        <v>211.26000000000002</v>
      </c>
      <c r="I93" s="129">
        <f>2*2</f>
        <v>4</v>
      </c>
      <c r="J93" s="130">
        <f t="array" ref="J93">IF(ISERROR(G93/I93),"",G93/I93)</f>
        <v>10.5</v>
      </c>
      <c r="K93" s="131">
        <f t="array" ref="K93">IF(ISERROR(G93/L93),"",G93/L93)</f>
        <v>4.5161290322580641</v>
      </c>
      <c r="L93" s="129">
        <v>9.3000000000000007</v>
      </c>
      <c r="M93" s="109">
        <f t="shared" si="37"/>
        <v>-0.51612903225806406</v>
      </c>
      <c r="N93" s="130">
        <f t="shared" si="38"/>
        <v>0</v>
      </c>
      <c r="O93" s="399"/>
      <c r="P93" s="399"/>
      <c r="Q93" s="399"/>
      <c r="R93" s="399"/>
      <c r="S93" s="399"/>
      <c r="T93" s="399"/>
      <c r="U93" s="399"/>
      <c r="V93" s="132">
        <f t="shared" si="39"/>
        <v>0</v>
      </c>
      <c r="W93" s="133">
        <f t="shared" si="35"/>
        <v>0</v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28">
        <v>5.03</v>
      </c>
      <c r="E94" s="108"/>
      <c r="F94" s="127">
        <v>42707</v>
      </c>
      <c r="G94" s="128">
        <v>30</v>
      </c>
      <c r="H94" s="407">
        <f t="shared" si="36"/>
        <v>150.9</v>
      </c>
      <c r="I94" s="129">
        <v>2.5</v>
      </c>
      <c r="J94" s="130">
        <f t="array" ref="J94">IF(ISERROR(G94/I94),"",G94/I94)</f>
        <v>12</v>
      </c>
      <c r="K94" s="131">
        <f t="array" ref="K94">IF(ISERROR(G94/L94),"",G94/L94)</f>
        <v>3.225806451612903</v>
      </c>
      <c r="L94" s="129">
        <v>9.3000000000000007</v>
      </c>
      <c r="M94" s="109">
        <f t="shared" si="37"/>
        <v>-0.72580645161290303</v>
      </c>
      <c r="N94" s="130"/>
      <c r="O94" s="399"/>
      <c r="P94" s="399"/>
      <c r="Q94" s="399"/>
      <c r="R94" s="399"/>
      <c r="S94" s="399"/>
      <c r="T94" s="399"/>
      <c r="U94" s="399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07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399"/>
      <c r="P95" s="399"/>
      <c r="Q95" s="399"/>
      <c r="R95" s="399"/>
      <c r="S95" s="399"/>
      <c r="T95" s="399"/>
      <c r="U95" s="399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07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399"/>
      <c r="P96" s="399"/>
      <c r="Q96" s="399"/>
      <c r="R96" s="399"/>
      <c r="S96" s="399"/>
      <c r="T96" s="399"/>
      <c r="U96" s="399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07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399"/>
      <c r="P97" s="399"/>
      <c r="Q97" s="399"/>
      <c r="R97" s="399"/>
      <c r="S97" s="399"/>
      <c r="T97" s="399"/>
      <c r="U97" s="399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07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399"/>
      <c r="P98" s="399"/>
      <c r="Q98" s="399"/>
      <c r="R98" s="399"/>
      <c r="S98" s="399"/>
      <c r="T98" s="399"/>
      <c r="U98" s="399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07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399"/>
      <c r="P99" s="399"/>
      <c r="Q99" s="399"/>
      <c r="R99" s="399"/>
      <c r="S99" s="399"/>
      <c r="T99" s="399"/>
      <c r="U99" s="399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07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399"/>
      <c r="P100" s="399"/>
      <c r="Q100" s="399"/>
      <c r="R100" s="399"/>
      <c r="S100" s="399"/>
      <c r="T100" s="399"/>
      <c r="U100" s="399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07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399"/>
      <c r="P101" s="399"/>
      <c r="Q101" s="399"/>
      <c r="R101" s="399"/>
      <c r="S101" s="399"/>
      <c r="T101" s="399"/>
      <c r="U101" s="399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07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399"/>
      <c r="P102" s="399"/>
      <c r="Q102" s="399"/>
      <c r="R102" s="399"/>
      <c r="S102" s="399"/>
      <c r="T102" s="399"/>
      <c r="U102" s="399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398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07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399"/>
      <c r="P103" s="399"/>
      <c r="Q103" s="399"/>
      <c r="R103" s="399"/>
      <c r="S103" s="399"/>
      <c r="T103" s="399"/>
      <c r="U103" s="399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398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07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399"/>
      <c r="P104" s="399"/>
      <c r="Q104" s="399"/>
      <c r="R104" s="399"/>
      <c r="S104" s="399"/>
      <c r="T104" s="399"/>
      <c r="U104" s="399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398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07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399"/>
      <c r="P105" s="399"/>
      <c r="Q105" s="399"/>
      <c r="R105" s="399"/>
      <c r="S105" s="399"/>
      <c r="T105" s="399"/>
      <c r="U105" s="399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398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07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399"/>
      <c r="P106" s="399"/>
      <c r="Q106" s="399"/>
      <c r="R106" s="399"/>
      <c r="S106" s="399"/>
      <c r="T106" s="399"/>
      <c r="U106" s="399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398" t="s">
        <v>393</v>
      </c>
      <c r="C107" s="187" t="s">
        <v>395</v>
      </c>
      <c r="D107" s="108">
        <v>5</v>
      </c>
      <c r="E107" s="108"/>
      <c r="F107" s="127"/>
      <c r="G107" s="128"/>
      <c r="H107" s="407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399"/>
      <c r="P107" s="399"/>
      <c r="Q107" s="399"/>
      <c r="R107" s="399"/>
      <c r="S107" s="399"/>
      <c r="T107" s="399"/>
      <c r="U107" s="399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398" t="s">
        <v>393</v>
      </c>
      <c r="C108" s="187" t="s">
        <v>402</v>
      </c>
      <c r="D108" s="108">
        <v>5</v>
      </c>
      <c r="E108" s="108"/>
      <c r="F108" s="127"/>
      <c r="G108" s="128"/>
      <c r="H108" s="407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399"/>
      <c r="P108" s="399"/>
      <c r="Q108" s="399"/>
      <c r="R108" s="399"/>
      <c r="S108" s="399"/>
      <c r="T108" s="399"/>
      <c r="U108" s="399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398" t="s">
        <v>404</v>
      </c>
      <c r="C109" s="187" t="s">
        <v>405</v>
      </c>
      <c r="D109" s="108">
        <v>5</v>
      </c>
      <c r="E109" s="108"/>
      <c r="F109" s="127"/>
      <c r="G109" s="128"/>
      <c r="H109" s="407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399"/>
      <c r="P109" s="399"/>
      <c r="Q109" s="399"/>
      <c r="R109" s="399"/>
      <c r="S109" s="399"/>
      <c r="T109" s="399"/>
      <c r="U109" s="399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398" t="s">
        <v>492</v>
      </c>
      <c r="C110" s="187" t="s">
        <v>372</v>
      </c>
      <c r="D110" s="108">
        <v>5</v>
      </c>
      <c r="E110" s="108"/>
      <c r="F110" s="127"/>
      <c r="G110" s="128"/>
      <c r="H110" s="407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399"/>
      <c r="P110" s="399"/>
      <c r="Q110" s="399"/>
      <c r="R110" s="399"/>
      <c r="S110" s="399"/>
      <c r="T110" s="399"/>
      <c r="U110" s="399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398" t="s">
        <v>343</v>
      </c>
      <c r="C111" s="126" t="s">
        <v>345</v>
      </c>
      <c r="D111" s="108">
        <v>5</v>
      </c>
      <c r="E111" s="108"/>
      <c r="F111" s="127"/>
      <c r="G111" s="128"/>
      <c r="H111" s="407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399"/>
      <c r="P111" s="399"/>
      <c r="Q111" s="399"/>
      <c r="R111" s="399"/>
      <c r="S111" s="399"/>
      <c r="T111" s="399"/>
      <c r="U111" s="399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398" t="s">
        <v>343</v>
      </c>
      <c r="C112" s="126" t="s">
        <v>347</v>
      </c>
      <c r="D112" s="108">
        <v>5</v>
      </c>
      <c r="E112" s="108"/>
      <c r="F112" s="127"/>
      <c r="G112" s="128"/>
      <c r="H112" s="407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399"/>
      <c r="P112" s="399"/>
      <c r="Q112" s="399"/>
      <c r="R112" s="399"/>
      <c r="S112" s="399"/>
      <c r="T112" s="399"/>
      <c r="U112" s="399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07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399"/>
      <c r="P113" s="399"/>
      <c r="Q113" s="399"/>
      <c r="R113" s="399"/>
      <c r="S113" s="399"/>
      <c r="T113" s="399"/>
      <c r="U113" s="399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07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399"/>
      <c r="P114" s="399"/>
      <c r="Q114" s="399"/>
      <c r="R114" s="399"/>
      <c r="S114" s="399"/>
      <c r="T114" s="399"/>
      <c r="U114" s="399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07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399"/>
      <c r="P115" s="399"/>
      <c r="Q115" s="399"/>
      <c r="R115" s="399"/>
      <c r="S115" s="399"/>
      <c r="T115" s="399"/>
      <c r="U115" s="399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07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399"/>
      <c r="P116" s="399"/>
      <c r="Q116" s="399"/>
      <c r="R116" s="399"/>
      <c r="S116" s="399"/>
      <c r="T116" s="399"/>
      <c r="U116" s="399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07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399"/>
      <c r="P117" s="399"/>
      <c r="Q117" s="399"/>
      <c r="R117" s="399"/>
      <c r="S117" s="399"/>
      <c r="T117" s="399"/>
      <c r="U117" s="399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07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399"/>
      <c r="P118" s="399"/>
      <c r="Q118" s="399"/>
      <c r="R118" s="399"/>
      <c r="S118" s="399"/>
      <c r="T118" s="399"/>
      <c r="U118" s="399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07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399"/>
      <c r="P119" s="399"/>
      <c r="Q119" s="399"/>
      <c r="R119" s="399"/>
      <c r="S119" s="399"/>
      <c r="T119" s="399"/>
      <c r="U119" s="399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07">
        <f t="shared" si="36"/>
        <v>0</v>
      </c>
      <c r="I120" s="129"/>
      <c r="J120" s="130" t="str">
        <f t="array" ref="J120">IF(ISERROR(G120/I120),"",G120/I120)</f>
        <v/>
      </c>
      <c r="K120" s="407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399"/>
      <c r="P120" s="399"/>
      <c r="Q120" s="399"/>
      <c r="R120" s="399"/>
      <c r="S120" s="399"/>
      <c r="T120" s="399"/>
      <c r="U120" s="399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30" t="s">
        <v>224</v>
      </c>
      <c r="B121" s="631"/>
      <c r="C121" s="405" t="s">
        <v>202</v>
      </c>
      <c r="D121" s="143"/>
      <c r="E121" s="143"/>
      <c r="F121" s="144"/>
      <c r="G121" s="145">
        <f>SUM(G87:G120)</f>
        <v>287</v>
      </c>
      <c r="H121" s="146">
        <f>SUM(H87:H120)</f>
        <v>1443.6100000000001</v>
      </c>
      <c r="I121" s="146">
        <f>SUM(I87:I120)</f>
        <v>39.5</v>
      </c>
      <c r="J121" s="130">
        <f t="array" ref="J121">IF(ISERROR(G121/I121),"",G121/I121)</f>
        <v>7.2658227848101262</v>
      </c>
      <c r="K121" s="146">
        <f>SUM(K87:K120)</f>
        <v>30.86021505376344</v>
      </c>
      <c r="L121" s="147"/>
      <c r="M121" s="150">
        <f t="shared" ref="M121:V121" si="50">SUM(M87:M120)</f>
        <v>8.6397849462365635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07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399"/>
      <c r="P122" s="399"/>
      <c r="Q122" s="399"/>
      <c r="R122" s="399"/>
      <c r="S122" s="399"/>
      <c r="T122" s="399"/>
      <c r="U122" s="399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07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399"/>
      <c r="P123" s="399"/>
      <c r="Q123" s="399"/>
      <c r="R123" s="399"/>
      <c r="S123" s="399"/>
      <c r="T123" s="399"/>
      <c r="U123" s="399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07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399"/>
      <c r="P124" s="399"/>
      <c r="Q124" s="399"/>
      <c r="R124" s="399"/>
      <c r="S124" s="399"/>
      <c r="T124" s="399"/>
      <c r="U124" s="399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07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399"/>
      <c r="P125" s="399"/>
      <c r="Q125" s="399"/>
      <c r="R125" s="399"/>
      <c r="S125" s="399"/>
      <c r="T125" s="399"/>
      <c r="U125" s="399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03" t="s">
        <v>203</v>
      </c>
      <c r="D126" s="108">
        <v>5.03</v>
      </c>
      <c r="E126" s="108"/>
      <c r="F126" s="127"/>
      <c r="G126" s="128"/>
      <c r="H126" s="407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399"/>
      <c r="P126" s="399"/>
      <c r="Q126" s="399"/>
      <c r="R126" s="399"/>
      <c r="S126" s="399"/>
      <c r="T126" s="399"/>
      <c r="U126" s="399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07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399"/>
      <c r="P127" s="399"/>
      <c r="Q127" s="399"/>
      <c r="R127" s="399"/>
      <c r="S127" s="399"/>
      <c r="T127" s="399"/>
      <c r="U127" s="399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07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399"/>
      <c r="P128" s="399"/>
      <c r="Q128" s="399"/>
      <c r="R128" s="399"/>
      <c r="S128" s="399"/>
      <c r="T128" s="399"/>
      <c r="U128" s="399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03" t="s">
        <v>228</v>
      </c>
      <c r="D129" s="108">
        <v>5.03</v>
      </c>
      <c r="E129" s="108"/>
      <c r="F129" s="127"/>
      <c r="G129" s="128"/>
      <c r="H129" s="407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399"/>
      <c r="P129" s="399"/>
      <c r="Q129" s="399"/>
      <c r="R129" s="399"/>
      <c r="S129" s="399"/>
      <c r="T129" s="399"/>
      <c r="U129" s="399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03" t="s">
        <v>212</v>
      </c>
      <c r="D130" s="108">
        <v>5.03</v>
      </c>
      <c r="E130" s="108"/>
      <c r="F130" s="127"/>
      <c r="G130" s="128"/>
      <c r="H130" s="407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399"/>
      <c r="P130" s="399"/>
      <c r="Q130" s="399"/>
      <c r="R130" s="399"/>
      <c r="S130" s="399"/>
      <c r="T130" s="399"/>
      <c r="U130" s="399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03" t="s">
        <v>203</v>
      </c>
      <c r="D131" s="108">
        <v>5.03</v>
      </c>
      <c r="E131" s="108"/>
      <c r="F131" s="127"/>
      <c r="G131" s="128"/>
      <c r="H131" s="407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399"/>
      <c r="P131" s="399"/>
      <c r="Q131" s="399"/>
      <c r="R131" s="399"/>
      <c r="S131" s="399"/>
      <c r="T131" s="399"/>
      <c r="U131" s="399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03" t="s">
        <v>186</v>
      </c>
      <c r="D132" s="108">
        <v>5.03</v>
      </c>
      <c r="E132" s="108"/>
      <c r="F132" s="127"/>
      <c r="G132" s="128"/>
      <c r="H132" s="407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399"/>
      <c r="P132" s="399"/>
      <c r="Q132" s="399"/>
      <c r="R132" s="399"/>
      <c r="S132" s="399"/>
      <c r="T132" s="399"/>
      <c r="U132" s="399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03" t="s">
        <v>228</v>
      </c>
      <c r="D133" s="108">
        <v>5.03</v>
      </c>
      <c r="E133" s="108"/>
      <c r="F133" s="127"/>
      <c r="G133" s="128"/>
      <c r="H133" s="407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399"/>
      <c r="P133" s="399"/>
      <c r="Q133" s="399"/>
      <c r="R133" s="399"/>
      <c r="S133" s="399"/>
      <c r="T133" s="399"/>
      <c r="U133" s="399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03" t="s">
        <v>199</v>
      </c>
      <c r="D134" s="108">
        <v>5.03</v>
      </c>
      <c r="E134" s="108"/>
      <c r="F134" s="127"/>
      <c r="G134" s="128"/>
      <c r="H134" s="407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399"/>
      <c r="P134" s="399"/>
      <c r="Q134" s="399"/>
      <c r="R134" s="399"/>
      <c r="S134" s="399"/>
      <c r="T134" s="399"/>
      <c r="U134" s="399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07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399"/>
      <c r="P135" s="399"/>
      <c r="Q135" s="399"/>
      <c r="R135" s="399"/>
      <c r="S135" s="399"/>
      <c r="T135" s="399"/>
      <c r="U135" s="399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07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399"/>
      <c r="P136" s="399"/>
      <c r="Q136" s="399"/>
      <c r="R136" s="399"/>
      <c r="S136" s="399"/>
      <c r="T136" s="399"/>
      <c r="U136" s="399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630" t="s">
        <v>231</v>
      </c>
      <c r="B137" s="631"/>
      <c r="C137" s="405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07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399"/>
      <c r="P138" s="399"/>
      <c r="Q138" s="399"/>
      <c r="R138" s="399"/>
      <c r="S138" s="399"/>
      <c r="T138" s="399"/>
      <c r="U138" s="399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07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399"/>
      <c r="P139" s="399"/>
      <c r="Q139" s="399"/>
      <c r="R139" s="399"/>
      <c r="S139" s="399"/>
      <c r="T139" s="399"/>
      <c r="U139" s="399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07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399"/>
      <c r="P140" s="399"/>
      <c r="Q140" s="399"/>
      <c r="R140" s="399"/>
      <c r="S140" s="399"/>
      <c r="T140" s="399"/>
      <c r="U140" s="399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07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399"/>
      <c r="P141" s="399"/>
      <c r="Q141" s="399"/>
      <c r="R141" s="399"/>
      <c r="S141" s="399"/>
      <c r="T141" s="399"/>
      <c r="U141" s="399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07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399"/>
      <c r="P142" s="399"/>
      <c r="Q142" s="399"/>
      <c r="R142" s="399"/>
      <c r="S142" s="399"/>
      <c r="T142" s="399"/>
      <c r="U142" s="399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07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399"/>
      <c r="P143" s="399"/>
      <c r="Q143" s="399"/>
      <c r="R143" s="399"/>
      <c r="S143" s="399"/>
      <c r="T143" s="399"/>
      <c r="U143" s="399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/>
      <c r="G144" s="128"/>
      <c r="H144" s="479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0"/>
      <c r="P144" s="470"/>
      <c r="Q144" s="470"/>
      <c r="R144" s="470"/>
      <c r="S144" s="470"/>
      <c r="T144" s="470"/>
      <c r="U144" s="470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407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399"/>
      <c r="P146" s="399"/>
      <c r="Q146" s="399"/>
      <c r="R146" s="399"/>
      <c r="S146" s="399"/>
      <c r="T146" s="399"/>
      <c r="U146" s="399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hidden="1" customHeight="1">
      <c r="A147" s="630" t="s">
        <v>234</v>
      </c>
      <c r="B147" s="631"/>
      <c r="C147" s="405" t="s">
        <v>202</v>
      </c>
      <c r="D147" s="143"/>
      <c r="E147" s="143"/>
      <c r="F147" s="144"/>
      <c r="G147" s="145">
        <f>SUM(G138:G146)</f>
        <v>0</v>
      </c>
      <c r="H147" s="146">
        <f>SUM(H138:H146)</f>
        <v>0</v>
      </c>
      <c r="I147" s="146">
        <f>SUM(I138:I146)</f>
        <v>0</v>
      </c>
      <c r="J147" s="130" t="str">
        <f t="array" ref="J147">IF(ISERROR(G147/I147),"",G147/I147)</f>
        <v/>
      </c>
      <c r="K147" s="146">
        <f>SUM(K138:K146)</f>
        <v>0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 t="str">
        <f t="shared" si="62"/>
        <v/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397"/>
      <c r="D148" s="108">
        <v>3.65</v>
      </c>
      <c r="E148" s="108"/>
      <c r="F148" s="153"/>
      <c r="G148" s="128"/>
      <c r="H148" s="407">
        <f t="shared" ref="H148:H161" si="63">D148*G148</f>
        <v>0</v>
      </c>
      <c r="I148" s="129"/>
      <c r="J148" s="130" t="str">
        <f t="array" ref="J148">IF(ISERROR(G148/I148),"",G148/I148)</f>
        <v/>
      </c>
      <c r="K148" s="407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399"/>
      <c r="P148" s="399"/>
      <c r="Q148" s="399"/>
      <c r="R148" s="399"/>
      <c r="S148" s="399"/>
      <c r="T148" s="399"/>
      <c r="U148" s="399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397"/>
      <c r="D149" s="108">
        <v>6.58</v>
      </c>
      <c r="E149" s="108"/>
      <c r="F149" s="127"/>
      <c r="G149" s="128"/>
      <c r="H149" s="407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399"/>
      <c r="P149" s="399"/>
      <c r="Q149" s="399"/>
      <c r="R149" s="399"/>
      <c r="S149" s="399"/>
      <c r="T149" s="399"/>
      <c r="U149" s="399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397"/>
      <c r="D150" s="108">
        <v>7.8</v>
      </c>
      <c r="E150" s="108"/>
      <c r="F150" s="127"/>
      <c r="G150" s="128"/>
      <c r="H150" s="407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399"/>
      <c r="P150" s="399"/>
      <c r="Q150" s="399"/>
      <c r="R150" s="399"/>
      <c r="S150" s="399"/>
      <c r="T150" s="399"/>
      <c r="U150" s="399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397"/>
      <c r="D151" s="108">
        <v>4.4000000000000004</v>
      </c>
      <c r="E151" s="108"/>
      <c r="F151" s="127"/>
      <c r="G151" s="128"/>
      <c r="H151" s="407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399"/>
      <c r="P151" s="399"/>
      <c r="Q151" s="399"/>
      <c r="R151" s="399"/>
      <c r="S151" s="399"/>
      <c r="T151" s="399"/>
      <c r="U151" s="399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407">
        <f t="shared" si="63"/>
        <v>0</v>
      </c>
      <c r="I152" s="129"/>
      <c r="J152" s="130"/>
      <c r="K152" s="131"/>
      <c r="L152" s="129">
        <v>6</v>
      </c>
      <c r="M152" s="109"/>
      <c r="N152" s="130"/>
      <c r="O152" s="399"/>
      <c r="P152" s="399"/>
      <c r="Q152" s="399"/>
      <c r="R152" s="399"/>
      <c r="S152" s="399"/>
      <c r="T152" s="399"/>
      <c r="U152" s="399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397" t="s">
        <v>239</v>
      </c>
      <c r="C153" s="397" t="s">
        <v>179</v>
      </c>
      <c r="D153" s="108">
        <v>6.04</v>
      </c>
      <c r="E153" s="108"/>
      <c r="F153" s="127"/>
      <c r="G153" s="128"/>
      <c r="H153" s="407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399"/>
      <c r="P153" s="399"/>
      <c r="Q153" s="399"/>
      <c r="R153" s="399"/>
      <c r="S153" s="399"/>
      <c r="T153" s="399"/>
      <c r="U153" s="399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397" t="s">
        <v>239</v>
      </c>
      <c r="C154" s="397" t="s">
        <v>186</v>
      </c>
      <c r="D154" s="108">
        <v>6.04</v>
      </c>
      <c r="E154" s="108"/>
      <c r="F154" s="127"/>
      <c r="G154" s="128"/>
      <c r="H154" s="407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399"/>
      <c r="P154" s="399"/>
      <c r="Q154" s="399"/>
      <c r="R154" s="399"/>
      <c r="S154" s="399"/>
      <c r="T154" s="399"/>
      <c r="U154" s="399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397" t="s">
        <v>443</v>
      </c>
      <c r="C155" s="397" t="s">
        <v>179</v>
      </c>
      <c r="D155" s="108">
        <v>6</v>
      </c>
      <c r="E155" s="108"/>
      <c r="F155" s="127"/>
      <c r="G155" s="128"/>
      <c r="H155" s="407">
        <f t="shared" si="63"/>
        <v>0</v>
      </c>
      <c r="I155" s="129"/>
      <c r="J155" s="130"/>
      <c r="K155" s="131"/>
      <c r="L155" s="129"/>
      <c r="M155" s="109"/>
      <c r="N155" s="130"/>
      <c r="O155" s="399"/>
      <c r="P155" s="399"/>
      <c r="Q155" s="399"/>
      <c r="R155" s="399"/>
      <c r="S155" s="399"/>
      <c r="T155" s="399"/>
      <c r="U155" s="399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397" t="s">
        <v>443</v>
      </c>
      <c r="C156" s="397" t="s">
        <v>60</v>
      </c>
      <c r="D156" s="108">
        <v>6</v>
      </c>
      <c r="E156" s="108"/>
      <c r="F156" s="127"/>
      <c r="G156" s="128"/>
      <c r="H156" s="407">
        <f t="shared" si="63"/>
        <v>0</v>
      </c>
      <c r="I156" s="129"/>
      <c r="J156" s="130"/>
      <c r="K156" s="131"/>
      <c r="L156" s="129">
        <v>6</v>
      </c>
      <c r="M156" s="109"/>
      <c r="N156" s="130"/>
      <c r="O156" s="399"/>
      <c r="P156" s="399"/>
      <c r="Q156" s="399"/>
      <c r="R156" s="399"/>
      <c r="S156" s="399"/>
      <c r="T156" s="399"/>
      <c r="U156" s="399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398" t="s">
        <v>240</v>
      </c>
      <c r="C157" s="126"/>
      <c r="D157" s="108">
        <v>7.3</v>
      </c>
      <c r="E157" s="108"/>
      <c r="F157" s="127"/>
      <c r="G157" s="128"/>
      <c r="H157" s="407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399"/>
      <c r="P157" s="399"/>
      <c r="Q157" s="399"/>
      <c r="R157" s="399"/>
      <c r="S157" s="399"/>
      <c r="T157" s="399"/>
      <c r="U157" s="399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398" t="s">
        <v>241</v>
      </c>
      <c r="C158" s="126"/>
      <c r="D158" s="108">
        <f>78*120/1000</f>
        <v>9.36</v>
      </c>
      <c r="E158" s="108"/>
      <c r="F158" s="127"/>
      <c r="G158" s="128"/>
      <c r="H158" s="407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399"/>
      <c r="P158" s="399"/>
      <c r="Q158" s="399"/>
      <c r="R158" s="399"/>
      <c r="S158" s="399"/>
      <c r="T158" s="399"/>
      <c r="U158" s="399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398" t="s">
        <v>242</v>
      </c>
      <c r="C159" s="126"/>
      <c r="D159" s="108">
        <v>4.5</v>
      </c>
      <c r="E159" s="108"/>
      <c r="F159" s="127"/>
      <c r="G159" s="128"/>
      <c r="H159" s="407">
        <f t="shared" si="63"/>
        <v>0</v>
      </c>
      <c r="I159" s="129"/>
      <c r="J159" s="130"/>
      <c r="K159" s="131"/>
      <c r="L159" s="129"/>
      <c r="M159" s="109"/>
      <c r="N159" s="130"/>
      <c r="O159" s="399"/>
      <c r="P159" s="399"/>
      <c r="Q159" s="399"/>
      <c r="R159" s="399"/>
      <c r="S159" s="399"/>
      <c r="T159" s="399"/>
      <c r="U159" s="399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398" t="s">
        <v>243</v>
      </c>
      <c r="C160" s="126"/>
      <c r="D160" s="108">
        <v>4.5</v>
      </c>
      <c r="E160" s="108"/>
      <c r="F160" s="127"/>
      <c r="G160" s="128"/>
      <c r="H160" s="407">
        <f t="shared" si="63"/>
        <v>0</v>
      </c>
      <c r="I160" s="129"/>
      <c r="J160" s="130"/>
      <c r="K160" s="131"/>
      <c r="L160" s="129"/>
      <c r="M160" s="109"/>
      <c r="N160" s="130"/>
      <c r="O160" s="399"/>
      <c r="P160" s="399"/>
      <c r="Q160" s="399"/>
      <c r="R160" s="399"/>
      <c r="S160" s="399"/>
      <c r="T160" s="399"/>
      <c r="U160" s="399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407">
        <f t="shared" si="63"/>
        <v>0</v>
      </c>
      <c r="I161" s="129"/>
      <c r="J161" s="130"/>
      <c r="K161" s="131"/>
      <c r="L161" s="129"/>
      <c r="M161" s="109"/>
      <c r="N161" s="130"/>
      <c r="O161" s="399"/>
      <c r="P161" s="399"/>
      <c r="Q161" s="399"/>
      <c r="R161" s="399"/>
      <c r="S161" s="399"/>
      <c r="T161" s="399"/>
      <c r="U161" s="399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630" t="s">
        <v>244</v>
      </c>
      <c r="B162" s="631"/>
      <c r="C162" s="405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32" t="s">
        <v>246</v>
      </c>
      <c r="B163" s="633"/>
      <c r="C163" s="633"/>
      <c r="D163" s="633"/>
      <c r="E163" s="633"/>
      <c r="F163" s="634"/>
      <c r="G163" s="154">
        <f>SUM(G28,G86,G121,G137,G147,G162)</f>
        <v>1877</v>
      </c>
      <c r="H163" s="154">
        <f>SUM(H28,H86,H121,H137,H147,H162)</f>
        <v>9457.2100000000009</v>
      </c>
      <c r="I163" s="154">
        <f>SUM(I28,I86,I121,I137,I147,I162)</f>
        <v>145.5</v>
      </c>
      <c r="J163" s="155">
        <f t="array" ref="J163">IF(ISERROR(G163/I163),"",G163/I163)</f>
        <v>12.900343642611684</v>
      </c>
      <c r="K163" s="154">
        <f>SUM(K28,K86,K121,K137,K147,K162)</f>
        <v>116.95965114398901</v>
      </c>
      <c r="L163" s="155">
        <f>IF(ISERROR(G163/K163),"",G163/K163)</f>
        <v>16.048269481320748</v>
      </c>
      <c r="M163" s="154">
        <f t="shared" ref="M163:AA163" si="76">SUM(M28,M86,M121,M137,M147,M162)</f>
        <v>28.540348856011001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635" t="s">
        <v>476</v>
      </c>
      <c r="B164" s="404" t="s">
        <v>247</v>
      </c>
      <c r="C164" s="638" t="s">
        <v>248</v>
      </c>
      <c r="D164" s="639"/>
      <c r="E164" s="640" t="s">
        <v>249</v>
      </c>
      <c r="F164" s="640"/>
      <c r="G164" s="643" t="s">
        <v>250</v>
      </c>
      <c r="H164" s="643"/>
      <c r="I164" s="640" t="s">
        <v>251</v>
      </c>
      <c r="J164" s="640"/>
      <c r="K164" s="640" t="s">
        <v>252</v>
      </c>
      <c r="L164" s="640"/>
      <c r="M164" s="640" t="s">
        <v>253</v>
      </c>
      <c r="N164" s="640"/>
      <c r="O164" s="640" t="s">
        <v>254</v>
      </c>
      <c r="P164" s="643" t="s">
        <v>255</v>
      </c>
      <c r="Q164" s="643"/>
      <c r="R164" s="643" t="s">
        <v>252</v>
      </c>
      <c r="S164" s="643"/>
      <c r="T164" s="643" t="s">
        <v>256</v>
      </c>
      <c r="U164" s="643"/>
      <c r="V164" s="643" t="s">
        <v>257</v>
      </c>
      <c r="W164" s="643"/>
      <c r="X164" s="643" t="s">
        <v>252</v>
      </c>
      <c r="Y164" s="643"/>
      <c r="Z164" s="643" t="s">
        <v>256</v>
      </c>
      <c r="AA164" s="643"/>
    </row>
    <row r="165" spans="1:27" ht="20.100000000000001" customHeight="1">
      <c r="A165" s="636"/>
      <c r="B165" s="404" t="s">
        <v>258</v>
      </c>
      <c r="C165" s="638">
        <v>1</v>
      </c>
      <c r="D165" s="639"/>
      <c r="E165" s="642">
        <f>C165*11</f>
        <v>11</v>
      </c>
      <c r="F165" s="642"/>
      <c r="G165" s="643">
        <v>1</v>
      </c>
      <c r="H165" s="643"/>
      <c r="I165" s="642">
        <f>G165*11</f>
        <v>11</v>
      </c>
      <c r="J165" s="642"/>
      <c r="K165" s="642">
        <f>E165-I165</f>
        <v>0</v>
      </c>
      <c r="L165" s="642"/>
      <c r="M165" s="644">
        <f>IF(ISERROR(K165/E165),"",K165/E165)</f>
        <v>0</v>
      </c>
      <c r="N165" s="644"/>
      <c r="O165" s="640"/>
      <c r="P165" s="643" t="s">
        <v>201</v>
      </c>
      <c r="Q165" s="643"/>
      <c r="R165" s="645">
        <f>SUM(O28:U28)</f>
        <v>0</v>
      </c>
      <c r="S165" s="645"/>
      <c r="T165" s="646" t="str">
        <f t="array" ref="T165">IF(ISERROR(R165/R172),"",R165/R172)</f>
        <v/>
      </c>
      <c r="U165" s="646"/>
      <c r="V165" s="643" t="s">
        <v>259</v>
      </c>
      <c r="W165" s="643"/>
      <c r="X165" s="647">
        <f>SUM(P27,P85,P120,P136,P146,P160)</f>
        <v>0</v>
      </c>
      <c r="Y165" s="647"/>
      <c r="Z165" s="646" t="str">
        <f t="array" ref="Z165">IF(ISERROR(X165/X172),"",X165/X172)</f>
        <v/>
      </c>
      <c r="AA165" s="646"/>
    </row>
    <row r="166" spans="1:27" ht="20.100000000000001" customHeight="1">
      <c r="A166" s="636"/>
      <c r="B166" s="404" t="s">
        <v>260</v>
      </c>
      <c r="C166" s="638">
        <v>1</v>
      </c>
      <c r="D166" s="639"/>
      <c r="E166" s="642">
        <f>C166*11</f>
        <v>11</v>
      </c>
      <c r="F166" s="642"/>
      <c r="G166" s="643">
        <v>1</v>
      </c>
      <c r="H166" s="643"/>
      <c r="I166" s="642">
        <f>G166*11</f>
        <v>11</v>
      </c>
      <c r="J166" s="642"/>
      <c r="K166" s="642">
        <f>E166-I166</f>
        <v>0</v>
      </c>
      <c r="L166" s="642"/>
      <c r="M166" s="644">
        <f>IF(ISERROR(K166/E166),"",K166/E166)</f>
        <v>0</v>
      </c>
      <c r="N166" s="644"/>
      <c r="O166" s="640"/>
      <c r="P166" s="643" t="s">
        <v>216</v>
      </c>
      <c r="Q166" s="643"/>
      <c r="R166" s="645">
        <f>SUM(O86:U86)</f>
        <v>0</v>
      </c>
      <c r="S166" s="645"/>
      <c r="T166" s="646" t="str">
        <f>IF(ISERROR(R166/R172),"",R166/R172)</f>
        <v/>
      </c>
      <c r="U166" s="646"/>
      <c r="V166" s="643" t="s">
        <v>261</v>
      </c>
      <c r="W166" s="643"/>
      <c r="X166" s="647">
        <f>SUM(P28,P86,P121,P137,P147,P162)</f>
        <v>0</v>
      </c>
      <c r="Y166" s="647"/>
      <c r="Z166" s="646" t="str">
        <f>IF(ISERROR(X166/X172),"",X166/X172)</f>
        <v/>
      </c>
      <c r="AA166" s="646"/>
    </row>
    <row r="167" spans="1:27" ht="20.100000000000001" customHeight="1">
      <c r="A167" s="636"/>
      <c r="B167" s="404" t="s">
        <v>262</v>
      </c>
      <c r="C167" s="638">
        <v>1</v>
      </c>
      <c r="D167" s="639"/>
      <c r="E167" s="642">
        <f>C167*8</f>
        <v>8</v>
      </c>
      <c r="F167" s="642"/>
      <c r="G167" s="643">
        <v>1</v>
      </c>
      <c r="H167" s="643"/>
      <c r="I167" s="642">
        <f>G167*8</f>
        <v>8</v>
      </c>
      <c r="J167" s="642"/>
      <c r="K167" s="642">
        <f>E167-I167</f>
        <v>0</v>
      </c>
      <c r="L167" s="642"/>
      <c r="M167" s="644">
        <f>IF(ISERROR(K167/E167),"",K167/E167)</f>
        <v>0</v>
      </c>
      <c r="N167" s="644"/>
      <c r="O167" s="640"/>
      <c r="P167" s="643" t="s">
        <v>224</v>
      </c>
      <c r="Q167" s="643"/>
      <c r="R167" s="645">
        <f>SUM(O121:U121)</f>
        <v>0</v>
      </c>
      <c r="S167" s="645"/>
      <c r="T167" s="646" t="str">
        <f>IF(ISERROR(R167/R172),"",R167/R172)</f>
        <v/>
      </c>
      <c r="U167" s="646"/>
      <c r="V167" s="643" t="s">
        <v>263</v>
      </c>
      <c r="W167" s="643"/>
      <c r="X167" s="647">
        <f>SUM(P29,P87,P122,P138,P148,P163)</f>
        <v>0</v>
      </c>
      <c r="Y167" s="647"/>
      <c r="Z167" s="646" t="str">
        <f>IF(ISERROR(X167/X172),"",X167/X172)</f>
        <v/>
      </c>
      <c r="AA167" s="646"/>
    </row>
    <row r="168" spans="1:27" ht="20.100000000000001" customHeight="1">
      <c r="A168" s="636"/>
      <c r="B168" s="404" t="s">
        <v>264</v>
      </c>
      <c r="C168" s="638">
        <v>1</v>
      </c>
      <c r="D168" s="639"/>
      <c r="E168" s="642">
        <f>C168*11</f>
        <v>11</v>
      </c>
      <c r="F168" s="642"/>
      <c r="G168" s="643">
        <v>1</v>
      </c>
      <c r="H168" s="643"/>
      <c r="I168" s="642">
        <f>G168*11</f>
        <v>11</v>
      </c>
      <c r="J168" s="642"/>
      <c r="K168" s="642">
        <f>E168-I168</f>
        <v>0</v>
      </c>
      <c r="L168" s="642"/>
      <c r="M168" s="644">
        <f>IF(ISERROR(K168/E168),"",K168/E168)</f>
        <v>0</v>
      </c>
      <c r="N168" s="644"/>
      <c r="O168" s="640"/>
      <c r="P168" s="643" t="s">
        <v>231</v>
      </c>
      <c r="Q168" s="643"/>
      <c r="R168" s="645">
        <f>SUM(O137:U137)</f>
        <v>0</v>
      </c>
      <c r="S168" s="645"/>
      <c r="T168" s="646" t="str">
        <f>IF(ISERROR(R168/R172),"",R168/R172)</f>
        <v/>
      </c>
      <c r="U168" s="646"/>
      <c r="V168" s="643" t="s">
        <v>265</v>
      </c>
      <c r="W168" s="643"/>
      <c r="X168" s="647">
        <f>SUM(P31,P88,P123,P139,P149,P164)</f>
        <v>0</v>
      </c>
      <c r="Y168" s="647"/>
      <c r="Z168" s="646" t="str">
        <f>IF(ISERROR(X168/X172),"",X168/X172)</f>
        <v/>
      </c>
      <c r="AA168" s="646"/>
    </row>
    <row r="169" spans="1:27" ht="20.100000000000001" customHeight="1">
      <c r="A169" s="637"/>
      <c r="B169" s="404" t="s">
        <v>266</v>
      </c>
      <c r="C169" s="648">
        <f>SUM(C165:D168)</f>
        <v>4</v>
      </c>
      <c r="D169" s="649"/>
      <c r="E169" s="642">
        <f>SUM(E165:F168)</f>
        <v>41</v>
      </c>
      <c r="F169" s="642"/>
      <c r="G169" s="643">
        <f>SUM(G165:H168)</f>
        <v>4</v>
      </c>
      <c r="H169" s="643"/>
      <c r="I169" s="642">
        <f>SUM(I165:J168)</f>
        <v>41</v>
      </c>
      <c r="J169" s="642"/>
      <c r="K169" s="642">
        <f>SUM(K165:L168)</f>
        <v>0</v>
      </c>
      <c r="L169" s="642"/>
      <c r="M169" s="644">
        <f>IF(ISERROR(K169/E169),"",K169/E169)</f>
        <v>0</v>
      </c>
      <c r="N169" s="644"/>
      <c r="O169" s="640"/>
      <c r="P169" s="643" t="s">
        <v>234</v>
      </c>
      <c r="Q169" s="643"/>
      <c r="R169" s="645">
        <f>SUM(O147:U147)</f>
        <v>0</v>
      </c>
      <c r="S169" s="645"/>
      <c r="T169" s="646" t="str">
        <f>IF(ISERROR(R169/R172),"",R169/R172)</f>
        <v/>
      </c>
      <c r="U169" s="646"/>
      <c r="V169" s="643" t="s">
        <v>267</v>
      </c>
      <c r="W169" s="643"/>
      <c r="X169" s="647">
        <f>SUM(P32,P89,P124,P140,P150,P165)</f>
        <v>0</v>
      </c>
      <c r="Y169" s="647"/>
      <c r="Z169" s="646" t="str">
        <f>IF(ISERROR(X169/X172),"",X169/X172)</f>
        <v/>
      </c>
      <c r="AA169" s="646"/>
    </row>
    <row r="170" spans="1:27" ht="20.100000000000001" customHeight="1">
      <c r="A170" s="307" t="s">
        <v>477</v>
      </c>
      <c r="B170" s="404">
        <f>G163</f>
        <v>1877</v>
      </c>
      <c r="C170" s="650" t="s">
        <v>269</v>
      </c>
      <c r="D170" s="651"/>
      <c r="E170" s="643">
        <f>H163</f>
        <v>9457.2100000000009</v>
      </c>
      <c r="F170" s="643"/>
      <c r="G170" s="643" t="s">
        <v>270</v>
      </c>
      <c r="H170" s="643"/>
      <c r="I170" s="652">
        <f>L163</f>
        <v>16.048269481320748</v>
      </c>
      <c r="J170" s="652"/>
      <c r="K170" s="640" t="s">
        <v>271</v>
      </c>
      <c r="L170" s="640"/>
      <c r="M170" s="652">
        <f>J163</f>
        <v>12.900343642611684</v>
      </c>
      <c r="N170" s="652"/>
      <c r="O170" s="640"/>
      <c r="P170" s="643" t="s">
        <v>244</v>
      </c>
      <c r="Q170" s="643"/>
      <c r="R170" s="645">
        <f>SUM(O162:U162)</f>
        <v>0</v>
      </c>
      <c r="S170" s="645"/>
      <c r="T170" s="646" t="str">
        <f>IF(ISERROR(R170/R172),"",R170/R172)</f>
        <v/>
      </c>
      <c r="U170" s="646"/>
      <c r="V170" s="643" t="s">
        <v>272</v>
      </c>
      <c r="W170" s="643"/>
      <c r="X170" s="647">
        <f>SUM(P33,P90,P125,P141,P151,P166)</f>
        <v>0</v>
      </c>
      <c r="Y170" s="647"/>
      <c r="Z170" s="646" t="str">
        <f>IF(ISERROR(X170/X172),"",X170/X172)</f>
        <v/>
      </c>
      <c r="AA170" s="646"/>
    </row>
    <row r="171" spans="1:27" ht="20.100000000000001" customHeight="1">
      <c r="A171" s="308" t="s">
        <v>478</v>
      </c>
      <c r="B171" s="404">
        <f>I163+C169</f>
        <v>149.5</v>
      </c>
      <c r="C171" s="653" t="s">
        <v>251</v>
      </c>
      <c r="D171" s="654"/>
      <c r="E171" s="655">
        <f>K163+I169</f>
        <v>157.95965114398899</v>
      </c>
      <c r="F171" s="655"/>
      <c r="G171" s="643" t="s">
        <v>274</v>
      </c>
      <c r="H171" s="643"/>
      <c r="I171" s="652">
        <f>B171-E171</f>
        <v>-8.4596511439889923</v>
      </c>
      <c r="J171" s="652"/>
      <c r="K171" s="640" t="s">
        <v>275</v>
      </c>
      <c r="L171" s="640"/>
      <c r="M171" s="644">
        <f>IF(ISERROR(I171/E171),"",I171/E171)</f>
        <v>-5.3555772519892124E-2</v>
      </c>
      <c r="N171" s="644"/>
      <c r="O171" s="640"/>
      <c r="P171" s="643" t="s">
        <v>245</v>
      </c>
      <c r="Q171" s="643"/>
      <c r="R171" s="645"/>
      <c r="S171" s="645"/>
      <c r="T171" s="646" t="str">
        <f>IF(ISERROR(R171/R172),"",R171/R172)</f>
        <v/>
      </c>
      <c r="U171" s="646"/>
      <c r="V171" s="643" t="s">
        <v>264</v>
      </c>
      <c r="W171" s="643"/>
      <c r="X171" s="647"/>
      <c r="Y171" s="647"/>
      <c r="Z171" s="646" t="str">
        <f>IF(ISERROR(X171/X172),"",X171/X172)</f>
        <v/>
      </c>
      <c r="AA171" s="646"/>
    </row>
    <row r="172" spans="1:27" ht="20.100000000000001" customHeight="1">
      <c r="A172" s="308" t="s">
        <v>479</v>
      </c>
      <c r="B172" s="404">
        <f>N163</f>
        <v>0</v>
      </c>
      <c r="C172" s="653" t="s">
        <v>277</v>
      </c>
      <c r="D172" s="654"/>
      <c r="E172" s="646">
        <f>IF(ISERROR(B172/B171),"",B172/B171)</f>
        <v>0</v>
      </c>
      <c r="F172" s="646"/>
      <c r="G172" s="643" t="s">
        <v>278</v>
      </c>
      <c r="H172" s="643"/>
      <c r="I172" s="640">
        <f>V163</f>
        <v>0</v>
      </c>
      <c r="J172" s="640"/>
      <c r="K172" s="640" t="s">
        <v>279</v>
      </c>
      <c r="L172" s="640"/>
      <c r="M172" s="644">
        <f t="array" ref="M172">IF(ISERROR(I172/B170),"",I172/B170)</f>
        <v>0</v>
      </c>
      <c r="N172" s="644"/>
      <c r="O172" s="640"/>
      <c r="P172" s="643" t="s">
        <v>266</v>
      </c>
      <c r="Q172" s="643"/>
      <c r="R172" s="645">
        <f>SUM(R165:S171)</f>
        <v>0</v>
      </c>
      <c r="S172" s="645"/>
      <c r="T172" s="646"/>
      <c r="U172" s="646"/>
      <c r="V172" s="643" t="s">
        <v>266</v>
      </c>
      <c r="W172" s="643"/>
      <c r="X172" s="647">
        <f>SUM(X165:Y171)</f>
        <v>0</v>
      </c>
      <c r="Y172" s="647"/>
      <c r="Z172" s="646"/>
      <c r="AA172" s="646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56" t="s">
        <v>480</v>
      </c>
      <c r="B174" s="659" t="s">
        <v>280</v>
      </c>
      <c r="C174" s="659" t="s">
        <v>281</v>
      </c>
      <c r="D174" s="659" t="s">
        <v>282</v>
      </c>
      <c r="E174" s="662" t="s">
        <v>283</v>
      </c>
      <c r="F174" s="675" t="s">
        <v>284</v>
      </c>
      <c r="G174" s="640" t="s">
        <v>285</v>
      </c>
      <c r="H174" s="640"/>
      <c r="I174" s="659" t="s">
        <v>286</v>
      </c>
      <c r="J174" s="665" t="s">
        <v>271</v>
      </c>
      <c r="K174" s="668" t="s">
        <v>287</v>
      </c>
      <c r="L174" s="659" t="s">
        <v>270</v>
      </c>
      <c r="M174" s="671" t="s">
        <v>288</v>
      </c>
      <c r="N174" s="673" t="s">
        <v>252</v>
      </c>
      <c r="O174" s="640" t="s">
        <v>289</v>
      </c>
      <c r="P174" s="640"/>
      <c r="Q174" s="640"/>
      <c r="R174" s="640"/>
      <c r="S174" s="640"/>
      <c r="T174" s="640"/>
      <c r="U174" s="640"/>
      <c r="V174" s="640" t="s">
        <v>290</v>
      </c>
      <c r="W174" s="673" t="s">
        <v>291</v>
      </c>
      <c r="X174" s="640" t="s">
        <v>292</v>
      </c>
      <c r="Y174" s="640"/>
      <c r="Z174" s="640"/>
      <c r="AA174" s="640"/>
    </row>
    <row r="175" spans="1:27" ht="21.95" customHeight="1">
      <c r="A175" s="657"/>
      <c r="B175" s="660"/>
      <c r="C175" s="660"/>
      <c r="D175" s="660"/>
      <c r="E175" s="663"/>
      <c r="F175" s="676"/>
      <c r="G175" s="640"/>
      <c r="H175" s="640"/>
      <c r="I175" s="660"/>
      <c r="J175" s="666"/>
      <c r="K175" s="669"/>
      <c r="L175" s="660"/>
      <c r="M175" s="672"/>
      <c r="N175" s="673"/>
      <c r="O175" s="640" t="s">
        <v>259</v>
      </c>
      <c r="P175" s="640" t="s">
        <v>261</v>
      </c>
      <c r="Q175" s="640" t="s">
        <v>263</v>
      </c>
      <c r="R175" s="674" t="s">
        <v>265</v>
      </c>
      <c r="S175" s="643" t="s">
        <v>267</v>
      </c>
      <c r="T175" s="640" t="s">
        <v>272</v>
      </c>
      <c r="U175" s="640" t="s">
        <v>264</v>
      </c>
      <c r="V175" s="640"/>
      <c r="W175" s="673"/>
      <c r="X175" s="640" t="s">
        <v>293</v>
      </c>
      <c r="Y175" s="640" t="s">
        <v>294</v>
      </c>
      <c r="Z175" s="640" t="s">
        <v>295</v>
      </c>
      <c r="AA175" s="640" t="s">
        <v>264</v>
      </c>
    </row>
    <row r="176" spans="1:27" ht="21.95" customHeight="1">
      <c r="A176" s="658"/>
      <c r="B176" s="661"/>
      <c r="C176" s="661"/>
      <c r="D176" s="661"/>
      <c r="E176" s="664"/>
      <c r="F176" s="677"/>
      <c r="G176" s="348" t="s">
        <v>517</v>
      </c>
      <c r="H176" s="397" t="s">
        <v>297</v>
      </c>
      <c r="I176" s="661"/>
      <c r="J176" s="667"/>
      <c r="K176" s="670"/>
      <c r="L176" s="661"/>
      <c r="M176" s="672"/>
      <c r="N176" s="673"/>
      <c r="O176" s="640"/>
      <c r="P176" s="640"/>
      <c r="Q176" s="640"/>
      <c r="R176" s="674"/>
      <c r="S176" s="643"/>
      <c r="T176" s="640"/>
      <c r="U176" s="640"/>
      <c r="V176" s="640"/>
      <c r="W176" s="673"/>
      <c r="X176" s="640"/>
      <c r="Y176" s="640"/>
      <c r="Z176" s="640"/>
      <c r="AA176" s="640"/>
    </row>
    <row r="177" spans="1:27" ht="20.100000000000001" customHeight="1">
      <c r="A177" s="299">
        <v>30100030</v>
      </c>
      <c r="B177" s="398" t="s">
        <v>178</v>
      </c>
      <c r="C177" s="126" t="s">
        <v>179</v>
      </c>
      <c r="D177" s="108">
        <v>5.03</v>
      </c>
      <c r="E177" s="108"/>
      <c r="F177" s="127">
        <v>42709</v>
      </c>
      <c r="G177" s="128">
        <f>90+108*3+45</f>
        <v>459</v>
      </c>
      <c r="H177" s="407">
        <f t="shared" ref="H177:H186" si="77">D177*G177</f>
        <v>2308.77</v>
      </c>
      <c r="I177" s="129">
        <f>8.5*4</f>
        <v>34</v>
      </c>
      <c r="J177" s="130">
        <f t="array" ref="J177">IF(ISERROR(G177/I177),"",G177/I177)</f>
        <v>13.5</v>
      </c>
      <c r="K177" s="131">
        <f t="array" ref="K177">IF(ISERROR(G177/L177),"",G177/L177)</f>
        <v>28.6875</v>
      </c>
      <c r="L177" s="129">
        <v>16</v>
      </c>
      <c r="M177" s="109">
        <f t="shared" ref="M177:M186" si="78">IF(ISERROR(I177-K177),"",I177-K177)</f>
        <v>5.3125</v>
      </c>
      <c r="N177" s="130">
        <f>SUM(O177:U177)</f>
        <v>0</v>
      </c>
      <c r="O177" s="399"/>
      <c r="P177" s="399"/>
      <c r="Q177" s="399"/>
      <c r="R177" s="399"/>
      <c r="S177" s="399"/>
      <c r="T177" s="399"/>
      <c r="U177" s="399"/>
      <c r="V177" s="132">
        <f t="shared" ref="V177:V182" si="79">SUM(X177:AA177)</f>
        <v>0</v>
      </c>
      <c r="W177" s="133">
        <f t="shared" ref="W177:W182" si="80">IF(ISERROR(V177/G177),"",V177/G177)</f>
        <v>0</v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407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399"/>
      <c r="P178" s="399"/>
      <c r="Q178" s="399"/>
      <c r="R178" s="399"/>
      <c r="S178" s="399"/>
      <c r="T178" s="399"/>
      <c r="U178" s="399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407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399"/>
      <c r="P179" s="399"/>
      <c r="Q179" s="399"/>
      <c r="R179" s="399"/>
      <c r="S179" s="399"/>
      <c r="T179" s="399"/>
      <c r="U179" s="39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>
        <v>42709</v>
      </c>
      <c r="G180" s="128">
        <f>71+108*2+109+108*3</f>
        <v>720</v>
      </c>
      <c r="H180" s="407">
        <f t="shared" si="77"/>
        <v>3621.6000000000004</v>
      </c>
      <c r="I180" s="129">
        <f>11.5*4</f>
        <v>46</v>
      </c>
      <c r="J180" s="130">
        <f t="array" ref="J180">IF(ISERROR(G180/I180),"",G180/I180)</f>
        <v>15.652173913043478</v>
      </c>
      <c r="K180" s="131">
        <f t="array" ref="K180">IF(ISERROR(G180/L180),"",G180/L180)</f>
        <v>37.89473684210526</v>
      </c>
      <c r="L180" s="129">
        <v>19</v>
      </c>
      <c r="M180" s="109">
        <f t="shared" si="78"/>
        <v>8.1052631578947398</v>
      </c>
      <c r="N180" s="130">
        <f t="shared" si="81"/>
        <v>0</v>
      </c>
      <c r="O180" s="399"/>
      <c r="P180" s="399"/>
      <c r="Q180" s="399"/>
      <c r="R180" s="399"/>
      <c r="S180" s="399"/>
      <c r="T180" s="399"/>
      <c r="U180" s="399"/>
      <c r="V180" s="132">
        <f t="shared" si="79"/>
        <v>0</v>
      </c>
      <c r="W180" s="133">
        <f t="shared" si="80"/>
        <v>0</v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407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399"/>
      <c r="P181" s="399"/>
      <c r="Q181" s="399"/>
      <c r="R181" s="399"/>
      <c r="S181" s="399"/>
      <c r="T181" s="399"/>
      <c r="U181" s="399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407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399"/>
      <c r="P182" s="399"/>
      <c r="Q182" s="399"/>
      <c r="R182" s="399"/>
      <c r="S182" s="399"/>
      <c r="T182" s="399"/>
      <c r="U182" s="399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407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399"/>
      <c r="P183" s="399"/>
      <c r="Q183" s="399"/>
      <c r="R183" s="399"/>
      <c r="S183" s="399"/>
      <c r="T183" s="399"/>
      <c r="U183" s="399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407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399"/>
      <c r="P184" s="399"/>
      <c r="Q184" s="399"/>
      <c r="R184" s="399"/>
      <c r="S184" s="399"/>
      <c r="T184" s="399"/>
      <c r="U184" s="399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407">
        <f t="shared" si="77"/>
        <v>0</v>
      </c>
      <c r="I185" s="407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399"/>
      <c r="P185" s="399"/>
      <c r="Q185" s="399"/>
      <c r="R185" s="399"/>
      <c r="S185" s="399"/>
      <c r="T185" s="399"/>
      <c r="U185" s="399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407">
        <f t="shared" si="77"/>
        <v>0</v>
      </c>
      <c r="I186" s="407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399"/>
      <c r="P186" s="399"/>
      <c r="Q186" s="399"/>
      <c r="R186" s="399"/>
      <c r="S186" s="399"/>
      <c r="T186" s="399"/>
      <c r="U186" s="39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407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399"/>
      <c r="P187" s="399"/>
      <c r="Q187" s="399"/>
      <c r="R187" s="399"/>
      <c r="S187" s="399"/>
      <c r="T187" s="399"/>
      <c r="U187" s="399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407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399"/>
      <c r="P188" s="399"/>
      <c r="Q188" s="399"/>
      <c r="R188" s="399"/>
      <c r="S188" s="399"/>
      <c r="T188" s="399"/>
      <c r="U188" s="399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407">
        <f t="shared" ref="H189:H197" si="82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3">IF(ISERROR(I189-K189),"",I189-K189)</f>
        <v>0</v>
      </c>
      <c r="N189" s="130">
        <f t="shared" ref="N189:N191" si="84">SUM(O189:U189)</f>
        <v>0</v>
      </c>
      <c r="O189" s="399"/>
      <c r="P189" s="399"/>
      <c r="Q189" s="399"/>
      <c r="R189" s="399"/>
      <c r="S189" s="399"/>
      <c r="T189" s="399"/>
      <c r="U189" s="399"/>
      <c r="V189" s="132">
        <f t="shared" ref="V189:V191" si="85">SUM(X189:AA189)</f>
        <v>0</v>
      </c>
      <c r="W189" s="133" t="str">
        <f t="shared" ref="W189:W191" si="86">IF(ISERROR(V189/G189),"",V189/G189)</f>
        <v/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407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399"/>
      <c r="P190" s="399"/>
      <c r="Q190" s="399"/>
      <c r="R190" s="399"/>
      <c r="S190" s="399"/>
      <c r="T190" s="399"/>
      <c r="U190" s="399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407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399"/>
      <c r="P191" s="399"/>
      <c r="Q191" s="399"/>
      <c r="R191" s="399"/>
      <c r="S191" s="399"/>
      <c r="T191" s="399"/>
      <c r="U191" s="399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397" t="s">
        <v>190</v>
      </c>
      <c r="D192" s="108">
        <v>4.8</v>
      </c>
      <c r="E192" s="108"/>
      <c r="F192" s="127"/>
      <c r="G192" s="128"/>
      <c r="H192" s="407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399"/>
      <c r="P192" s="399"/>
      <c r="Q192" s="399"/>
      <c r="R192" s="399"/>
      <c r="S192" s="399"/>
      <c r="T192" s="399"/>
      <c r="U192" s="399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397" t="s">
        <v>187</v>
      </c>
      <c r="D193" s="108">
        <v>4.8</v>
      </c>
      <c r="E193" s="108"/>
      <c r="F193" s="127"/>
      <c r="G193" s="128"/>
      <c r="H193" s="407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399"/>
      <c r="P193" s="399"/>
      <c r="Q193" s="399"/>
      <c r="R193" s="399"/>
      <c r="S193" s="399"/>
      <c r="T193" s="399"/>
      <c r="U193" s="399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397" t="s">
        <v>179</v>
      </c>
      <c r="D194" s="108">
        <v>4.8</v>
      </c>
      <c r="E194" s="108"/>
      <c r="F194" s="127"/>
      <c r="G194" s="128"/>
      <c r="H194" s="407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399"/>
      <c r="P194" s="399"/>
      <c r="Q194" s="399"/>
      <c r="R194" s="399"/>
      <c r="S194" s="399"/>
      <c r="T194" s="399"/>
      <c r="U194" s="399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397" t="s">
        <v>199</v>
      </c>
      <c r="D195" s="108">
        <v>4.8</v>
      </c>
      <c r="E195" s="108"/>
      <c r="F195" s="127"/>
      <c r="G195" s="128"/>
      <c r="H195" s="407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399"/>
      <c r="P195" s="399"/>
      <c r="Q195" s="399"/>
      <c r="R195" s="399"/>
      <c r="S195" s="399"/>
      <c r="T195" s="399"/>
      <c r="U195" s="399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407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399"/>
      <c r="P196" s="399"/>
      <c r="Q196" s="399"/>
      <c r="R196" s="399"/>
      <c r="S196" s="399"/>
      <c r="T196" s="399"/>
      <c r="U196" s="399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407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399"/>
      <c r="P197" s="399"/>
      <c r="Q197" s="399"/>
      <c r="R197" s="399"/>
      <c r="S197" s="399"/>
      <c r="T197" s="399"/>
      <c r="U197" s="399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customHeight="1">
      <c r="A198" s="630" t="s">
        <v>201</v>
      </c>
      <c r="B198" s="631"/>
      <c r="C198" s="405" t="s">
        <v>202</v>
      </c>
      <c r="D198" s="143"/>
      <c r="E198" s="143"/>
      <c r="F198" s="144"/>
      <c r="G198" s="145">
        <f>SUM(G177:G197)</f>
        <v>1179</v>
      </c>
      <c r="H198" s="146">
        <f>SUM(H177:H197)</f>
        <v>5930.3700000000008</v>
      </c>
      <c r="I198" s="146">
        <f>SUM(I177:I197)</f>
        <v>80</v>
      </c>
      <c r="J198" s="130">
        <f t="array" ref="J198">IF(ISERROR(G198/I198),"",G198/I198)</f>
        <v>14.737500000000001</v>
      </c>
      <c r="K198" s="146">
        <f>SUM(K177:K197)</f>
        <v>66.58223684210526</v>
      </c>
      <c r="L198" s="147"/>
      <c r="M198" s="150">
        <f t="shared" ref="M198:AA198" si="90">SUM(M177:M197)</f>
        <v>13.41776315789474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398" t="s">
        <v>206</v>
      </c>
      <c r="C199" s="126" t="s">
        <v>199</v>
      </c>
      <c r="D199" s="108">
        <v>5.03</v>
      </c>
      <c r="E199" s="108"/>
      <c r="F199" s="127"/>
      <c r="G199" s="128"/>
      <c r="H199" s="407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401"/>
      <c r="P199" s="401"/>
      <c r="Q199" s="401"/>
      <c r="R199" s="401"/>
      <c r="S199" s="401"/>
      <c r="T199" s="401"/>
      <c r="U199" s="401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398" t="s">
        <v>425</v>
      </c>
      <c r="C200" s="187" t="s">
        <v>427</v>
      </c>
      <c r="D200" s="108">
        <v>5.03</v>
      </c>
      <c r="E200" s="108"/>
      <c r="F200" s="127"/>
      <c r="G200" s="128"/>
      <c r="H200" s="407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401"/>
      <c r="P200" s="401"/>
      <c r="Q200" s="401"/>
      <c r="R200" s="401"/>
      <c r="S200" s="401"/>
      <c r="T200" s="401"/>
      <c r="U200" s="401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398" t="s">
        <v>206</v>
      </c>
      <c r="C201" s="126" t="s">
        <v>186</v>
      </c>
      <c r="D201" s="108">
        <v>5.03</v>
      </c>
      <c r="E201" s="108"/>
      <c r="F201" s="127"/>
      <c r="G201" s="128"/>
      <c r="H201" s="407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401"/>
      <c r="P201" s="401"/>
      <c r="Q201" s="401"/>
      <c r="R201" s="401"/>
      <c r="S201" s="401"/>
      <c r="T201" s="401"/>
      <c r="U201" s="401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398" t="s">
        <v>206</v>
      </c>
      <c r="C202" s="126" t="s">
        <v>203</v>
      </c>
      <c r="D202" s="108">
        <v>5.03</v>
      </c>
      <c r="E202" s="108"/>
      <c r="F202" s="127"/>
      <c r="G202" s="128"/>
      <c r="H202" s="407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401"/>
      <c r="P202" s="401"/>
      <c r="Q202" s="401"/>
      <c r="R202" s="401"/>
      <c r="S202" s="401"/>
      <c r="T202" s="401"/>
      <c r="U202" s="401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398" t="s">
        <v>206</v>
      </c>
      <c r="C203" s="126" t="s">
        <v>207</v>
      </c>
      <c r="D203" s="108">
        <v>5.03</v>
      </c>
      <c r="E203" s="108"/>
      <c r="F203" s="127"/>
      <c r="G203" s="128"/>
      <c r="H203" s="407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0">IF(ISERROR(I203-K203),"",I203-K203)</f>
        <v>0</v>
      </c>
      <c r="N203" s="130">
        <f t="shared" si="97"/>
        <v>0</v>
      </c>
      <c r="O203" s="401"/>
      <c r="P203" s="401"/>
      <c r="Q203" s="401"/>
      <c r="R203" s="401"/>
      <c r="S203" s="401"/>
      <c r="T203" s="401"/>
      <c r="U203" s="401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398" t="s">
        <v>414</v>
      </c>
      <c r="C204" s="187" t="s">
        <v>415</v>
      </c>
      <c r="D204" s="108">
        <v>5.03</v>
      </c>
      <c r="E204" s="108"/>
      <c r="F204" s="127"/>
      <c r="G204" s="128"/>
      <c r="H204" s="407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401"/>
      <c r="P204" s="401"/>
      <c r="Q204" s="401"/>
      <c r="R204" s="401"/>
      <c r="S204" s="401"/>
      <c r="T204" s="401"/>
      <c r="U204" s="401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398" t="s">
        <v>414</v>
      </c>
      <c r="C205" s="187" t="s">
        <v>416</v>
      </c>
      <c r="D205" s="108">
        <v>5.03</v>
      </c>
      <c r="E205" s="108"/>
      <c r="F205" s="127"/>
      <c r="G205" s="128"/>
      <c r="H205" s="407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401"/>
      <c r="P205" s="401"/>
      <c r="Q205" s="401"/>
      <c r="R205" s="401"/>
      <c r="S205" s="401"/>
      <c r="T205" s="401"/>
      <c r="U205" s="401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398" t="s">
        <v>414</v>
      </c>
      <c r="C206" s="187" t="s">
        <v>61</v>
      </c>
      <c r="D206" s="108">
        <v>5.03</v>
      </c>
      <c r="E206" s="108"/>
      <c r="F206" s="127"/>
      <c r="G206" s="128"/>
      <c r="H206" s="407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401"/>
      <c r="P206" s="401"/>
      <c r="Q206" s="401"/>
      <c r="R206" s="401"/>
      <c r="S206" s="401"/>
      <c r="T206" s="401"/>
      <c r="U206" s="401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398" t="s">
        <v>208</v>
      </c>
      <c r="C207" s="126" t="s">
        <v>179</v>
      </c>
      <c r="D207" s="108">
        <v>5.08</v>
      </c>
      <c r="E207" s="108"/>
      <c r="F207" s="127"/>
      <c r="G207" s="128"/>
      <c r="H207" s="407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1">IF(ISERROR(I207-K207),"",I207-K207)</f>
        <v>0</v>
      </c>
      <c r="N207" s="130">
        <f t="shared" ref="N207:N236" si="102">SUM(O207:U207)</f>
        <v>0</v>
      </c>
      <c r="O207" s="401"/>
      <c r="P207" s="401"/>
      <c r="Q207" s="401"/>
      <c r="R207" s="401"/>
      <c r="S207" s="401"/>
      <c r="T207" s="401"/>
      <c r="U207" s="401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398" t="s">
        <v>208</v>
      </c>
      <c r="C208" s="126" t="s">
        <v>204</v>
      </c>
      <c r="D208" s="108">
        <v>5.08</v>
      </c>
      <c r="E208" s="108"/>
      <c r="F208" s="127"/>
      <c r="G208" s="128"/>
      <c r="H208" s="407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401"/>
      <c r="P208" s="401"/>
      <c r="Q208" s="401"/>
      <c r="R208" s="401"/>
      <c r="S208" s="401"/>
      <c r="T208" s="401"/>
      <c r="U208" s="401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398" t="s">
        <v>208</v>
      </c>
      <c r="C209" s="126" t="s">
        <v>205</v>
      </c>
      <c r="D209" s="108">
        <v>5.08</v>
      </c>
      <c r="E209" s="108"/>
      <c r="F209" s="127"/>
      <c r="G209" s="128"/>
      <c r="H209" s="407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01"/>
      <c r="P209" s="401"/>
      <c r="Q209" s="401"/>
      <c r="R209" s="401"/>
      <c r="S209" s="401"/>
      <c r="T209" s="401"/>
      <c r="U209" s="401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398" t="s">
        <v>208</v>
      </c>
      <c r="C210" s="126" t="s">
        <v>186</v>
      </c>
      <c r="D210" s="108">
        <v>5.08</v>
      </c>
      <c r="E210" s="108"/>
      <c r="F210" s="127"/>
      <c r="G210" s="128"/>
      <c r="H210" s="407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01"/>
      <c r="P210" s="401"/>
      <c r="Q210" s="401"/>
      <c r="R210" s="401"/>
      <c r="S210" s="401"/>
      <c r="T210" s="401"/>
      <c r="U210" s="401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398" t="s">
        <v>208</v>
      </c>
      <c r="C211" s="126" t="s">
        <v>203</v>
      </c>
      <c r="D211" s="108">
        <v>5.08</v>
      </c>
      <c r="E211" s="108"/>
      <c r="F211" s="127"/>
      <c r="G211" s="128"/>
      <c r="H211" s="407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01"/>
      <c r="P211" s="401"/>
      <c r="Q211" s="401"/>
      <c r="R211" s="401"/>
      <c r="S211" s="401"/>
      <c r="T211" s="401"/>
      <c r="U211" s="401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customHeight="1">
      <c r="A212" s="300">
        <v>30100026</v>
      </c>
      <c r="B212" s="398" t="s">
        <v>208</v>
      </c>
      <c r="C212" s="126" t="s">
        <v>199</v>
      </c>
      <c r="D212" s="108">
        <v>5.08</v>
      </c>
      <c r="E212" s="108"/>
      <c r="F212" s="127">
        <v>42710</v>
      </c>
      <c r="G212" s="128">
        <f>108*8+68</f>
        <v>932</v>
      </c>
      <c r="H212" s="407">
        <f t="shared" si="91"/>
        <v>4734.5600000000004</v>
      </c>
      <c r="I212" s="129">
        <f>8.5*4</f>
        <v>34</v>
      </c>
      <c r="J212" s="130">
        <f t="array" ref="J212">IF(ISERROR(G212/I212),"",G212/I212)</f>
        <v>27.411764705882351</v>
      </c>
      <c r="K212" s="131">
        <f t="array" ref="K212">IF(ISERROR(G212/L212),"",G212/L212)</f>
        <v>44.38095238095238</v>
      </c>
      <c r="L212" s="129">
        <v>21</v>
      </c>
      <c r="M212" s="109">
        <f t="shared" si="101"/>
        <v>-10.38095238095238</v>
      </c>
      <c r="N212" s="130">
        <f t="shared" si="102"/>
        <v>0</v>
      </c>
      <c r="O212" s="399"/>
      <c r="P212" s="399"/>
      <c r="Q212" s="399"/>
      <c r="R212" s="399"/>
      <c r="S212" s="399"/>
      <c r="T212" s="399"/>
      <c r="U212" s="399"/>
      <c r="V212" s="132">
        <f t="shared" si="103"/>
        <v>0</v>
      </c>
      <c r="W212" s="133">
        <f t="shared" si="104"/>
        <v>0</v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398" t="s">
        <v>208</v>
      </c>
      <c r="C213" s="126" t="s">
        <v>187</v>
      </c>
      <c r="D213" s="108">
        <v>5.08</v>
      </c>
      <c r="E213" s="108"/>
      <c r="F213" s="127"/>
      <c r="G213" s="128"/>
      <c r="H213" s="407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401"/>
      <c r="P213" s="401"/>
      <c r="Q213" s="401"/>
      <c r="R213" s="401"/>
      <c r="S213" s="401"/>
      <c r="T213" s="401"/>
      <c r="U213" s="401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customHeight="1">
      <c r="A214" s="300">
        <v>30100028</v>
      </c>
      <c r="B214" s="398" t="s">
        <v>208</v>
      </c>
      <c r="C214" s="126" t="s">
        <v>207</v>
      </c>
      <c r="D214" s="108">
        <v>5.08</v>
      </c>
      <c r="E214" s="108"/>
      <c r="F214" s="127">
        <v>42710</v>
      </c>
      <c r="G214" s="128">
        <f>108*2</f>
        <v>216</v>
      </c>
      <c r="H214" s="407">
        <f t="shared" si="91"/>
        <v>1097.28</v>
      </c>
      <c r="I214" s="129">
        <f>3*4</f>
        <v>12</v>
      </c>
      <c r="J214" s="130">
        <f t="array" ref="J214">IF(ISERROR(G214/I214),"",G214/I214)</f>
        <v>18</v>
      </c>
      <c r="K214" s="131">
        <f t="array" ref="K214">IF(ISERROR(G214/L214),"",G214/L214)</f>
        <v>10.285714285714286</v>
      </c>
      <c r="L214" s="129">
        <v>21</v>
      </c>
      <c r="M214" s="109">
        <f t="shared" si="101"/>
        <v>1.7142857142857135</v>
      </c>
      <c r="N214" s="130">
        <f t="shared" si="102"/>
        <v>0</v>
      </c>
      <c r="O214" s="399"/>
      <c r="P214" s="399"/>
      <c r="Q214" s="399"/>
      <c r="R214" s="399"/>
      <c r="S214" s="399"/>
      <c r="T214" s="399"/>
      <c r="U214" s="399"/>
      <c r="V214" s="132">
        <f t="shared" si="103"/>
        <v>0</v>
      </c>
      <c r="W214" s="133">
        <f t="shared" si="104"/>
        <v>0</v>
      </c>
      <c r="X214" s="132"/>
      <c r="Y214" s="132"/>
      <c r="Z214" s="132"/>
      <c r="AA214" s="132"/>
    </row>
    <row r="215" spans="1:27" ht="19.5" hidden="1" customHeight="1">
      <c r="A215" s="300">
        <v>30100032</v>
      </c>
      <c r="B215" s="398" t="s">
        <v>209</v>
      </c>
      <c r="C215" s="126" t="s">
        <v>194</v>
      </c>
      <c r="D215" s="108">
        <v>5.03</v>
      </c>
      <c r="E215" s="108"/>
      <c r="F215" s="127"/>
      <c r="G215" s="128"/>
      <c r="H215" s="407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401"/>
      <c r="P215" s="401"/>
      <c r="Q215" s="401"/>
      <c r="R215" s="401"/>
      <c r="S215" s="401"/>
      <c r="T215" s="401"/>
      <c r="U215" s="401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398" t="s">
        <v>209</v>
      </c>
      <c r="C216" s="126" t="s">
        <v>179</v>
      </c>
      <c r="D216" s="108">
        <v>5.03</v>
      </c>
      <c r="E216" s="108"/>
      <c r="F216" s="127"/>
      <c r="G216" s="128"/>
      <c r="H216" s="407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01"/>
      <c r="P216" s="401"/>
      <c r="Q216" s="401"/>
      <c r="R216" s="401"/>
      <c r="S216" s="401"/>
      <c r="T216" s="401"/>
      <c r="U216" s="401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398" t="s">
        <v>209</v>
      </c>
      <c r="C217" s="126" t="s">
        <v>195</v>
      </c>
      <c r="D217" s="108">
        <v>5.03</v>
      </c>
      <c r="E217" s="108"/>
      <c r="F217" s="127"/>
      <c r="G217" s="128"/>
      <c r="H217" s="407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401"/>
      <c r="P217" s="401"/>
      <c r="Q217" s="401"/>
      <c r="R217" s="401"/>
      <c r="S217" s="401"/>
      <c r="T217" s="401"/>
      <c r="U217" s="401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398" t="s">
        <v>209</v>
      </c>
      <c r="C218" s="126" t="s">
        <v>204</v>
      </c>
      <c r="D218" s="108">
        <v>5.03</v>
      </c>
      <c r="E218" s="108"/>
      <c r="F218" s="127"/>
      <c r="G218" s="128"/>
      <c r="H218" s="407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401"/>
      <c r="P218" s="401"/>
      <c r="Q218" s="401"/>
      <c r="R218" s="401"/>
      <c r="S218" s="401"/>
      <c r="T218" s="401"/>
      <c r="U218" s="401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398" t="s">
        <v>382</v>
      </c>
      <c r="C219" s="187" t="s">
        <v>383</v>
      </c>
      <c r="D219" s="108">
        <v>5.03</v>
      </c>
      <c r="E219" s="108"/>
      <c r="F219" s="127"/>
      <c r="G219" s="128"/>
      <c r="H219" s="407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401"/>
      <c r="P219" s="401"/>
      <c r="Q219" s="401"/>
      <c r="R219" s="401"/>
      <c r="S219" s="401"/>
      <c r="T219" s="401"/>
      <c r="U219" s="401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398" t="s">
        <v>382</v>
      </c>
      <c r="C220" s="187" t="s">
        <v>384</v>
      </c>
      <c r="D220" s="108">
        <v>5.03</v>
      </c>
      <c r="E220" s="108"/>
      <c r="F220" s="127"/>
      <c r="G220" s="128"/>
      <c r="H220" s="407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01"/>
      <c r="P220" s="401"/>
      <c r="Q220" s="401"/>
      <c r="R220" s="401"/>
      <c r="S220" s="401"/>
      <c r="T220" s="401"/>
      <c r="U220" s="401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398" t="s">
        <v>382</v>
      </c>
      <c r="C221" s="187" t="s">
        <v>389</v>
      </c>
      <c r="D221" s="108">
        <v>5.03</v>
      </c>
      <c r="E221" s="108"/>
      <c r="F221" s="127"/>
      <c r="G221" s="128"/>
      <c r="H221" s="407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01"/>
      <c r="P221" s="401"/>
      <c r="Q221" s="401"/>
      <c r="R221" s="401"/>
      <c r="S221" s="401"/>
      <c r="T221" s="401"/>
      <c r="U221" s="401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398" t="s">
        <v>382</v>
      </c>
      <c r="C222" s="187" t="s">
        <v>391</v>
      </c>
      <c r="D222" s="108">
        <v>5.03</v>
      </c>
      <c r="E222" s="108"/>
      <c r="F222" s="127"/>
      <c r="G222" s="128"/>
      <c r="H222" s="407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01"/>
      <c r="P222" s="401"/>
      <c r="Q222" s="401"/>
      <c r="R222" s="401"/>
      <c r="S222" s="401"/>
      <c r="T222" s="401"/>
      <c r="U222" s="401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398" t="s">
        <v>418</v>
      </c>
      <c r="C223" s="187" t="s">
        <v>364</v>
      </c>
      <c r="D223" s="108">
        <v>5.03</v>
      </c>
      <c r="E223" s="108"/>
      <c r="F223" s="127"/>
      <c r="G223" s="128"/>
      <c r="H223" s="407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401"/>
      <c r="P223" s="401"/>
      <c r="Q223" s="401"/>
      <c r="R223" s="401"/>
      <c r="S223" s="401"/>
      <c r="T223" s="401"/>
      <c r="U223" s="401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398" t="s">
        <v>418</v>
      </c>
      <c r="C224" s="187" t="s">
        <v>365</v>
      </c>
      <c r="D224" s="108">
        <v>5.03</v>
      </c>
      <c r="E224" s="108"/>
      <c r="F224" s="127"/>
      <c r="G224" s="128"/>
      <c r="H224" s="407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01"/>
      <c r="P224" s="401"/>
      <c r="Q224" s="401"/>
      <c r="R224" s="401"/>
      <c r="S224" s="401"/>
      <c r="T224" s="401"/>
      <c r="U224" s="401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398" t="s">
        <v>418</v>
      </c>
      <c r="C225" s="187" t="s">
        <v>366</v>
      </c>
      <c r="D225" s="108">
        <v>5.03</v>
      </c>
      <c r="E225" s="108"/>
      <c r="F225" s="127"/>
      <c r="G225" s="128"/>
      <c r="H225" s="407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01"/>
      <c r="P225" s="401"/>
      <c r="Q225" s="401"/>
      <c r="R225" s="401"/>
      <c r="S225" s="401"/>
      <c r="T225" s="401"/>
      <c r="U225" s="401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398" t="s">
        <v>418</v>
      </c>
      <c r="C226" s="187" t="s">
        <v>367</v>
      </c>
      <c r="D226" s="108">
        <v>5.03</v>
      </c>
      <c r="E226" s="108"/>
      <c r="F226" s="127"/>
      <c r="G226" s="128"/>
      <c r="H226" s="407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01"/>
      <c r="P226" s="401"/>
      <c r="Q226" s="401"/>
      <c r="R226" s="401"/>
      <c r="S226" s="401"/>
      <c r="T226" s="401"/>
      <c r="U226" s="401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407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399"/>
      <c r="P227" s="399"/>
      <c r="Q227" s="399"/>
      <c r="R227" s="399"/>
      <c r="S227" s="399"/>
      <c r="T227" s="399"/>
      <c r="U227" s="399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407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399"/>
      <c r="P228" s="399"/>
      <c r="Q228" s="399"/>
      <c r="R228" s="399"/>
      <c r="S228" s="399"/>
      <c r="T228" s="399"/>
      <c r="U228" s="399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407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399"/>
      <c r="P229" s="399"/>
      <c r="Q229" s="399"/>
      <c r="R229" s="399"/>
      <c r="S229" s="399"/>
      <c r="T229" s="399"/>
      <c r="U229" s="399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407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399"/>
      <c r="P230" s="399"/>
      <c r="Q230" s="399"/>
      <c r="R230" s="399"/>
      <c r="S230" s="399"/>
      <c r="T230" s="399"/>
      <c r="U230" s="399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407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399"/>
      <c r="P231" s="399"/>
      <c r="Q231" s="399"/>
      <c r="R231" s="399"/>
      <c r="S231" s="399"/>
      <c r="T231" s="399"/>
      <c r="U231" s="399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407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399"/>
      <c r="P232" s="399"/>
      <c r="Q232" s="399"/>
      <c r="R232" s="399"/>
      <c r="S232" s="399"/>
      <c r="T232" s="399"/>
      <c r="U232" s="399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407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399"/>
      <c r="P233" s="399"/>
      <c r="Q233" s="399"/>
      <c r="R233" s="399"/>
      <c r="S233" s="399"/>
      <c r="T233" s="399"/>
      <c r="U233" s="399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407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399"/>
      <c r="P234" s="399"/>
      <c r="Q234" s="399"/>
      <c r="R234" s="399"/>
      <c r="S234" s="399"/>
      <c r="T234" s="399"/>
      <c r="U234" s="399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407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399"/>
      <c r="P235" s="399"/>
      <c r="Q235" s="399"/>
      <c r="R235" s="399"/>
      <c r="S235" s="399"/>
      <c r="T235" s="399"/>
      <c r="U235" s="399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407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399"/>
      <c r="P236" s="399"/>
      <c r="Q236" s="399"/>
      <c r="R236" s="399"/>
      <c r="S236" s="399"/>
      <c r="T236" s="399"/>
      <c r="U236" s="399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407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399"/>
      <c r="P237" s="399"/>
      <c r="Q237" s="399"/>
      <c r="R237" s="399"/>
      <c r="S237" s="399"/>
      <c r="T237" s="399"/>
      <c r="U237" s="399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407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7">IF(ISERROR(I238-K238),"",I238-K238)</f>
        <v>0</v>
      </c>
      <c r="N238" s="130"/>
      <c r="O238" s="399"/>
      <c r="P238" s="399"/>
      <c r="Q238" s="399"/>
      <c r="R238" s="399"/>
      <c r="S238" s="399"/>
      <c r="T238" s="399"/>
      <c r="U238" s="399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407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7"/>
        <v>0</v>
      </c>
      <c r="N239" s="130">
        <f t="shared" ref="N239:N240" si="108">SUM(O239:U239)</f>
        <v>0</v>
      </c>
      <c r="O239" s="399"/>
      <c r="P239" s="399"/>
      <c r="Q239" s="399"/>
      <c r="R239" s="399"/>
      <c r="S239" s="399"/>
      <c r="T239" s="399"/>
      <c r="U239" s="399"/>
      <c r="V239" s="132">
        <f t="shared" ref="V239:V240" si="109">SUM(X239:AA239)</f>
        <v>0</v>
      </c>
      <c r="W239" s="133" t="str">
        <f t="shared" ref="W239:W240" si="110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407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399"/>
      <c r="P240" s="399"/>
      <c r="Q240" s="399"/>
      <c r="R240" s="399"/>
      <c r="S240" s="399"/>
      <c r="T240" s="399"/>
      <c r="U240" s="399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407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399"/>
      <c r="P241" s="399"/>
      <c r="Q241" s="399"/>
      <c r="R241" s="399"/>
      <c r="S241" s="399"/>
      <c r="T241" s="399"/>
      <c r="U241" s="399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407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399"/>
      <c r="P242" s="399"/>
      <c r="Q242" s="399"/>
      <c r="R242" s="399"/>
      <c r="S242" s="399"/>
      <c r="T242" s="399"/>
      <c r="U242" s="399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407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399"/>
      <c r="P243" s="399"/>
      <c r="Q243" s="399"/>
      <c r="R243" s="399"/>
      <c r="S243" s="399"/>
      <c r="T243" s="399"/>
      <c r="U243" s="399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407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399"/>
      <c r="P244" s="399"/>
      <c r="Q244" s="399"/>
      <c r="R244" s="399"/>
      <c r="S244" s="399"/>
      <c r="T244" s="399"/>
      <c r="U244" s="399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407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399"/>
      <c r="P245" s="399"/>
      <c r="Q245" s="399"/>
      <c r="R245" s="399"/>
      <c r="S245" s="399"/>
      <c r="T245" s="399"/>
      <c r="U245" s="399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407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399"/>
      <c r="P246" s="399"/>
      <c r="Q246" s="399"/>
      <c r="R246" s="399"/>
      <c r="S246" s="399"/>
      <c r="T246" s="399"/>
      <c r="U246" s="399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407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399"/>
      <c r="P247" s="399"/>
      <c r="Q247" s="399"/>
      <c r="R247" s="399"/>
      <c r="S247" s="399"/>
      <c r="T247" s="399"/>
      <c r="U247" s="399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407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399"/>
      <c r="P248" s="399"/>
      <c r="Q248" s="399"/>
      <c r="R248" s="399"/>
      <c r="S248" s="399"/>
      <c r="T248" s="399"/>
      <c r="U248" s="399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407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399"/>
      <c r="P249" s="399"/>
      <c r="Q249" s="399"/>
      <c r="R249" s="399"/>
      <c r="S249" s="399"/>
      <c r="T249" s="399"/>
      <c r="U249" s="399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407">
        <f t="shared" si="91"/>
        <v>0</v>
      </c>
      <c r="I250" s="129"/>
      <c r="J250" s="130"/>
      <c r="K250" s="131"/>
      <c r="L250" s="129">
        <v>4</v>
      </c>
      <c r="M250" s="109"/>
      <c r="N250" s="130"/>
      <c r="O250" s="399"/>
      <c r="P250" s="399"/>
      <c r="Q250" s="399"/>
      <c r="R250" s="399"/>
      <c r="S250" s="399"/>
      <c r="T250" s="399"/>
      <c r="U250" s="399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407">
        <f t="shared" si="91"/>
        <v>0</v>
      </c>
      <c r="I251" s="129"/>
      <c r="J251" s="130"/>
      <c r="K251" s="131"/>
      <c r="L251" s="129">
        <v>4</v>
      </c>
      <c r="M251" s="109"/>
      <c r="N251" s="130"/>
      <c r="O251" s="399"/>
      <c r="P251" s="399"/>
      <c r="Q251" s="399"/>
      <c r="R251" s="399"/>
      <c r="S251" s="399"/>
      <c r="T251" s="399"/>
      <c r="U251" s="399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407">
        <f t="shared" si="91"/>
        <v>0</v>
      </c>
      <c r="I252" s="129"/>
      <c r="J252" s="130"/>
      <c r="K252" s="131"/>
      <c r="L252" s="129">
        <v>4</v>
      </c>
      <c r="M252" s="109"/>
      <c r="N252" s="130"/>
      <c r="O252" s="399"/>
      <c r="P252" s="399"/>
      <c r="Q252" s="399"/>
      <c r="R252" s="399"/>
      <c r="S252" s="399"/>
      <c r="T252" s="399"/>
      <c r="U252" s="399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407">
        <f t="shared" si="91"/>
        <v>0</v>
      </c>
      <c r="I253" s="129"/>
      <c r="J253" s="130"/>
      <c r="K253" s="131"/>
      <c r="L253" s="129">
        <v>4</v>
      </c>
      <c r="M253" s="109"/>
      <c r="N253" s="130"/>
      <c r="O253" s="399"/>
      <c r="P253" s="399"/>
      <c r="Q253" s="399"/>
      <c r="R253" s="399"/>
      <c r="S253" s="399"/>
      <c r="T253" s="399"/>
      <c r="U253" s="399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407">
        <f t="shared" si="91"/>
        <v>0</v>
      </c>
      <c r="I254" s="129"/>
      <c r="J254" s="130"/>
      <c r="K254" s="131"/>
      <c r="L254" s="129">
        <v>4</v>
      </c>
      <c r="M254" s="109"/>
      <c r="N254" s="130"/>
      <c r="O254" s="399"/>
      <c r="P254" s="399"/>
      <c r="Q254" s="399"/>
      <c r="R254" s="399"/>
      <c r="S254" s="399"/>
      <c r="T254" s="399"/>
      <c r="U254" s="399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407">
        <f t="shared" si="91"/>
        <v>0</v>
      </c>
      <c r="I255" s="129"/>
      <c r="J255" s="130"/>
      <c r="K255" s="131"/>
      <c r="L255" s="129">
        <v>4</v>
      </c>
      <c r="M255" s="109"/>
      <c r="N255" s="130"/>
      <c r="O255" s="399"/>
      <c r="P255" s="399"/>
      <c r="Q255" s="399"/>
      <c r="R255" s="399"/>
      <c r="S255" s="399"/>
      <c r="T255" s="399"/>
      <c r="U255" s="399"/>
      <c r="V255" s="132"/>
      <c r="W255" s="133"/>
      <c r="X255" s="132"/>
      <c r="Y255" s="132"/>
      <c r="Z255" s="132"/>
      <c r="AA255" s="132"/>
    </row>
    <row r="256" spans="1:27" ht="20.100000000000001" customHeight="1">
      <c r="A256" s="641" t="s">
        <v>216</v>
      </c>
      <c r="B256" s="641"/>
      <c r="C256" s="405" t="s">
        <v>202</v>
      </c>
      <c r="D256" s="143"/>
      <c r="E256" s="143"/>
      <c r="F256" s="144"/>
      <c r="G256" s="145">
        <f>SUM(G199:G255)</f>
        <v>1148</v>
      </c>
      <c r="H256" s="146">
        <f>SUM(H199:H255)</f>
        <v>5831.84</v>
      </c>
      <c r="I256" s="146">
        <f>SUM(I199:I255)</f>
        <v>46</v>
      </c>
      <c r="J256" s="130">
        <f t="array" ref="J256">IF(ISERROR(G256/I256),"",G256/I256)</f>
        <v>24.956521739130434</v>
      </c>
      <c r="K256" s="146">
        <f>SUM(K199:K255)</f>
        <v>54.666666666666664</v>
      </c>
      <c r="L256" s="147"/>
      <c r="M256" s="150">
        <f t="shared" ref="M256:V256" si="114">SUM(M199:M255)</f>
        <v>-8.6666666666666661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>
        <f t="shared" ref="W256:W263" si="115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398" t="s">
        <v>217</v>
      </c>
      <c r="C257" s="126" t="s">
        <v>179</v>
      </c>
      <c r="D257" s="108">
        <v>5.03</v>
      </c>
      <c r="E257" s="108"/>
      <c r="F257" s="127"/>
      <c r="G257" s="128"/>
      <c r="H257" s="407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399"/>
      <c r="P257" s="399"/>
      <c r="Q257" s="399"/>
      <c r="R257" s="399"/>
      <c r="S257" s="399"/>
      <c r="T257" s="399"/>
      <c r="U257" s="399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398" t="s">
        <v>217</v>
      </c>
      <c r="C258" s="126" t="s">
        <v>186</v>
      </c>
      <c r="D258" s="108">
        <v>5.03</v>
      </c>
      <c r="E258" s="108"/>
      <c r="F258" s="127"/>
      <c r="G258" s="128"/>
      <c r="H258" s="407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399"/>
      <c r="P258" s="399"/>
      <c r="Q258" s="399"/>
      <c r="R258" s="399"/>
      <c r="S258" s="399"/>
      <c r="T258" s="399"/>
      <c r="U258" s="399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398" t="s">
        <v>217</v>
      </c>
      <c r="C259" s="126" t="s">
        <v>204</v>
      </c>
      <c r="D259" s="108">
        <v>5.03</v>
      </c>
      <c r="E259" s="108"/>
      <c r="F259" s="127"/>
      <c r="G259" s="128"/>
      <c r="H259" s="407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399"/>
      <c r="P259" s="399"/>
      <c r="Q259" s="399"/>
      <c r="R259" s="399"/>
      <c r="S259" s="399"/>
      <c r="T259" s="399"/>
      <c r="U259" s="399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>
        <v>42710</v>
      </c>
      <c r="G260" s="128">
        <f>36+24</f>
        <v>60</v>
      </c>
      <c r="H260" s="407">
        <f t="shared" si="116"/>
        <v>301.8</v>
      </c>
      <c r="I260" s="129">
        <f>11.5*2</f>
        <v>23</v>
      </c>
      <c r="J260" s="130">
        <f t="array" ref="J260">IF(ISERROR(G260/I260),"",G260/I260)</f>
        <v>2.6086956521739131</v>
      </c>
      <c r="K260" s="131">
        <f t="array" ref="K260">IF(ISERROR(G260/L260),"",G260/L260)</f>
        <v>6.4516129032258061</v>
      </c>
      <c r="L260" s="129">
        <v>9.3000000000000007</v>
      </c>
      <c r="M260" s="109">
        <f t="shared" si="117"/>
        <v>16.548387096774192</v>
      </c>
      <c r="N260" s="130">
        <f t="shared" si="118"/>
        <v>0</v>
      </c>
      <c r="O260" s="399"/>
      <c r="P260" s="399"/>
      <c r="Q260" s="399"/>
      <c r="R260" s="399"/>
      <c r="S260" s="399"/>
      <c r="T260" s="399"/>
      <c r="U260" s="399"/>
      <c r="V260" s="132">
        <f t="shared" si="119"/>
        <v>0</v>
      </c>
      <c r="W260" s="133">
        <f t="shared" si="115"/>
        <v>0</v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407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399"/>
      <c r="P261" s="399"/>
      <c r="Q261" s="399"/>
      <c r="R261" s="399"/>
      <c r="S261" s="399"/>
      <c r="T261" s="399"/>
      <c r="U261" s="399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>
        <v>42707</v>
      </c>
      <c r="G262" s="128">
        <f>29+24</f>
        <v>53</v>
      </c>
      <c r="H262" s="407">
        <f t="shared" si="116"/>
        <v>266.59000000000003</v>
      </c>
      <c r="I262" s="129">
        <v>11.5</v>
      </c>
      <c r="J262" s="130">
        <f t="array" ref="J262">IF(ISERROR(G262/I262),"",G262/I262)</f>
        <v>4.6086956521739131</v>
      </c>
      <c r="K262" s="131">
        <f t="array" ref="K262">IF(ISERROR(G262/L262),"",G262/L262)</f>
        <v>5.6989247311827951</v>
      </c>
      <c r="L262" s="129">
        <v>9.3000000000000007</v>
      </c>
      <c r="M262" s="109">
        <f t="shared" si="117"/>
        <v>5.8010752688172049</v>
      </c>
      <c r="N262" s="130">
        <f t="shared" si="118"/>
        <v>0</v>
      </c>
      <c r="O262" s="399"/>
      <c r="P262" s="399"/>
      <c r="Q262" s="399"/>
      <c r="R262" s="399"/>
      <c r="S262" s="399"/>
      <c r="T262" s="399"/>
      <c r="U262" s="399"/>
      <c r="V262" s="132">
        <f t="shared" si="119"/>
        <v>0</v>
      </c>
      <c r="W262" s="133">
        <f t="shared" si="115"/>
        <v>0</v>
      </c>
      <c r="X262" s="132"/>
      <c r="Y262" s="132"/>
      <c r="Z262" s="132"/>
      <c r="AA262" s="132"/>
    </row>
    <row r="263" spans="1:27" ht="20.10000000000000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>
        <v>42707</v>
      </c>
      <c r="G263" s="128">
        <v>30</v>
      </c>
      <c r="H263" s="407">
        <f t="shared" si="116"/>
        <v>150.9</v>
      </c>
      <c r="I263" s="129">
        <v>3.5</v>
      </c>
      <c r="J263" s="130">
        <f t="array" ref="J263">IF(ISERROR(G263/I263),"",G263/I263)</f>
        <v>8.5714285714285712</v>
      </c>
      <c r="K263" s="131">
        <f t="array" ref="K263">IF(ISERROR(G263/L263),"",G263/L263)</f>
        <v>3.225806451612903</v>
      </c>
      <c r="L263" s="129">
        <v>9.3000000000000007</v>
      </c>
      <c r="M263" s="109">
        <f t="shared" si="117"/>
        <v>0.27419354838709697</v>
      </c>
      <c r="N263" s="130">
        <f t="shared" si="118"/>
        <v>0</v>
      </c>
      <c r="O263" s="399"/>
      <c r="P263" s="399"/>
      <c r="Q263" s="399"/>
      <c r="R263" s="399"/>
      <c r="S263" s="399"/>
      <c r="T263" s="399"/>
      <c r="U263" s="399"/>
      <c r="V263" s="132">
        <f t="shared" si="119"/>
        <v>0</v>
      </c>
      <c r="W263" s="133">
        <f t="shared" si="115"/>
        <v>0</v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407">
        <f t="shared" si="116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399"/>
      <c r="P264" s="399"/>
      <c r="Q264" s="399"/>
      <c r="R264" s="399"/>
      <c r="S264" s="399"/>
      <c r="T264" s="399"/>
      <c r="U264" s="399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407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399"/>
      <c r="P265" s="399"/>
      <c r="Q265" s="399"/>
      <c r="R265" s="399"/>
      <c r="S265" s="399"/>
      <c r="T265" s="399"/>
      <c r="U265" s="399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407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399"/>
      <c r="P266" s="399"/>
      <c r="Q266" s="399"/>
      <c r="R266" s="399"/>
      <c r="S266" s="399"/>
      <c r="T266" s="399"/>
      <c r="U266" s="39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407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399"/>
      <c r="P267" s="399"/>
      <c r="Q267" s="399"/>
      <c r="R267" s="399"/>
      <c r="S267" s="399"/>
      <c r="T267" s="399"/>
      <c r="U267" s="39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407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399"/>
      <c r="P268" s="399"/>
      <c r="Q268" s="399"/>
      <c r="R268" s="399"/>
      <c r="S268" s="399"/>
      <c r="T268" s="399"/>
      <c r="U268" s="39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407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0">IF(ISERROR(I269-K269),"",I269-K269)</f>
        <v>0</v>
      </c>
      <c r="N269" s="130">
        <f t="shared" ref="N269:N284" si="121">SUM(O269:U269)</f>
        <v>0</v>
      </c>
      <c r="O269" s="399"/>
      <c r="P269" s="399"/>
      <c r="Q269" s="399"/>
      <c r="R269" s="399"/>
      <c r="S269" s="399"/>
      <c r="T269" s="399"/>
      <c r="U269" s="399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407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399"/>
      <c r="P270" s="399"/>
      <c r="Q270" s="399"/>
      <c r="R270" s="399"/>
      <c r="S270" s="399"/>
      <c r="T270" s="399"/>
      <c r="U270" s="399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407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399"/>
      <c r="P271" s="399"/>
      <c r="Q271" s="399"/>
      <c r="R271" s="399"/>
      <c r="S271" s="399"/>
      <c r="T271" s="399"/>
      <c r="U271" s="399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407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399"/>
      <c r="P272" s="399"/>
      <c r="Q272" s="399"/>
      <c r="R272" s="399"/>
      <c r="S272" s="399"/>
      <c r="T272" s="399"/>
      <c r="U272" s="399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398" t="s">
        <v>222</v>
      </c>
      <c r="C273" s="126" t="s">
        <v>181</v>
      </c>
      <c r="D273" s="108">
        <v>9.36</v>
      </c>
      <c r="E273" s="108"/>
      <c r="F273" s="127"/>
      <c r="G273" s="128"/>
      <c r="H273" s="407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399"/>
      <c r="P273" s="399"/>
      <c r="Q273" s="399"/>
      <c r="R273" s="399"/>
      <c r="S273" s="399"/>
      <c r="T273" s="399"/>
      <c r="U273" s="399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398" t="s">
        <v>222</v>
      </c>
      <c r="C274" s="126" t="s">
        <v>179</v>
      </c>
      <c r="D274" s="108">
        <v>9.36</v>
      </c>
      <c r="E274" s="108"/>
      <c r="F274" s="127"/>
      <c r="G274" s="128"/>
      <c r="H274" s="407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399"/>
      <c r="P274" s="399"/>
      <c r="Q274" s="399"/>
      <c r="R274" s="399"/>
      <c r="S274" s="399"/>
      <c r="T274" s="399"/>
      <c r="U274" s="399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398" t="s">
        <v>222</v>
      </c>
      <c r="C275" s="126" t="s">
        <v>221</v>
      </c>
      <c r="D275" s="108">
        <v>9.36</v>
      </c>
      <c r="E275" s="108"/>
      <c r="F275" s="127"/>
      <c r="G275" s="128"/>
      <c r="H275" s="407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399"/>
      <c r="P275" s="399"/>
      <c r="Q275" s="399"/>
      <c r="R275" s="399"/>
      <c r="S275" s="399"/>
      <c r="T275" s="399"/>
      <c r="U275" s="399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398" t="s">
        <v>222</v>
      </c>
      <c r="C276" s="126" t="s">
        <v>186</v>
      </c>
      <c r="D276" s="108">
        <v>9.36</v>
      </c>
      <c r="E276" s="108"/>
      <c r="F276" s="127"/>
      <c r="G276" s="128"/>
      <c r="H276" s="407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399"/>
      <c r="P276" s="399"/>
      <c r="Q276" s="399"/>
      <c r="R276" s="399"/>
      <c r="S276" s="399"/>
      <c r="T276" s="399"/>
      <c r="U276" s="399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398" t="s">
        <v>393</v>
      </c>
      <c r="C277" s="187" t="s">
        <v>395</v>
      </c>
      <c r="D277" s="108">
        <v>5</v>
      </c>
      <c r="E277" s="108"/>
      <c r="F277" s="127"/>
      <c r="G277" s="128"/>
      <c r="H277" s="407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399"/>
      <c r="P277" s="399"/>
      <c r="Q277" s="399"/>
      <c r="R277" s="399"/>
      <c r="S277" s="399"/>
      <c r="T277" s="399"/>
      <c r="U277" s="399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398" t="s">
        <v>393</v>
      </c>
      <c r="C278" s="187" t="s">
        <v>402</v>
      </c>
      <c r="D278" s="108">
        <v>5</v>
      </c>
      <c r="E278" s="108"/>
      <c r="F278" s="127"/>
      <c r="G278" s="128"/>
      <c r="H278" s="407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399"/>
      <c r="P278" s="399"/>
      <c r="Q278" s="399"/>
      <c r="R278" s="399"/>
      <c r="S278" s="399"/>
      <c r="T278" s="399"/>
      <c r="U278" s="399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398" t="s">
        <v>404</v>
      </c>
      <c r="C279" s="187" t="s">
        <v>405</v>
      </c>
      <c r="D279" s="108">
        <v>5</v>
      </c>
      <c r="E279" s="108"/>
      <c r="F279" s="127"/>
      <c r="G279" s="128"/>
      <c r="H279" s="407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399"/>
      <c r="P279" s="399"/>
      <c r="Q279" s="399"/>
      <c r="R279" s="399"/>
      <c r="S279" s="399"/>
      <c r="T279" s="399"/>
      <c r="U279" s="399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398" t="s">
        <v>342</v>
      </c>
      <c r="C280" s="187" t="s">
        <v>372</v>
      </c>
      <c r="D280" s="108">
        <v>5</v>
      </c>
      <c r="E280" s="108"/>
      <c r="F280" s="127"/>
      <c r="G280" s="128"/>
      <c r="H280" s="407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399"/>
      <c r="P280" s="399"/>
      <c r="Q280" s="399"/>
      <c r="R280" s="399"/>
      <c r="S280" s="399"/>
      <c r="T280" s="399"/>
      <c r="U280" s="399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398" t="s">
        <v>343</v>
      </c>
      <c r="C281" s="126" t="s">
        <v>345</v>
      </c>
      <c r="D281" s="108">
        <v>5</v>
      </c>
      <c r="E281" s="108"/>
      <c r="F281" s="127"/>
      <c r="G281" s="128"/>
      <c r="H281" s="407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399"/>
      <c r="P281" s="399"/>
      <c r="Q281" s="399"/>
      <c r="R281" s="399"/>
      <c r="S281" s="399"/>
      <c r="T281" s="399"/>
      <c r="U281" s="399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398" t="s">
        <v>343</v>
      </c>
      <c r="C282" s="126" t="s">
        <v>347</v>
      </c>
      <c r="D282" s="108">
        <v>5</v>
      </c>
      <c r="E282" s="108"/>
      <c r="F282" s="127"/>
      <c r="G282" s="128"/>
      <c r="H282" s="407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399"/>
      <c r="P282" s="399"/>
      <c r="Q282" s="399"/>
      <c r="R282" s="399"/>
      <c r="S282" s="399"/>
      <c r="T282" s="399"/>
      <c r="U282" s="399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407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399"/>
      <c r="P283" s="399"/>
      <c r="Q283" s="399"/>
      <c r="R283" s="399"/>
      <c r="S283" s="399"/>
      <c r="T283" s="399"/>
      <c r="U283" s="399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407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399"/>
      <c r="P284" s="399"/>
      <c r="Q284" s="399"/>
      <c r="R284" s="399"/>
      <c r="S284" s="399"/>
      <c r="T284" s="399"/>
      <c r="U284" s="399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/>
      <c r="G285" s="128"/>
      <c r="H285" s="407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399"/>
      <c r="P285" s="399"/>
      <c r="Q285" s="399"/>
      <c r="R285" s="399"/>
      <c r="S285" s="399"/>
      <c r="T285" s="399"/>
      <c r="U285" s="399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407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399"/>
      <c r="P286" s="399"/>
      <c r="Q286" s="399"/>
      <c r="R286" s="399"/>
      <c r="S286" s="399"/>
      <c r="T286" s="399"/>
      <c r="U286" s="399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407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399"/>
      <c r="P287" s="399"/>
      <c r="Q287" s="399"/>
      <c r="R287" s="399"/>
      <c r="S287" s="399"/>
      <c r="T287" s="399"/>
      <c r="U287" s="399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407">
        <f t="shared" si="116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7">IF(ISERROR(I288-K288),"",I288-K288)</f>
        <v>0</v>
      </c>
      <c r="N288" s="130">
        <f t="shared" ref="N288:N290" si="128">SUM(O288:U288)</f>
        <v>0</v>
      </c>
      <c r="O288" s="399"/>
      <c r="P288" s="399"/>
      <c r="Q288" s="399"/>
      <c r="R288" s="399"/>
      <c r="S288" s="399"/>
      <c r="T288" s="399"/>
      <c r="U288" s="399"/>
      <c r="V288" s="132">
        <f t="shared" ref="V288:V290" si="129">SUM(X288:AA288)</f>
        <v>0</v>
      </c>
      <c r="W288" s="133" t="str">
        <f t="shared" ref="W288:W312" si="130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407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399"/>
      <c r="P289" s="399"/>
      <c r="Q289" s="399"/>
      <c r="R289" s="399"/>
      <c r="S289" s="399"/>
      <c r="T289" s="399"/>
      <c r="U289" s="399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>
        <v>42708</v>
      </c>
      <c r="G290" s="128">
        <v>100</v>
      </c>
      <c r="H290" s="407">
        <f t="shared" si="116"/>
        <v>505.99999999999994</v>
      </c>
      <c r="I290" s="129">
        <v>11.5</v>
      </c>
      <c r="J290" s="130">
        <f t="array" ref="J290">IF(ISERROR(G290/I290),"",G290/I290)</f>
        <v>8.695652173913043</v>
      </c>
      <c r="K290" s="407">
        <f t="array" ref="K290">IF(ISERROR(G290/L290),"",G290/L290)</f>
        <v>11.111111111111111</v>
      </c>
      <c r="L290" s="129">
        <v>9</v>
      </c>
      <c r="M290" s="109">
        <f t="shared" si="127"/>
        <v>0.38888888888888928</v>
      </c>
      <c r="N290" s="130">
        <f t="shared" si="128"/>
        <v>0</v>
      </c>
      <c r="O290" s="399"/>
      <c r="P290" s="399"/>
      <c r="Q290" s="399"/>
      <c r="R290" s="399"/>
      <c r="S290" s="399"/>
      <c r="T290" s="399"/>
      <c r="U290" s="399"/>
      <c r="V290" s="132">
        <f t="shared" si="129"/>
        <v>0</v>
      </c>
      <c r="W290" s="133">
        <f t="shared" si="130"/>
        <v>0</v>
      </c>
      <c r="X290" s="132"/>
      <c r="Y290" s="132"/>
      <c r="Z290" s="132"/>
      <c r="AA290" s="132"/>
    </row>
    <row r="291" spans="1:27" ht="20.100000000000001" customHeight="1">
      <c r="A291" s="630" t="s">
        <v>224</v>
      </c>
      <c r="B291" s="631"/>
      <c r="C291" s="405" t="s">
        <v>202</v>
      </c>
      <c r="D291" s="143"/>
      <c r="E291" s="143"/>
      <c r="F291" s="144"/>
      <c r="G291" s="145">
        <f>SUM(G257:G290)</f>
        <v>243</v>
      </c>
      <c r="H291" s="146">
        <f>SUM(H257:H290)</f>
        <v>1225.29</v>
      </c>
      <c r="I291" s="146">
        <f>SUM(I257:I290)</f>
        <v>49.5</v>
      </c>
      <c r="J291" s="130">
        <f t="array" ref="J291">IF(ISERROR(G291/I291),"",G291/I291)</f>
        <v>4.9090909090909092</v>
      </c>
      <c r="K291" s="146">
        <f>SUM(K257:K290)</f>
        <v>26.487455197132615</v>
      </c>
      <c r="L291" s="147"/>
      <c r="M291" s="150">
        <f t="shared" ref="M291:V291" si="131">SUM(M257:M290)</f>
        <v>23.012544802867382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>
        <f t="shared" si="130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407">
        <f t="shared" ref="H292:H306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3">IF(ISERROR(I292-K292),"",I292-K292)</f>
        <v>0</v>
      </c>
      <c r="N292" s="130">
        <f t="shared" ref="N292:N306" si="134">SUM(O292:U292)</f>
        <v>0</v>
      </c>
      <c r="O292" s="399"/>
      <c r="P292" s="399"/>
      <c r="Q292" s="399"/>
      <c r="R292" s="399"/>
      <c r="S292" s="399"/>
      <c r="T292" s="399"/>
      <c r="U292" s="399"/>
      <c r="V292" s="132">
        <f t="shared" ref="V292:V306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407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399"/>
      <c r="P293" s="399"/>
      <c r="Q293" s="399"/>
      <c r="R293" s="399"/>
      <c r="S293" s="399"/>
      <c r="T293" s="399"/>
      <c r="U293" s="399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407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3"/>
        <v>0</v>
      </c>
      <c r="N294" s="130">
        <f t="shared" si="134"/>
        <v>0</v>
      </c>
      <c r="O294" s="399"/>
      <c r="P294" s="399"/>
      <c r="Q294" s="399"/>
      <c r="R294" s="399"/>
      <c r="S294" s="399"/>
      <c r="T294" s="399"/>
      <c r="U294" s="39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407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399"/>
      <c r="P295" s="399"/>
      <c r="Q295" s="399"/>
      <c r="R295" s="399"/>
      <c r="S295" s="399"/>
      <c r="T295" s="399"/>
      <c r="U295" s="39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403" t="s">
        <v>203</v>
      </c>
      <c r="D296" s="108">
        <v>5.03</v>
      </c>
      <c r="E296" s="108"/>
      <c r="F296" s="127"/>
      <c r="G296" s="128"/>
      <c r="H296" s="407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399"/>
      <c r="P296" s="399"/>
      <c r="Q296" s="399"/>
      <c r="R296" s="399"/>
      <c r="S296" s="399"/>
      <c r="T296" s="399"/>
      <c r="U296" s="39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407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399"/>
      <c r="P297" s="399"/>
      <c r="Q297" s="399"/>
      <c r="R297" s="399"/>
      <c r="S297" s="399"/>
      <c r="T297" s="399"/>
      <c r="U297" s="39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407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399"/>
      <c r="P298" s="399"/>
      <c r="Q298" s="399"/>
      <c r="R298" s="399"/>
      <c r="S298" s="399"/>
      <c r="T298" s="399"/>
      <c r="U298" s="39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403" t="s">
        <v>228</v>
      </c>
      <c r="D299" s="108">
        <v>5.03</v>
      </c>
      <c r="E299" s="108"/>
      <c r="F299" s="127"/>
      <c r="G299" s="128"/>
      <c r="H299" s="407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399"/>
      <c r="P299" s="399"/>
      <c r="Q299" s="399"/>
      <c r="R299" s="399"/>
      <c r="S299" s="399"/>
      <c r="T299" s="399"/>
      <c r="U299" s="39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403" t="s">
        <v>212</v>
      </c>
      <c r="D300" s="108">
        <v>5.03</v>
      </c>
      <c r="E300" s="108"/>
      <c r="F300" s="127"/>
      <c r="G300" s="128"/>
      <c r="H300" s="407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399"/>
      <c r="P300" s="399"/>
      <c r="Q300" s="399"/>
      <c r="R300" s="399"/>
      <c r="S300" s="399"/>
      <c r="T300" s="399"/>
      <c r="U300" s="39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403" t="s">
        <v>203</v>
      </c>
      <c r="D301" s="108">
        <v>5.03</v>
      </c>
      <c r="E301" s="108"/>
      <c r="F301" s="127"/>
      <c r="G301" s="128"/>
      <c r="H301" s="407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399"/>
      <c r="P301" s="399"/>
      <c r="Q301" s="399"/>
      <c r="R301" s="399"/>
      <c r="S301" s="399"/>
      <c r="T301" s="399"/>
      <c r="U301" s="39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403" t="s">
        <v>186</v>
      </c>
      <c r="D302" s="108">
        <v>5.03</v>
      </c>
      <c r="E302" s="108"/>
      <c r="F302" s="127"/>
      <c r="G302" s="128"/>
      <c r="H302" s="407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399"/>
      <c r="P302" s="399"/>
      <c r="Q302" s="399"/>
      <c r="R302" s="399"/>
      <c r="S302" s="399"/>
      <c r="T302" s="399"/>
      <c r="U302" s="39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403" t="s">
        <v>228</v>
      </c>
      <c r="D303" s="108">
        <v>5.03</v>
      </c>
      <c r="E303" s="108"/>
      <c r="F303" s="127"/>
      <c r="G303" s="128"/>
      <c r="H303" s="407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399"/>
      <c r="P303" s="399"/>
      <c r="Q303" s="399"/>
      <c r="R303" s="399"/>
      <c r="S303" s="399"/>
      <c r="T303" s="399"/>
      <c r="U303" s="39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403" t="s">
        <v>199</v>
      </c>
      <c r="D304" s="108">
        <v>5.03</v>
      </c>
      <c r="E304" s="108"/>
      <c r="F304" s="127"/>
      <c r="G304" s="128"/>
      <c r="H304" s="407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399"/>
      <c r="P304" s="399"/>
      <c r="Q304" s="399"/>
      <c r="R304" s="399"/>
      <c r="S304" s="399"/>
      <c r="T304" s="399"/>
      <c r="U304" s="39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407">
        <f t="shared" si="132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3"/>
        <v>0</v>
      </c>
      <c r="N305" s="130">
        <f t="shared" si="134"/>
        <v>0</v>
      </c>
      <c r="O305" s="399"/>
      <c r="P305" s="399"/>
      <c r="Q305" s="399"/>
      <c r="R305" s="399"/>
      <c r="S305" s="399"/>
      <c r="T305" s="399"/>
      <c r="U305" s="399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407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399"/>
      <c r="P306" s="399"/>
      <c r="Q306" s="399"/>
      <c r="R306" s="399"/>
      <c r="S306" s="399"/>
      <c r="T306" s="399"/>
      <c r="U306" s="399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630" t="s">
        <v>231</v>
      </c>
      <c r="B307" s="631"/>
      <c r="C307" s="405" t="s">
        <v>202</v>
      </c>
      <c r="D307" s="143"/>
      <c r="E307" s="143"/>
      <c r="F307" s="144"/>
      <c r="G307" s="145">
        <f>SUM(G292:G306)</f>
        <v>0</v>
      </c>
      <c r="H307" s="146">
        <f>SUM(H292:H306)</f>
        <v>0</v>
      </c>
      <c r="I307" s="146">
        <f>SUM(I292:I306)</f>
        <v>0</v>
      </c>
      <c r="J307" s="130" t="str">
        <f t="array" ref="J307">IF(ISERROR(G307/I307),"",G307/I307)</f>
        <v/>
      </c>
      <c r="K307" s="146">
        <f>SUM(K292:K306)</f>
        <v>0</v>
      </c>
      <c r="L307" s="146"/>
      <c r="M307" s="150">
        <f>SUM(M292:M306)</f>
        <v>0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 t="str">
        <f t="shared" si="130"/>
        <v/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407">
        <f t="shared" ref="H308:H315" si="136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7">IF(ISERROR(I308-K308),"",I308-K308)</f>
        <v>0</v>
      </c>
      <c r="N308" s="130">
        <f t="shared" ref="N308:N312" si="138">SUM(O308:U308)</f>
        <v>0</v>
      </c>
      <c r="O308" s="399"/>
      <c r="P308" s="399"/>
      <c r="Q308" s="399"/>
      <c r="R308" s="399"/>
      <c r="S308" s="399"/>
      <c r="T308" s="399"/>
      <c r="U308" s="399"/>
      <c r="V308" s="132">
        <f t="shared" ref="V308:V312" si="139">SUM(X308:AA308)</f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407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399"/>
      <c r="P309" s="399"/>
      <c r="Q309" s="399"/>
      <c r="R309" s="399"/>
      <c r="S309" s="399"/>
      <c r="T309" s="399"/>
      <c r="U309" s="399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407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399"/>
      <c r="P310" s="399"/>
      <c r="Q310" s="399"/>
      <c r="R310" s="399"/>
      <c r="S310" s="399"/>
      <c r="T310" s="399"/>
      <c r="U310" s="399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407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399"/>
      <c r="P311" s="399"/>
      <c r="Q311" s="399"/>
      <c r="R311" s="399"/>
      <c r="S311" s="399"/>
      <c r="T311" s="399"/>
      <c r="U311" s="399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407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399"/>
      <c r="P312" s="399"/>
      <c r="Q312" s="399"/>
      <c r="R312" s="399"/>
      <c r="S312" s="399"/>
      <c r="T312" s="399"/>
      <c r="U312" s="399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79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399"/>
      <c r="P313" s="399"/>
      <c r="Q313" s="399"/>
      <c r="R313" s="399"/>
      <c r="S313" s="399"/>
      <c r="T313" s="399"/>
      <c r="U313" s="399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/>
      <c r="G314" s="128"/>
      <c r="H314" s="479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70"/>
      <c r="P314" s="470"/>
      <c r="Q314" s="470"/>
      <c r="R314" s="470"/>
      <c r="S314" s="470"/>
      <c r="T314" s="470"/>
      <c r="U314" s="470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407">
        <f t="shared" ref="H316" si="140">D316*G316</f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1">IF(ISERROR(I316-K316),"",I316-K316)</f>
        <v>0</v>
      </c>
      <c r="N316" s="130">
        <f t="shared" ref="N316" si="142">SUM(O316:U316)</f>
        <v>0</v>
      </c>
      <c r="O316" s="399"/>
      <c r="P316" s="399"/>
      <c r="Q316" s="399"/>
      <c r="R316" s="399"/>
      <c r="S316" s="399"/>
      <c r="T316" s="399"/>
      <c r="U316" s="399"/>
      <c r="V316" s="132">
        <f t="shared" ref="V316" si="143">SUM(X316:AA316)</f>
        <v>0</v>
      </c>
      <c r="W316" s="133" t="str">
        <f t="shared" ref="W316:W321" si="144">IF(ISERROR(V316/G316),"",V316/G316)</f>
        <v/>
      </c>
      <c r="X316" s="132"/>
      <c r="Y316" s="132"/>
      <c r="Z316" s="132"/>
      <c r="AA316" s="132"/>
    </row>
    <row r="317" spans="1:27" ht="20.100000000000001" hidden="1" customHeight="1">
      <c r="A317" s="630" t="s">
        <v>234</v>
      </c>
      <c r="B317" s="631"/>
      <c r="C317" s="405" t="s">
        <v>202</v>
      </c>
      <c r="D317" s="143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4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397"/>
      <c r="D318" s="108">
        <v>3.65</v>
      </c>
      <c r="E318" s="108"/>
      <c r="F318" s="153"/>
      <c r="G318" s="128"/>
      <c r="H318" s="407">
        <f t="shared" ref="H318:H331" si="145">D318*G318</f>
        <v>0</v>
      </c>
      <c r="I318" s="129"/>
      <c r="J318" s="130" t="str">
        <f t="array" ref="J318">IF(ISERROR(G318/I318),"",G318/I318)</f>
        <v/>
      </c>
      <c r="K318" s="407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399"/>
      <c r="P318" s="399"/>
      <c r="Q318" s="399"/>
      <c r="R318" s="399"/>
      <c r="S318" s="399"/>
      <c r="T318" s="399"/>
      <c r="U318" s="399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397"/>
      <c r="D319" s="108">
        <v>6.58</v>
      </c>
      <c r="E319" s="108"/>
      <c r="F319" s="127"/>
      <c r="G319" s="128"/>
      <c r="H319" s="407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399"/>
      <c r="P319" s="399"/>
      <c r="Q319" s="399"/>
      <c r="R319" s="399"/>
      <c r="S319" s="399"/>
      <c r="T319" s="399"/>
      <c r="U319" s="399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397"/>
      <c r="D320" s="108">
        <v>7.8</v>
      </c>
      <c r="E320" s="108"/>
      <c r="F320" s="127"/>
      <c r="G320" s="128"/>
      <c r="H320" s="407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399"/>
      <c r="P320" s="399"/>
      <c r="Q320" s="399"/>
      <c r="R320" s="399"/>
      <c r="S320" s="399"/>
      <c r="T320" s="399"/>
      <c r="U320" s="399"/>
      <c r="V320" s="132">
        <f t="shared" si="148"/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397"/>
      <c r="D321" s="108">
        <v>4.4000000000000004</v>
      </c>
      <c r="E321" s="108"/>
      <c r="F321" s="127"/>
      <c r="G321" s="128"/>
      <c r="H321" s="407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399"/>
      <c r="P321" s="399"/>
      <c r="Q321" s="399"/>
      <c r="R321" s="399"/>
      <c r="S321" s="399"/>
      <c r="T321" s="399"/>
      <c r="U321" s="399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397"/>
      <c r="D322" s="108"/>
      <c r="E322" s="108"/>
      <c r="F322" s="127"/>
      <c r="G322" s="128"/>
      <c r="H322" s="407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399"/>
      <c r="P322" s="399"/>
      <c r="Q322" s="399"/>
      <c r="R322" s="399"/>
      <c r="S322" s="399"/>
      <c r="T322" s="399"/>
      <c r="U322" s="399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397" t="s">
        <v>239</v>
      </c>
      <c r="C323" s="397" t="s">
        <v>179</v>
      </c>
      <c r="D323" s="108">
        <v>6.04</v>
      </c>
      <c r="E323" s="108"/>
      <c r="F323" s="127"/>
      <c r="G323" s="128"/>
      <c r="H323" s="407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399"/>
      <c r="P323" s="399"/>
      <c r="Q323" s="399"/>
      <c r="R323" s="399"/>
      <c r="S323" s="399"/>
      <c r="T323" s="399"/>
      <c r="U323" s="399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397" t="s">
        <v>239</v>
      </c>
      <c r="C324" s="397" t="s">
        <v>186</v>
      </c>
      <c r="D324" s="108">
        <v>6.04</v>
      </c>
      <c r="E324" s="108"/>
      <c r="F324" s="127"/>
      <c r="G324" s="128"/>
      <c r="H324" s="407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399"/>
      <c r="P324" s="399"/>
      <c r="Q324" s="399"/>
      <c r="R324" s="399"/>
      <c r="S324" s="399"/>
      <c r="T324" s="399"/>
      <c r="U324" s="399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397" t="s">
        <v>443</v>
      </c>
      <c r="C325" s="397" t="s">
        <v>179</v>
      </c>
      <c r="D325" s="108">
        <v>6</v>
      </c>
      <c r="E325" s="108"/>
      <c r="F325" s="127"/>
      <c r="G325" s="128"/>
      <c r="H325" s="407">
        <f t="shared" si="145"/>
        <v>0</v>
      </c>
      <c r="I325" s="129"/>
      <c r="J325" s="130"/>
      <c r="K325" s="131"/>
      <c r="L325" s="129"/>
      <c r="M325" s="109"/>
      <c r="N325" s="130"/>
      <c r="O325" s="399"/>
      <c r="P325" s="399"/>
      <c r="Q325" s="399"/>
      <c r="R325" s="399"/>
      <c r="S325" s="399"/>
      <c r="T325" s="399"/>
      <c r="U325" s="399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397" t="s">
        <v>443</v>
      </c>
      <c r="C326" s="397" t="s">
        <v>60</v>
      </c>
      <c r="D326" s="108">
        <v>6</v>
      </c>
      <c r="E326" s="108"/>
      <c r="F326" s="127"/>
      <c r="G326" s="128"/>
      <c r="H326" s="407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399"/>
      <c r="P326" s="399"/>
      <c r="Q326" s="399"/>
      <c r="R326" s="399"/>
      <c r="S326" s="399"/>
      <c r="T326" s="399"/>
      <c r="U326" s="399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398" t="s">
        <v>240</v>
      </c>
      <c r="C327" s="126"/>
      <c r="D327" s="108">
        <v>7.3</v>
      </c>
      <c r="E327" s="108"/>
      <c r="F327" s="127"/>
      <c r="G327" s="128"/>
      <c r="H327" s="407">
        <f t="shared" si="145"/>
        <v>0</v>
      </c>
      <c r="I327" s="129"/>
      <c r="J327" s="130"/>
      <c r="K327" s="131"/>
      <c r="L327" s="129"/>
      <c r="M327" s="109"/>
      <c r="N327" s="130"/>
      <c r="O327" s="399"/>
      <c r="P327" s="399"/>
      <c r="Q327" s="399"/>
      <c r="R327" s="399"/>
      <c r="S327" s="399"/>
      <c r="T327" s="399"/>
      <c r="U327" s="399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398" t="s">
        <v>241</v>
      </c>
      <c r="C328" s="126"/>
      <c r="D328" s="108">
        <f>78*120/1000</f>
        <v>9.36</v>
      </c>
      <c r="E328" s="108"/>
      <c r="F328" s="127"/>
      <c r="G328" s="128"/>
      <c r="H328" s="407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399"/>
      <c r="P328" s="399"/>
      <c r="Q328" s="399"/>
      <c r="R328" s="399"/>
      <c r="S328" s="399"/>
      <c r="T328" s="399"/>
      <c r="U328" s="399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398" t="s">
        <v>242</v>
      </c>
      <c r="C329" s="126"/>
      <c r="D329" s="108">
        <v>4.5</v>
      </c>
      <c r="E329" s="108"/>
      <c r="F329" s="127"/>
      <c r="G329" s="128"/>
      <c r="H329" s="407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399"/>
      <c r="P329" s="399"/>
      <c r="Q329" s="399"/>
      <c r="R329" s="399"/>
      <c r="S329" s="399"/>
      <c r="T329" s="399"/>
      <c r="U329" s="399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398" t="s">
        <v>243</v>
      </c>
      <c r="C330" s="126"/>
      <c r="D330" s="108">
        <v>4.5</v>
      </c>
      <c r="E330" s="108"/>
      <c r="F330" s="127"/>
      <c r="G330" s="128"/>
      <c r="H330" s="407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399"/>
      <c r="P330" s="399"/>
      <c r="Q330" s="399"/>
      <c r="R330" s="399"/>
      <c r="S330" s="399"/>
      <c r="T330" s="399"/>
      <c r="U330" s="399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407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399"/>
      <c r="P331" s="399"/>
      <c r="Q331" s="399"/>
      <c r="R331" s="399"/>
      <c r="S331" s="399"/>
      <c r="T331" s="399"/>
      <c r="U331" s="399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630" t="s">
        <v>244</v>
      </c>
      <c r="B332" s="631"/>
      <c r="C332" s="405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6">SUM(M318:M328)</f>
        <v>0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632" t="s">
        <v>246</v>
      </c>
      <c r="B333" s="633"/>
      <c r="C333" s="633"/>
      <c r="D333" s="633"/>
      <c r="E333" s="633"/>
      <c r="F333" s="634"/>
      <c r="G333" s="154">
        <f>SUM(G198,G256,G291,G307,G317,G332)</f>
        <v>2570</v>
      </c>
      <c r="H333" s="154">
        <f>SUM(H198,H256,H291,H307,H317,H332)</f>
        <v>12987.5</v>
      </c>
      <c r="I333" s="154">
        <f>SUM(I198,I256,I291,I307,I317,I332)</f>
        <v>175.5</v>
      </c>
      <c r="J333" s="155">
        <f t="array" ref="J333">IF(ISERROR(G333/I333),"",G333/I333)</f>
        <v>14.643874643874645</v>
      </c>
      <c r="K333" s="154">
        <f>SUM(K198,K256,K291,K307,K317,K332)</f>
        <v>147.73635870590454</v>
      </c>
      <c r="L333" s="155">
        <f>IF(ISERROR(G333/K333),"",G333/K333)</f>
        <v>17.395853143477304</v>
      </c>
      <c r="M333" s="154">
        <f t="shared" ref="M333:AA333" si="157">SUM(M198,M256,M291,M307,M317,M332)</f>
        <v>27.763641294095457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635" t="s">
        <v>476</v>
      </c>
      <c r="B334" s="404" t="s">
        <v>247</v>
      </c>
      <c r="C334" s="638" t="s">
        <v>248</v>
      </c>
      <c r="D334" s="639"/>
      <c r="E334" s="640" t="s">
        <v>249</v>
      </c>
      <c r="F334" s="640"/>
      <c r="G334" s="643" t="s">
        <v>250</v>
      </c>
      <c r="H334" s="643"/>
      <c r="I334" s="640" t="s">
        <v>251</v>
      </c>
      <c r="J334" s="640"/>
      <c r="K334" s="640" t="s">
        <v>252</v>
      </c>
      <c r="L334" s="640"/>
      <c r="M334" s="640" t="s">
        <v>253</v>
      </c>
      <c r="N334" s="640"/>
      <c r="O334" s="640" t="s">
        <v>254</v>
      </c>
      <c r="P334" s="643" t="s">
        <v>255</v>
      </c>
      <c r="Q334" s="643"/>
      <c r="R334" s="643" t="s">
        <v>252</v>
      </c>
      <c r="S334" s="643"/>
      <c r="T334" s="643" t="s">
        <v>256</v>
      </c>
      <c r="U334" s="643"/>
      <c r="V334" s="643" t="s">
        <v>257</v>
      </c>
      <c r="W334" s="643"/>
      <c r="X334" s="643" t="s">
        <v>252</v>
      </c>
      <c r="Y334" s="643"/>
      <c r="Z334" s="643" t="s">
        <v>256</v>
      </c>
      <c r="AA334" s="643"/>
    </row>
    <row r="335" spans="1:27" ht="20.100000000000001" customHeight="1">
      <c r="A335" s="636"/>
      <c r="B335" s="404" t="s">
        <v>258</v>
      </c>
      <c r="C335" s="678">
        <v>1</v>
      </c>
      <c r="D335" s="679"/>
      <c r="E335" s="642">
        <f>C335*11</f>
        <v>11</v>
      </c>
      <c r="F335" s="642"/>
      <c r="G335" s="643">
        <v>1</v>
      </c>
      <c r="H335" s="643"/>
      <c r="I335" s="642">
        <f>G335*11</f>
        <v>11</v>
      </c>
      <c r="J335" s="642"/>
      <c r="K335" s="642">
        <f>E335-I335</f>
        <v>0</v>
      </c>
      <c r="L335" s="642"/>
      <c r="M335" s="644">
        <f>IF(ISERROR(K335/E335),"",K335/E335)</f>
        <v>0</v>
      </c>
      <c r="N335" s="644"/>
      <c r="O335" s="640"/>
      <c r="P335" s="643" t="s">
        <v>201</v>
      </c>
      <c r="Q335" s="643"/>
      <c r="R335" s="645">
        <f>SUM(O198:U198)</f>
        <v>0</v>
      </c>
      <c r="S335" s="645"/>
      <c r="T335" s="646" t="str">
        <f t="array" ref="T335">IF(ISERROR(R335/R342),"",R335/R342)</f>
        <v/>
      </c>
      <c r="U335" s="646"/>
      <c r="V335" s="643" t="s">
        <v>259</v>
      </c>
      <c r="W335" s="643"/>
      <c r="X335" s="680">
        <f>SUM(P197,P255,P290,P306,P316,P331)</f>
        <v>0</v>
      </c>
      <c r="Y335" s="681"/>
      <c r="Z335" s="646" t="str">
        <f t="array" ref="Z335">IF(ISERROR(X335/X342),"",X335/X342)</f>
        <v/>
      </c>
      <c r="AA335" s="646"/>
    </row>
    <row r="336" spans="1:27" ht="20.100000000000001" customHeight="1">
      <c r="A336" s="636"/>
      <c r="B336" s="404" t="s">
        <v>260</v>
      </c>
      <c r="C336" s="638">
        <v>0</v>
      </c>
      <c r="D336" s="639"/>
      <c r="E336" s="642">
        <f>C336*11</f>
        <v>0</v>
      </c>
      <c r="F336" s="642"/>
      <c r="G336" s="643">
        <v>0</v>
      </c>
      <c r="H336" s="643"/>
      <c r="I336" s="642">
        <f>G336*11</f>
        <v>0</v>
      </c>
      <c r="J336" s="642"/>
      <c r="K336" s="642">
        <f>E336-I336</f>
        <v>0</v>
      </c>
      <c r="L336" s="642"/>
      <c r="M336" s="644" t="str">
        <f>IF(ISERROR(K336/E336),"",K336/E336)</f>
        <v/>
      </c>
      <c r="N336" s="644"/>
      <c r="O336" s="640"/>
      <c r="P336" s="643" t="s">
        <v>216</v>
      </c>
      <c r="Q336" s="643"/>
      <c r="R336" s="645">
        <f>SUM(O256:U256)</f>
        <v>0</v>
      </c>
      <c r="S336" s="645"/>
      <c r="T336" s="646" t="str">
        <f>IF(ISERROR(R336/R342),"",R336/R342)</f>
        <v/>
      </c>
      <c r="U336" s="646"/>
      <c r="V336" s="643" t="s">
        <v>261</v>
      </c>
      <c r="W336" s="643"/>
      <c r="X336" s="680">
        <f>SUM(P198,P256,P291,P307,P317,P332)</f>
        <v>0</v>
      </c>
      <c r="Y336" s="681"/>
      <c r="Z336" s="646" t="str">
        <f>IF(ISERROR(X336/X342),"",X336/X342)</f>
        <v/>
      </c>
      <c r="AA336" s="646"/>
    </row>
    <row r="337" spans="1:27" ht="20.100000000000001" customHeight="1">
      <c r="A337" s="636"/>
      <c r="B337" s="404" t="s">
        <v>262</v>
      </c>
      <c r="C337" s="638">
        <v>0</v>
      </c>
      <c r="D337" s="639"/>
      <c r="E337" s="642">
        <f>C337*8</f>
        <v>0</v>
      </c>
      <c r="F337" s="642"/>
      <c r="G337" s="643">
        <v>1</v>
      </c>
      <c r="H337" s="643"/>
      <c r="I337" s="642">
        <f>G337*8</f>
        <v>8</v>
      </c>
      <c r="J337" s="642"/>
      <c r="K337" s="642">
        <f>E337-I337</f>
        <v>-8</v>
      </c>
      <c r="L337" s="642"/>
      <c r="M337" s="644" t="str">
        <f>IF(ISERROR(K337/E337),"",K337/E337)</f>
        <v/>
      </c>
      <c r="N337" s="644"/>
      <c r="O337" s="640"/>
      <c r="P337" s="643" t="s">
        <v>224</v>
      </c>
      <c r="Q337" s="643"/>
      <c r="R337" s="645">
        <f>SUM(O291:U291)</f>
        <v>0</v>
      </c>
      <c r="S337" s="645"/>
      <c r="T337" s="646" t="str">
        <f>IF(ISERROR(R337/R342),"",R337/R342)</f>
        <v/>
      </c>
      <c r="U337" s="646"/>
      <c r="V337" s="643" t="s">
        <v>263</v>
      </c>
      <c r="W337" s="643"/>
      <c r="X337" s="680">
        <f>SUM(P199,P257,P292,P308,P318,P333)</f>
        <v>0</v>
      </c>
      <c r="Y337" s="681"/>
      <c r="Z337" s="646" t="str">
        <f>IF(ISERROR(X337/X342),"",X337/X342)</f>
        <v/>
      </c>
      <c r="AA337" s="646"/>
    </row>
    <row r="338" spans="1:27" ht="20.100000000000001" customHeight="1">
      <c r="A338" s="636"/>
      <c r="B338" s="404" t="s">
        <v>264</v>
      </c>
      <c r="C338" s="638">
        <v>1</v>
      </c>
      <c r="D338" s="639"/>
      <c r="E338" s="642">
        <f>C338*11</f>
        <v>11</v>
      </c>
      <c r="F338" s="642"/>
      <c r="G338" s="643">
        <v>1</v>
      </c>
      <c r="H338" s="643"/>
      <c r="I338" s="642">
        <f>G338*11</f>
        <v>11</v>
      </c>
      <c r="J338" s="642"/>
      <c r="K338" s="642">
        <f>E338-I338</f>
        <v>0</v>
      </c>
      <c r="L338" s="642"/>
      <c r="M338" s="644">
        <f>IF(ISERROR(K338/E338),"",K338/E338)</f>
        <v>0</v>
      </c>
      <c r="N338" s="644"/>
      <c r="O338" s="640"/>
      <c r="P338" s="643" t="s">
        <v>231</v>
      </c>
      <c r="Q338" s="643"/>
      <c r="R338" s="645">
        <f>SUM(O307:U307)</f>
        <v>0</v>
      </c>
      <c r="S338" s="645"/>
      <c r="T338" s="646" t="str">
        <f>IF(ISERROR(R338/R342),"",R338/R342)</f>
        <v/>
      </c>
      <c r="U338" s="646"/>
      <c r="V338" s="643" t="s">
        <v>265</v>
      </c>
      <c r="W338" s="643"/>
      <c r="X338" s="680">
        <f>SUM(P201,P258,P293,P309,P319,P334)</f>
        <v>0</v>
      </c>
      <c r="Y338" s="681"/>
      <c r="Z338" s="646" t="str">
        <f>IF(ISERROR(X338/X342),"",X338/X342)</f>
        <v/>
      </c>
      <c r="AA338" s="646"/>
    </row>
    <row r="339" spans="1:27" ht="20.100000000000001" customHeight="1">
      <c r="A339" s="637"/>
      <c r="B339" s="404" t="s">
        <v>266</v>
      </c>
      <c r="C339" s="648">
        <f>SUM(C335:D338)</f>
        <v>2</v>
      </c>
      <c r="D339" s="649"/>
      <c r="E339" s="642">
        <f>SUM(E335:F338)</f>
        <v>22</v>
      </c>
      <c r="F339" s="642"/>
      <c r="G339" s="643">
        <f>SUM(G335:H338)</f>
        <v>3</v>
      </c>
      <c r="H339" s="643"/>
      <c r="I339" s="642">
        <f>SUM(I335:J338)</f>
        <v>30</v>
      </c>
      <c r="J339" s="642"/>
      <c r="K339" s="642">
        <f>SUM(K335:L338)</f>
        <v>-8</v>
      </c>
      <c r="L339" s="642"/>
      <c r="M339" s="644">
        <f>IF(ISERROR(K339/E339),"",K339/E339)</f>
        <v>-0.36363636363636365</v>
      </c>
      <c r="N339" s="644"/>
      <c r="O339" s="640"/>
      <c r="P339" s="643" t="s">
        <v>234</v>
      </c>
      <c r="Q339" s="643"/>
      <c r="R339" s="645">
        <f>SUM(O317:U317)</f>
        <v>0</v>
      </c>
      <c r="S339" s="645"/>
      <c r="T339" s="646" t="str">
        <f>IF(ISERROR(R339/R342),"",R339/R342)</f>
        <v/>
      </c>
      <c r="U339" s="646"/>
      <c r="V339" s="643" t="s">
        <v>267</v>
      </c>
      <c r="W339" s="643"/>
      <c r="X339" s="680">
        <f>SUM(P202,P259,P294,P310,P320,P335)</f>
        <v>0</v>
      </c>
      <c r="Y339" s="681"/>
      <c r="Z339" s="646" t="str">
        <f>IF(ISERROR(X339/X342),"",X339/X342)</f>
        <v/>
      </c>
      <c r="AA339" s="646"/>
    </row>
    <row r="340" spans="1:27" ht="20.100000000000001" customHeight="1">
      <c r="A340" s="309" t="s">
        <v>477</v>
      </c>
      <c r="B340" s="404">
        <f>G333</f>
        <v>2570</v>
      </c>
      <c r="C340" s="650" t="s">
        <v>269</v>
      </c>
      <c r="D340" s="651"/>
      <c r="E340" s="643">
        <f>H333</f>
        <v>12987.5</v>
      </c>
      <c r="F340" s="643"/>
      <c r="G340" s="643" t="s">
        <v>270</v>
      </c>
      <c r="H340" s="643"/>
      <c r="I340" s="652">
        <f>L333</f>
        <v>17.395853143477304</v>
      </c>
      <c r="J340" s="652"/>
      <c r="K340" s="640" t="s">
        <v>271</v>
      </c>
      <c r="L340" s="640"/>
      <c r="M340" s="652">
        <f>J333</f>
        <v>14.643874643874645</v>
      </c>
      <c r="N340" s="652"/>
      <c r="O340" s="640"/>
      <c r="P340" s="643" t="s">
        <v>244</v>
      </c>
      <c r="Q340" s="643"/>
      <c r="R340" s="645">
        <f>SUM(O332:U332)</f>
        <v>0</v>
      </c>
      <c r="S340" s="645"/>
      <c r="T340" s="646" t="str">
        <f>IF(ISERROR(R340/R342),"",R340/R342)</f>
        <v/>
      </c>
      <c r="U340" s="646"/>
      <c r="V340" s="643" t="s">
        <v>272</v>
      </c>
      <c r="W340" s="643"/>
      <c r="X340" s="680">
        <f>SUM(P203,P260,P295,P311,P321,P336)</f>
        <v>0</v>
      </c>
      <c r="Y340" s="681"/>
      <c r="Z340" s="646" t="str">
        <f>IF(ISERROR(X340/X342),"",X340/X342)</f>
        <v/>
      </c>
      <c r="AA340" s="646"/>
    </row>
    <row r="341" spans="1:27" ht="20.100000000000001" customHeight="1">
      <c r="A341" s="310" t="s">
        <v>478</v>
      </c>
      <c r="B341" s="404">
        <f>I333+C339</f>
        <v>177.5</v>
      </c>
      <c r="C341" s="653" t="s">
        <v>251</v>
      </c>
      <c r="D341" s="654"/>
      <c r="E341" s="655">
        <f>K333+I339</f>
        <v>177.73635870590454</v>
      </c>
      <c r="F341" s="655"/>
      <c r="G341" s="643" t="s">
        <v>274</v>
      </c>
      <c r="H341" s="643"/>
      <c r="I341" s="652">
        <f>B341-E341</f>
        <v>-0.23635870590453578</v>
      </c>
      <c r="J341" s="652"/>
      <c r="K341" s="640" t="s">
        <v>275</v>
      </c>
      <c r="L341" s="640"/>
      <c r="M341" s="644">
        <f>IF(ISERROR(I341/E341),"",I341/E341)</f>
        <v>-1.3298275469659645E-3</v>
      </c>
      <c r="N341" s="644"/>
      <c r="O341" s="640"/>
      <c r="P341" s="643" t="s">
        <v>245</v>
      </c>
      <c r="Q341" s="643"/>
      <c r="R341" s="645"/>
      <c r="S341" s="645"/>
      <c r="T341" s="646" t="str">
        <f>IF(ISERROR(R341/R342),"",R341/R342)</f>
        <v/>
      </c>
      <c r="U341" s="646"/>
      <c r="V341" s="643" t="s">
        <v>264</v>
      </c>
      <c r="W341" s="643"/>
      <c r="X341" s="680">
        <f>SUM(P204,P261,P296,P312,P322,P337)</f>
        <v>0</v>
      </c>
      <c r="Y341" s="681"/>
      <c r="Z341" s="646" t="str">
        <f>IF(ISERROR(X341/X342),"",X341/X342)</f>
        <v/>
      </c>
      <c r="AA341" s="646"/>
    </row>
    <row r="342" spans="1:27" ht="20.100000000000001" customHeight="1">
      <c r="A342" s="310" t="s">
        <v>479</v>
      </c>
      <c r="B342" s="404">
        <f>N333</f>
        <v>0</v>
      </c>
      <c r="C342" s="653" t="s">
        <v>277</v>
      </c>
      <c r="D342" s="654"/>
      <c r="E342" s="646">
        <f>IF(ISERROR(B342/B341),"",B342/B341)</f>
        <v>0</v>
      </c>
      <c r="F342" s="646"/>
      <c r="G342" s="643" t="s">
        <v>278</v>
      </c>
      <c r="H342" s="643"/>
      <c r="I342" s="640">
        <f>V333</f>
        <v>0</v>
      </c>
      <c r="J342" s="640"/>
      <c r="K342" s="640" t="s">
        <v>279</v>
      </c>
      <c r="L342" s="640"/>
      <c r="M342" s="644">
        <f t="array" ref="M342">IF(ISERROR(I342/B340),"",I342/B340)</f>
        <v>0</v>
      </c>
      <c r="N342" s="644"/>
      <c r="O342" s="640"/>
      <c r="P342" s="643" t="s">
        <v>266</v>
      </c>
      <c r="Q342" s="643"/>
      <c r="R342" s="645">
        <f>SUM(R335:S341)</f>
        <v>0</v>
      </c>
      <c r="S342" s="645"/>
      <c r="T342" s="646"/>
      <c r="U342" s="646"/>
      <c r="V342" s="643" t="s">
        <v>266</v>
      </c>
      <c r="W342" s="643"/>
      <c r="X342" s="647">
        <f>SUM(X335:Y341)</f>
        <v>0</v>
      </c>
      <c r="Y342" s="647"/>
      <c r="Z342" s="646"/>
      <c r="AA342" s="646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56" t="s">
        <v>480</v>
      </c>
      <c r="B344" s="659" t="s">
        <v>280</v>
      </c>
      <c r="C344" s="659" t="s">
        <v>281</v>
      </c>
      <c r="D344" s="659" t="s">
        <v>282</v>
      </c>
      <c r="E344" s="662" t="s">
        <v>283</v>
      </c>
      <c r="F344" s="675" t="s">
        <v>284</v>
      </c>
      <c r="G344" s="640" t="s">
        <v>285</v>
      </c>
      <c r="H344" s="640"/>
      <c r="I344" s="659" t="s">
        <v>286</v>
      </c>
      <c r="J344" s="665" t="s">
        <v>271</v>
      </c>
      <c r="K344" s="668" t="s">
        <v>287</v>
      </c>
      <c r="L344" s="659" t="s">
        <v>270</v>
      </c>
      <c r="M344" s="671" t="s">
        <v>288</v>
      </c>
      <c r="N344" s="673" t="s">
        <v>252</v>
      </c>
      <c r="O344" s="640" t="s">
        <v>289</v>
      </c>
      <c r="P344" s="640"/>
      <c r="Q344" s="640"/>
      <c r="R344" s="640"/>
      <c r="S344" s="640"/>
      <c r="T344" s="640"/>
      <c r="U344" s="640"/>
      <c r="V344" s="640" t="s">
        <v>290</v>
      </c>
      <c r="W344" s="673" t="s">
        <v>291</v>
      </c>
      <c r="X344" s="640" t="s">
        <v>292</v>
      </c>
      <c r="Y344" s="640"/>
      <c r="Z344" s="640"/>
      <c r="AA344" s="640"/>
    </row>
    <row r="345" spans="1:27" ht="21.95" customHeight="1">
      <c r="A345" s="657"/>
      <c r="B345" s="660"/>
      <c r="C345" s="660"/>
      <c r="D345" s="660"/>
      <c r="E345" s="663"/>
      <c r="F345" s="676"/>
      <c r="G345" s="640"/>
      <c r="H345" s="640"/>
      <c r="I345" s="660"/>
      <c r="J345" s="666"/>
      <c r="K345" s="669"/>
      <c r="L345" s="660"/>
      <c r="M345" s="672"/>
      <c r="N345" s="673"/>
      <c r="O345" s="640" t="s">
        <v>259</v>
      </c>
      <c r="P345" s="640" t="s">
        <v>261</v>
      </c>
      <c r="Q345" s="640" t="s">
        <v>263</v>
      </c>
      <c r="R345" s="674" t="s">
        <v>265</v>
      </c>
      <c r="S345" s="643" t="s">
        <v>267</v>
      </c>
      <c r="T345" s="640" t="s">
        <v>272</v>
      </c>
      <c r="U345" s="640" t="s">
        <v>264</v>
      </c>
      <c r="V345" s="640"/>
      <c r="W345" s="673"/>
      <c r="X345" s="640" t="s">
        <v>293</v>
      </c>
      <c r="Y345" s="640" t="s">
        <v>294</v>
      </c>
      <c r="Z345" s="640" t="s">
        <v>295</v>
      </c>
      <c r="AA345" s="640" t="s">
        <v>264</v>
      </c>
    </row>
    <row r="346" spans="1:27" ht="21.95" customHeight="1">
      <c r="A346" s="658"/>
      <c r="B346" s="661"/>
      <c r="C346" s="661"/>
      <c r="D346" s="661"/>
      <c r="E346" s="664"/>
      <c r="F346" s="677"/>
      <c r="G346" s="348" t="s">
        <v>517</v>
      </c>
      <c r="H346" s="397" t="s">
        <v>297</v>
      </c>
      <c r="I346" s="661"/>
      <c r="J346" s="667"/>
      <c r="K346" s="670"/>
      <c r="L346" s="661"/>
      <c r="M346" s="672"/>
      <c r="N346" s="673"/>
      <c r="O346" s="640"/>
      <c r="P346" s="640"/>
      <c r="Q346" s="640"/>
      <c r="R346" s="674"/>
      <c r="S346" s="643"/>
      <c r="T346" s="640"/>
      <c r="U346" s="640"/>
      <c r="V346" s="640"/>
      <c r="W346" s="673"/>
      <c r="X346" s="640"/>
      <c r="Y346" s="640"/>
      <c r="Z346" s="640"/>
      <c r="AA346" s="640"/>
    </row>
    <row r="347" spans="1:27" ht="20.100000000000001" hidden="1" customHeight="1">
      <c r="A347" s="299">
        <v>30100030</v>
      </c>
      <c r="B347" s="398" t="s">
        <v>178</v>
      </c>
      <c r="C347" s="126" t="s">
        <v>179</v>
      </c>
      <c r="D347" s="108">
        <v>5.03</v>
      </c>
      <c r="E347" s="108"/>
      <c r="F347" s="127"/>
      <c r="G347" s="128"/>
      <c r="H347" s="407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399"/>
      <c r="P347" s="399"/>
      <c r="Q347" s="399"/>
      <c r="R347" s="399"/>
      <c r="S347" s="399"/>
      <c r="T347" s="399"/>
      <c r="U347" s="399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407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399"/>
      <c r="P348" s="399"/>
      <c r="Q348" s="399"/>
      <c r="R348" s="399"/>
      <c r="S348" s="399"/>
      <c r="T348" s="399"/>
      <c r="U348" s="399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407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399"/>
      <c r="P349" s="399"/>
      <c r="Q349" s="399"/>
      <c r="R349" s="399"/>
      <c r="S349" s="399"/>
      <c r="T349" s="399"/>
      <c r="U349" s="399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407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399"/>
      <c r="P350" s="399"/>
      <c r="Q350" s="399"/>
      <c r="R350" s="399"/>
      <c r="S350" s="399"/>
      <c r="T350" s="399"/>
      <c r="U350" s="399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407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399"/>
      <c r="P351" s="399"/>
      <c r="Q351" s="399"/>
      <c r="R351" s="399"/>
      <c r="S351" s="399"/>
      <c r="T351" s="399"/>
      <c r="U351" s="399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407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399"/>
      <c r="P352" s="399"/>
      <c r="Q352" s="399"/>
      <c r="R352" s="399"/>
      <c r="S352" s="399"/>
      <c r="T352" s="399"/>
      <c r="U352" s="399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407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399"/>
      <c r="P353" s="399"/>
      <c r="Q353" s="399"/>
      <c r="R353" s="399"/>
      <c r="S353" s="399"/>
      <c r="T353" s="399"/>
      <c r="U353" s="399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407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399"/>
      <c r="P354" s="399"/>
      <c r="Q354" s="399"/>
      <c r="R354" s="399"/>
      <c r="S354" s="399"/>
      <c r="T354" s="399"/>
      <c r="U354" s="399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407">
        <f t="shared" si="158"/>
        <v>0</v>
      </c>
      <c r="I355" s="407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399"/>
      <c r="P355" s="399"/>
      <c r="Q355" s="399"/>
      <c r="R355" s="399"/>
      <c r="S355" s="399"/>
      <c r="T355" s="399"/>
      <c r="U355" s="399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407">
        <f t="shared" si="158"/>
        <v>0</v>
      </c>
      <c r="I356" s="407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399"/>
      <c r="P356" s="399"/>
      <c r="Q356" s="399"/>
      <c r="R356" s="399"/>
      <c r="S356" s="399"/>
      <c r="T356" s="399"/>
      <c r="U356" s="399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407">
        <f t="shared" si="158"/>
        <v>0</v>
      </c>
      <c r="I357" s="407"/>
      <c r="J357" s="130"/>
      <c r="K357" s="131"/>
      <c r="L357" s="129"/>
      <c r="M357" s="109"/>
      <c r="N357" s="130"/>
      <c r="O357" s="399"/>
      <c r="P357" s="399"/>
      <c r="Q357" s="399"/>
      <c r="R357" s="399"/>
      <c r="S357" s="399"/>
      <c r="T357" s="399"/>
      <c r="U357" s="399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407">
        <f t="shared" si="158"/>
        <v>0</v>
      </c>
      <c r="I358" s="407"/>
      <c r="J358" s="130"/>
      <c r="K358" s="131"/>
      <c r="L358" s="129"/>
      <c r="M358" s="109"/>
      <c r="N358" s="130"/>
      <c r="O358" s="399"/>
      <c r="P358" s="399"/>
      <c r="Q358" s="399"/>
      <c r="R358" s="399"/>
      <c r="S358" s="399"/>
      <c r="T358" s="399"/>
      <c r="U358" s="399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407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399"/>
      <c r="P359" s="399"/>
      <c r="Q359" s="399"/>
      <c r="R359" s="399"/>
      <c r="S359" s="399"/>
      <c r="T359" s="399"/>
      <c r="U359" s="399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407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399"/>
      <c r="P360" s="399"/>
      <c r="Q360" s="399"/>
      <c r="R360" s="399"/>
      <c r="S360" s="399"/>
      <c r="T360" s="399"/>
      <c r="U360" s="399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407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399"/>
      <c r="P361" s="399"/>
      <c r="Q361" s="399"/>
      <c r="R361" s="399"/>
      <c r="S361" s="399"/>
      <c r="T361" s="399"/>
      <c r="U361" s="399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397" t="s">
        <v>190</v>
      </c>
      <c r="D362" s="108">
        <v>4.8</v>
      </c>
      <c r="E362" s="108"/>
      <c r="F362" s="127"/>
      <c r="G362" s="128"/>
      <c r="H362" s="407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399"/>
      <c r="P362" s="399"/>
      <c r="Q362" s="399"/>
      <c r="R362" s="399"/>
      <c r="S362" s="399"/>
      <c r="T362" s="399"/>
      <c r="U362" s="399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397" t="s">
        <v>187</v>
      </c>
      <c r="D363" s="108">
        <v>4.8</v>
      </c>
      <c r="E363" s="108"/>
      <c r="F363" s="127"/>
      <c r="G363" s="128"/>
      <c r="H363" s="407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399"/>
      <c r="P363" s="399"/>
      <c r="Q363" s="399"/>
      <c r="R363" s="399"/>
      <c r="S363" s="399"/>
      <c r="T363" s="399"/>
      <c r="U363" s="399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397" t="s">
        <v>179</v>
      </c>
      <c r="D364" s="108">
        <v>4.8</v>
      </c>
      <c r="E364" s="108"/>
      <c r="F364" s="127"/>
      <c r="G364" s="128"/>
      <c r="H364" s="407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399"/>
      <c r="P364" s="399"/>
      <c r="Q364" s="399"/>
      <c r="R364" s="399"/>
      <c r="S364" s="399"/>
      <c r="T364" s="399"/>
      <c r="U364" s="399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397" t="s">
        <v>199</v>
      </c>
      <c r="D365" s="108">
        <v>4.8</v>
      </c>
      <c r="E365" s="108"/>
      <c r="F365" s="127"/>
      <c r="G365" s="128"/>
      <c r="H365" s="407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399"/>
      <c r="P365" s="399"/>
      <c r="Q365" s="399"/>
      <c r="R365" s="399"/>
      <c r="S365" s="399"/>
      <c r="T365" s="399"/>
      <c r="U365" s="399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407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399"/>
      <c r="P366" s="399"/>
      <c r="Q366" s="399"/>
      <c r="R366" s="399"/>
      <c r="S366" s="399"/>
      <c r="T366" s="399"/>
      <c r="U366" s="399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407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399"/>
      <c r="P367" s="399"/>
      <c r="Q367" s="399"/>
      <c r="R367" s="399"/>
      <c r="S367" s="399"/>
      <c r="T367" s="399"/>
      <c r="U367" s="399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630" t="s">
        <v>201</v>
      </c>
      <c r="B368" s="631"/>
      <c r="C368" s="405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398" t="s">
        <v>206</v>
      </c>
      <c r="C369" s="126" t="s">
        <v>199</v>
      </c>
      <c r="D369" s="108">
        <v>5.03</v>
      </c>
      <c r="E369" s="108"/>
      <c r="F369" s="127"/>
      <c r="G369" s="128"/>
      <c r="H369" s="407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401"/>
      <c r="P369" s="401"/>
      <c r="Q369" s="401"/>
      <c r="R369" s="401"/>
      <c r="S369" s="401"/>
      <c r="T369" s="401"/>
      <c r="U369" s="401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398" t="s">
        <v>425</v>
      </c>
      <c r="C370" s="187" t="s">
        <v>427</v>
      </c>
      <c r="D370" s="108">
        <v>5.03</v>
      </c>
      <c r="E370" s="108"/>
      <c r="F370" s="127"/>
      <c r="G370" s="128"/>
      <c r="H370" s="407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401"/>
      <c r="P370" s="401"/>
      <c r="Q370" s="401"/>
      <c r="R370" s="401"/>
      <c r="S370" s="401"/>
      <c r="T370" s="401"/>
      <c r="U370" s="401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398" t="s">
        <v>206</v>
      </c>
      <c r="C371" s="126" t="s">
        <v>186</v>
      </c>
      <c r="D371" s="108">
        <v>5.03</v>
      </c>
      <c r="E371" s="108"/>
      <c r="F371" s="127"/>
      <c r="G371" s="128"/>
      <c r="H371" s="407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401"/>
      <c r="P371" s="401"/>
      <c r="Q371" s="401"/>
      <c r="R371" s="401"/>
      <c r="S371" s="401"/>
      <c r="T371" s="401"/>
      <c r="U371" s="401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398" t="s">
        <v>206</v>
      </c>
      <c r="C372" s="126" t="s">
        <v>203</v>
      </c>
      <c r="D372" s="108">
        <v>5.03</v>
      </c>
      <c r="E372" s="108"/>
      <c r="F372" s="127"/>
      <c r="G372" s="128"/>
      <c r="H372" s="407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401"/>
      <c r="P372" s="401"/>
      <c r="Q372" s="401"/>
      <c r="R372" s="401"/>
      <c r="S372" s="401"/>
      <c r="T372" s="401"/>
      <c r="U372" s="401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398" t="s">
        <v>206</v>
      </c>
      <c r="C373" s="126" t="s">
        <v>207</v>
      </c>
      <c r="D373" s="108">
        <v>5.03</v>
      </c>
      <c r="E373" s="108"/>
      <c r="F373" s="127"/>
      <c r="G373" s="128"/>
      <c r="H373" s="407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401"/>
      <c r="P373" s="401"/>
      <c r="Q373" s="401"/>
      <c r="R373" s="401"/>
      <c r="S373" s="401"/>
      <c r="T373" s="401"/>
      <c r="U373" s="401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398" t="s">
        <v>414</v>
      </c>
      <c r="C374" s="187" t="s">
        <v>415</v>
      </c>
      <c r="D374" s="108"/>
      <c r="E374" s="108"/>
      <c r="F374" s="127"/>
      <c r="G374" s="128"/>
      <c r="H374" s="407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401"/>
      <c r="P374" s="401"/>
      <c r="Q374" s="401"/>
      <c r="R374" s="401"/>
      <c r="S374" s="401"/>
      <c r="T374" s="401"/>
      <c r="U374" s="401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398" t="s">
        <v>414</v>
      </c>
      <c r="C375" s="187" t="s">
        <v>416</v>
      </c>
      <c r="D375" s="108"/>
      <c r="E375" s="108"/>
      <c r="F375" s="127"/>
      <c r="G375" s="128"/>
      <c r="H375" s="407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401"/>
      <c r="P375" s="401"/>
      <c r="Q375" s="401"/>
      <c r="R375" s="401"/>
      <c r="S375" s="401"/>
      <c r="T375" s="401"/>
      <c r="U375" s="401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398" t="s">
        <v>414</v>
      </c>
      <c r="C376" s="187" t="s">
        <v>61</v>
      </c>
      <c r="D376" s="108"/>
      <c r="E376" s="108"/>
      <c r="F376" s="127"/>
      <c r="G376" s="128"/>
      <c r="H376" s="407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401"/>
      <c r="P376" s="401"/>
      <c r="Q376" s="401"/>
      <c r="R376" s="401"/>
      <c r="S376" s="401"/>
      <c r="T376" s="401"/>
      <c r="U376" s="401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398" t="s">
        <v>208</v>
      </c>
      <c r="C377" s="126" t="s">
        <v>179</v>
      </c>
      <c r="D377" s="108">
        <v>5.08</v>
      </c>
      <c r="E377" s="108"/>
      <c r="F377" s="127"/>
      <c r="G377" s="128"/>
      <c r="H377" s="407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401"/>
      <c r="P377" s="401"/>
      <c r="Q377" s="401"/>
      <c r="R377" s="401"/>
      <c r="S377" s="401"/>
      <c r="T377" s="401"/>
      <c r="U377" s="401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398" t="s">
        <v>208</v>
      </c>
      <c r="C378" s="126" t="s">
        <v>204</v>
      </c>
      <c r="D378" s="108">
        <v>5.08</v>
      </c>
      <c r="E378" s="108"/>
      <c r="F378" s="127"/>
      <c r="G378" s="128"/>
      <c r="H378" s="407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401"/>
      <c r="P378" s="401"/>
      <c r="Q378" s="401"/>
      <c r="R378" s="401"/>
      <c r="S378" s="401"/>
      <c r="T378" s="401"/>
      <c r="U378" s="401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398" t="s">
        <v>208</v>
      </c>
      <c r="C379" s="126" t="s">
        <v>205</v>
      </c>
      <c r="D379" s="108">
        <v>5.08</v>
      </c>
      <c r="E379" s="108"/>
      <c r="F379" s="127"/>
      <c r="G379" s="128"/>
      <c r="H379" s="407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401"/>
      <c r="P379" s="401"/>
      <c r="Q379" s="401"/>
      <c r="R379" s="401"/>
      <c r="S379" s="401"/>
      <c r="T379" s="401"/>
      <c r="U379" s="401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398" t="s">
        <v>208</v>
      </c>
      <c r="C380" s="126" t="s">
        <v>186</v>
      </c>
      <c r="D380" s="108">
        <v>5.08</v>
      </c>
      <c r="E380" s="108"/>
      <c r="F380" s="127"/>
      <c r="G380" s="128"/>
      <c r="H380" s="407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401"/>
      <c r="P380" s="401"/>
      <c r="Q380" s="401"/>
      <c r="R380" s="401"/>
      <c r="S380" s="401"/>
      <c r="T380" s="401"/>
      <c r="U380" s="401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398" t="s">
        <v>208</v>
      </c>
      <c r="C381" s="126" t="s">
        <v>203</v>
      </c>
      <c r="D381" s="108">
        <v>5.08</v>
      </c>
      <c r="E381" s="108"/>
      <c r="F381" s="127"/>
      <c r="G381" s="128"/>
      <c r="H381" s="407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401"/>
      <c r="P381" s="401"/>
      <c r="Q381" s="401"/>
      <c r="R381" s="401"/>
      <c r="S381" s="401"/>
      <c r="T381" s="401"/>
      <c r="U381" s="401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398" t="s">
        <v>208</v>
      </c>
      <c r="C382" s="126" t="s">
        <v>199</v>
      </c>
      <c r="D382" s="108">
        <v>5.08</v>
      </c>
      <c r="E382" s="108"/>
      <c r="F382" s="127"/>
      <c r="G382" s="128"/>
      <c r="H382" s="407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399"/>
      <c r="P382" s="399"/>
      <c r="Q382" s="399"/>
      <c r="R382" s="399"/>
      <c r="S382" s="399"/>
      <c r="T382" s="399"/>
      <c r="U382" s="399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398" t="s">
        <v>208</v>
      </c>
      <c r="C383" s="126" t="s">
        <v>187</v>
      </c>
      <c r="D383" s="108">
        <v>5.08</v>
      </c>
      <c r="E383" s="108"/>
      <c r="F383" s="127"/>
      <c r="G383" s="128"/>
      <c r="H383" s="407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401"/>
      <c r="P383" s="401"/>
      <c r="Q383" s="401"/>
      <c r="R383" s="401"/>
      <c r="S383" s="401"/>
      <c r="T383" s="401"/>
      <c r="U383" s="401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398" t="s">
        <v>208</v>
      </c>
      <c r="C384" s="126" t="s">
        <v>207</v>
      </c>
      <c r="D384" s="108">
        <v>5.08</v>
      </c>
      <c r="E384" s="108"/>
      <c r="F384" s="127"/>
      <c r="G384" s="128"/>
      <c r="H384" s="407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399"/>
      <c r="P384" s="399"/>
      <c r="Q384" s="399"/>
      <c r="R384" s="399"/>
      <c r="S384" s="399"/>
      <c r="T384" s="399"/>
      <c r="U384" s="399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398" t="s">
        <v>209</v>
      </c>
      <c r="C385" s="126" t="s">
        <v>194</v>
      </c>
      <c r="D385" s="108">
        <v>5.03</v>
      </c>
      <c r="E385" s="108"/>
      <c r="F385" s="127"/>
      <c r="G385" s="128"/>
      <c r="H385" s="407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401"/>
      <c r="P385" s="401"/>
      <c r="Q385" s="401"/>
      <c r="R385" s="401"/>
      <c r="S385" s="401"/>
      <c r="T385" s="401"/>
      <c r="U385" s="401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398" t="s">
        <v>209</v>
      </c>
      <c r="C386" s="126" t="s">
        <v>179</v>
      </c>
      <c r="D386" s="108">
        <v>5.03</v>
      </c>
      <c r="E386" s="108"/>
      <c r="F386" s="127"/>
      <c r="G386" s="128"/>
      <c r="H386" s="407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401"/>
      <c r="P386" s="401"/>
      <c r="Q386" s="401"/>
      <c r="R386" s="401"/>
      <c r="S386" s="401"/>
      <c r="T386" s="401"/>
      <c r="U386" s="401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398" t="s">
        <v>209</v>
      </c>
      <c r="C387" s="126" t="s">
        <v>195</v>
      </c>
      <c r="D387" s="108">
        <v>5.03</v>
      </c>
      <c r="E387" s="108"/>
      <c r="F387" s="127"/>
      <c r="G387" s="128"/>
      <c r="H387" s="407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401"/>
      <c r="P387" s="401"/>
      <c r="Q387" s="401"/>
      <c r="R387" s="401"/>
      <c r="S387" s="401"/>
      <c r="T387" s="401"/>
      <c r="U387" s="401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398" t="s">
        <v>209</v>
      </c>
      <c r="C388" s="126" t="s">
        <v>204</v>
      </c>
      <c r="D388" s="108">
        <v>5.03</v>
      </c>
      <c r="E388" s="108"/>
      <c r="F388" s="127"/>
      <c r="G388" s="128"/>
      <c r="H388" s="407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401"/>
      <c r="P388" s="401"/>
      <c r="Q388" s="401"/>
      <c r="R388" s="401"/>
      <c r="S388" s="401"/>
      <c r="T388" s="401"/>
      <c r="U388" s="401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398" t="s">
        <v>382</v>
      </c>
      <c r="C389" s="187" t="s">
        <v>383</v>
      </c>
      <c r="D389" s="108">
        <v>5.03</v>
      </c>
      <c r="E389" s="108"/>
      <c r="F389" s="127"/>
      <c r="G389" s="128"/>
      <c r="H389" s="407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401"/>
      <c r="P389" s="401"/>
      <c r="Q389" s="401"/>
      <c r="R389" s="401"/>
      <c r="S389" s="401"/>
      <c r="T389" s="401"/>
      <c r="U389" s="401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398" t="s">
        <v>382</v>
      </c>
      <c r="C390" s="187" t="s">
        <v>384</v>
      </c>
      <c r="D390" s="108">
        <v>5.03</v>
      </c>
      <c r="E390" s="108"/>
      <c r="F390" s="127"/>
      <c r="G390" s="128"/>
      <c r="H390" s="407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401"/>
      <c r="P390" s="401"/>
      <c r="Q390" s="401"/>
      <c r="R390" s="401"/>
      <c r="S390" s="401"/>
      <c r="T390" s="401"/>
      <c r="U390" s="401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398" t="s">
        <v>382</v>
      </c>
      <c r="C391" s="187" t="s">
        <v>389</v>
      </c>
      <c r="D391" s="108">
        <v>5.03</v>
      </c>
      <c r="E391" s="108"/>
      <c r="F391" s="127"/>
      <c r="G391" s="128"/>
      <c r="H391" s="407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401"/>
      <c r="P391" s="401"/>
      <c r="Q391" s="401"/>
      <c r="R391" s="401"/>
      <c r="S391" s="401"/>
      <c r="T391" s="401"/>
      <c r="U391" s="401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398" t="s">
        <v>382</v>
      </c>
      <c r="C392" s="187" t="s">
        <v>391</v>
      </c>
      <c r="D392" s="108">
        <v>5.03</v>
      </c>
      <c r="E392" s="108"/>
      <c r="F392" s="127"/>
      <c r="G392" s="128"/>
      <c r="H392" s="407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401"/>
      <c r="P392" s="401"/>
      <c r="Q392" s="401"/>
      <c r="R392" s="401"/>
      <c r="S392" s="401"/>
      <c r="T392" s="401"/>
      <c r="U392" s="401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398" t="s">
        <v>418</v>
      </c>
      <c r="C393" s="187" t="s">
        <v>364</v>
      </c>
      <c r="D393" s="108">
        <v>5.03</v>
      </c>
      <c r="E393" s="108"/>
      <c r="F393" s="127"/>
      <c r="G393" s="128"/>
      <c r="H393" s="407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401"/>
      <c r="P393" s="401"/>
      <c r="Q393" s="401"/>
      <c r="R393" s="401"/>
      <c r="S393" s="401"/>
      <c r="T393" s="401"/>
      <c r="U393" s="401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398" t="s">
        <v>418</v>
      </c>
      <c r="C394" s="187" t="s">
        <v>365</v>
      </c>
      <c r="D394" s="108">
        <v>5.03</v>
      </c>
      <c r="E394" s="108"/>
      <c r="F394" s="127"/>
      <c r="G394" s="128"/>
      <c r="H394" s="407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401"/>
      <c r="P394" s="401"/>
      <c r="Q394" s="401"/>
      <c r="R394" s="401"/>
      <c r="S394" s="401"/>
      <c r="T394" s="401"/>
      <c r="U394" s="401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398" t="s">
        <v>418</v>
      </c>
      <c r="C395" s="187" t="s">
        <v>366</v>
      </c>
      <c r="D395" s="108">
        <v>5.03</v>
      </c>
      <c r="E395" s="108"/>
      <c r="F395" s="127"/>
      <c r="G395" s="128"/>
      <c r="H395" s="407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401"/>
      <c r="P395" s="401"/>
      <c r="Q395" s="401"/>
      <c r="R395" s="401"/>
      <c r="S395" s="401"/>
      <c r="T395" s="401"/>
      <c r="U395" s="401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398" t="s">
        <v>418</v>
      </c>
      <c r="C396" s="187" t="s">
        <v>367</v>
      </c>
      <c r="D396" s="108">
        <v>5.03</v>
      </c>
      <c r="E396" s="108"/>
      <c r="F396" s="127"/>
      <c r="G396" s="128"/>
      <c r="H396" s="407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401"/>
      <c r="P396" s="401"/>
      <c r="Q396" s="401"/>
      <c r="R396" s="401"/>
      <c r="S396" s="401"/>
      <c r="T396" s="401"/>
      <c r="U396" s="401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407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399"/>
      <c r="P397" s="399"/>
      <c r="Q397" s="399"/>
      <c r="R397" s="399"/>
      <c r="S397" s="399"/>
      <c r="T397" s="399"/>
      <c r="U397" s="399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407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399"/>
      <c r="P398" s="399"/>
      <c r="Q398" s="399"/>
      <c r="R398" s="399"/>
      <c r="S398" s="399"/>
      <c r="T398" s="399"/>
      <c r="U398" s="399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407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399"/>
      <c r="P399" s="399"/>
      <c r="Q399" s="399"/>
      <c r="R399" s="399"/>
      <c r="S399" s="399"/>
      <c r="T399" s="399"/>
      <c r="U399" s="399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407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399"/>
      <c r="P400" s="399"/>
      <c r="Q400" s="399"/>
      <c r="R400" s="399"/>
      <c r="S400" s="399"/>
      <c r="T400" s="399"/>
      <c r="U400" s="399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407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399"/>
      <c r="P401" s="399"/>
      <c r="Q401" s="399"/>
      <c r="R401" s="399"/>
      <c r="S401" s="399"/>
      <c r="T401" s="399"/>
      <c r="U401" s="399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407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399"/>
      <c r="P402" s="399"/>
      <c r="Q402" s="399"/>
      <c r="R402" s="399"/>
      <c r="S402" s="399"/>
      <c r="T402" s="399"/>
      <c r="U402" s="399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407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399"/>
      <c r="P403" s="399"/>
      <c r="Q403" s="399"/>
      <c r="R403" s="399"/>
      <c r="S403" s="399"/>
      <c r="T403" s="399"/>
      <c r="U403" s="399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407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399"/>
      <c r="P404" s="399"/>
      <c r="Q404" s="399"/>
      <c r="R404" s="399"/>
      <c r="S404" s="399"/>
      <c r="T404" s="399"/>
      <c r="U404" s="399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407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399"/>
      <c r="P405" s="399"/>
      <c r="Q405" s="399"/>
      <c r="R405" s="399"/>
      <c r="S405" s="399"/>
      <c r="T405" s="399"/>
      <c r="U405" s="399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407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399"/>
      <c r="P406" s="399"/>
      <c r="Q406" s="399"/>
      <c r="R406" s="399"/>
      <c r="S406" s="399"/>
      <c r="T406" s="399"/>
      <c r="U406" s="399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407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399"/>
      <c r="P407" s="399"/>
      <c r="Q407" s="399"/>
      <c r="R407" s="399"/>
      <c r="S407" s="399"/>
      <c r="T407" s="399"/>
      <c r="U407" s="399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407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399"/>
      <c r="P408" s="399"/>
      <c r="Q408" s="399"/>
      <c r="R408" s="399"/>
      <c r="S408" s="399"/>
      <c r="T408" s="399"/>
      <c r="U408" s="399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407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399"/>
      <c r="P409" s="399"/>
      <c r="Q409" s="399"/>
      <c r="R409" s="399"/>
      <c r="S409" s="399"/>
      <c r="T409" s="399"/>
      <c r="U409" s="399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407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399"/>
      <c r="P410" s="399"/>
      <c r="Q410" s="399"/>
      <c r="R410" s="399"/>
      <c r="S410" s="399"/>
      <c r="T410" s="399"/>
      <c r="U410" s="399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407">
        <f t="shared" si="171"/>
        <v>0</v>
      </c>
      <c r="I411" s="129"/>
      <c r="J411" s="130"/>
      <c r="K411" s="131"/>
      <c r="L411" s="129"/>
      <c r="M411" s="109"/>
      <c r="N411" s="130"/>
      <c r="O411" s="399"/>
      <c r="P411" s="399"/>
      <c r="Q411" s="399"/>
      <c r="R411" s="399"/>
      <c r="S411" s="399"/>
      <c r="T411" s="399"/>
      <c r="U411" s="399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407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399"/>
      <c r="P412" s="399"/>
      <c r="Q412" s="399"/>
      <c r="R412" s="399"/>
      <c r="S412" s="399"/>
      <c r="T412" s="399"/>
      <c r="U412" s="399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407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399"/>
      <c r="P413" s="399"/>
      <c r="Q413" s="399"/>
      <c r="R413" s="399"/>
      <c r="S413" s="399"/>
      <c r="T413" s="399"/>
      <c r="U413" s="399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407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399"/>
      <c r="P414" s="399"/>
      <c r="Q414" s="399"/>
      <c r="R414" s="399"/>
      <c r="S414" s="399"/>
      <c r="T414" s="399"/>
      <c r="U414" s="399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407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399"/>
      <c r="P415" s="399"/>
      <c r="Q415" s="399"/>
      <c r="R415" s="399"/>
      <c r="S415" s="399"/>
      <c r="T415" s="399"/>
      <c r="U415" s="399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407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399"/>
      <c r="P416" s="399"/>
      <c r="Q416" s="399"/>
      <c r="R416" s="399"/>
      <c r="S416" s="399"/>
      <c r="T416" s="399"/>
      <c r="U416" s="399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407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399"/>
      <c r="P417" s="399"/>
      <c r="Q417" s="399"/>
      <c r="R417" s="399"/>
      <c r="S417" s="399"/>
      <c r="T417" s="399"/>
      <c r="U417" s="399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407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399"/>
      <c r="P418" s="399"/>
      <c r="Q418" s="399"/>
      <c r="R418" s="399"/>
      <c r="S418" s="399"/>
      <c r="T418" s="399"/>
      <c r="U418" s="399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407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399"/>
      <c r="P419" s="399"/>
      <c r="Q419" s="399"/>
      <c r="R419" s="399"/>
      <c r="S419" s="399"/>
      <c r="T419" s="399"/>
      <c r="U419" s="399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407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399"/>
      <c r="P420" s="399"/>
      <c r="Q420" s="399"/>
      <c r="R420" s="399"/>
      <c r="S420" s="399"/>
      <c r="T420" s="399"/>
      <c r="U420" s="399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407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399"/>
      <c r="P421" s="399"/>
      <c r="Q421" s="399"/>
      <c r="R421" s="399"/>
      <c r="S421" s="399"/>
      <c r="T421" s="399"/>
      <c r="U421" s="399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407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399"/>
      <c r="P422" s="399"/>
      <c r="Q422" s="399"/>
      <c r="R422" s="399"/>
      <c r="S422" s="399"/>
      <c r="T422" s="399"/>
      <c r="U422" s="399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407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399"/>
      <c r="P423" s="399"/>
      <c r="Q423" s="399"/>
      <c r="R423" s="399"/>
      <c r="S423" s="399"/>
      <c r="T423" s="399"/>
      <c r="U423" s="399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407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399"/>
      <c r="P424" s="399"/>
      <c r="Q424" s="399"/>
      <c r="R424" s="399"/>
      <c r="S424" s="399"/>
      <c r="T424" s="399"/>
      <c r="U424" s="399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407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399"/>
      <c r="P425" s="399"/>
      <c r="Q425" s="399"/>
      <c r="R425" s="399"/>
      <c r="S425" s="399"/>
      <c r="T425" s="399"/>
      <c r="U425" s="399"/>
      <c r="V425" s="132"/>
      <c r="W425" s="133"/>
      <c r="X425" s="132"/>
      <c r="Y425" s="132"/>
      <c r="Z425" s="132"/>
      <c r="AA425" s="132"/>
    </row>
    <row r="426" spans="1:27" ht="18.75" hidden="1" customHeight="1">
      <c r="A426" s="641" t="s">
        <v>216</v>
      </c>
      <c r="B426" s="641"/>
      <c r="C426" s="405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398" t="s">
        <v>217</v>
      </c>
      <c r="C427" s="126" t="s">
        <v>179</v>
      </c>
      <c r="D427" s="108">
        <v>5.03</v>
      </c>
      <c r="E427" s="108"/>
      <c r="F427" s="127"/>
      <c r="G427" s="128"/>
      <c r="H427" s="407">
        <f t="shared" ref="H427:H460" si="196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7">IF(ISERROR(I427-K427),"",I427-K427)</f>
        <v>0</v>
      </c>
      <c r="N427" s="130">
        <f t="shared" ref="N427:N434" si="198">SUM(O427:U427)</f>
        <v>0</v>
      </c>
      <c r="O427" s="399"/>
      <c r="P427" s="399"/>
      <c r="Q427" s="399"/>
      <c r="R427" s="399"/>
      <c r="S427" s="399"/>
      <c r="T427" s="399"/>
      <c r="U427" s="399"/>
      <c r="V427" s="132">
        <f t="shared" ref="V427:V433" si="199">SUM(X427:AA427)</f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398" t="s">
        <v>217</v>
      </c>
      <c r="C428" s="126" t="s">
        <v>186</v>
      </c>
      <c r="D428" s="108">
        <v>5.03</v>
      </c>
      <c r="E428" s="108"/>
      <c r="F428" s="127"/>
      <c r="G428" s="128"/>
      <c r="H428" s="407">
        <f t="shared" si="196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7"/>
        <v>0</v>
      </c>
      <c r="N428" s="130">
        <f t="shared" si="198"/>
        <v>0</v>
      </c>
      <c r="O428" s="399"/>
      <c r="P428" s="399"/>
      <c r="Q428" s="399"/>
      <c r="R428" s="399"/>
      <c r="S428" s="399"/>
      <c r="T428" s="399"/>
      <c r="U428" s="399"/>
      <c r="V428" s="132">
        <f t="shared" si="199"/>
        <v>0</v>
      </c>
      <c r="W428" s="133" t="str">
        <f t="shared" si="195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398" t="s">
        <v>217</v>
      </c>
      <c r="C429" s="126" t="s">
        <v>204</v>
      </c>
      <c r="D429" s="108">
        <v>5.03</v>
      </c>
      <c r="E429" s="108"/>
      <c r="F429" s="127"/>
      <c r="G429" s="128"/>
      <c r="H429" s="407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7"/>
        <v>0</v>
      </c>
      <c r="N429" s="130">
        <f t="shared" si="198"/>
        <v>0</v>
      </c>
      <c r="O429" s="399"/>
      <c r="P429" s="399"/>
      <c r="Q429" s="399"/>
      <c r="R429" s="399"/>
      <c r="S429" s="399"/>
      <c r="T429" s="399"/>
      <c r="U429" s="399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407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399"/>
      <c r="P430" s="399"/>
      <c r="Q430" s="399"/>
      <c r="R430" s="399"/>
      <c r="S430" s="399"/>
      <c r="T430" s="399"/>
      <c r="U430" s="399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407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7"/>
        <v>0</v>
      </c>
      <c r="N431" s="130">
        <f t="shared" si="198"/>
        <v>0</v>
      </c>
      <c r="O431" s="399"/>
      <c r="P431" s="399"/>
      <c r="Q431" s="399"/>
      <c r="R431" s="399"/>
      <c r="S431" s="399"/>
      <c r="T431" s="399"/>
      <c r="U431" s="399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>
        <v>42707</v>
      </c>
      <c r="G432" s="128">
        <f>78+108</f>
        <v>186</v>
      </c>
      <c r="H432" s="407">
        <f t="shared" si="196"/>
        <v>935.58</v>
      </c>
      <c r="I432" s="129">
        <f>8+9</f>
        <v>17</v>
      </c>
      <c r="J432" s="130">
        <f t="array" ref="J432">IF(ISERROR(G432/I432),"",G432/I432)</f>
        <v>10.941176470588236</v>
      </c>
      <c r="K432" s="131">
        <f t="array" ref="K432">IF(ISERROR(G432/L432),"",G432/L432)</f>
        <v>20</v>
      </c>
      <c r="L432" s="129">
        <v>9.3000000000000007</v>
      </c>
      <c r="M432" s="109">
        <f t="shared" si="197"/>
        <v>-3</v>
      </c>
      <c r="N432" s="130">
        <f t="shared" si="198"/>
        <v>0</v>
      </c>
      <c r="O432" s="399"/>
      <c r="P432" s="399"/>
      <c r="Q432" s="399"/>
      <c r="R432" s="399"/>
      <c r="S432" s="399"/>
      <c r="T432" s="399"/>
      <c r="U432" s="399"/>
      <c r="V432" s="132">
        <f t="shared" si="199"/>
        <v>0</v>
      </c>
      <c r="W432" s="133">
        <f t="shared" si="195"/>
        <v>0</v>
      </c>
      <c r="X432" s="132"/>
      <c r="Y432" s="132"/>
      <c r="Z432" s="132"/>
      <c r="AA432" s="132"/>
    </row>
    <row r="433" spans="1:27" ht="20.10000000000000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>
        <v>42708</v>
      </c>
      <c r="G433" s="128">
        <f>108*2+84+92+106</f>
        <v>498</v>
      </c>
      <c r="H433" s="407">
        <f t="shared" si="196"/>
        <v>2504.94</v>
      </c>
      <c r="I433" s="129">
        <f>9.5+9.5+9.5+8</f>
        <v>36.5</v>
      </c>
      <c r="J433" s="130">
        <f t="array" ref="J433">IF(ISERROR(G433/I433),"",G433/I433)</f>
        <v>13.643835616438356</v>
      </c>
      <c r="K433" s="131">
        <f t="array" ref="K433">IF(ISERROR(G433/L433),"",G433/L433)</f>
        <v>53.548387096774192</v>
      </c>
      <c r="L433" s="129">
        <v>9.3000000000000007</v>
      </c>
      <c r="M433" s="109">
        <f t="shared" si="197"/>
        <v>-17.048387096774192</v>
      </c>
      <c r="N433" s="130">
        <f t="shared" si="198"/>
        <v>0</v>
      </c>
      <c r="O433" s="399"/>
      <c r="P433" s="399"/>
      <c r="Q433" s="399"/>
      <c r="R433" s="399"/>
      <c r="S433" s="399"/>
      <c r="T433" s="399"/>
      <c r="U433" s="399"/>
      <c r="V433" s="132">
        <f t="shared" si="199"/>
        <v>0</v>
      </c>
      <c r="W433" s="133">
        <f t="shared" si="195"/>
        <v>0</v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407">
        <f t="shared" si="196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399"/>
      <c r="P434" s="399"/>
      <c r="Q434" s="399"/>
      <c r="R434" s="399"/>
      <c r="S434" s="399"/>
      <c r="T434" s="399"/>
      <c r="U434" s="399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407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399"/>
      <c r="P435" s="399"/>
      <c r="Q435" s="399"/>
      <c r="R435" s="399"/>
      <c r="S435" s="399"/>
      <c r="T435" s="399"/>
      <c r="U435" s="399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407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399"/>
      <c r="P436" s="399"/>
      <c r="Q436" s="399"/>
      <c r="R436" s="399"/>
      <c r="S436" s="399"/>
      <c r="T436" s="399"/>
      <c r="U436" s="399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407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399"/>
      <c r="P437" s="399"/>
      <c r="Q437" s="399"/>
      <c r="R437" s="399"/>
      <c r="S437" s="399"/>
      <c r="T437" s="399"/>
      <c r="U437" s="39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407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399"/>
      <c r="P438" s="399"/>
      <c r="Q438" s="399"/>
      <c r="R438" s="399"/>
      <c r="S438" s="399"/>
      <c r="T438" s="399"/>
      <c r="U438" s="39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407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399"/>
      <c r="P439" s="399"/>
      <c r="Q439" s="399"/>
      <c r="R439" s="399"/>
      <c r="S439" s="399"/>
      <c r="T439" s="399"/>
      <c r="U439" s="399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407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399"/>
      <c r="P440" s="399"/>
      <c r="Q440" s="399"/>
      <c r="R440" s="399"/>
      <c r="S440" s="399"/>
      <c r="T440" s="399"/>
      <c r="U440" s="399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407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399"/>
      <c r="P441" s="399"/>
      <c r="Q441" s="399"/>
      <c r="R441" s="399"/>
      <c r="S441" s="399"/>
      <c r="T441" s="399"/>
      <c r="U441" s="399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407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399"/>
      <c r="P442" s="399"/>
      <c r="Q442" s="399"/>
      <c r="R442" s="399"/>
      <c r="S442" s="399"/>
      <c r="T442" s="399"/>
      <c r="U442" s="399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398" t="s">
        <v>222</v>
      </c>
      <c r="C443" s="126" t="s">
        <v>181</v>
      </c>
      <c r="D443" s="108">
        <v>9.36</v>
      </c>
      <c r="E443" s="108"/>
      <c r="F443" s="127"/>
      <c r="G443" s="128"/>
      <c r="H443" s="407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399"/>
      <c r="P443" s="399"/>
      <c r="Q443" s="399"/>
      <c r="R443" s="399"/>
      <c r="S443" s="399"/>
      <c r="T443" s="399"/>
      <c r="U443" s="399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398" t="s">
        <v>222</v>
      </c>
      <c r="C444" s="126" t="s">
        <v>179</v>
      </c>
      <c r="D444" s="108">
        <v>9.36</v>
      </c>
      <c r="E444" s="108"/>
      <c r="F444" s="127"/>
      <c r="G444" s="128"/>
      <c r="H444" s="407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399"/>
      <c r="P444" s="399"/>
      <c r="Q444" s="399"/>
      <c r="R444" s="399"/>
      <c r="S444" s="399"/>
      <c r="T444" s="399"/>
      <c r="U444" s="399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398" t="s">
        <v>222</v>
      </c>
      <c r="C445" s="126" t="s">
        <v>221</v>
      </c>
      <c r="D445" s="108">
        <v>9.36</v>
      </c>
      <c r="E445" s="108"/>
      <c r="F445" s="127"/>
      <c r="G445" s="128"/>
      <c r="H445" s="407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399"/>
      <c r="P445" s="399"/>
      <c r="Q445" s="399"/>
      <c r="R445" s="399"/>
      <c r="S445" s="399"/>
      <c r="T445" s="399"/>
      <c r="U445" s="399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398" t="s">
        <v>222</v>
      </c>
      <c r="C446" s="126" t="s">
        <v>186</v>
      </c>
      <c r="D446" s="108">
        <v>9.36</v>
      </c>
      <c r="E446" s="108"/>
      <c r="F446" s="127"/>
      <c r="G446" s="128"/>
      <c r="H446" s="407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399"/>
      <c r="P446" s="399"/>
      <c r="Q446" s="399"/>
      <c r="R446" s="399"/>
      <c r="S446" s="399"/>
      <c r="T446" s="399"/>
      <c r="U446" s="399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398" t="s">
        <v>393</v>
      </c>
      <c r="C447" s="187" t="s">
        <v>395</v>
      </c>
      <c r="D447" s="108">
        <v>5</v>
      </c>
      <c r="E447" s="108"/>
      <c r="F447" s="127"/>
      <c r="G447" s="128"/>
      <c r="H447" s="407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399"/>
      <c r="P447" s="399"/>
      <c r="Q447" s="399"/>
      <c r="R447" s="399"/>
      <c r="S447" s="399"/>
      <c r="T447" s="399"/>
      <c r="U447" s="399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398" t="s">
        <v>393</v>
      </c>
      <c r="C448" s="187" t="s">
        <v>402</v>
      </c>
      <c r="D448" s="108">
        <v>5</v>
      </c>
      <c r="E448" s="108"/>
      <c r="F448" s="127"/>
      <c r="G448" s="128"/>
      <c r="H448" s="407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399"/>
      <c r="P448" s="399"/>
      <c r="Q448" s="399"/>
      <c r="R448" s="399"/>
      <c r="S448" s="399"/>
      <c r="T448" s="399"/>
      <c r="U448" s="399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398" t="s">
        <v>404</v>
      </c>
      <c r="C449" s="187" t="s">
        <v>405</v>
      </c>
      <c r="D449" s="108">
        <v>5</v>
      </c>
      <c r="E449" s="108"/>
      <c r="F449" s="127"/>
      <c r="G449" s="128"/>
      <c r="H449" s="407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399"/>
      <c r="P449" s="399"/>
      <c r="Q449" s="399"/>
      <c r="R449" s="399"/>
      <c r="S449" s="399"/>
      <c r="T449" s="399"/>
      <c r="U449" s="399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398" t="s">
        <v>342</v>
      </c>
      <c r="C450" s="187" t="s">
        <v>372</v>
      </c>
      <c r="D450" s="108">
        <v>5</v>
      </c>
      <c r="E450" s="108"/>
      <c r="F450" s="127"/>
      <c r="G450" s="128"/>
      <c r="H450" s="407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399"/>
      <c r="P450" s="399"/>
      <c r="Q450" s="399"/>
      <c r="R450" s="399"/>
      <c r="S450" s="399"/>
      <c r="T450" s="399"/>
      <c r="U450" s="399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398" t="s">
        <v>343</v>
      </c>
      <c r="C451" s="126" t="s">
        <v>345</v>
      </c>
      <c r="D451" s="108">
        <v>5</v>
      </c>
      <c r="E451" s="108"/>
      <c r="F451" s="127"/>
      <c r="G451" s="128"/>
      <c r="H451" s="407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399"/>
      <c r="P451" s="399"/>
      <c r="Q451" s="399"/>
      <c r="R451" s="399"/>
      <c r="S451" s="399"/>
      <c r="T451" s="399"/>
      <c r="U451" s="399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398" t="s">
        <v>343</v>
      </c>
      <c r="C452" s="126" t="s">
        <v>347</v>
      </c>
      <c r="D452" s="108">
        <v>5</v>
      </c>
      <c r="E452" s="108"/>
      <c r="F452" s="127"/>
      <c r="G452" s="128"/>
      <c r="H452" s="407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399"/>
      <c r="P452" s="399"/>
      <c r="Q452" s="399"/>
      <c r="R452" s="399"/>
      <c r="S452" s="399"/>
      <c r="T452" s="399"/>
      <c r="U452" s="399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407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399"/>
      <c r="P453" s="399"/>
      <c r="Q453" s="399"/>
      <c r="R453" s="399"/>
      <c r="S453" s="399"/>
      <c r="T453" s="399"/>
      <c r="U453" s="399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407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399"/>
      <c r="P454" s="399"/>
      <c r="Q454" s="399"/>
      <c r="R454" s="399"/>
      <c r="S454" s="399"/>
      <c r="T454" s="399"/>
      <c r="U454" s="399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407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399"/>
      <c r="P455" s="399"/>
      <c r="Q455" s="399"/>
      <c r="R455" s="399"/>
      <c r="S455" s="399"/>
      <c r="T455" s="399"/>
      <c r="U455" s="399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407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399"/>
      <c r="P456" s="399"/>
      <c r="Q456" s="399"/>
      <c r="R456" s="399"/>
      <c r="S456" s="399"/>
      <c r="T456" s="399"/>
      <c r="U456" s="399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407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399"/>
      <c r="P457" s="399"/>
      <c r="Q457" s="399"/>
      <c r="R457" s="399"/>
      <c r="S457" s="399"/>
      <c r="T457" s="399"/>
      <c r="U457" s="399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407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399"/>
      <c r="P458" s="399"/>
      <c r="Q458" s="399"/>
      <c r="R458" s="399"/>
      <c r="S458" s="399"/>
      <c r="T458" s="399"/>
      <c r="U458" s="399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407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399"/>
      <c r="P459" s="399"/>
      <c r="Q459" s="399"/>
      <c r="R459" s="399"/>
      <c r="S459" s="399"/>
      <c r="T459" s="399"/>
      <c r="U459" s="399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407">
        <f t="shared" si="196"/>
        <v>0</v>
      </c>
      <c r="I460" s="129"/>
      <c r="J460" s="130" t="str">
        <f t="array" ref="J460">IF(ISERROR(G460/I460),"",G460/I460)</f>
        <v/>
      </c>
      <c r="K460" s="407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399"/>
      <c r="P460" s="399"/>
      <c r="Q460" s="399"/>
      <c r="R460" s="399"/>
      <c r="S460" s="399"/>
      <c r="T460" s="399"/>
      <c r="U460" s="399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customHeight="1">
      <c r="A461" s="630" t="s">
        <v>224</v>
      </c>
      <c r="B461" s="631"/>
      <c r="C461" s="405" t="s">
        <v>202</v>
      </c>
      <c r="D461" s="143"/>
      <c r="E461" s="143"/>
      <c r="F461" s="144"/>
      <c r="G461" s="145">
        <f>SUM(G427:G460)</f>
        <v>684</v>
      </c>
      <c r="H461" s="146">
        <f>SUM(H427:H460)</f>
        <v>3440.52</v>
      </c>
      <c r="I461" s="146">
        <f>SUM(I427:I460)</f>
        <v>53.5</v>
      </c>
      <c r="J461" s="130">
        <f t="array" ref="J461">IF(ISERROR(G461/I461),"",G461/I461)</f>
        <v>12.785046728971963</v>
      </c>
      <c r="K461" s="146">
        <f>SUM(K427:K460)</f>
        <v>73.548387096774192</v>
      </c>
      <c r="L461" s="147"/>
      <c r="M461" s="150">
        <f t="shared" ref="M461:V461" si="210">SUM(M427:M460)</f>
        <v>-20.048387096774192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>
        <f t="shared" si="209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407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399"/>
      <c r="P462" s="399"/>
      <c r="Q462" s="399"/>
      <c r="R462" s="399"/>
      <c r="S462" s="399"/>
      <c r="T462" s="399"/>
      <c r="U462" s="399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407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399"/>
      <c r="P463" s="399"/>
      <c r="Q463" s="399"/>
      <c r="R463" s="399"/>
      <c r="S463" s="399"/>
      <c r="T463" s="399"/>
      <c r="U463" s="399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407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399"/>
      <c r="P464" s="399"/>
      <c r="Q464" s="399"/>
      <c r="R464" s="399"/>
      <c r="S464" s="399"/>
      <c r="T464" s="399"/>
      <c r="U464" s="399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407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399"/>
      <c r="P465" s="399"/>
      <c r="Q465" s="399"/>
      <c r="R465" s="399"/>
      <c r="S465" s="399"/>
      <c r="T465" s="399"/>
      <c r="U465" s="399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403" t="s">
        <v>203</v>
      </c>
      <c r="D466" s="108">
        <v>5.03</v>
      </c>
      <c r="E466" s="108"/>
      <c r="F466" s="127"/>
      <c r="G466" s="128"/>
      <c r="H466" s="407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399"/>
      <c r="P466" s="399"/>
      <c r="Q466" s="399"/>
      <c r="R466" s="399"/>
      <c r="S466" s="399"/>
      <c r="T466" s="399"/>
      <c r="U466" s="399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407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399"/>
      <c r="P467" s="399"/>
      <c r="Q467" s="399"/>
      <c r="R467" s="399"/>
      <c r="S467" s="399"/>
      <c r="T467" s="399"/>
      <c r="U467" s="399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407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399"/>
      <c r="P468" s="399"/>
      <c r="Q468" s="399"/>
      <c r="R468" s="399"/>
      <c r="S468" s="399"/>
      <c r="T468" s="399"/>
      <c r="U468" s="399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403" t="s">
        <v>228</v>
      </c>
      <c r="D469" s="108">
        <v>5.03</v>
      </c>
      <c r="E469" s="108"/>
      <c r="F469" s="127"/>
      <c r="G469" s="128"/>
      <c r="H469" s="407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399"/>
      <c r="P469" s="399"/>
      <c r="Q469" s="399"/>
      <c r="R469" s="399"/>
      <c r="S469" s="399"/>
      <c r="T469" s="399"/>
      <c r="U469" s="399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403" t="s">
        <v>212</v>
      </c>
      <c r="D470" s="108">
        <v>5.03</v>
      </c>
      <c r="E470" s="108"/>
      <c r="F470" s="127"/>
      <c r="G470" s="128"/>
      <c r="H470" s="407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399"/>
      <c r="P470" s="399"/>
      <c r="Q470" s="399"/>
      <c r="R470" s="399"/>
      <c r="S470" s="399"/>
      <c r="T470" s="399"/>
      <c r="U470" s="399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403" t="s">
        <v>203</v>
      </c>
      <c r="D471" s="108">
        <v>5.03</v>
      </c>
      <c r="E471" s="108"/>
      <c r="F471" s="127"/>
      <c r="G471" s="128"/>
      <c r="H471" s="407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399"/>
      <c r="P471" s="399"/>
      <c r="Q471" s="399"/>
      <c r="R471" s="399"/>
      <c r="S471" s="399"/>
      <c r="T471" s="399"/>
      <c r="U471" s="399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403" t="s">
        <v>186</v>
      </c>
      <c r="D472" s="108">
        <v>5.03</v>
      </c>
      <c r="E472" s="108"/>
      <c r="F472" s="127"/>
      <c r="G472" s="128"/>
      <c r="H472" s="407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399"/>
      <c r="P472" s="399"/>
      <c r="Q472" s="399"/>
      <c r="R472" s="399"/>
      <c r="S472" s="399"/>
      <c r="T472" s="399"/>
      <c r="U472" s="399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403" t="s">
        <v>228</v>
      </c>
      <c r="D473" s="108">
        <v>5.03</v>
      </c>
      <c r="E473" s="108"/>
      <c r="F473" s="127"/>
      <c r="G473" s="128"/>
      <c r="H473" s="407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399"/>
      <c r="P473" s="399"/>
      <c r="Q473" s="399"/>
      <c r="R473" s="399"/>
      <c r="S473" s="399"/>
      <c r="T473" s="399"/>
      <c r="U473" s="399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403" t="s">
        <v>199</v>
      </c>
      <c r="D474" s="108">
        <v>5.03</v>
      </c>
      <c r="E474" s="108"/>
      <c r="F474" s="127"/>
      <c r="G474" s="128"/>
      <c r="H474" s="407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399"/>
      <c r="P474" s="399"/>
      <c r="Q474" s="399"/>
      <c r="R474" s="399"/>
      <c r="S474" s="399"/>
      <c r="T474" s="399"/>
      <c r="U474" s="399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407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399"/>
      <c r="P475" s="399"/>
      <c r="Q475" s="399"/>
      <c r="R475" s="399"/>
      <c r="S475" s="399"/>
      <c r="T475" s="399"/>
      <c r="U475" s="399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407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399"/>
      <c r="P476" s="399"/>
      <c r="Q476" s="399"/>
      <c r="R476" s="399"/>
      <c r="S476" s="399"/>
      <c r="T476" s="399"/>
      <c r="U476" s="399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630" t="s">
        <v>231</v>
      </c>
      <c r="B477" s="631"/>
      <c r="C477" s="405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407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399"/>
      <c r="P478" s="399"/>
      <c r="Q478" s="399"/>
      <c r="R478" s="399"/>
      <c r="S478" s="399"/>
      <c r="T478" s="399"/>
      <c r="U478" s="399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407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399"/>
      <c r="P479" s="399"/>
      <c r="Q479" s="399"/>
      <c r="R479" s="399"/>
      <c r="S479" s="399"/>
      <c r="T479" s="399"/>
      <c r="U479" s="399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407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399"/>
      <c r="P480" s="399"/>
      <c r="Q480" s="399"/>
      <c r="R480" s="399"/>
      <c r="S480" s="399"/>
      <c r="T480" s="399"/>
      <c r="U480" s="399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407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399"/>
      <c r="P481" s="399"/>
      <c r="Q481" s="399"/>
      <c r="R481" s="399"/>
      <c r="S481" s="399"/>
      <c r="T481" s="399"/>
      <c r="U481" s="399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407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399"/>
      <c r="P482" s="399"/>
      <c r="Q482" s="399"/>
      <c r="R482" s="399"/>
      <c r="S482" s="399"/>
      <c r="T482" s="399"/>
      <c r="U482" s="399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407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399"/>
      <c r="P483" s="399"/>
      <c r="Q483" s="399"/>
      <c r="R483" s="399"/>
      <c r="S483" s="399"/>
      <c r="T483" s="399"/>
      <c r="U483" s="399"/>
      <c r="V483" s="132"/>
      <c r="W483" s="133"/>
      <c r="X483" s="132"/>
      <c r="Y483" s="132"/>
      <c r="Z483" s="132"/>
      <c r="AA483" s="132"/>
    </row>
    <row r="484" spans="1:27" ht="20.10000000000000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470"/>
      <c r="P484" s="470"/>
      <c r="Q484" s="470"/>
      <c r="R484" s="470"/>
      <c r="S484" s="470"/>
      <c r="T484" s="470"/>
      <c r="U484" s="470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407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399"/>
      <c r="P486" s="399"/>
      <c r="Q486" s="399"/>
      <c r="R486" s="399"/>
      <c r="S486" s="399"/>
      <c r="T486" s="399"/>
      <c r="U486" s="399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30" t="s">
        <v>234</v>
      </c>
      <c r="B487" s="631"/>
      <c r="C487" s="405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397"/>
      <c r="D488" s="108">
        <v>3.65</v>
      </c>
      <c r="E488" s="108"/>
      <c r="F488" s="153"/>
      <c r="G488" s="128"/>
      <c r="H488" s="407">
        <f t="shared" ref="H488:H502" si="223">D488*G488</f>
        <v>0</v>
      </c>
      <c r="I488" s="129"/>
      <c r="J488" s="130" t="str">
        <f t="array" ref="J488">IF(ISERROR(G488/I488),"",G488/I488)</f>
        <v/>
      </c>
      <c r="K488" s="407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399"/>
      <c r="P488" s="399"/>
      <c r="Q488" s="399"/>
      <c r="R488" s="399"/>
      <c r="S488" s="399"/>
      <c r="T488" s="399"/>
      <c r="U488" s="399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397"/>
      <c r="D489" s="108">
        <v>6.58</v>
      </c>
      <c r="E489" s="108"/>
      <c r="F489" s="127"/>
      <c r="G489" s="128"/>
      <c r="H489" s="407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399"/>
      <c r="P489" s="399"/>
      <c r="Q489" s="399"/>
      <c r="R489" s="399"/>
      <c r="S489" s="399"/>
      <c r="T489" s="399"/>
      <c r="U489" s="399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397"/>
      <c r="D490" s="108">
        <v>7.8</v>
      </c>
      <c r="E490" s="108"/>
      <c r="F490" s="127"/>
      <c r="G490" s="128"/>
      <c r="H490" s="407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399"/>
      <c r="P490" s="399"/>
      <c r="Q490" s="399"/>
      <c r="R490" s="399"/>
      <c r="S490" s="399"/>
      <c r="T490" s="399"/>
      <c r="U490" s="399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397"/>
      <c r="D491" s="108">
        <v>4.4000000000000004</v>
      </c>
      <c r="E491" s="108"/>
      <c r="F491" s="127"/>
      <c r="G491" s="128"/>
      <c r="H491" s="407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399"/>
      <c r="P491" s="399"/>
      <c r="Q491" s="399"/>
      <c r="R491" s="399"/>
      <c r="S491" s="399"/>
      <c r="T491" s="399"/>
      <c r="U491" s="399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407">
        <f t="shared" si="223"/>
        <v>0</v>
      </c>
      <c r="I492" s="129"/>
      <c r="J492" s="130"/>
      <c r="K492" s="131"/>
      <c r="L492" s="129"/>
      <c r="M492" s="109"/>
      <c r="N492" s="130"/>
      <c r="O492" s="399"/>
      <c r="P492" s="399"/>
      <c r="Q492" s="399"/>
      <c r="R492" s="399"/>
      <c r="S492" s="399"/>
      <c r="T492" s="399"/>
      <c r="U492" s="399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397"/>
      <c r="D493" s="108"/>
      <c r="E493" s="108"/>
      <c r="F493" s="127"/>
      <c r="G493" s="128"/>
      <c r="H493" s="407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399"/>
      <c r="P493" s="399"/>
      <c r="Q493" s="399"/>
      <c r="R493" s="399"/>
      <c r="S493" s="399"/>
      <c r="T493" s="399"/>
      <c r="U493" s="399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397" t="s">
        <v>239</v>
      </c>
      <c r="C494" s="397" t="s">
        <v>179</v>
      </c>
      <c r="D494" s="108">
        <v>6.04</v>
      </c>
      <c r="E494" s="108"/>
      <c r="F494" s="127"/>
      <c r="G494" s="128"/>
      <c r="H494" s="407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399"/>
      <c r="P494" s="399"/>
      <c r="Q494" s="399"/>
      <c r="R494" s="399"/>
      <c r="S494" s="399"/>
      <c r="T494" s="399"/>
      <c r="U494" s="399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397" t="s">
        <v>239</v>
      </c>
      <c r="C495" s="397" t="s">
        <v>186</v>
      </c>
      <c r="D495" s="108">
        <v>6.04</v>
      </c>
      <c r="E495" s="108"/>
      <c r="F495" s="127"/>
      <c r="G495" s="128"/>
      <c r="H495" s="407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399"/>
      <c r="P495" s="399"/>
      <c r="Q495" s="399"/>
      <c r="R495" s="399"/>
      <c r="S495" s="399"/>
      <c r="T495" s="399"/>
      <c r="U495" s="399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397" t="s">
        <v>443</v>
      </c>
      <c r="C496" s="397" t="s">
        <v>179</v>
      </c>
      <c r="D496" s="108"/>
      <c r="E496" s="108"/>
      <c r="F496" s="127"/>
      <c r="G496" s="128"/>
      <c r="H496" s="407">
        <f t="shared" si="223"/>
        <v>0</v>
      </c>
      <c r="I496" s="129"/>
      <c r="J496" s="130"/>
      <c r="K496" s="131"/>
      <c r="L496" s="129"/>
      <c r="M496" s="109"/>
      <c r="N496" s="130"/>
      <c r="O496" s="399"/>
      <c r="P496" s="399"/>
      <c r="Q496" s="399"/>
      <c r="R496" s="399"/>
      <c r="S496" s="399"/>
      <c r="T496" s="399"/>
      <c r="U496" s="399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397" t="s">
        <v>443</v>
      </c>
      <c r="C497" s="397" t="s">
        <v>186</v>
      </c>
      <c r="D497" s="108"/>
      <c r="E497" s="108"/>
      <c r="F497" s="127"/>
      <c r="G497" s="128"/>
      <c r="H497" s="407">
        <f t="shared" si="223"/>
        <v>0</v>
      </c>
      <c r="I497" s="129"/>
      <c r="J497" s="130"/>
      <c r="K497" s="131"/>
      <c r="L497" s="129"/>
      <c r="M497" s="109"/>
      <c r="N497" s="130"/>
      <c r="O497" s="399"/>
      <c r="P497" s="399"/>
      <c r="Q497" s="399"/>
      <c r="R497" s="399"/>
      <c r="S497" s="399"/>
      <c r="T497" s="399"/>
      <c r="U497" s="399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398" t="s">
        <v>240</v>
      </c>
      <c r="C498" s="126"/>
      <c r="D498" s="108">
        <v>7.3</v>
      </c>
      <c r="E498" s="108"/>
      <c r="F498" s="127"/>
      <c r="G498" s="128"/>
      <c r="H498" s="407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399"/>
      <c r="P498" s="399"/>
      <c r="Q498" s="399"/>
      <c r="R498" s="399"/>
      <c r="S498" s="399"/>
      <c r="T498" s="399"/>
      <c r="U498" s="399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398" t="s">
        <v>241</v>
      </c>
      <c r="C499" s="126"/>
      <c r="D499" s="108">
        <f>78*120/1000</f>
        <v>9.36</v>
      </c>
      <c r="E499" s="108"/>
      <c r="F499" s="127"/>
      <c r="G499" s="128"/>
      <c r="H499" s="407">
        <f t="shared" si="223"/>
        <v>0</v>
      </c>
      <c r="I499" s="129"/>
      <c r="J499" s="130"/>
      <c r="K499" s="131"/>
      <c r="L499" s="129"/>
      <c r="M499" s="109"/>
      <c r="N499" s="130"/>
      <c r="O499" s="399"/>
      <c r="P499" s="399"/>
      <c r="Q499" s="399"/>
      <c r="R499" s="399"/>
      <c r="S499" s="399"/>
      <c r="T499" s="399"/>
      <c r="U499" s="399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398" t="s">
        <v>242</v>
      </c>
      <c r="C500" s="126"/>
      <c r="D500" s="108">
        <v>4.5</v>
      </c>
      <c r="E500" s="108"/>
      <c r="F500" s="127"/>
      <c r="G500" s="128"/>
      <c r="H500" s="407">
        <f t="shared" si="223"/>
        <v>0</v>
      </c>
      <c r="I500" s="129"/>
      <c r="J500" s="130"/>
      <c r="K500" s="131"/>
      <c r="L500" s="129"/>
      <c r="M500" s="109"/>
      <c r="N500" s="130"/>
      <c r="O500" s="399"/>
      <c r="P500" s="399"/>
      <c r="Q500" s="399"/>
      <c r="R500" s="399"/>
      <c r="S500" s="399"/>
      <c r="T500" s="399"/>
      <c r="U500" s="399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398" t="s">
        <v>243</v>
      </c>
      <c r="C501" s="126"/>
      <c r="D501" s="108">
        <v>4.5</v>
      </c>
      <c r="E501" s="108"/>
      <c r="F501" s="127"/>
      <c r="G501" s="128"/>
      <c r="H501" s="407">
        <f t="shared" si="223"/>
        <v>0</v>
      </c>
      <c r="I501" s="129"/>
      <c r="J501" s="130"/>
      <c r="K501" s="131"/>
      <c r="L501" s="129"/>
      <c r="M501" s="109"/>
      <c r="N501" s="130"/>
      <c r="O501" s="399"/>
      <c r="P501" s="399"/>
      <c r="Q501" s="399"/>
      <c r="R501" s="399"/>
      <c r="S501" s="399"/>
      <c r="T501" s="399"/>
      <c r="U501" s="399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398"/>
      <c r="C502" s="126"/>
      <c r="D502" s="108"/>
      <c r="E502" s="108"/>
      <c r="F502" s="127"/>
      <c r="G502" s="128"/>
      <c r="H502" s="407">
        <f t="shared" si="223"/>
        <v>0</v>
      </c>
      <c r="I502" s="129"/>
      <c r="J502" s="130"/>
      <c r="K502" s="131"/>
      <c r="L502" s="129"/>
      <c r="M502" s="109"/>
      <c r="N502" s="130"/>
      <c r="O502" s="399"/>
      <c r="P502" s="399"/>
      <c r="Q502" s="399"/>
      <c r="R502" s="399"/>
      <c r="S502" s="399"/>
      <c r="T502" s="399"/>
      <c r="U502" s="399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30" t="s">
        <v>244</v>
      </c>
      <c r="B503" s="631"/>
      <c r="C503" s="405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632" t="s">
        <v>246</v>
      </c>
      <c r="B504" s="633"/>
      <c r="C504" s="633"/>
      <c r="D504" s="633"/>
      <c r="E504" s="633"/>
      <c r="F504" s="634"/>
      <c r="G504" s="154">
        <f>SUM(G368,G426,G461,G477,G487,G503)</f>
        <v>684</v>
      </c>
      <c r="H504" s="154">
        <f>SUM(H368,H426,H461,H477,H487,H503)</f>
        <v>3440.52</v>
      </c>
      <c r="I504" s="154">
        <f>SUM(I368,I426,I461,I477,I487,I503)</f>
        <v>53.5</v>
      </c>
      <c r="J504" s="155">
        <f t="array" ref="J504">IF(ISERROR(G504/I504),"",G504/I504)</f>
        <v>12.785046728971963</v>
      </c>
      <c r="K504" s="154">
        <f>SUM(K368,K426,K461,K477,K487,K503)</f>
        <v>73.548387096774192</v>
      </c>
      <c r="L504" s="155">
        <f>IF(ISERROR(G504/K504),"",G504/K504)</f>
        <v>9.3000000000000007</v>
      </c>
      <c r="M504" s="154">
        <f t="shared" ref="M504:V504" si="236">SUM(M368,M426,M461,M477,M487,M503)</f>
        <v>-20.048387096774192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>
        <f t="shared" ref="W504" si="237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35" t="s">
        <v>476</v>
      </c>
      <c r="B505" s="404" t="s">
        <v>247</v>
      </c>
      <c r="C505" s="638" t="s">
        <v>248</v>
      </c>
      <c r="D505" s="639"/>
      <c r="E505" s="640" t="s">
        <v>249</v>
      </c>
      <c r="F505" s="640"/>
      <c r="G505" s="643" t="s">
        <v>250</v>
      </c>
      <c r="H505" s="643"/>
      <c r="I505" s="640" t="s">
        <v>251</v>
      </c>
      <c r="J505" s="640"/>
      <c r="K505" s="640" t="s">
        <v>252</v>
      </c>
      <c r="L505" s="640"/>
      <c r="M505" s="640" t="s">
        <v>253</v>
      </c>
      <c r="N505" s="640"/>
      <c r="O505" s="640" t="s">
        <v>254</v>
      </c>
      <c r="P505" s="643" t="s">
        <v>255</v>
      </c>
      <c r="Q505" s="643"/>
      <c r="R505" s="643" t="s">
        <v>252</v>
      </c>
      <c r="S505" s="643"/>
      <c r="T505" s="643" t="s">
        <v>256</v>
      </c>
      <c r="U505" s="643"/>
      <c r="V505" s="643" t="s">
        <v>257</v>
      </c>
      <c r="W505" s="643"/>
      <c r="X505" s="643" t="s">
        <v>252</v>
      </c>
      <c r="Y505" s="643"/>
      <c r="Z505" s="643" t="s">
        <v>256</v>
      </c>
      <c r="AA505" s="643"/>
    </row>
    <row r="506" spans="1:27" ht="20.100000000000001" customHeight="1">
      <c r="A506" s="636"/>
      <c r="B506" s="404" t="s">
        <v>258</v>
      </c>
      <c r="C506" s="638">
        <v>0</v>
      </c>
      <c r="D506" s="639"/>
      <c r="E506" s="642">
        <f>C506*11</f>
        <v>0</v>
      </c>
      <c r="F506" s="642"/>
      <c r="G506" s="643">
        <v>0</v>
      </c>
      <c r="H506" s="643"/>
      <c r="I506" s="642">
        <f>G506*11</f>
        <v>0</v>
      </c>
      <c r="J506" s="642"/>
      <c r="K506" s="642">
        <f>E506-I506</f>
        <v>0</v>
      </c>
      <c r="L506" s="642"/>
      <c r="M506" s="644" t="str">
        <f>IF(ISERROR(K506/E506),"",K506/E506)</f>
        <v/>
      </c>
      <c r="N506" s="644"/>
      <c r="O506" s="640"/>
      <c r="P506" s="643" t="s">
        <v>201</v>
      </c>
      <c r="Q506" s="643"/>
      <c r="R506" s="645">
        <f>SUM(O368:U368)</f>
        <v>0</v>
      </c>
      <c r="S506" s="645"/>
      <c r="T506" s="646" t="str">
        <f t="array" ref="T506">IF(ISERROR(R506/R513),"",R506/R513)</f>
        <v/>
      </c>
      <c r="U506" s="646"/>
      <c r="V506" s="643" t="s">
        <v>259</v>
      </c>
      <c r="W506" s="643"/>
      <c r="X506" s="647">
        <f>SUM(O368,O426,O461,O477,O487,O503)</f>
        <v>0</v>
      </c>
      <c r="Y506" s="647"/>
      <c r="Z506" s="646" t="str">
        <f t="array" ref="Z506">IF(ISERROR(X506/X513),"",X506/X513)</f>
        <v/>
      </c>
      <c r="AA506" s="646"/>
    </row>
    <row r="507" spans="1:27" ht="20.100000000000001" customHeight="1">
      <c r="A507" s="636"/>
      <c r="B507" s="404" t="s">
        <v>260</v>
      </c>
      <c r="C507" s="638">
        <v>0</v>
      </c>
      <c r="D507" s="639"/>
      <c r="E507" s="642">
        <f>C507*11</f>
        <v>0</v>
      </c>
      <c r="F507" s="642"/>
      <c r="G507" s="643">
        <v>0</v>
      </c>
      <c r="H507" s="643"/>
      <c r="I507" s="642">
        <f>G507*11</f>
        <v>0</v>
      </c>
      <c r="J507" s="642"/>
      <c r="K507" s="642">
        <f>E507-I507</f>
        <v>0</v>
      </c>
      <c r="L507" s="642"/>
      <c r="M507" s="644" t="str">
        <f>IF(ISERROR(K507/E507),"",K507/E507)</f>
        <v/>
      </c>
      <c r="N507" s="644"/>
      <c r="O507" s="640"/>
      <c r="P507" s="643" t="s">
        <v>216</v>
      </c>
      <c r="Q507" s="643"/>
      <c r="R507" s="645">
        <f>SUM(O426:U426)</f>
        <v>0</v>
      </c>
      <c r="S507" s="645"/>
      <c r="T507" s="646" t="str">
        <f>IF(ISERROR(R507/R513),"",R507/R513)</f>
        <v/>
      </c>
      <c r="U507" s="646"/>
      <c r="V507" s="643" t="s">
        <v>261</v>
      </c>
      <c r="W507" s="643"/>
      <c r="X507" s="647">
        <f>SUM(O369,O427,O462,O478,O488,O504)</f>
        <v>0</v>
      </c>
      <c r="Y507" s="647"/>
      <c r="Z507" s="646" t="str">
        <f>IF(ISERROR(X507/X513),"",X507/X513)</f>
        <v/>
      </c>
      <c r="AA507" s="646"/>
    </row>
    <row r="508" spans="1:27" ht="20.100000000000001" customHeight="1">
      <c r="A508" s="636"/>
      <c r="B508" s="404" t="s">
        <v>262</v>
      </c>
      <c r="C508" s="638">
        <v>0</v>
      </c>
      <c r="D508" s="639"/>
      <c r="E508" s="642">
        <f>C508*11</f>
        <v>0</v>
      </c>
      <c r="F508" s="642"/>
      <c r="G508" s="643">
        <v>0</v>
      </c>
      <c r="H508" s="643"/>
      <c r="I508" s="642">
        <f>G508*11</f>
        <v>0</v>
      </c>
      <c r="J508" s="642"/>
      <c r="K508" s="642">
        <f>E508-I508</f>
        <v>0</v>
      </c>
      <c r="L508" s="642"/>
      <c r="M508" s="644" t="str">
        <f>IF(ISERROR(K508/E508),"",K508/E508)</f>
        <v/>
      </c>
      <c r="N508" s="644"/>
      <c r="O508" s="640"/>
      <c r="P508" s="643" t="s">
        <v>224</v>
      </c>
      <c r="Q508" s="643"/>
      <c r="R508" s="645">
        <f>SUM(O461:U461)</f>
        <v>0</v>
      </c>
      <c r="S508" s="645"/>
      <c r="T508" s="646" t="str">
        <f>IF(ISERROR(R508/R513),"",R508/R513)</f>
        <v/>
      </c>
      <c r="U508" s="646"/>
      <c r="V508" s="643" t="s">
        <v>263</v>
      </c>
      <c r="W508" s="643"/>
      <c r="X508" s="647">
        <f>SUM(O371,O428,O463,O479,O489,O505)</f>
        <v>0</v>
      </c>
      <c r="Y508" s="647"/>
      <c r="Z508" s="646" t="str">
        <f>IF(ISERROR(X508/X513),"",X508/X513)</f>
        <v/>
      </c>
      <c r="AA508" s="646"/>
    </row>
    <row r="509" spans="1:27" ht="20.100000000000001" customHeight="1">
      <c r="A509" s="636"/>
      <c r="B509" s="404" t="s">
        <v>264</v>
      </c>
      <c r="C509" s="638">
        <v>1</v>
      </c>
      <c r="D509" s="639"/>
      <c r="E509" s="642">
        <f>C509*11</f>
        <v>11</v>
      </c>
      <c r="F509" s="642"/>
      <c r="G509" s="643">
        <v>1</v>
      </c>
      <c r="H509" s="643"/>
      <c r="I509" s="642">
        <f>G509*11</f>
        <v>11</v>
      </c>
      <c r="J509" s="642"/>
      <c r="K509" s="642">
        <f>E509-I509</f>
        <v>0</v>
      </c>
      <c r="L509" s="642"/>
      <c r="M509" s="644">
        <f>IF(ISERROR(K509/E509),"",K509/E509)</f>
        <v>0</v>
      </c>
      <c r="N509" s="644"/>
      <c r="O509" s="640"/>
      <c r="P509" s="643" t="s">
        <v>231</v>
      </c>
      <c r="Q509" s="643"/>
      <c r="R509" s="645">
        <f>SUM(O477:U477)</f>
        <v>0</v>
      </c>
      <c r="S509" s="645"/>
      <c r="T509" s="646" t="str">
        <f>IF(ISERROR(R509/R513),"",R509/R513)</f>
        <v/>
      </c>
      <c r="U509" s="646"/>
      <c r="V509" s="643" t="s">
        <v>265</v>
      </c>
      <c r="W509" s="643"/>
      <c r="X509" s="647">
        <f>SUM(O372,O429,O464,O480,O490,O506)</f>
        <v>0</v>
      </c>
      <c r="Y509" s="647"/>
      <c r="Z509" s="646" t="str">
        <f>IF(ISERROR(X509/X513),"",X509/X513)</f>
        <v/>
      </c>
      <c r="AA509" s="646"/>
    </row>
    <row r="510" spans="1:27" ht="20.100000000000001" customHeight="1">
      <c r="A510" s="637"/>
      <c r="B510" s="404" t="s">
        <v>266</v>
      </c>
      <c r="C510" s="648">
        <f>SUM(C506:D509)</f>
        <v>1</v>
      </c>
      <c r="D510" s="649"/>
      <c r="E510" s="642">
        <f>SUM(E506:F509)</f>
        <v>11</v>
      </c>
      <c r="F510" s="642"/>
      <c r="G510" s="643">
        <f>SUM(G506:H509)</f>
        <v>1</v>
      </c>
      <c r="H510" s="643"/>
      <c r="I510" s="642">
        <f>SUM(I506:J509)</f>
        <v>11</v>
      </c>
      <c r="J510" s="642"/>
      <c r="K510" s="642">
        <f>SUM(K506:L509)</f>
        <v>0</v>
      </c>
      <c r="L510" s="642"/>
      <c r="M510" s="644">
        <f>IF(ISERROR(K510/E510),"",K510/E510)</f>
        <v>0</v>
      </c>
      <c r="N510" s="644"/>
      <c r="O510" s="640"/>
      <c r="P510" s="643" t="s">
        <v>234</v>
      </c>
      <c r="Q510" s="643"/>
      <c r="R510" s="645">
        <f>SUM(O487:U487)</f>
        <v>0</v>
      </c>
      <c r="S510" s="645"/>
      <c r="T510" s="646" t="str">
        <f>IF(ISERROR(R510/R513),"",R510/R513)</f>
        <v/>
      </c>
      <c r="U510" s="646"/>
      <c r="V510" s="643" t="s">
        <v>267</v>
      </c>
      <c r="W510" s="643"/>
      <c r="X510" s="647">
        <f>SUM(O373,O430,O465,O481,O491,O507)</f>
        <v>0</v>
      </c>
      <c r="Y510" s="647"/>
      <c r="Z510" s="646" t="str">
        <f>IF(ISERROR(X510/X513),"",X510/X513)</f>
        <v/>
      </c>
      <c r="AA510" s="646"/>
    </row>
    <row r="511" spans="1:27" ht="20.100000000000001" customHeight="1">
      <c r="A511" s="307" t="s">
        <v>477</v>
      </c>
      <c r="B511" s="404">
        <f>G504</f>
        <v>684</v>
      </c>
      <c r="C511" s="650" t="s">
        <v>269</v>
      </c>
      <c r="D511" s="651"/>
      <c r="E511" s="643">
        <f>H504</f>
        <v>3440.52</v>
      </c>
      <c r="F511" s="643"/>
      <c r="G511" s="643" t="s">
        <v>270</v>
      </c>
      <c r="H511" s="643"/>
      <c r="I511" s="652">
        <f>L504</f>
        <v>9.3000000000000007</v>
      </c>
      <c r="J511" s="652"/>
      <c r="K511" s="640" t="s">
        <v>271</v>
      </c>
      <c r="L511" s="640"/>
      <c r="M511" s="652">
        <f>J504</f>
        <v>12.785046728971963</v>
      </c>
      <c r="N511" s="652"/>
      <c r="O511" s="640"/>
      <c r="P511" s="643" t="s">
        <v>244</v>
      </c>
      <c r="Q511" s="643"/>
      <c r="R511" s="645">
        <f>SUM(O503:U503)</f>
        <v>0</v>
      </c>
      <c r="S511" s="645"/>
      <c r="T511" s="646" t="str">
        <f>IF(ISERROR(R511/R513),"",R511/R513)</f>
        <v/>
      </c>
      <c r="U511" s="646"/>
      <c r="V511" s="643" t="s">
        <v>272</v>
      </c>
      <c r="W511" s="643"/>
      <c r="X511" s="647">
        <f>SUM(O374,O431,O466,O482,O492,O508)</f>
        <v>0</v>
      </c>
      <c r="Y511" s="647"/>
      <c r="Z511" s="646" t="str">
        <f>IF(ISERROR(X511/X513),"",X511/X513)</f>
        <v/>
      </c>
      <c r="AA511" s="646"/>
    </row>
    <row r="512" spans="1:27" ht="20.100000000000001" customHeight="1">
      <c r="A512" s="308" t="s">
        <v>478</v>
      </c>
      <c r="B512" s="404">
        <f>I504+C510</f>
        <v>54.5</v>
      </c>
      <c r="C512" s="653" t="s">
        <v>251</v>
      </c>
      <c r="D512" s="654"/>
      <c r="E512" s="655">
        <f>K504+I510</f>
        <v>84.548387096774192</v>
      </c>
      <c r="F512" s="655"/>
      <c r="G512" s="643" t="s">
        <v>274</v>
      </c>
      <c r="H512" s="643"/>
      <c r="I512" s="652">
        <f>B512-E512</f>
        <v>-30.048387096774192</v>
      </c>
      <c r="J512" s="652"/>
      <c r="K512" s="640" t="s">
        <v>275</v>
      </c>
      <c r="L512" s="640"/>
      <c r="M512" s="644">
        <f>IF(ISERROR(I512/E512),"",I512/E512)</f>
        <v>-0.35539870278519647</v>
      </c>
      <c r="N512" s="644"/>
      <c r="O512" s="640"/>
      <c r="P512" s="643" t="s">
        <v>245</v>
      </c>
      <c r="Q512" s="643"/>
      <c r="R512" s="645"/>
      <c r="S512" s="645"/>
      <c r="T512" s="646" t="str">
        <f>IF(ISERROR(R512/R513),"",R512/R513)</f>
        <v/>
      </c>
      <c r="U512" s="646"/>
      <c r="V512" s="643" t="s">
        <v>264</v>
      </c>
      <c r="W512" s="643"/>
      <c r="X512" s="647">
        <f>SUM(O375,O432,O467,O486,O493,O509)</f>
        <v>0</v>
      </c>
      <c r="Y512" s="647"/>
      <c r="Z512" s="646" t="str">
        <f>IF(ISERROR(X512/X513),"",X512/X513)</f>
        <v/>
      </c>
      <c r="AA512" s="646"/>
    </row>
    <row r="513" spans="1:27" ht="20.100000000000001" customHeight="1">
      <c r="A513" s="308" t="s">
        <v>479</v>
      </c>
      <c r="B513" s="404">
        <f>N504</f>
        <v>0</v>
      </c>
      <c r="C513" s="653" t="s">
        <v>277</v>
      </c>
      <c r="D513" s="654"/>
      <c r="E513" s="646">
        <f>IF(ISERROR(B513/B512),"",B513/B512)</f>
        <v>0</v>
      </c>
      <c r="F513" s="646"/>
      <c r="G513" s="643" t="s">
        <v>278</v>
      </c>
      <c r="H513" s="643"/>
      <c r="I513" s="640">
        <f>V504</f>
        <v>0</v>
      </c>
      <c r="J513" s="640"/>
      <c r="K513" s="640" t="s">
        <v>279</v>
      </c>
      <c r="L513" s="640"/>
      <c r="M513" s="644">
        <f t="array" ref="M513">IF(ISERROR(I513/B511),"",I513/B511)</f>
        <v>0</v>
      </c>
      <c r="N513" s="644"/>
      <c r="O513" s="640"/>
      <c r="P513" s="643" t="s">
        <v>266</v>
      </c>
      <c r="Q513" s="643"/>
      <c r="R513" s="645">
        <f>SUM(R506:S512)</f>
        <v>0</v>
      </c>
      <c r="S513" s="645"/>
      <c r="T513" s="646"/>
      <c r="U513" s="646"/>
      <c r="V513" s="643" t="s">
        <v>266</v>
      </c>
      <c r="W513" s="643"/>
      <c r="X513" s="647">
        <f>SUM(X506:Y512)</f>
        <v>0</v>
      </c>
      <c r="Y513" s="647"/>
      <c r="Z513" s="646"/>
      <c r="AA513" s="646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682" t="str">
        <f>IF(ISERROR(#REF!/#REF!),"",#REF!/#REF!)</f>
        <v/>
      </c>
      <c r="H514" s="682"/>
      <c r="I514" s="682"/>
      <c r="J514" s="125"/>
      <c r="K514" s="160"/>
      <c r="L514" s="122"/>
      <c r="M514" s="122"/>
      <c r="N514" s="682" t="str">
        <f>IF(ISERROR(G514/#REF!),"",G514/#REF!)</f>
        <v/>
      </c>
      <c r="O514" s="682"/>
      <c r="P514" s="682"/>
      <c r="Q514" s="682"/>
      <c r="R514" s="682"/>
      <c r="S514" s="406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685" t="s">
        <v>268</v>
      </c>
      <c r="B516" s="685"/>
      <c r="C516" s="638">
        <f>SUM(B170,B340,B511)</f>
        <v>5131</v>
      </c>
      <c r="D516" s="639"/>
      <c r="E516" s="685" t="s">
        <v>269</v>
      </c>
      <c r="F516" s="685"/>
      <c r="G516" s="655">
        <f>SUM(E170,E340,E511)</f>
        <v>25885.23</v>
      </c>
      <c r="H516" s="655"/>
      <c r="I516" s="643" t="s">
        <v>270</v>
      </c>
      <c r="J516" s="685"/>
      <c r="K516" s="638">
        <f>IF(ISERROR(C516/G517),"",C516/G517)</f>
        <v>12.209561953186883</v>
      </c>
      <c r="L516" s="639"/>
      <c r="M516" s="643" t="s">
        <v>271</v>
      </c>
      <c r="N516" s="643"/>
      <c r="O516" s="680">
        <f t="array" ref="O516">IF(ISERROR(C516/C517),"",C516/C517)</f>
        <v>13.44954128440367</v>
      </c>
      <c r="P516" s="681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643" t="s">
        <v>273</v>
      </c>
      <c r="B517" s="643"/>
      <c r="C517" s="638">
        <f>SUM(B171,B341,B512)</f>
        <v>381.5</v>
      </c>
      <c r="D517" s="639"/>
      <c r="E517" s="643" t="s">
        <v>251</v>
      </c>
      <c r="F517" s="643"/>
      <c r="G517" s="655">
        <f>SUM(E171,E341,E512)</f>
        <v>420.24439694666773</v>
      </c>
      <c r="H517" s="655"/>
      <c r="I517" s="653" t="s">
        <v>274</v>
      </c>
      <c r="J517" s="654"/>
      <c r="K517" s="650">
        <f>C517-G517</f>
        <v>-38.744396946667734</v>
      </c>
      <c r="L517" s="651"/>
      <c r="M517" s="650" t="s">
        <v>275</v>
      </c>
      <c r="N517" s="651"/>
      <c r="O517" s="683">
        <f>IF(ISERROR(K517/C517),"",K517/C517)</f>
        <v>-0.10155805228484334</v>
      </c>
      <c r="P517" s="684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653" t="s">
        <v>276</v>
      </c>
      <c r="B518" s="654"/>
      <c r="C518" s="638">
        <f>SUM(B172,B342,B513)</f>
        <v>0</v>
      </c>
      <c r="D518" s="639"/>
      <c r="E518" s="653" t="s">
        <v>277</v>
      </c>
      <c r="F518" s="654"/>
      <c r="G518" s="646">
        <f>IF(ISERROR(C518/C517),"",C518/C517)</f>
        <v>0</v>
      </c>
      <c r="H518" s="646"/>
      <c r="I518" s="643" t="s">
        <v>278</v>
      </c>
      <c r="J518" s="685"/>
      <c r="K518" s="655">
        <f>SUM(I172,I342,I513)</f>
        <v>0</v>
      </c>
      <c r="L518" s="655"/>
      <c r="M518" s="685" t="s">
        <v>279</v>
      </c>
      <c r="N518" s="685"/>
      <c r="O518" s="683">
        <f t="array" ref="O518">IF(ISERROR(K518/C516),"",K518/C516)</f>
        <v>0</v>
      </c>
      <c r="P518" s="684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406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653" t="s">
        <v>298</v>
      </c>
      <c r="B520" s="654"/>
      <c r="C520" s="653" t="s">
        <v>299</v>
      </c>
      <c r="D520" s="654"/>
      <c r="E520" s="653" t="s">
        <v>256</v>
      </c>
      <c r="F520" s="654"/>
      <c r="G520" s="686" t="s">
        <v>254</v>
      </c>
      <c r="H520" s="687"/>
      <c r="I520" s="653" t="s">
        <v>255</v>
      </c>
      <c r="J520" s="651"/>
      <c r="K520" s="653" t="s">
        <v>300</v>
      </c>
      <c r="L520" s="654"/>
      <c r="M520" s="653" t="s">
        <v>256</v>
      </c>
      <c r="N520" s="654"/>
      <c r="O520" s="643" t="s">
        <v>257</v>
      </c>
      <c r="P520" s="643"/>
      <c r="Q520" s="653" t="s">
        <v>300</v>
      </c>
      <c r="R520" s="654"/>
      <c r="S520" s="653" t="s">
        <v>256</v>
      </c>
      <c r="T520" s="654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692" t="s">
        <v>201</v>
      </c>
      <c r="B521" s="654"/>
      <c r="C521" s="653">
        <f>SUM(G28,G198,G368)</f>
        <v>2451</v>
      </c>
      <c r="D521" s="654"/>
      <c r="E521" s="693">
        <f>IF(ISERROR(C521/C527),"",C521/C527)</f>
        <v>0.47768466185928671</v>
      </c>
      <c r="F521" s="694"/>
      <c r="G521" s="688"/>
      <c r="H521" s="689"/>
      <c r="I521" s="695" t="s">
        <v>301</v>
      </c>
      <c r="J521" s="696"/>
      <c r="K521" s="650">
        <f t="shared" ref="K521:K526" si="238">SUM(R165,U335,U506)</f>
        <v>0</v>
      </c>
      <c r="L521" s="651"/>
      <c r="M521" s="693" t="str">
        <f t="array" ref="M521">IF(ISERROR(K521/K527),"",K521/K527)</f>
        <v/>
      </c>
      <c r="N521" s="694"/>
      <c r="O521" s="643" t="s">
        <v>259</v>
      </c>
      <c r="P521" s="643"/>
      <c r="Q521" s="680">
        <f t="shared" ref="Q521:Q526" si="239">SUM(X165,AA335,AA506)</f>
        <v>0</v>
      </c>
      <c r="R521" s="681"/>
      <c r="S521" s="693" t="str">
        <f t="array" ref="S521">IF(ISERROR(Q521/Q527),"",Q521/Q527)</f>
        <v/>
      </c>
      <c r="T521" s="694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692" t="s">
        <v>216</v>
      </c>
      <c r="B522" s="654"/>
      <c r="C522" s="653">
        <f>SUM(G86,G256,G426)</f>
        <v>1466</v>
      </c>
      <c r="D522" s="654"/>
      <c r="E522" s="693">
        <f>IF(ISERROR(C522/C527),"",C522/C527)</f>
        <v>0.2857142857142857</v>
      </c>
      <c r="F522" s="694"/>
      <c r="G522" s="688"/>
      <c r="H522" s="689"/>
      <c r="I522" s="695" t="s">
        <v>302</v>
      </c>
      <c r="J522" s="696"/>
      <c r="K522" s="650">
        <f t="shared" si="238"/>
        <v>0</v>
      </c>
      <c r="L522" s="651"/>
      <c r="M522" s="693" t="str">
        <f>IF(ISERROR(K522/K527),"",K522/K527)</f>
        <v/>
      </c>
      <c r="N522" s="694"/>
      <c r="O522" s="643" t="s">
        <v>261</v>
      </c>
      <c r="P522" s="643"/>
      <c r="Q522" s="680">
        <f t="shared" si="239"/>
        <v>0</v>
      </c>
      <c r="R522" s="681"/>
      <c r="S522" s="693" t="str">
        <f>IF(ISERROR(Q522/Q527),"",Q522/Q527)</f>
        <v/>
      </c>
      <c r="T522" s="694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692" t="s">
        <v>224</v>
      </c>
      <c r="B523" s="654"/>
      <c r="C523" s="653">
        <f>SUM(G121,G291,G461)</f>
        <v>1214</v>
      </c>
      <c r="D523" s="654"/>
      <c r="E523" s="693">
        <f>IF(ISERROR(C523/C527),"",C523/C527)</f>
        <v>0.23660105242642759</v>
      </c>
      <c r="F523" s="694"/>
      <c r="G523" s="688"/>
      <c r="H523" s="689"/>
      <c r="I523" s="695" t="s">
        <v>303</v>
      </c>
      <c r="J523" s="696"/>
      <c r="K523" s="650">
        <f t="shared" si="238"/>
        <v>0</v>
      </c>
      <c r="L523" s="651"/>
      <c r="M523" s="693" t="str">
        <f>IF(ISERROR(K523/K527),"",K523/K527)</f>
        <v/>
      </c>
      <c r="N523" s="694"/>
      <c r="O523" s="643" t="s">
        <v>263</v>
      </c>
      <c r="P523" s="643"/>
      <c r="Q523" s="680">
        <f t="shared" si="239"/>
        <v>0</v>
      </c>
      <c r="R523" s="681"/>
      <c r="S523" s="693" t="str">
        <f>IF(ISERROR(Q523/Q527),"",Q523/Q527)</f>
        <v/>
      </c>
      <c r="T523" s="694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692" t="s">
        <v>231</v>
      </c>
      <c r="B524" s="654"/>
      <c r="C524" s="653">
        <f>SUM(G137,G307,G477)</f>
        <v>0</v>
      </c>
      <c r="D524" s="654"/>
      <c r="E524" s="693">
        <f>IF(ISERROR(C524/C527),"",C524/C527)</f>
        <v>0</v>
      </c>
      <c r="F524" s="694"/>
      <c r="G524" s="688"/>
      <c r="H524" s="689"/>
      <c r="I524" s="695" t="s">
        <v>304</v>
      </c>
      <c r="J524" s="696"/>
      <c r="K524" s="650">
        <f t="shared" si="238"/>
        <v>0</v>
      </c>
      <c r="L524" s="651"/>
      <c r="M524" s="693" t="str">
        <f>IF(ISERROR(K524/K527),"",K524/K527)</f>
        <v/>
      </c>
      <c r="N524" s="694"/>
      <c r="O524" s="643" t="s">
        <v>305</v>
      </c>
      <c r="P524" s="643"/>
      <c r="Q524" s="680">
        <f t="shared" si="239"/>
        <v>0</v>
      </c>
      <c r="R524" s="681"/>
      <c r="S524" s="693" t="str">
        <f>IF(ISERROR(Q524/Q527),"",Q524/Q527)</f>
        <v/>
      </c>
      <c r="T524" s="694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92" t="s">
        <v>234</v>
      </c>
      <c r="B525" s="654"/>
      <c r="C525" s="653">
        <f>SUM(G147,G317,G487)</f>
        <v>0</v>
      </c>
      <c r="D525" s="654"/>
      <c r="E525" s="693">
        <f>IF(ISERROR(C525/C527),"",C525/C527)</f>
        <v>0</v>
      </c>
      <c r="F525" s="694"/>
      <c r="G525" s="688"/>
      <c r="H525" s="689"/>
      <c r="I525" s="695" t="s">
        <v>306</v>
      </c>
      <c r="J525" s="696"/>
      <c r="K525" s="650">
        <f t="shared" si="238"/>
        <v>0</v>
      </c>
      <c r="L525" s="651"/>
      <c r="M525" s="693" t="str">
        <f>IF(ISERROR(K525/K527),"",K525/K527)</f>
        <v/>
      </c>
      <c r="N525" s="694"/>
      <c r="O525" s="643" t="s">
        <v>267</v>
      </c>
      <c r="P525" s="643"/>
      <c r="Q525" s="680">
        <f t="shared" si="239"/>
        <v>0</v>
      </c>
      <c r="R525" s="681"/>
      <c r="S525" s="693" t="str">
        <f>IF(ISERROR(Q525/Q527),"",Q525/Q527)</f>
        <v/>
      </c>
      <c r="T525" s="694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92" t="s">
        <v>244</v>
      </c>
      <c r="B526" s="654"/>
      <c r="C526" s="653">
        <f>SUM(G162,G332,G503)</f>
        <v>0</v>
      </c>
      <c r="D526" s="654"/>
      <c r="E526" s="693">
        <f>IF(ISERROR(C526/C527),"",C526/C527)</f>
        <v>0</v>
      </c>
      <c r="F526" s="694"/>
      <c r="G526" s="688"/>
      <c r="H526" s="689"/>
      <c r="I526" s="695" t="s">
        <v>307</v>
      </c>
      <c r="J526" s="696"/>
      <c r="K526" s="650">
        <f t="shared" si="238"/>
        <v>0</v>
      </c>
      <c r="L526" s="651"/>
      <c r="M526" s="693" t="str">
        <f>IF(ISERROR(K526/K527),"",K526/K527)</f>
        <v/>
      </c>
      <c r="N526" s="694"/>
      <c r="O526" s="643" t="s">
        <v>272</v>
      </c>
      <c r="P526" s="643"/>
      <c r="Q526" s="680">
        <f t="shared" si="239"/>
        <v>0</v>
      </c>
      <c r="R526" s="681"/>
      <c r="S526" s="693" t="str">
        <f>IF(ISERROR(Q526/Q527),"",Q526/Q527)</f>
        <v/>
      </c>
      <c r="T526" s="694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53" t="s">
        <v>266</v>
      </c>
      <c r="B527" s="654"/>
      <c r="C527" s="653">
        <f>SUM(C521:C526)</f>
        <v>5131</v>
      </c>
      <c r="D527" s="654"/>
      <c r="E527" s="693">
        <f>SUM(E521:F526)</f>
        <v>1</v>
      </c>
      <c r="F527" s="694"/>
      <c r="G527" s="690"/>
      <c r="H527" s="691"/>
      <c r="I527" s="653" t="s">
        <v>266</v>
      </c>
      <c r="J527" s="651"/>
      <c r="K527" s="650">
        <f>SUM(R172,U342,U513)</f>
        <v>0</v>
      </c>
      <c r="L527" s="651"/>
      <c r="M527" s="693"/>
      <c r="N527" s="694"/>
      <c r="O527" s="643" t="s">
        <v>266</v>
      </c>
      <c r="P527" s="643"/>
      <c r="Q527" s="680">
        <f>SUM(Q521:R526)</f>
        <v>0</v>
      </c>
      <c r="R527" s="681"/>
      <c r="S527" s="693">
        <f>SUM(S521:T526)</f>
        <v>0</v>
      </c>
      <c r="T527" s="694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695" t="s">
        <v>308</v>
      </c>
      <c r="B529" s="649"/>
      <c r="C529" s="397" t="s">
        <v>309</v>
      </c>
      <c r="D529" s="397" t="s">
        <v>310</v>
      </c>
      <c r="E529" s="397" t="s">
        <v>311</v>
      </c>
      <c r="F529" s="397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399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407" t="s">
        <v>322</v>
      </c>
      <c r="Q529" s="129" t="s">
        <v>323</v>
      </c>
      <c r="R529" s="109" t="s">
        <v>324</v>
      </c>
      <c r="S529" s="397" t="s">
        <v>325</v>
      </c>
      <c r="T529" s="397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697" t="s">
        <v>327</v>
      </c>
      <c r="B530" s="698"/>
      <c r="C530" s="106">
        <f>D530+E530+F530-G530-O530-P530</f>
        <v>31</v>
      </c>
      <c r="D530" s="106">
        <v>31</v>
      </c>
      <c r="E530" s="106"/>
      <c r="F530" s="106"/>
      <c r="G530" s="107"/>
      <c r="H530" s="106"/>
      <c r="I530" s="106"/>
      <c r="J530" s="106">
        <f>C530-H530-I530</f>
        <v>31</v>
      </c>
      <c r="K530" s="106"/>
      <c r="L530" s="106"/>
      <c r="M530" s="106"/>
      <c r="N530" s="106"/>
      <c r="O530" s="106"/>
      <c r="P530" s="108"/>
      <c r="Q530" s="106">
        <f>J530-K530-L530</f>
        <v>31</v>
      </c>
      <c r="R530" s="109">
        <f>Q530*11-M530-N530</f>
        <v>341</v>
      </c>
      <c r="S530" s="402">
        <f t="array" ref="S530">IF(ISERROR(Q530/J530),"",Q530/J530)</f>
        <v>1</v>
      </c>
      <c r="T530" s="402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697" t="s">
        <v>328</v>
      </c>
      <c r="B531" s="698"/>
      <c r="C531" s="106">
        <f>D531+E531+F531-G531-O531-P531</f>
        <v>30</v>
      </c>
      <c r="D531" s="110">
        <v>30</v>
      </c>
      <c r="E531" s="110"/>
      <c r="F531" s="110"/>
      <c r="G531" s="107"/>
      <c r="H531" s="106">
        <v>1</v>
      </c>
      <c r="I531" s="106"/>
      <c r="J531" s="106">
        <f>C531-H531-I531</f>
        <v>29</v>
      </c>
      <c r="K531" s="106"/>
      <c r="L531" s="106"/>
      <c r="M531" s="106"/>
      <c r="N531" s="106"/>
      <c r="O531" s="110"/>
      <c r="P531" s="111"/>
      <c r="Q531" s="106">
        <f>J531-K531-L531</f>
        <v>29</v>
      </c>
      <c r="R531" s="109">
        <f>Q531*11-M531-N531</f>
        <v>319</v>
      </c>
      <c r="S531" s="402">
        <f t="array" ref="S531">IF(ISERROR(Q531/J531),"",Q531/J531)</f>
        <v>1</v>
      </c>
      <c r="T531" s="402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697" t="s">
        <v>329</v>
      </c>
      <c r="B532" s="698"/>
      <c r="C532" s="106">
        <f>D532+E532+F532-G532-O532-P532</f>
        <v>10</v>
      </c>
      <c r="D532" s="110">
        <v>10</v>
      </c>
      <c r="E532" s="110"/>
      <c r="F532" s="110"/>
      <c r="G532" s="107"/>
      <c r="H532" s="106">
        <v>1</v>
      </c>
      <c r="I532" s="106"/>
      <c r="J532" s="106">
        <f>C532-H532-I532</f>
        <v>9</v>
      </c>
      <c r="K532" s="106"/>
      <c r="L532" s="106"/>
      <c r="M532" s="106"/>
      <c r="N532" s="106"/>
      <c r="O532" s="110"/>
      <c r="P532" s="111"/>
      <c r="Q532" s="106">
        <f>J532-K532-L532</f>
        <v>9</v>
      </c>
      <c r="R532" s="109">
        <f>Q532*11-M532-N532</f>
        <v>99</v>
      </c>
      <c r="S532" s="402">
        <f t="array" ref="S532">IF(ISERROR(Q532/J532),"",Q532/J532)</f>
        <v>1</v>
      </c>
      <c r="T532" s="402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699" t="s">
        <v>330</v>
      </c>
      <c r="B533" s="700"/>
      <c r="C533" s="112">
        <f>SUM(C530:C532)</f>
        <v>71</v>
      </c>
      <c r="D533" s="112">
        <f t="shared" ref="D533:N533" si="240">SUM(D530:D532)</f>
        <v>71</v>
      </c>
      <c r="E533" s="112">
        <f t="shared" si="240"/>
        <v>0</v>
      </c>
      <c r="F533" s="112">
        <f t="shared" si="240"/>
        <v>0</v>
      </c>
      <c r="G533" s="113">
        <f t="shared" si="240"/>
        <v>0</v>
      </c>
      <c r="H533" s="112">
        <f t="shared" si="240"/>
        <v>2</v>
      </c>
      <c r="I533" s="112">
        <f t="shared" si="240"/>
        <v>0</v>
      </c>
      <c r="J533" s="112">
        <f t="shared" si="240"/>
        <v>69</v>
      </c>
      <c r="K533" s="112">
        <f t="shared" si="240"/>
        <v>0</v>
      </c>
      <c r="L533" s="112">
        <f t="shared" si="240"/>
        <v>0</v>
      </c>
      <c r="M533" s="112">
        <f t="shared" si="240"/>
        <v>0</v>
      </c>
      <c r="N533" s="112">
        <f t="shared" si="240"/>
        <v>0</v>
      </c>
      <c r="O533" s="112">
        <f>SUM(O530:O532)</f>
        <v>0</v>
      </c>
      <c r="P533" s="112">
        <f>SUM(P530:P532)</f>
        <v>0</v>
      </c>
      <c r="Q533" s="112">
        <f>SUM(Q530:Q532)</f>
        <v>69</v>
      </c>
      <c r="R533" s="114">
        <f>SUM(R530:R532)</f>
        <v>759</v>
      </c>
      <c r="S533" s="115">
        <f t="array" ref="S533">IF(ISERROR(Q533/J533),"",Q533/J533)</f>
        <v>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173" activePane="bottomRight" state="frozen"/>
      <selection activeCell="F484" sqref="F484"/>
      <selection pane="topRight" activeCell="F484" sqref="F484"/>
      <selection pane="bottomLeft" activeCell="F484" sqref="F484"/>
      <selection pane="bottomRight" activeCell="F484" sqref="F48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07" t="s">
        <v>413</v>
      </c>
      <c r="B1" s="607"/>
      <c r="C1" s="607"/>
      <c r="D1" s="607"/>
      <c r="E1" s="607"/>
      <c r="F1" s="607"/>
      <c r="G1" s="607"/>
      <c r="H1" s="607"/>
      <c r="I1" s="607"/>
      <c r="J1" s="607"/>
      <c r="K1" s="607"/>
      <c r="L1" s="607"/>
      <c r="M1" s="607"/>
      <c r="N1" s="607"/>
      <c r="O1" s="607"/>
      <c r="P1" s="607"/>
      <c r="Q1" s="607"/>
      <c r="R1" s="607"/>
      <c r="S1" s="607"/>
      <c r="T1" s="607"/>
      <c r="U1" s="607"/>
      <c r="V1" s="607"/>
      <c r="W1" s="607"/>
      <c r="X1" s="607"/>
      <c r="Y1" s="607"/>
      <c r="Z1" s="607"/>
      <c r="AA1" s="607"/>
    </row>
    <row r="2" spans="1:27" ht="18.75">
      <c r="A2" s="608"/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09" t="s">
        <v>12</v>
      </c>
      <c r="B4" s="609" t="s">
        <v>25</v>
      </c>
      <c r="C4" s="609" t="s">
        <v>26</v>
      </c>
      <c r="D4" s="609" t="s">
        <v>27</v>
      </c>
      <c r="E4" s="612" t="s">
        <v>28</v>
      </c>
      <c r="F4" s="615" t="s">
        <v>29</v>
      </c>
      <c r="G4" s="618" t="s">
        <v>30</v>
      </c>
      <c r="H4" s="618"/>
      <c r="I4" s="609" t="s">
        <v>31</v>
      </c>
      <c r="J4" s="621" t="s">
        <v>32</v>
      </c>
      <c r="K4" s="624" t="s">
        <v>33</v>
      </c>
      <c r="L4" s="609" t="s">
        <v>34</v>
      </c>
      <c r="M4" s="627" t="s">
        <v>35</v>
      </c>
      <c r="N4" s="629" t="s">
        <v>36</v>
      </c>
      <c r="O4" s="618" t="s">
        <v>37</v>
      </c>
      <c r="P4" s="618"/>
      <c r="Q4" s="618"/>
      <c r="R4" s="618"/>
      <c r="S4" s="618"/>
      <c r="T4" s="618"/>
      <c r="U4" s="618"/>
      <c r="V4" s="618" t="s">
        <v>38</v>
      </c>
      <c r="W4" s="629" t="s">
        <v>39</v>
      </c>
      <c r="X4" s="618" t="s">
        <v>40</v>
      </c>
      <c r="Y4" s="618"/>
      <c r="Z4" s="618"/>
      <c r="AA4" s="618"/>
    </row>
    <row r="5" spans="1:27" s="104" customFormat="1" ht="15" customHeight="1">
      <c r="A5" s="610"/>
      <c r="B5" s="610"/>
      <c r="C5" s="610"/>
      <c r="D5" s="610"/>
      <c r="E5" s="613"/>
      <c r="F5" s="616"/>
      <c r="G5" s="618"/>
      <c r="H5" s="618"/>
      <c r="I5" s="610"/>
      <c r="J5" s="622"/>
      <c r="K5" s="625"/>
      <c r="L5" s="610"/>
      <c r="M5" s="628"/>
      <c r="N5" s="629"/>
      <c r="O5" s="618" t="s">
        <v>41</v>
      </c>
      <c r="P5" s="618" t="s">
        <v>42</v>
      </c>
      <c r="Q5" s="618" t="s">
        <v>43</v>
      </c>
      <c r="R5" s="619" t="s">
        <v>44</v>
      </c>
      <c r="S5" s="620" t="s">
        <v>45</v>
      </c>
      <c r="T5" s="618" t="s">
        <v>46</v>
      </c>
      <c r="U5" s="618" t="s">
        <v>47</v>
      </c>
      <c r="V5" s="618"/>
      <c r="W5" s="629"/>
      <c r="X5" s="618" t="s">
        <v>13</v>
      </c>
      <c r="Y5" s="618" t="s">
        <v>48</v>
      </c>
      <c r="Z5" s="618" t="s">
        <v>49</v>
      </c>
      <c r="AA5" s="618" t="s">
        <v>47</v>
      </c>
    </row>
    <row r="6" spans="1:27" s="104" customFormat="1" ht="27.75" customHeight="1">
      <c r="A6" s="611"/>
      <c r="B6" s="611"/>
      <c r="C6" s="611"/>
      <c r="D6" s="611"/>
      <c r="E6" s="614"/>
      <c r="F6" s="617"/>
      <c r="G6" s="350" t="s">
        <v>50</v>
      </c>
      <c r="H6" s="408" t="s">
        <v>51</v>
      </c>
      <c r="I6" s="611"/>
      <c r="J6" s="623"/>
      <c r="K6" s="626"/>
      <c r="L6" s="611"/>
      <c r="M6" s="628"/>
      <c r="N6" s="629"/>
      <c r="O6" s="618"/>
      <c r="P6" s="618"/>
      <c r="Q6" s="618"/>
      <c r="R6" s="619"/>
      <c r="S6" s="620"/>
      <c r="T6" s="618"/>
      <c r="U6" s="618"/>
      <c r="V6" s="618"/>
      <c r="W6" s="629"/>
      <c r="X6" s="618"/>
      <c r="Y6" s="618"/>
      <c r="Z6" s="618"/>
      <c r="AA6" s="618"/>
    </row>
    <row r="7" spans="1:27" ht="20.100000000000001" hidden="1" customHeight="1">
      <c r="A7" s="299">
        <v>30100030</v>
      </c>
      <c r="B7" s="411" t="s">
        <v>178</v>
      </c>
      <c r="C7" s="126" t="s">
        <v>179</v>
      </c>
      <c r="D7" s="108">
        <v>5.03</v>
      </c>
      <c r="E7" s="108"/>
      <c r="F7" s="127"/>
      <c r="G7" s="128"/>
      <c r="H7" s="419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10"/>
      <c r="P7" s="410"/>
      <c r="Q7" s="410"/>
      <c r="R7" s="410"/>
      <c r="S7" s="410"/>
      <c r="T7" s="410"/>
      <c r="U7" s="410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19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10"/>
      <c r="Q8" s="410"/>
      <c r="R8" s="410"/>
      <c r="S8" s="410"/>
      <c r="T8" s="410"/>
      <c r="U8" s="410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19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10"/>
      <c r="P9" s="410"/>
      <c r="Q9" s="410"/>
      <c r="R9" s="410"/>
      <c r="S9" s="410"/>
      <c r="T9" s="410"/>
      <c r="U9" s="410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>
        <v>42709</v>
      </c>
      <c r="G10" s="128">
        <f>35+108*6+27+78</f>
        <v>788</v>
      </c>
      <c r="H10" s="419">
        <f t="shared" si="0"/>
        <v>3963.6400000000003</v>
      </c>
      <c r="I10" s="129">
        <f>4*11</f>
        <v>44</v>
      </c>
      <c r="J10" s="130">
        <f t="array" ref="J10">IF(ISERROR(G10/I10),"",G10/I10)</f>
        <v>17.90909090909091</v>
      </c>
      <c r="K10" s="131">
        <f t="array" ref="K10">IF(ISERROR(G10/L10),"",G10/L10)</f>
        <v>41.473684210526315</v>
      </c>
      <c r="L10" s="129">
        <v>19</v>
      </c>
      <c r="M10" s="109">
        <f t="shared" si="1"/>
        <v>2.526315789473685</v>
      </c>
      <c r="N10" s="130">
        <f t="shared" si="4"/>
        <v>0</v>
      </c>
      <c r="O10" s="410"/>
      <c r="P10" s="410"/>
      <c r="Q10" s="410"/>
      <c r="R10" s="410"/>
      <c r="S10" s="410"/>
      <c r="T10" s="410"/>
      <c r="U10" s="410"/>
      <c r="V10" s="132">
        <f t="shared" si="2"/>
        <v>0</v>
      </c>
      <c r="W10" s="133">
        <f t="shared" si="3"/>
        <v>0</v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19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10"/>
      <c r="P11" s="410"/>
      <c r="Q11" s="410"/>
      <c r="R11" s="410"/>
      <c r="S11" s="410"/>
      <c r="T11" s="410"/>
      <c r="U11" s="410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19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10"/>
      <c r="P12" s="410"/>
      <c r="Q12" s="410"/>
      <c r="R12" s="410"/>
      <c r="S12" s="410"/>
      <c r="T12" s="410"/>
      <c r="U12" s="410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19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10"/>
      <c r="P13" s="410"/>
      <c r="Q13" s="410"/>
      <c r="R13" s="410"/>
      <c r="S13" s="410"/>
      <c r="T13" s="410"/>
      <c r="U13" s="410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19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10"/>
      <c r="P14" s="410"/>
      <c r="Q14" s="410"/>
      <c r="R14" s="410"/>
      <c r="S14" s="410"/>
      <c r="T14" s="410"/>
      <c r="U14" s="410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19">
        <f t="shared" si="0"/>
        <v>0</v>
      </c>
      <c r="I15" s="419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10"/>
      <c r="P15" s="410"/>
      <c r="Q15" s="410"/>
      <c r="R15" s="410"/>
      <c r="S15" s="410"/>
      <c r="T15" s="410"/>
      <c r="U15" s="410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19">
        <f t="shared" si="0"/>
        <v>0</v>
      </c>
      <c r="I16" s="419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10"/>
      <c r="P16" s="410"/>
      <c r="Q16" s="410"/>
      <c r="R16" s="410"/>
      <c r="S16" s="410"/>
      <c r="T16" s="410"/>
      <c r="U16" s="410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19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10"/>
      <c r="P17" s="410"/>
      <c r="Q17" s="410"/>
      <c r="R17" s="410"/>
      <c r="S17" s="410"/>
      <c r="T17" s="410"/>
      <c r="U17" s="410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19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10"/>
      <c r="P18" s="410"/>
      <c r="Q18" s="410"/>
      <c r="R18" s="410"/>
      <c r="S18" s="410"/>
      <c r="T18" s="410"/>
      <c r="U18" s="410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19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10"/>
      <c r="P19" s="410"/>
      <c r="Q19" s="410"/>
      <c r="R19" s="410"/>
      <c r="S19" s="410"/>
      <c r="T19" s="410"/>
      <c r="U19" s="410"/>
      <c r="V19" s="132">
        <f t="shared" ref="V19:V21" si="5">SUM(X19:AA19)</f>
        <v>0</v>
      </c>
      <c r="W19" s="413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19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10"/>
      <c r="P20" s="410"/>
      <c r="Q20" s="410"/>
      <c r="R20" s="410"/>
      <c r="S20" s="410"/>
      <c r="T20" s="410"/>
      <c r="U20" s="410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19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10"/>
      <c r="P21" s="410"/>
      <c r="Q21" s="410"/>
      <c r="R21" s="410"/>
      <c r="S21" s="410"/>
      <c r="T21" s="410"/>
      <c r="U21" s="410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09" t="s">
        <v>190</v>
      </c>
      <c r="D22" s="108">
        <v>4.8</v>
      </c>
      <c r="E22" s="108"/>
      <c r="F22" s="127"/>
      <c r="G22" s="128"/>
      <c r="H22" s="419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10"/>
      <c r="P22" s="410"/>
      <c r="Q22" s="410"/>
      <c r="R22" s="410"/>
      <c r="S22" s="410"/>
      <c r="T22" s="410"/>
      <c r="U22" s="410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09" t="s">
        <v>187</v>
      </c>
      <c r="D23" s="108">
        <v>4.8</v>
      </c>
      <c r="E23" s="108"/>
      <c r="F23" s="127"/>
      <c r="G23" s="128"/>
      <c r="H23" s="419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10"/>
      <c r="P23" s="410"/>
      <c r="Q23" s="410"/>
      <c r="R23" s="410"/>
      <c r="S23" s="410"/>
      <c r="T23" s="410"/>
      <c r="U23" s="410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09" t="s">
        <v>179</v>
      </c>
      <c r="D24" s="108">
        <v>4.8</v>
      </c>
      <c r="E24" s="108"/>
      <c r="F24" s="127"/>
      <c r="G24" s="128"/>
      <c r="H24" s="419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10"/>
      <c r="P24" s="410"/>
      <c r="Q24" s="410"/>
      <c r="R24" s="410"/>
      <c r="S24" s="410"/>
      <c r="T24" s="410"/>
      <c r="U24" s="410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09" t="s">
        <v>199</v>
      </c>
      <c r="D25" s="108">
        <v>4.8</v>
      </c>
      <c r="E25" s="108"/>
      <c r="F25" s="127"/>
      <c r="G25" s="128"/>
      <c r="H25" s="419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10"/>
      <c r="P25" s="410"/>
      <c r="Q25" s="410"/>
      <c r="R25" s="410"/>
      <c r="S25" s="410"/>
      <c r="T25" s="410"/>
      <c r="U25" s="410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19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10"/>
      <c r="P26" s="410"/>
      <c r="Q26" s="410"/>
      <c r="R26" s="410"/>
      <c r="S26" s="410"/>
      <c r="T26" s="410"/>
      <c r="U26" s="410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19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10"/>
      <c r="P27" s="410"/>
      <c r="Q27" s="410"/>
      <c r="R27" s="410"/>
      <c r="S27" s="410"/>
      <c r="T27" s="410"/>
      <c r="U27" s="410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30" t="s">
        <v>201</v>
      </c>
      <c r="B28" s="631"/>
      <c r="C28" s="417" t="s">
        <v>202</v>
      </c>
      <c r="D28" s="143"/>
      <c r="E28" s="143"/>
      <c r="F28" s="144"/>
      <c r="G28" s="145">
        <f>SUM(G7:G27)</f>
        <v>788</v>
      </c>
      <c r="H28" s="146">
        <f>SUM(H7:H27)</f>
        <v>3963.6400000000003</v>
      </c>
      <c r="I28" s="146">
        <f>SUM(I7:I27)</f>
        <v>44</v>
      </c>
      <c r="J28" s="130">
        <f t="array" ref="J28">IF(ISERROR(G28/I28),"",G28/I28)</f>
        <v>17.90909090909091</v>
      </c>
      <c r="K28" s="146">
        <f>SUM(K7:K27)</f>
        <v>41.473684210526315</v>
      </c>
      <c r="L28" s="147"/>
      <c r="M28" s="146">
        <f t="shared" ref="M28:V28" si="10">SUM(M7:M27)</f>
        <v>2.526315789473685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11" t="s">
        <v>206</v>
      </c>
      <c r="C29" s="126" t="s">
        <v>199</v>
      </c>
      <c r="D29" s="108">
        <v>5.03</v>
      </c>
      <c r="E29" s="108"/>
      <c r="F29" s="127"/>
      <c r="G29" s="128"/>
      <c r="H29" s="419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14"/>
      <c r="P29" s="414"/>
      <c r="Q29" s="414"/>
      <c r="R29" s="414"/>
      <c r="S29" s="414"/>
      <c r="T29" s="414"/>
      <c r="U29" s="414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11" t="s">
        <v>425</v>
      </c>
      <c r="C30" s="187" t="s">
        <v>427</v>
      </c>
      <c r="D30" s="108">
        <v>5.03</v>
      </c>
      <c r="E30" s="108"/>
      <c r="F30" s="127"/>
      <c r="G30" s="128"/>
      <c r="H30" s="419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14"/>
      <c r="P30" s="414"/>
      <c r="Q30" s="414"/>
      <c r="R30" s="414"/>
      <c r="S30" s="414"/>
      <c r="T30" s="414"/>
      <c r="U30" s="414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11" t="s">
        <v>206</v>
      </c>
      <c r="C31" s="126" t="s">
        <v>186</v>
      </c>
      <c r="D31" s="108">
        <v>5.03</v>
      </c>
      <c r="E31" s="108"/>
      <c r="F31" s="127"/>
      <c r="G31" s="128"/>
      <c r="H31" s="419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14"/>
      <c r="P31" s="414"/>
      <c r="Q31" s="414"/>
      <c r="R31" s="414"/>
      <c r="S31" s="414"/>
      <c r="T31" s="414"/>
      <c r="U31" s="414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11" t="s">
        <v>206</v>
      </c>
      <c r="C32" s="126" t="s">
        <v>203</v>
      </c>
      <c r="D32" s="108">
        <v>5.03</v>
      </c>
      <c r="E32" s="108"/>
      <c r="F32" s="127"/>
      <c r="G32" s="128"/>
      <c r="H32" s="419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14"/>
      <c r="P32" s="414"/>
      <c r="Q32" s="414"/>
      <c r="R32" s="414"/>
      <c r="S32" s="414"/>
      <c r="T32" s="414"/>
      <c r="U32" s="414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11" t="s">
        <v>206</v>
      </c>
      <c r="C33" s="126" t="s">
        <v>207</v>
      </c>
      <c r="D33" s="108">
        <v>5.03</v>
      </c>
      <c r="E33" s="108"/>
      <c r="F33" s="127"/>
      <c r="G33" s="128"/>
      <c r="H33" s="419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14"/>
      <c r="P33" s="414"/>
      <c r="Q33" s="414"/>
      <c r="R33" s="414"/>
      <c r="S33" s="414"/>
      <c r="T33" s="414"/>
      <c r="U33" s="414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11" t="s">
        <v>414</v>
      </c>
      <c r="C34" s="187" t="s">
        <v>415</v>
      </c>
      <c r="D34" s="108">
        <v>5.03</v>
      </c>
      <c r="E34" s="108"/>
      <c r="F34" s="127"/>
      <c r="G34" s="128"/>
      <c r="H34" s="419">
        <f t="shared" si="11"/>
        <v>0</v>
      </c>
      <c r="I34" s="129"/>
      <c r="J34" s="130"/>
      <c r="K34" s="131"/>
      <c r="L34" s="129">
        <v>52</v>
      </c>
      <c r="M34" s="109"/>
      <c r="N34" s="130"/>
      <c r="O34" s="414"/>
      <c r="P34" s="414"/>
      <c r="Q34" s="414"/>
      <c r="R34" s="414"/>
      <c r="S34" s="414"/>
      <c r="T34" s="414"/>
      <c r="U34" s="414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11" t="s">
        <v>414</v>
      </c>
      <c r="C35" s="187" t="s">
        <v>416</v>
      </c>
      <c r="D35" s="108">
        <v>5.03</v>
      </c>
      <c r="E35" s="108"/>
      <c r="F35" s="127"/>
      <c r="G35" s="128"/>
      <c r="H35" s="419">
        <f t="shared" si="11"/>
        <v>0</v>
      </c>
      <c r="I35" s="129"/>
      <c r="J35" s="130"/>
      <c r="K35" s="131"/>
      <c r="L35" s="129">
        <v>52</v>
      </c>
      <c r="M35" s="109"/>
      <c r="N35" s="130"/>
      <c r="O35" s="414"/>
      <c r="P35" s="414"/>
      <c r="Q35" s="414"/>
      <c r="R35" s="414"/>
      <c r="S35" s="414"/>
      <c r="T35" s="414"/>
      <c r="U35" s="414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11" t="s">
        <v>414</v>
      </c>
      <c r="C36" s="187" t="s">
        <v>61</v>
      </c>
      <c r="D36" s="108">
        <v>5.03</v>
      </c>
      <c r="E36" s="108"/>
      <c r="F36" s="127"/>
      <c r="G36" s="128"/>
      <c r="H36" s="419">
        <f t="shared" si="11"/>
        <v>0</v>
      </c>
      <c r="I36" s="129"/>
      <c r="J36" s="130"/>
      <c r="K36" s="131"/>
      <c r="L36" s="129">
        <v>52</v>
      </c>
      <c r="M36" s="109"/>
      <c r="N36" s="130"/>
      <c r="O36" s="414"/>
      <c r="P36" s="414"/>
      <c r="Q36" s="414"/>
      <c r="R36" s="414"/>
      <c r="S36" s="414"/>
      <c r="T36" s="414"/>
      <c r="U36" s="414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11" t="s">
        <v>208</v>
      </c>
      <c r="C37" s="126" t="s">
        <v>179</v>
      </c>
      <c r="D37" s="108">
        <v>5.08</v>
      </c>
      <c r="E37" s="108"/>
      <c r="F37" s="127"/>
      <c r="G37" s="128"/>
      <c r="H37" s="419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14"/>
      <c r="P37" s="414"/>
      <c r="Q37" s="414"/>
      <c r="R37" s="414"/>
      <c r="S37" s="414"/>
      <c r="T37" s="414"/>
      <c r="U37" s="414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11" t="s">
        <v>208</v>
      </c>
      <c r="C38" s="126" t="s">
        <v>204</v>
      </c>
      <c r="D38" s="108">
        <v>5.08</v>
      </c>
      <c r="E38" s="108"/>
      <c r="F38" s="127"/>
      <c r="G38" s="128"/>
      <c r="H38" s="419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14"/>
      <c r="P38" s="414"/>
      <c r="Q38" s="414"/>
      <c r="R38" s="414"/>
      <c r="S38" s="414"/>
      <c r="T38" s="414"/>
      <c r="U38" s="414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11" t="s">
        <v>208</v>
      </c>
      <c r="C39" s="126" t="s">
        <v>205</v>
      </c>
      <c r="D39" s="108">
        <v>5.08</v>
      </c>
      <c r="E39" s="108"/>
      <c r="F39" s="127"/>
      <c r="G39" s="128"/>
      <c r="H39" s="419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14"/>
      <c r="P39" s="414"/>
      <c r="Q39" s="414"/>
      <c r="R39" s="414"/>
      <c r="S39" s="414"/>
      <c r="T39" s="414"/>
      <c r="U39" s="414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customHeight="1">
      <c r="A40" s="300">
        <v>30100022</v>
      </c>
      <c r="B40" s="411" t="s">
        <v>208</v>
      </c>
      <c r="C40" s="126" t="s">
        <v>186</v>
      </c>
      <c r="D40" s="108">
        <v>5.08</v>
      </c>
      <c r="E40" s="108"/>
      <c r="F40" s="127">
        <v>42710</v>
      </c>
      <c r="G40" s="128">
        <f>1+113+108</f>
        <v>222</v>
      </c>
      <c r="H40" s="419">
        <f t="shared" si="11"/>
        <v>1127.76</v>
      </c>
      <c r="I40" s="129">
        <f>2.5*4</f>
        <v>10</v>
      </c>
      <c r="J40" s="130">
        <f t="array" ref="J40">IF(ISERROR(G40/I40),"",G40/I40)</f>
        <v>22.2</v>
      </c>
      <c r="K40" s="131">
        <f t="array" ref="K40">IF(ISERROR(G40/L40),"",G40/L40)</f>
        <v>10.571428571428571</v>
      </c>
      <c r="L40" s="129">
        <v>21</v>
      </c>
      <c r="M40" s="109">
        <f t="shared" si="19"/>
        <v>-0.57142857142857117</v>
      </c>
      <c r="N40" s="130">
        <f t="shared" si="20"/>
        <v>0</v>
      </c>
      <c r="O40" s="414"/>
      <c r="P40" s="414"/>
      <c r="Q40" s="414"/>
      <c r="R40" s="414"/>
      <c r="S40" s="414"/>
      <c r="T40" s="414"/>
      <c r="U40" s="414"/>
      <c r="V40" s="132">
        <f t="shared" si="21"/>
        <v>0</v>
      </c>
      <c r="W40" s="133">
        <f t="shared" si="22"/>
        <v>0</v>
      </c>
      <c r="X40" s="132"/>
      <c r="Y40" s="132"/>
      <c r="Z40" s="132"/>
      <c r="AA40" s="132"/>
    </row>
    <row r="41" spans="1:27" ht="20.100000000000001" customHeight="1">
      <c r="A41" s="300">
        <v>30100029</v>
      </c>
      <c r="B41" s="411" t="s">
        <v>208</v>
      </c>
      <c r="C41" s="126" t="s">
        <v>203</v>
      </c>
      <c r="D41" s="108">
        <v>5.08</v>
      </c>
      <c r="E41" s="108"/>
      <c r="F41" s="127">
        <v>42710</v>
      </c>
      <c r="G41" s="128">
        <f>108*3+17</f>
        <v>341</v>
      </c>
      <c r="H41" s="419">
        <f t="shared" si="11"/>
        <v>1732.28</v>
      </c>
      <c r="I41" s="129">
        <f>3.5*4</f>
        <v>14</v>
      </c>
      <c r="J41" s="130">
        <f t="array" ref="J41">IF(ISERROR(G41/I41),"",G41/I41)</f>
        <v>24.357142857142858</v>
      </c>
      <c r="K41" s="131">
        <f t="array" ref="K41">IF(ISERROR(G41/L41),"",G41/L41)</f>
        <v>16.238095238095237</v>
      </c>
      <c r="L41" s="129">
        <v>21</v>
      </c>
      <c r="M41" s="109">
        <f t="shared" si="19"/>
        <v>-2.2380952380952372</v>
      </c>
      <c r="N41" s="130">
        <f t="shared" si="20"/>
        <v>0</v>
      </c>
      <c r="O41" s="414"/>
      <c r="P41" s="414"/>
      <c r="Q41" s="414"/>
      <c r="R41" s="414"/>
      <c r="S41" s="414"/>
      <c r="T41" s="414"/>
      <c r="U41" s="414"/>
      <c r="V41" s="132">
        <f t="shared" si="21"/>
        <v>0</v>
      </c>
      <c r="W41" s="133">
        <f t="shared" si="22"/>
        <v>0</v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11" t="s">
        <v>208</v>
      </c>
      <c r="C42" s="126" t="s">
        <v>199</v>
      </c>
      <c r="D42" s="108">
        <v>5.08</v>
      </c>
      <c r="E42" s="108"/>
      <c r="F42" s="127"/>
      <c r="G42" s="128"/>
      <c r="H42" s="419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10"/>
      <c r="P42" s="410"/>
      <c r="Q42" s="410"/>
      <c r="R42" s="410"/>
      <c r="S42" s="410"/>
      <c r="T42" s="410"/>
      <c r="U42" s="410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11" t="s">
        <v>208</v>
      </c>
      <c r="C43" s="126" t="s">
        <v>187</v>
      </c>
      <c r="D43" s="108">
        <v>5.08</v>
      </c>
      <c r="E43" s="108"/>
      <c r="F43" s="127"/>
      <c r="G43" s="128"/>
      <c r="H43" s="419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14"/>
      <c r="P43" s="414"/>
      <c r="Q43" s="414"/>
      <c r="R43" s="414"/>
      <c r="S43" s="414"/>
      <c r="T43" s="414"/>
      <c r="U43" s="414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customHeight="1">
      <c r="A44" s="300">
        <v>30100028</v>
      </c>
      <c r="B44" s="411" t="s">
        <v>208</v>
      </c>
      <c r="C44" s="126" t="s">
        <v>207</v>
      </c>
      <c r="D44" s="108">
        <v>5.08</v>
      </c>
      <c r="E44" s="108"/>
      <c r="F44" s="127">
        <v>42710</v>
      </c>
      <c r="G44" s="128">
        <f>30+48</f>
        <v>78</v>
      </c>
      <c r="H44" s="419">
        <f t="shared" si="11"/>
        <v>396.24</v>
      </c>
      <c r="I44" s="129">
        <f>1*4</f>
        <v>4</v>
      </c>
      <c r="J44" s="130">
        <f t="array" ref="J44">IF(ISERROR(G44/I44),"",G44/I44)</f>
        <v>19.5</v>
      </c>
      <c r="K44" s="131">
        <f t="array" ref="K44">IF(ISERROR(G44/L44),"",G44/L44)</f>
        <v>3.7142857142857144</v>
      </c>
      <c r="L44" s="129">
        <v>21</v>
      </c>
      <c r="M44" s="109">
        <f t="shared" si="19"/>
        <v>0.28571428571428559</v>
      </c>
      <c r="N44" s="130">
        <f t="shared" si="20"/>
        <v>0</v>
      </c>
      <c r="O44" s="410"/>
      <c r="P44" s="410"/>
      <c r="Q44" s="410"/>
      <c r="R44" s="410"/>
      <c r="S44" s="410"/>
      <c r="T44" s="410"/>
      <c r="U44" s="410"/>
      <c r="V44" s="132">
        <f t="shared" si="21"/>
        <v>0</v>
      </c>
      <c r="W44" s="133">
        <f t="shared" si="22"/>
        <v>0</v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11" t="s">
        <v>209</v>
      </c>
      <c r="C45" s="126" t="s">
        <v>194</v>
      </c>
      <c r="D45" s="108">
        <v>5.03</v>
      </c>
      <c r="E45" s="108"/>
      <c r="F45" s="127"/>
      <c r="G45" s="128"/>
      <c r="H45" s="419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14"/>
      <c r="P45" s="414"/>
      <c r="Q45" s="414"/>
      <c r="R45" s="414"/>
      <c r="S45" s="414"/>
      <c r="T45" s="414"/>
      <c r="U45" s="414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11" t="s">
        <v>209</v>
      </c>
      <c r="C46" s="126" t="s">
        <v>179</v>
      </c>
      <c r="D46" s="108">
        <v>5.03</v>
      </c>
      <c r="E46" s="108"/>
      <c r="F46" s="127"/>
      <c r="G46" s="128"/>
      <c r="H46" s="419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14"/>
      <c r="P46" s="414"/>
      <c r="Q46" s="414"/>
      <c r="R46" s="414"/>
      <c r="S46" s="414"/>
      <c r="T46" s="414"/>
      <c r="U46" s="414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11" t="s">
        <v>209</v>
      </c>
      <c r="C47" s="126" t="s">
        <v>195</v>
      </c>
      <c r="D47" s="108">
        <v>5.03</v>
      </c>
      <c r="E47" s="108"/>
      <c r="F47" s="127"/>
      <c r="G47" s="128"/>
      <c r="H47" s="419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14"/>
      <c r="P47" s="414"/>
      <c r="Q47" s="414"/>
      <c r="R47" s="414"/>
      <c r="S47" s="414"/>
      <c r="T47" s="414"/>
      <c r="U47" s="414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11" t="s">
        <v>209</v>
      </c>
      <c r="C48" s="126" t="s">
        <v>204</v>
      </c>
      <c r="D48" s="108">
        <v>5.03</v>
      </c>
      <c r="E48" s="108"/>
      <c r="F48" s="127"/>
      <c r="G48" s="128"/>
      <c r="H48" s="419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14"/>
      <c r="P48" s="414"/>
      <c r="Q48" s="414"/>
      <c r="R48" s="414"/>
      <c r="S48" s="414"/>
      <c r="T48" s="414"/>
      <c r="U48" s="414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11" t="s">
        <v>382</v>
      </c>
      <c r="C49" s="187" t="s">
        <v>383</v>
      </c>
      <c r="D49" s="108">
        <v>5.03</v>
      </c>
      <c r="E49" s="108"/>
      <c r="F49" s="127"/>
      <c r="G49" s="128"/>
      <c r="H49" s="419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14"/>
      <c r="P49" s="414"/>
      <c r="Q49" s="414"/>
      <c r="R49" s="414"/>
      <c r="S49" s="414"/>
      <c r="T49" s="414"/>
      <c r="U49" s="414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11" t="s">
        <v>382</v>
      </c>
      <c r="C50" s="187" t="s">
        <v>384</v>
      </c>
      <c r="D50" s="108">
        <v>5.03</v>
      </c>
      <c r="E50" s="108"/>
      <c r="F50" s="127"/>
      <c r="G50" s="128"/>
      <c r="H50" s="419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14"/>
      <c r="P50" s="414"/>
      <c r="Q50" s="414"/>
      <c r="R50" s="414"/>
      <c r="S50" s="414"/>
      <c r="T50" s="414"/>
      <c r="U50" s="414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11" t="s">
        <v>382</v>
      </c>
      <c r="C51" s="187" t="s">
        <v>389</v>
      </c>
      <c r="D51" s="108">
        <v>5.03</v>
      </c>
      <c r="E51" s="108"/>
      <c r="F51" s="127"/>
      <c r="G51" s="128"/>
      <c r="H51" s="419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14"/>
      <c r="P51" s="414"/>
      <c r="Q51" s="414"/>
      <c r="R51" s="414"/>
      <c r="S51" s="414"/>
      <c r="T51" s="414"/>
      <c r="U51" s="414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11" t="s">
        <v>382</v>
      </c>
      <c r="C52" s="187" t="s">
        <v>391</v>
      </c>
      <c r="D52" s="108">
        <v>5.03</v>
      </c>
      <c r="E52" s="108"/>
      <c r="F52" s="127"/>
      <c r="G52" s="128"/>
      <c r="H52" s="419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14"/>
      <c r="P52" s="414"/>
      <c r="Q52" s="414"/>
      <c r="R52" s="414"/>
      <c r="S52" s="414"/>
      <c r="T52" s="414"/>
      <c r="U52" s="414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11" t="s">
        <v>418</v>
      </c>
      <c r="C53" s="187" t="s">
        <v>364</v>
      </c>
      <c r="D53" s="108">
        <v>5.03</v>
      </c>
      <c r="E53" s="108"/>
      <c r="F53" s="127"/>
      <c r="G53" s="128"/>
      <c r="H53" s="419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14"/>
      <c r="P53" s="414"/>
      <c r="Q53" s="414"/>
      <c r="R53" s="414"/>
      <c r="S53" s="414"/>
      <c r="T53" s="414"/>
      <c r="U53" s="414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11" t="s">
        <v>418</v>
      </c>
      <c r="C54" s="187" t="s">
        <v>365</v>
      </c>
      <c r="D54" s="108">
        <v>5.03</v>
      </c>
      <c r="E54" s="108"/>
      <c r="F54" s="127"/>
      <c r="G54" s="128"/>
      <c r="H54" s="419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14"/>
      <c r="P54" s="414"/>
      <c r="Q54" s="414"/>
      <c r="R54" s="414"/>
      <c r="S54" s="414"/>
      <c r="T54" s="414"/>
      <c r="U54" s="414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11" t="s">
        <v>418</v>
      </c>
      <c r="C55" s="187" t="s">
        <v>366</v>
      </c>
      <c r="D55" s="108">
        <v>5.03</v>
      </c>
      <c r="E55" s="108"/>
      <c r="F55" s="127"/>
      <c r="G55" s="128"/>
      <c r="H55" s="419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14"/>
      <c r="P55" s="414"/>
      <c r="Q55" s="414"/>
      <c r="R55" s="414"/>
      <c r="S55" s="414"/>
      <c r="T55" s="414"/>
      <c r="U55" s="414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11" t="s">
        <v>418</v>
      </c>
      <c r="C56" s="187" t="s">
        <v>367</v>
      </c>
      <c r="D56" s="108">
        <v>5.03</v>
      </c>
      <c r="E56" s="108"/>
      <c r="F56" s="127"/>
      <c r="G56" s="128"/>
      <c r="H56" s="419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14"/>
      <c r="P56" s="414"/>
      <c r="Q56" s="414"/>
      <c r="R56" s="414"/>
      <c r="S56" s="414"/>
      <c r="T56" s="414"/>
      <c r="U56" s="414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19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10"/>
      <c r="P57" s="410"/>
      <c r="Q57" s="410"/>
      <c r="R57" s="410"/>
      <c r="S57" s="410"/>
      <c r="T57" s="410"/>
      <c r="U57" s="410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19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10"/>
      <c r="P58" s="410"/>
      <c r="Q58" s="410"/>
      <c r="R58" s="410"/>
      <c r="S58" s="410"/>
      <c r="T58" s="410"/>
      <c r="U58" s="410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19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10"/>
      <c r="P59" s="410"/>
      <c r="Q59" s="410"/>
      <c r="R59" s="410"/>
      <c r="S59" s="410"/>
      <c r="T59" s="410"/>
      <c r="U59" s="410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19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10"/>
      <c r="P60" s="410"/>
      <c r="Q60" s="410"/>
      <c r="R60" s="410"/>
      <c r="S60" s="410"/>
      <c r="T60" s="410"/>
      <c r="U60" s="410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19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10"/>
      <c r="P61" s="410"/>
      <c r="Q61" s="410"/>
      <c r="R61" s="410"/>
      <c r="S61" s="410"/>
      <c r="T61" s="410"/>
      <c r="U61" s="410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19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10"/>
      <c r="P62" s="410"/>
      <c r="Q62" s="410"/>
      <c r="R62" s="410"/>
      <c r="S62" s="410"/>
      <c r="T62" s="410"/>
      <c r="U62" s="410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19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10"/>
      <c r="P63" s="410"/>
      <c r="Q63" s="410"/>
      <c r="R63" s="410"/>
      <c r="S63" s="410"/>
      <c r="T63" s="410"/>
      <c r="U63" s="410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19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10"/>
      <c r="P64" s="410"/>
      <c r="Q64" s="410"/>
      <c r="R64" s="410"/>
      <c r="S64" s="410"/>
      <c r="T64" s="410"/>
      <c r="U64" s="410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19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10"/>
      <c r="P65" s="410"/>
      <c r="Q65" s="410"/>
      <c r="R65" s="410"/>
      <c r="S65" s="410"/>
      <c r="T65" s="410"/>
      <c r="U65" s="410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19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10"/>
      <c r="P66" s="410"/>
      <c r="Q66" s="410"/>
      <c r="R66" s="410"/>
      <c r="S66" s="410"/>
      <c r="T66" s="410"/>
      <c r="U66" s="410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19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10"/>
      <c r="P67" s="410"/>
      <c r="Q67" s="410"/>
      <c r="R67" s="410"/>
      <c r="S67" s="410"/>
      <c r="T67" s="410"/>
      <c r="U67" s="410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19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10"/>
      <c r="P68" s="410"/>
      <c r="Q68" s="410"/>
      <c r="R68" s="410"/>
      <c r="S68" s="410"/>
      <c r="T68" s="410"/>
      <c r="U68" s="410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19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10"/>
      <c r="P69" s="410"/>
      <c r="Q69" s="410"/>
      <c r="R69" s="410"/>
      <c r="S69" s="410"/>
      <c r="T69" s="410"/>
      <c r="U69" s="410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19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10"/>
      <c r="P70" s="410"/>
      <c r="Q70" s="410"/>
      <c r="R70" s="410"/>
      <c r="S70" s="410"/>
      <c r="T70" s="410"/>
      <c r="U70" s="410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19">
        <f t="shared" si="11"/>
        <v>0</v>
      </c>
      <c r="I71" s="129"/>
      <c r="J71" s="130"/>
      <c r="K71" s="131"/>
      <c r="L71" s="129"/>
      <c r="M71" s="109"/>
      <c r="N71" s="130"/>
      <c r="O71" s="410"/>
      <c r="P71" s="410"/>
      <c r="Q71" s="410"/>
      <c r="R71" s="410"/>
      <c r="S71" s="410"/>
      <c r="T71" s="410"/>
      <c r="U71" s="410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19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10"/>
      <c r="P72" s="410"/>
      <c r="Q72" s="410"/>
      <c r="R72" s="410"/>
      <c r="S72" s="410"/>
      <c r="T72" s="410"/>
      <c r="U72" s="410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19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10"/>
      <c r="P73" s="410"/>
      <c r="Q73" s="410"/>
      <c r="R73" s="410"/>
      <c r="S73" s="410"/>
      <c r="T73" s="410"/>
      <c r="U73" s="410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19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10"/>
      <c r="P74" s="410"/>
      <c r="Q74" s="410"/>
      <c r="R74" s="410"/>
      <c r="S74" s="410"/>
      <c r="T74" s="410"/>
      <c r="U74" s="410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19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10"/>
      <c r="P75" s="410"/>
      <c r="Q75" s="410"/>
      <c r="R75" s="410"/>
      <c r="S75" s="410"/>
      <c r="T75" s="410"/>
      <c r="U75" s="410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19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10"/>
      <c r="P76" s="410"/>
      <c r="Q76" s="410"/>
      <c r="R76" s="410"/>
      <c r="S76" s="410"/>
      <c r="T76" s="410"/>
      <c r="U76" s="410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19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10"/>
      <c r="P77" s="410"/>
      <c r="Q77" s="410"/>
      <c r="R77" s="410"/>
      <c r="S77" s="410"/>
      <c r="T77" s="410"/>
      <c r="U77" s="410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19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10"/>
      <c r="P78" s="410"/>
      <c r="Q78" s="410"/>
      <c r="R78" s="410"/>
      <c r="S78" s="410"/>
      <c r="T78" s="410"/>
      <c r="U78" s="410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19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10"/>
      <c r="P79" s="410"/>
      <c r="Q79" s="410"/>
      <c r="R79" s="410"/>
      <c r="S79" s="410"/>
      <c r="T79" s="410"/>
      <c r="U79" s="410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19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10"/>
      <c r="P80" s="410"/>
      <c r="Q80" s="410"/>
      <c r="R80" s="410"/>
      <c r="S80" s="410"/>
      <c r="T80" s="410"/>
      <c r="U80" s="410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19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10"/>
      <c r="P81" s="410"/>
      <c r="Q81" s="410"/>
      <c r="R81" s="410"/>
      <c r="S81" s="410"/>
      <c r="T81" s="410"/>
      <c r="U81" s="410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19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10"/>
      <c r="P82" s="410"/>
      <c r="Q82" s="410"/>
      <c r="R82" s="410"/>
      <c r="S82" s="410"/>
      <c r="T82" s="410"/>
      <c r="U82" s="410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19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10"/>
      <c r="P83" s="410"/>
      <c r="Q83" s="410"/>
      <c r="R83" s="410"/>
      <c r="S83" s="410"/>
      <c r="T83" s="410"/>
      <c r="U83" s="410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19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10"/>
      <c r="P84" s="410"/>
      <c r="Q84" s="410"/>
      <c r="R84" s="410"/>
      <c r="S84" s="410"/>
      <c r="T84" s="410"/>
      <c r="U84" s="410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19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10"/>
      <c r="P85" s="410"/>
      <c r="Q85" s="410"/>
      <c r="R85" s="410"/>
      <c r="S85" s="410"/>
      <c r="T85" s="410"/>
      <c r="U85" s="410"/>
      <c r="V85" s="132"/>
      <c r="W85" s="133"/>
      <c r="X85" s="132"/>
      <c r="Y85" s="132"/>
      <c r="Z85" s="132"/>
      <c r="AA85" s="132"/>
    </row>
    <row r="86" spans="1:27" ht="20.100000000000001" customHeight="1">
      <c r="A86" s="641" t="s">
        <v>216</v>
      </c>
      <c r="B86" s="641"/>
      <c r="C86" s="417" t="s">
        <v>202</v>
      </c>
      <c r="D86" s="143"/>
      <c r="E86" s="143"/>
      <c r="F86" s="144"/>
      <c r="G86" s="145">
        <f>SUM(G29:G85)</f>
        <v>641</v>
      </c>
      <c r="H86" s="146">
        <f>SUM(H29:H85)</f>
        <v>3256.2799999999997</v>
      </c>
      <c r="I86" s="146">
        <f>SUM(I29:I85)</f>
        <v>28</v>
      </c>
      <c r="J86" s="130">
        <f t="array" ref="J86">IF(ISERROR(G86/I86),"",G86/I86)</f>
        <v>22.892857142857142</v>
      </c>
      <c r="K86" s="146">
        <f>SUM(K29:K85)</f>
        <v>30.523809523809526</v>
      </c>
      <c r="L86" s="147"/>
      <c r="M86" s="150">
        <f t="shared" ref="M86:V86" si="34">SUM(M29:M85)</f>
        <v>-2.5238095238095228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11" t="s">
        <v>217</v>
      </c>
      <c r="C87" s="126" t="s">
        <v>179</v>
      </c>
      <c r="D87" s="108">
        <v>5.03</v>
      </c>
      <c r="E87" s="108"/>
      <c r="F87" s="127"/>
      <c r="G87" s="128"/>
      <c r="H87" s="419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10"/>
      <c r="P87" s="410"/>
      <c r="Q87" s="410"/>
      <c r="R87" s="410"/>
      <c r="S87" s="410"/>
      <c r="T87" s="410"/>
      <c r="U87" s="410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11" t="s">
        <v>217</v>
      </c>
      <c r="C88" s="126" t="s">
        <v>186</v>
      </c>
      <c r="D88" s="108">
        <v>5.03</v>
      </c>
      <c r="E88" s="108"/>
      <c r="F88" s="127"/>
      <c r="G88" s="128"/>
      <c r="H88" s="419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10"/>
      <c r="P88" s="410"/>
      <c r="Q88" s="410"/>
      <c r="R88" s="410"/>
      <c r="S88" s="410"/>
      <c r="T88" s="410"/>
      <c r="U88" s="410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11" t="s">
        <v>217</v>
      </c>
      <c r="C89" s="126" t="s">
        <v>204</v>
      </c>
      <c r="D89" s="108">
        <v>5.03</v>
      </c>
      <c r="E89" s="108"/>
      <c r="F89" s="127"/>
      <c r="G89" s="128"/>
      <c r="H89" s="419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10"/>
      <c r="P89" s="410"/>
      <c r="Q89" s="410"/>
      <c r="R89" s="410"/>
      <c r="S89" s="410"/>
      <c r="T89" s="410"/>
      <c r="U89" s="410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19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10"/>
      <c r="P90" s="410"/>
      <c r="Q90" s="410"/>
      <c r="R90" s="410"/>
      <c r="S90" s="410"/>
      <c r="T90" s="410"/>
      <c r="U90" s="410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19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10"/>
      <c r="P91" s="410"/>
      <c r="Q91" s="410"/>
      <c r="R91" s="410"/>
      <c r="S91" s="410"/>
      <c r="T91" s="410"/>
      <c r="U91" s="410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>
        <v>42707</v>
      </c>
      <c r="G92" s="128">
        <v>76</v>
      </c>
      <c r="H92" s="419">
        <f t="shared" si="36"/>
        <v>382.28000000000003</v>
      </c>
      <c r="I92" s="129">
        <v>11</v>
      </c>
      <c r="J92" s="130">
        <f t="array" ref="J92">IF(ISERROR(G92/I92),"",G92/I92)</f>
        <v>6.9090909090909092</v>
      </c>
      <c r="K92" s="131">
        <f t="array" ref="K92">IF(ISERROR(G92/L92),"",G92/L92)</f>
        <v>8.172043010752688</v>
      </c>
      <c r="L92" s="129">
        <v>9.3000000000000007</v>
      </c>
      <c r="M92" s="109">
        <f t="shared" si="37"/>
        <v>2.827956989247312</v>
      </c>
      <c r="N92" s="130">
        <f t="shared" si="38"/>
        <v>0</v>
      </c>
      <c r="O92" s="410"/>
      <c r="P92" s="410"/>
      <c r="Q92" s="410"/>
      <c r="R92" s="410"/>
      <c r="S92" s="410"/>
      <c r="T92" s="410"/>
      <c r="U92" s="410"/>
      <c r="V92" s="132">
        <f t="shared" si="39"/>
        <v>0</v>
      </c>
      <c r="W92" s="133">
        <f t="shared" si="35"/>
        <v>0</v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19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10"/>
      <c r="P93" s="410"/>
      <c r="Q93" s="410"/>
      <c r="R93" s="410"/>
      <c r="S93" s="410"/>
      <c r="T93" s="410"/>
      <c r="U93" s="410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>
        <v>42707</v>
      </c>
      <c r="G94" s="128">
        <v>36</v>
      </c>
      <c r="H94" s="419">
        <f t="shared" si="36"/>
        <v>181.08</v>
      </c>
      <c r="I94" s="129">
        <v>11</v>
      </c>
      <c r="J94" s="130">
        <f t="array" ref="J94">IF(ISERROR(G94/I94),"",G94/I94)</f>
        <v>3.2727272727272729</v>
      </c>
      <c r="K94" s="131">
        <f t="array" ref="K94">IF(ISERROR(G94/L94),"",G94/L94)</f>
        <v>3.8709677419354835</v>
      </c>
      <c r="L94" s="129">
        <v>9.3000000000000007</v>
      </c>
      <c r="M94" s="109">
        <f t="shared" si="37"/>
        <v>7.129032258064516</v>
      </c>
      <c r="N94" s="130"/>
      <c r="O94" s="410"/>
      <c r="P94" s="410"/>
      <c r="Q94" s="410"/>
      <c r="R94" s="410"/>
      <c r="S94" s="410"/>
      <c r="T94" s="410"/>
      <c r="U94" s="410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19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10"/>
      <c r="P95" s="410"/>
      <c r="Q95" s="410"/>
      <c r="R95" s="410"/>
      <c r="S95" s="410"/>
      <c r="T95" s="410"/>
      <c r="U95" s="410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19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10"/>
      <c r="P96" s="410"/>
      <c r="Q96" s="410"/>
      <c r="R96" s="410"/>
      <c r="S96" s="410"/>
      <c r="T96" s="410"/>
      <c r="U96" s="410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19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10"/>
      <c r="P97" s="410"/>
      <c r="Q97" s="410"/>
      <c r="R97" s="410"/>
      <c r="S97" s="410"/>
      <c r="T97" s="410"/>
      <c r="U97" s="410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19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10"/>
      <c r="P98" s="410"/>
      <c r="Q98" s="410"/>
      <c r="R98" s="410"/>
      <c r="S98" s="410"/>
      <c r="T98" s="410"/>
      <c r="U98" s="410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19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10"/>
      <c r="P99" s="410"/>
      <c r="Q99" s="410"/>
      <c r="R99" s="410"/>
      <c r="S99" s="410"/>
      <c r="T99" s="410"/>
      <c r="U99" s="410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19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10"/>
      <c r="P100" s="410"/>
      <c r="Q100" s="410"/>
      <c r="R100" s="410"/>
      <c r="S100" s="410"/>
      <c r="T100" s="410"/>
      <c r="U100" s="410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19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10"/>
      <c r="P101" s="410"/>
      <c r="Q101" s="410"/>
      <c r="R101" s="410"/>
      <c r="S101" s="410"/>
      <c r="T101" s="410"/>
      <c r="U101" s="410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19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10"/>
      <c r="P102" s="410"/>
      <c r="Q102" s="410"/>
      <c r="R102" s="410"/>
      <c r="S102" s="410"/>
      <c r="T102" s="410"/>
      <c r="U102" s="410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11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19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10"/>
      <c r="P103" s="410"/>
      <c r="Q103" s="410"/>
      <c r="R103" s="410"/>
      <c r="S103" s="410"/>
      <c r="T103" s="410"/>
      <c r="U103" s="410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11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19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10"/>
      <c r="P104" s="410"/>
      <c r="Q104" s="410"/>
      <c r="R104" s="410"/>
      <c r="S104" s="410"/>
      <c r="T104" s="410"/>
      <c r="U104" s="410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11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19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10"/>
      <c r="P105" s="410"/>
      <c r="Q105" s="410"/>
      <c r="R105" s="410"/>
      <c r="S105" s="410"/>
      <c r="T105" s="410"/>
      <c r="U105" s="410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11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19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10"/>
      <c r="P106" s="410"/>
      <c r="Q106" s="410"/>
      <c r="R106" s="410"/>
      <c r="S106" s="410"/>
      <c r="T106" s="410"/>
      <c r="U106" s="410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11" t="s">
        <v>393</v>
      </c>
      <c r="C107" s="187" t="s">
        <v>395</v>
      </c>
      <c r="D107" s="108">
        <v>5</v>
      </c>
      <c r="E107" s="108"/>
      <c r="F107" s="127"/>
      <c r="G107" s="128"/>
      <c r="H107" s="419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10"/>
      <c r="P107" s="410"/>
      <c r="Q107" s="410"/>
      <c r="R107" s="410"/>
      <c r="S107" s="410"/>
      <c r="T107" s="410"/>
      <c r="U107" s="410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11" t="s">
        <v>393</v>
      </c>
      <c r="C108" s="187" t="s">
        <v>402</v>
      </c>
      <c r="D108" s="108">
        <v>5</v>
      </c>
      <c r="E108" s="108"/>
      <c r="F108" s="127"/>
      <c r="G108" s="128"/>
      <c r="H108" s="419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10"/>
      <c r="P108" s="410"/>
      <c r="Q108" s="410"/>
      <c r="R108" s="410"/>
      <c r="S108" s="410"/>
      <c r="T108" s="410"/>
      <c r="U108" s="410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11" t="s">
        <v>404</v>
      </c>
      <c r="C109" s="187" t="s">
        <v>405</v>
      </c>
      <c r="D109" s="108">
        <v>5</v>
      </c>
      <c r="E109" s="108"/>
      <c r="F109" s="127"/>
      <c r="G109" s="128"/>
      <c r="H109" s="419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10"/>
      <c r="P109" s="410"/>
      <c r="Q109" s="410"/>
      <c r="R109" s="410"/>
      <c r="S109" s="410"/>
      <c r="T109" s="410"/>
      <c r="U109" s="410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11" t="s">
        <v>492</v>
      </c>
      <c r="C110" s="187" t="s">
        <v>372</v>
      </c>
      <c r="D110" s="108">
        <v>5</v>
      </c>
      <c r="E110" s="108"/>
      <c r="F110" s="127"/>
      <c r="G110" s="128"/>
      <c r="H110" s="419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10"/>
      <c r="P110" s="410"/>
      <c r="Q110" s="410"/>
      <c r="R110" s="410"/>
      <c r="S110" s="410"/>
      <c r="T110" s="410"/>
      <c r="U110" s="410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11" t="s">
        <v>343</v>
      </c>
      <c r="C111" s="126" t="s">
        <v>345</v>
      </c>
      <c r="D111" s="108">
        <v>5</v>
      </c>
      <c r="E111" s="108"/>
      <c r="F111" s="127"/>
      <c r="G111" s="128"/>
      <c r="H111" s="419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10"/>
      <c r="P111" s="410"/>
      <c r="Q111" s="410"/>
      <c r="R111" s="410"/>
      <c r="S111" s="410"/>
      <c r="T111" s="410"/>
      <c r="U111" s="410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11" t="s">
        <v>343</v>
      </c>
      <c r="C112" s="126" t="s">
        <v>347</v>
      </c>
      <c r="D112" s="108">
        <v>5</v>
      </c>
      <c r="E112" s="108"/>
      <c r="F112" s="127"/>
      <c r="G112" s="128"/>
      <c r="H112" s="419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10"/>
      <c r="P112" s="410"/>
      <c r="Q112" s="410"/>
      <c r="R112" s="410"/>
      <c r="S112" s="410"/>
      <c r="T112" s="410"/>
      <c r="U112" s="410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19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10"/>
      <c r="P113" s="410"/>
      <c r="Q113" s="410"/>
      <c r="R113" s="410"/>
      <c r="S113" s="410"/>
      <c r="T113" s="410"/>
      <c r="U113" s="410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19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10"/>
      <c r="P114" s="410"/>
      <c r="Q114" s="410"/>
      <c r="R114" s="410"/>
      <c r="S114" s="410"/>
      <c r="T114" s="410"/>
      <c r="U114" s="410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19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10"/>
      <c r="P115" s="410"/>
      <c r="Q115" s="410"/>
      <c r="R115" s="410"/>
      <c r="S115" s="410"/>
      <c r="T115" s="410"/>
      <c r="U115" s="410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19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10"/>
      <c r="P116" s="410"/>
      <c r="Q116" s="410"/>
      <c r="R116" s="410"/>
      <c r="S116" s="410"/>
      <c r="T116" s="410"/>
      <c r="U116" s="410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19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10"/>
      <c r="P117" s="410"/>
      <c r="Q117" s="410"/>
      <c r="R117" s="410"/>
      <c r="S117" s="410"/>
      <c r="T117" s="410"/>
      <c r="U117" s="410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19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10"/>
      <c r="P118" s="410"/>
      <c r="Q118" s="410"/>
      <c r="R118" s="410"/>
      <c r="S118" s="410"/>
      <c r="T118" s="410"/>
      <c r="U118" s="410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19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10"/>
      <c r="P119" s="410"/>
      <c r="Q119" s="410"/>
      <c r="R119" s="410"/>
      <c r="S119" s="410"/>
      <c r="T119" s="410"/>
      <c r="U119" s="410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>
        <v>42708</v>
      </c>
      <c r="G120" s="128">
        <f>102+57+100*4</f>
        <v>559</v>
      </c>
      <c r="H120" s="419">
        <f t="shared" si="36"/>
        <v>2828.54</v>
      </c>
      <c r="I120" s="129">
        <f>1*2+11+11*2</f>
        <v>35</v>
      </c>
      <c r="J120" s="130">
        <f t="array" ref="J120">IF(ISERROR(G120/I120),"",G120/I120)</f>
        <v>15.971428571428572</v>
      </c>
      <c r="K120" s="419">
        <f t="array" ref="K120">IF(ISERROR(G120/L120),"",G120/L120)</f>
        <v>62.111111111111114</v>
      </c>
      <c r="L120" s="129">
        <v>9</v>
      </c>
      <c r="M120" s="109">
        <f t="shared" si="46"/>
        <v>-27.111111111111114</v>
      </c>
      <c r="N120" s="130">
        <f t="shared" si="47"/>
        <v>0</v>
      </c>
      <c r="O120" s="410"/>
      <c r="P120" s="410"/>
      <c r="Q120" s="410"/>
      <c r="R120" s="410"/>
      <c r="S120" s="410"/>
      <c r="T120" s="410"/>
      <c r="U120" s="410"/>
      <c r="V120" s="132">
        <f t="shared" si="48"/>
        <v>0</v>
      </c>
      <c r="W120" s="133">
        <f t="shared" si="49"/>
        <v>0</v>
      </c>
      <c r="X120" s="132"/>
      <c r="Y120" s="132"/>
      <c r="Z120" s="132"/>
      <c r="AA120" s="132"/>
    </row>
    <row r="121" spans="1:27" ht="20.100000000000001" customHeight="1">
      <c r="A121" s="630" t="s">
        <v>224</v>
      </c>
      <c r="B121" s="631"/>
      <c r="C121" s="417" t="s">
        <v>202</v>
      </c>
      <c r="D121" s="143"/>
      <c r="E121" s="143"/>
      <c r="F121" s="144"/>
      <c r="G121" s="145">
        <f>SUM(G87:G120)</f>
        <v>671</v>
      </c>
      <c r="H121" s="146">
        <f>SUM(H87:H120)</f>
        <v>3391.9</v>
      </c>
      <c r="I121" s="146">
        <f>SUM(I87:I120)</f>
        <v>57</v>
      </c>
      <c r="J121" s="130">
        <f t="array" ref="J121">IF(ISERROR(G121/I121),"",G121/I121)</f>
        <v>11.771929824561404</v>
      </c>
      <c r="K121" s="146">
        <f>SUM(K87:K120)</f>
        <v>74.15412186379929</v>
      </c>
      <c r="L121" s="147"/>
      <c r="M121" s="150">
        <f t="shared" ref="M121:V121" si="50">SUM(M87:M120)</f>
        <v>-17.154121863799286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19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10"/>
      <c r="P122" s="410"/>
      <c r="Q122" s="410"/>
      <c r="R122" s="410"/>
      <c r="S122" s="410"/>
      <c r="T122" s="410"/>
      <c r="U122" s="410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19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10"/>
      <c r="P123" s="410"/>
      <c r="Q123" s="410"/>
      <c r="R123" s="410"/>
      <c r="S123" s="410"/>
      <c r="T123" s="410"/>
      <c r="U123" s="410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19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10"/>
      <c r="P124" s="410"/>
      <c r="Q124" s="410"/>
      <c r="R124" s="410"/>
      <c r="S124" s="410"/>
      <c r="T124" s="410"/>
      <c r="U124" s="410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19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10"/>
      <c r="P125" s="410"/>
      <c r="Q125" s="410"/>
      <c r="R125" s="410"/>
      <c r="S125" s="410"/>
      <c r="T125" s="410"/>
      <c r="U125" s="410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15" t="s">
        <v>203</v>
      </c>
      <c r="D126" s="108">
        <v>5.03</v>
      </c>
      <c r="E126" s="108"/>
      <c r="F126" s="127"/>
      <c r="G126" s="128"/>
      <c r="H126" s="419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10"/>
      <c r="P126" s="410"/>
      <c r="Q126" s="410"/>
      <c r="R126" s="410"/>
      <c r="S126" s="410"/>
      <c r="T126" s="410"/>
      <c r="U126" s="410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19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10"/>
      <c r="P127" s="410"/>
      <c r="Q127" s="410"/>
      <c r="R127" s="410"/>
      <c r="S127" s="410"/>
      <c r="T127" s="410"/>
      <c r="U127" s="410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19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10"/>
      <c r="P128" s="410"/>
      <c r="Q128" s="410"/>
      <c r="R128" s="410"/>
      <c r="S128" s="410"/>
      <c r="T128" s="410"/>
      <c r="U128" s="410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15" t="s">
        <v>228</v>
      </c>
      <c r="D129" s="108">
        <v>5.03</v>
      </c>
      <c r="E129" s="108"/>
      <c r="F129" s="127"/>
      <c r="G129" s="128"/>
      <c r="H129" s="419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10"/>
      <c r="P129" s="410"/>
      <c r="Q129" s="410"/>
      <c r="R129" s="410"/>
      <c r="S129" s="410"/>
      <c r="T129" s="410"/>
      <c r="U129" s="410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15" t="s">
        <v>212</v>
      </c>
      <c r="D130" s="108">
        <v>5.03</v>
      </c>
      <c r="E130" s="108"/>
      <c r="F130" s="127"/>
      <c r="G130" s="128"/>
      <c r="H130" s="419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10"/>
      <c r="P130" s="410"/>
      <c r="Q130" s="410"/>
      <c r="R130" s="410"/>
      <c r="S130" s="410"/>
      <c r="T130" s="410"/>
      <c r="U130" s="410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15" t="s">
        <v>203</v>
      </c>
      <c r="D131" s="108">
        <v>5.03</v>
      </c>
      <c r="E131" s="108"/>
      <c r="F131" s="127"/>
      <c r="G131" s="128"/>
      <c r="H131" s="419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10"/>
      <c r="P131" s="410"/>
      <c r="Q131" s="410"/>
      <c r="R131" s="410"/>
      <c r="S131" s="410"/>
      <c r="T131" s="410"/>
      <c r="U131" s="410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15" t="s">
        <v>186</v>
      </c>
      <c r="D132" s="108">
        <v>5.03</v>
      </c>
      <c r="E132" s="108"/>
      <c r="F132" s="127"/>
      <c r="G132" s="128"/>
      <c r="H132" s="419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10"/>
      <c r="P132" s="410"/>
      <c r="Q132" s="410"/>
      <c r="R132" s="410"/>
      <c r="S132" s="410"/>
      <c r="T132" s="410"/>
      <c r="U132" s="410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15" t="s">
        <v>228</v>
      </c>
      <c r="D133" s="108">
        <v>5.03</v>
      </c>
      <c r="E133" s="108"/>
      <c r="F133" s="127"/>
      <c r="G133" s="128"/>
      <c r="H133" s="419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10"/>
      <c r="P133" s="410"/>
      <c r="Q133" s="410"/>
      <c r="R133" s="410"/>
      <c r="S133" s="410"/>
      <c r="T133" s="410"/>
      <c r="U133" s="410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15" t="s">
        <v>199</v>
      </c>
      <c r="D134" s="108">
        <v>5.03</v>
      </c>
      <c r="E134" s="108"/>
      <c r="F134" s="127"/>
      <c r="G134" s="128"/>
      <c r="H134" s="419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10"/>
      <c r="P134" s="410"/>
      <c r="Q134" s="410"/>
      <c r="R134" s="410"/>
      <c r="S134" s="410"/>
      <c r="T134" s="410"/>
      <c r="U134" s="410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19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10"/>
      <c r="P135" s="410"/>
      <c r="Q135" s="410"/>
      <c r="R135" s="410"/>
      <c r="S135" s="410"/>
      <c r="T135" s="410"/>
      <c r="U135" s="410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19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10"/>
      <c r="P136" s="410"/>
      <c r="Q136" s="410"/>
      <c r="R136" s="410"/>
      <c r="S136" s="410"/>
      <c r="T136" s="410"/>
      <c r="U136" s="410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630" t="s">
        <v>231</v>
      </c>
      <c r="B137" s="631"/>
      <c r="C137" s="417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19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10"/>
      <c r="P138" s="410"/>
      <c r="Q138" s="410"/>
      <c r="R138" s="410"/>
      <c r="S138" s="410"/>
      <c r="T138" s="410"/>
      <c r="U138" s="410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19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10"/>
      <c r="P139" s="410"/>
      <c r="Q139" s="410"/>
      <c r="R139" s="410"/>
      <c r="S139" s="410"/>
      <c r="T139" s="410"/>
      <c r="U139" s="410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19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10"/>
      <c r="P140" s="410"/>
      <c r="Q140" s="410"/>
      <c r="R140" s="410"/>
      <c r="S140" s="410"/>
      <c r="T140" s="410"/>
      <c r="U140" s="410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19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10"/>
      <c r="P141" s="410"/>
      <c r="Q141" s="410"/>
      <c r="R141" s="410"/>
      <c r="S141" s="410"/>
      <c r="T141" s="410"/>
      <c r="U141" s="410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19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10"/>
      <c r="P142" s="410"/>
      <c r="Q142" s="410"/>
      <c r="R142" s="410"/>
      <c r="S142" s="410"/>
      <c r="T142" s="410"/>
      <c r="U142" s="410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19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10"/>
      <c r="P143" s="410"/>
      <c r="Q143" s="410"/>
      <c r="R143" s="410"/>
      <c r="S143" s="410"/>
      <c r="T143" s="410"/>
      <c r="U143" s="410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/>
      <c r="G144" s="128"/>
      <c r="H144" s="479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0"/>
      <c r="P144" s="470"/>
      <c r="Q144" s="470"/>
      <c r="R144" s="470"/>
      <c r="S144" s="470"/>
      <c r="T144" s="470"/>
      <c r="U144" s="470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419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410"/>
      <c r="P146" s="410"/>
      <c r="Q146" s="410"/>
      <c r="R146" s="410"/>
      <c r="S146" s="410"/>
      <c r="T146" s="410"/>
      <c r="U146" s="410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hidden="1" customHeight="1">
      <c r="A147" s="630" t="s">
        <v>234</v>
      </c>
      <c r="B147" s="631"/>
      <c r="C147" s="417" t="s">
        <v>202</v>
      </c>
      <c r="D147" s="143"/>
      <c r="E147" s="143"/>
      <c r="F147" s="144"/>
      <c r="G147" s="145">
        <f>SUM(G138:G146)</f>
        <v>0</v>
      </c>
      <c r="H147" s="146">
        <f>SUM(H138:H146)</f>
        <v>0</v>
      </c>
      <c r="I147" s="146">
        <f>SUM(I138:I146)</f>
        <v>0</v>
      </c>
      <c r="J147" s="130" t="str">
        <f t="array" ref="J147">IF(ISERROR(G147/I147),"",G147/I147)</f>
        <v/>
      </c>
      <c r="K147" s="146">
        <f>SUM(K138:K146)</f>
        <v>0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 t="str">
        <f t="shared" si="62"/>
        <v/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409"/>
      <c r="D148" s="108">
        <v>3.65</v>
      </c>
      <c r="E148" s="108"/>
      <c r="F148" s="153"/>
      <c r="G148" s="128"/>
      <c r="H148" s="419">
        <f t="shared" ref="H148:H161" si="63">D148*G148</f>
        <v>0</v>
      </c>
      <c r="I148" s="129"/>
      <c r="J148" s="130" t="str">
        <f t="array" ref="J148">IF(ISERROR(G148/I148),"",G148/I148)</f>
        <v/>
      </c>
      <c r="K148" s="419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410"/>
      <c r="P148" s="410"/>
      <c r="Q148" s="410"/>
      <c r="R148" s="410"/>
      <c r="S148" s="410"/>
      <c r="T148" s="410"/>
      <c r="U148" s="410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409"/>
      <c r="D149" s="108">
        <v>6.58</v>
      </c>
      <c r="E149" s="108"/>
      <c r="F149" s="127"/>
      <c r="G149" s="128"/>
      <c r="H149" s="419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410"/>
      <c r="P149" s="410"/>
      <c r="Q149" s="410"/>
      <c r="R149" s="410"/>
      <c r="S149" s="410"/>
      <c r="T149" s="410"/>
      <c r="U149" s="410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409"/>
      <c r="D150" s="108">
        <v>7.8</v>
      </c>
      <c r="E150" s="108"/>
      <c r="F150" s="127"/>
      <c r="G150" s="128"/>
      <c r="H150" s="419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410"/>
      <c r="P150" s="410"/>
      <c r="Q150" s="410"/>
      <c r="R150" s="410"/>
      <c r="S150" s="410"/>
      <c r="T150" s="410"/>
      <c r="U150" s="410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409"/>
      <c r="D151" s="108">
        <v>4.4000000000000004</v>
      </c>
      <c r="E151" s="108"/>
      <c r="F151" s="127"/>
      <c r="G151" s="128"/>
      <c r="H151" s="419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410"/>
      <c r="P151" s="410"/>
      <c r="Q151" s="410"/>
      <c r="R151" s="410"/>
      <c r="S151" s="410"/>
      <c r="T151" s="410"/>
      <c r="U151" s="410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419">
        <f t="shared" si="63"/>
        <v>0</v>
      </c>
      <c r="I152" s="129"/>
      <c r="J152" s="130"/>
      <c r="K152" s="131"/>
      <c r="L152" s="129">
        <v>6</v>
      </c>
      <c r="M152" s="109"/>
      <c r="N152" s="130"/>
      <c r="O152" s="410"/>
      <c r="P152" s="410"/>
      <c r="Q152" s="410"/>
      <c r="R152" s="410"/>
      <c r="S152" s="410"/>
      <c r="T152" s="410"/>
      <c r="U152" s="410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409" t="s">
        <v>239</v>
      </c>
      <c r="C153" s="409" t="s">
        <v>179</v>
      </c>
      <c r="D153" s="108">
        <v>6.04</v>
      </c>
      <c r="E153" s="108"/>
      <c r="F153" s="127"/>
      <c r="G153" s="128"/>
      <c r="H153" s="419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410"/>
      <c r="P153" s="410"/>
      <c r="Q153" s="410"/>
      <c r="R153" s="410"/>
      <c r="S153" s="410"/>
      <c r="T153" s="410"/>
      <c r="U153" s="410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409" t="s">
        <v>239</v>
      </c>
      <c r="C154" s="409" t="s">
        <v>186</v>
      </c>
      <c r="D154" s="108">
        <v>6.04</v>
      </c>
      <c r="E154" s="108"/>
      <c r="F154" s="127"/>
      <c r="G154" s="128"/>
      <c r="H154" s="419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410"/>
      <c r="P154" s="410"/>
      <c r="Q154" s="410"/>
      <c r="R154" s="410"/>
      <c r="S154" s="410"/>
      <c r="T154" s="410"/>
      <c r="U154" s="410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409" t="s">
        <v>443</v>
      </c>
      <c r="C155" s="409" t="s">
        <v>179</v>
      </c>
      <c r="D155" s="108">
        <v>6</v>
      </c>
      <c r="E155" s="108"/>
      <c r="F155" s="127"/>
      <c r="G155" s="128"/>
      <c r="H155" s="419">
        <f t="shared" si="63"/>
        <v>0</v>
      </c>
      <c r="I155" s="129"/>
      <c r="J155" s="130"/>
      <c r="K155" s="131"/>
      <c r="L155" s="129"/>
      <c r="M155" s="109"/>
      <c r="N155" s="130"/>
      <c r="O155" s="410"/>
      <c r="P155" s="410"/>
      <c r="Q155" s="410"/>
      <c r="R155" s="410"/>
      <c r="S155" s="410"/>
      <c r="T155" s="410"/>
      <c r="U155" s="410"/>
      <c r="V155" s="132"/>
      <c r="W155" s="133"/>
      <c r="X155" s="132"/>
      <c r="Y155" s="132"/>
      <c r="Z155" s="132"/>
      <c r="AA155" s="132"/>
    </row>
    <row r="156" spans="1:27" ht="20.100000000000001" customHeight="1">
      <c r="A156" s="305">
        <v>30101016</v>
      </c>
      <c r="B156" s="409" t="s">
        <v>443</v>
      </c>
      <c r="C156" s="409" t="s">
        <v>60</v>
      </c>
      <c r="D156" s="108">
        <v>6</v>
      </c>
      <c r="E156" s="108"/>
      <c r="F156" s="127">
        <v>42711</v>
      </c>
      <c r="G156" s="128">
        <f>42+42</f>
        <v>84</v>
      </c>
      <c r="H156" s="419">
        <f t="shared" si="63"/>
        <v>504</v>
      </c>
      <c r="I156" s="129">
        <f>8*4</f>
        <v>32</v>
      </c>
      <c r="J156" s="130">
        <f t="array" ref="J156">IF(ISERROR(G156/I156),"",G156/I156)</f>
        <v>2.625</v>
      </c>
      <c r="K156" s="419">
        <f t="array" ref="K156">IF(ISERROR(G156/L156),"",G156/L156)</f>
        <v>14</v>
      </c>
      <c r="L156" s="129">
        <v>6</v>
      </c>
      <c r="M156" s="109">
        <f t="shared" ref="M156" si="71">IF(ISERROR(I156-K156),"",I156-K156)</f>
        <v>18</v>
      </c>
      <c r="N156" s="130"/>
      <c r="O156" s="410"/>
      <c r="P156" s="410"/>
      <c r="Q156" s="410"/>
      <c r="R156" s="410"/>
      <c r="S156" s="410"/>
      <c r="T156" s="410"/>
      <c r="U156" s="410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411" t="s">
        <v>240</v>
      </c>
      <c r="C157" s="126"/>
      <c r="D157" s="108">
        <v>7.3</v>
      </c>
      <c r="E157" s="108"/>
      <c r="F157" s="127"/>
      <c r="G157" s="128"/>
      <c r="H157" s="419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2">IF(ISERROR(I157-K157),"",I157-K157)</f>
        <v/>
      </c>
      <c r="N157" s="130">
        <f t="shared" ref="N157:N158" si="73">SUM(O157:U157)</f>
        <v>0</v>
      </c>
      <c r="O157" s="410"/>
      <c r="P157" s="410"/>
      <c r="Q157" s="410"/>
      <c r="R157" s="410"/>
      <c r="S157" s="410"/>
      <c r="T157" s="410"/>
      <c r="U157" s="410"/>
      <c r="V157" s="132">
        <f t="shared" ref="V157:V158" si="74">SUM(X157:AA157)</f>
        <v>0</v>
      </c>
      <c r="W157" s="133" t="str">
        <f t="shared" ref="W157:W158" si="75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411" t="s">
        <v>241</v>
      </c>
      <c r="C158" s="126"/>
      <c r="D158" s="108">
        <f>78*120/1000</f>
        <v>9.36</v>
      </c>
      <c r="E158" s="108"/>
      <c r="F158" s="127"/>
      <c r="G158" s="128"/>
      <c r="H158" s="419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3"/>
        <v>0</v>
      </c>
      <c r="O158" s="410"/>
      <c r="P158" s="410"/>
      <c r="Q158" s="410"/>
      <c r="R158" s="410"/>
      <c r="S158" s="410"/>
      <c r="T158" s="410"/>
      <c r="U158" s="410"/>
      <c r="V158" s="132">
        <f t="shared" si="74"/>
        <v>0</v>
      </c>
      <c r="W158" s="133" t="str">
        <f t="shared" si="75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411" t="s">
        <v>242</v>
      </c>
      <c r="C159" s="126"/>
      <c r="D159" s="108">
        <v>4.5</v>
      </c>
      <c r="E159" s="108"/>
      <c r="F159" s="127"/>
      <c r="G159" s="128"/>
      <c r="H159" s="419">
        <f t="shared" si="63"/>
        <v>0</v>
      </c>
      <c r="I159" s="129"/>
      <c r="J159" s="130"/>
      <c r="K159" s="131"/>
      <c r="L159" s="129"/>
      <c r="M159" s="109"/>
      <c r="N159" s="130"/>
      <c r="O159" s="410"/>
      <c r="P159" s="410"/>
      <c r="Q159" s="410"/>
      <c r="R159" s="410"/>
      <c r="S159" s="410"/>
      <c r="T159" s="410"/>
      <c r="U159" s="410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411" t="s">
        <v>243</v>
      </c>
      <c r="C160" s="126"/>
      <c r="D160" s="108">
        <v>4.5</v>
      </c>
      <c r="E160" s="108"/>
      <c r="F160" s="127"/>
      <c r="G160" s="128"/>
      <c r="H160" s="419">
        <f t="shared" si="63"/>
        <v>0</v>
      </c>
      <c r="I160" s="129"/>
      <c r="J160" s="130"/>
      <c r="K160" s="131"/>
      <c r="L160" s="129"/>
      <c r="M160" s="109"/>
      <c r="N160" s="130"/>
      <c r="O160" s="410"/>
      <c r="P160" s="410"/>
      <c r="Q160" s="410"/>
      <c r="R160" s="410"/>
      <c r="S160" s="410"/>
      <c r="T160" s="410"/>
      <c r="U160" s="410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419">
        <f t="shared" si="63"/>
        <v>0</v>
      </c>
      <c r="I161" s="129"/>
      <c r="J161" s="130"/>
      <c r="K161" s="131"/>
      <c r="L161" s="129"/>
      <c r="M161" s="109"/>
      <c r="N161" s="130"/>
      <c r="O161" s="410"/>
      <c r="P161" s="410"/>
      <c r="Q161" s="410"/>
      <c r="R161" s="410"/>
      <c r="S161" s="410"/>
      <c r="T161" s="410"/>
      <c r="U161" s="410"/>
      <c r="V161" s="132"/>
      <c r="W161" s="133"/>
      <c r="X161" s="132"/>
      <c r="Y161" s="132"/>
      <c r="Z161" s="132"/>
      <c r="AA161" s="132"/>
    </row>
    <row r="162" spans="1:27" ht="20.100000000000001" customHeight="1">
      <c r="A162" s="630" t="s">
        <v>244</v>
      </c>
      <c r="B162" s="631"/>
      <c r="C162" s="417" t="s">
        <v>202</v>
      </c>
      <c r="D162" s="143"/>
      <c r="E162" s="143"/>
      <c r="F162" s="144"/>
      <c r="G162" s="145">
        <f>SUM(G148:G160)</f>
        <v>84</v>
      </c>
      <c r="H162" s="146">
        <f>SUM(H148:H158)</f>
        <v>504</v>
      </c>
      <c r="I162" s="146">
        <f>SUM(I148:I160)</f>
        <v>32</v>
      </c>
      <c r="J162" s="130">
        <f t="array" ref="J162">IF(ISERROR(G162/I162),"",G162/I162)</f>
        <v>2.625</v>
      </c>
      <c r="K162" s="146">
        <f>SUM(K148:K158)</f>
        <v>14</v>
      </c>
      <c r="L162" s="147"/>
      <c r="M162" s="150">
        <f t="shared" ref="M162:V162" si="76">SUM(M148:M158)</f>
        <v>18</v>
      </c>
      <c r="N162" s="146">
        <f t="shared" si="76"/>
        <v>0</v>
      </c>
      <c r="O162" s="148">
        <f t="shared" si="76"/>
        <v>0</v>
      </c>
      <c r="P162" s="148">
        <f t="shared" si="76"/>
        <v>0</v>
      </c>
      <c r="Q162" s="148">
        <f t="shared" si="76"/>
        <v>0</v>
      </c>
      <c r="R162" s="148">
        <f t="shared" si="76"/>
        <v>0</v>
      </c>
      <c r="S162" s="148">
        <f t="shared" si="76"/>
        <v>0</v>
      </c>
      <c r="T162" s="148">
        <f t="shared" si="76"/>
        <v>0</v>
      </c>
      <c r="U162" s="148">
        <f t="shared" si="76"/>
        <v>0</v>
      </c>
      <c r="V162" s="149">
        <f t="shared" si="76"/>
        <v>0</v>
      </c>
      <c r="W162" s="133">
        <f>IF(ISERROR(V162/G162),"",V162/G162)</f>
        <v>0</v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32" t="s">
        <v>246</v>
      </c>
      <c r="B163" s="633"/>
      <c r="C163" s="633"/>
      <c r="D163" s="633"/>
      <c r="E163" s="633"/>
      <c r="F163" s="634"/>
      <c r="G163" s="154">
        <f>SUM(G28,G86,G121,G137,G147,G162)</f>
        <v>2184</v>
      </c>
      <c r="H163" s="154">
        <f>SUM(H28,H86,H121,H137,H147,H162)</f>
        <v>11115.82</v>
      </c>
      <c r="I163" s="154">
        <f>SUM(I28,I86,I121,I137,I147,I162)</f>
        <v>161</v>
      </c>
      <c r="J163" s="155">
        <f t="array" ref="J163">IF(ISERROR(G163/I163),"",G163/I163)</f>
        <v>13.565217391304348</v>
      </c>
      <c r="K163" s="154">
        <f>SUM(K28,K86,K121,K137,K147,K162)</f>
        <v>160.15161559813515</v>
      </c>
      <c r="L163" s="155">
        <f>IF(ISERROR(G163/K163),"",G163/K163)</f>
        <v>13.637077539575136</v>
      </c>
      <c r="M163" s="154">
        <f t="shared" ref="M163:AA163" si="77">SUM(M28,M86,M121,M137,M147,M162)</f>
        <v>0.84838440186487674</v>
      </c>
      <c r="N163" s="154">
        <f t="shared" si="77"/>
        <v>0</v>
      </c>
      <c r="O163" s="154">
        <f t="shared" si="77"/>
        <v>0</v>
      </c>
      <c r="P163" s="154">
        <f t="shared" si="77"/>
        <v>0</v>
      </c>
      <c r="Q163" s="154">
        <f t="shared" si="77"/>
        <v>0</v>
      </c>
      <c r="R163" s="154">
        <f t="shared" si="77"/>
        <v>0</v>
      </c>
      <c r="S163" s="154">
        <f t="shared" si="77"/>
        <v>0</v>
      </c>
      <c r="T163" s="154">
        <f t="shared" si="77"/>
        <v>0</v>
      </c>
      <c r="U163" s="154">
        <f t="shared" si="77"/>
        <v>0</v>
      </c>
      <c r="V163" s="154">
        <f t="shared" si="77"/>
        <v>0</v>
      </c>
      <c r="W163" s="154">
        <f t="shared" si="77"/>
        <v>0</v>
      </c>
      <c r="X163" s="154">
        <f t="shared" si="77"/>
        <v>0</v>
      </c>
      <c r="Y163" s="154">
        <f t="shared" si="77"/>
        <v>0</v>
      </c>
      <c r="Z163" s="154">
        <f t="shared" si="77"/>
        <v>0</v>
      </c>
      <c r="AA163" s="154">
        <f t="shared" si="77"/>
        <v>0</v>
      </c>
    </row>
    <row r="164" spans="1:27" ht="20.100000000000001" customHeight="1">
      <c r="A164" s="635" t="s">
        <v>476</v>
      </c>
      <c r="B164" s="416" t="s">
        <v>247</v>
      </c>
      <c r="C164" s="638" t="s">
        <v>248</v>
      </c>
      <c r="D164" s="639"/>
      <c r="E164" s="640" t="s">
        <v>249</v>
      </c>
      <c r="F164" s="640"/>
      <c r="G164" s="643" t="s">
        <v>250</v>
      </c>
      <c r="H164" s="643"/>
      <c r="I164" s="640" t="s">
        <v>251</v>
      </c>
      <c r="J164" s="640"/>
      <c r="K164" s="640" t="s">
        <v>252</v>
      </c>
      <c r="L164" s="640"/>
      <c r="M164" s="640" t="s">
        <v>253</v>
      </c>
      <c r="N164" s="640"/>
      <c r="O164" s="640" t="s">
        <v>254</v>
      </c>
      <c r="P164" s="643" t="s">
        <v>255</v>
      </c>
      <c r="Q164" s="643"/>
      <c r="R164" s="643" t="s">
        <v>252</v>
      </c>
      <c r="S164" s="643"/>
      <c r="T164" s="643" t="s">
        <v>256</v>
      </c>
      <c r="U164" s="643"/>
      <c r="V164" s="643" t="s">
        <v>257</v>
      </c>
      <c r="W164" s="643"/>
      <c r="X164" s="643" t="s">
        <v>252</v>
      </c>
      <c r="Y164" s="643"/>
      <c r="Z164" s="643" t="s">
        <v>256</v>
      </c>
      <c r="AA164" s="643"/>
    </row>
    <row r="165" spans="1:27" ht="20.100000000000001" customHeight="1">
      <c r="A165" s="636"/>
      <c r="B165" s="416" t="s">
        <v>258</v>
      </c>
      <c r="C165" s="638">
        <v>1</v>
      </c>
      <c r="D165" s="639"/>
      <c r="E165" s="642">
        <f>C165*11</f>
        <v>11</v>
      </c>
      <c r="F165" s="642"/>
      <c r="G165" s="643">
        <v>1</v>
      </c>
      <c r="H165" s="643"/>
      <c r="I165" s="642">
        <f>G165*11</f>
        <v>11</v>
      </c>
      <c r="J165" s="642"/>
      <c r="K165" s="642">
        <f>E165-I165</f>
        <v>0</v>
      </c>
      <c r="L165" s="642"/>
      <c r="M165" s="644">
        <f>IF(ISERROR(K165/E165),"",K165/E165)</f>
        <v>0</v>
      </c>
      <c r="N165" s="644"/>
      <c r="O165" s="640"/>
      <c r="P165" s="643" t="s">
        <v>201</v>
      </c>
      <c r="Q165" s="643"/>
      <c r="R165" s="645">
        <f>SUM(O28:U28)</f>
        <v>0</v>
      </c>
      <c r="S165" s="645"/>
      <c r="T165" s="646" t="str">
        <f t="array" ref="T165">IF(ISERROR(R165/R172),"",R165/R172)</f>
        <v/>
      </c>
      <c r="U165" s="646"/>
      <c r="V165" s="643" t="s">
        <v>259</v>
      </c>
      <c r="W165" s="643"/>
      <c r="X165" s="647">
        <f>SUM(P27,P85,P120,P136,P146,P160)</f>
        <v>0</v>
      </c>
      <c r="Y165" s="647"/>
      <c r="Z165" s="646" t="str">
        <f t="array" ref="Z165">IF(ISERROR(X165/X172),"",X165/X172)</f>
        <v/>
      </c>
      <c r="AA165" s="646"/>
    </row>
    <row r="166" spans="1:27" ht="20.100000000000001" customHeight="1">
      <c r="A166" s="636"/>
      <c r="B166" s="416" t="s">
        <v>260</v>
      </c>
      <c r="C166" s="638">
        <v>1</v>
      </c>
      <c r="D166" s="639"/>
      <c r="E166" s="642">
        <f>C166*11</f>
        <v>11</v>
      </c>
      <c r="F166" s="642"/>
      <c r="G166" s="643">
        <v>1</v>
      </c>
      <c r="H166" s="643"/>
      <c r="I166" s="642">
        <f>G166*11</f>
        <v>11</v>
      </c>
      <c r="J166" s="642"/>
      <c r="K166" s="642">
        <f>E166-I166</f>
        <v>0</v>
      </c>
      <c r="L166" s="642"/>
      <c r="M166" s="644">
        <f>IF(ISERROR(K166/E166),"",K166/E166)</f>
        <v>0</v>
      </c>
      <c r="N166" s="644"/>
      <c r="O166" s="640"/>
      <c r="P166" s="643" t="s">
        <v>216</v>
      </c>
      <c r="Q166" s="643"/>
      <c r="R166" s="645">
        <f>SUM(O86:U86)</f>
        <v>0</v>
      </c>
      <c r="S166" s="645"/>
      <c r="T166" s="646" t="str">
        <f>IF(ISERROR(R166/R172),"",R166/R172)</f>
        <v/>
      </c>
      <c r="U166" s="646"/>
      <c r="V166" s="643" t="s">
        <v>261</v>
      </c>
      <c r="W166" s="643"/>
      <c r="X166" s="647">
        <f>SUM(P28,P86,P121,P137,P147,P162)</f>
        <v>0</v>
      </c>
      <c r="Y166" s="647"/>
      <c r="Z166" s="646" t="str">
        <f>IF(ISERROR(X166/X172),"",X166/X172)</f>
        <v/>
      </c>
      <c r="AA166" s="646"/>
    </row>
    <row r="167" spans="1:27" ht="20.100000000000001" customHeight="1">
      <c r="A167" s="636"/>
      <c r="B167" s="416" t="s">
        <v>262</v>
      </c>
      <c r="C167" s="638">
        <v>1</v>
      </c>
      <c r="D167" s="639"/>
      <c r="E167" s="642">
        <f>C167*8</f>
        <v>8</v>
      </c>
      <c r="F167" s="642"/>
      <c r="G167" s="643">
        <v>1</v>
      </c>
      <c r="H167" s="643"/>
      <c r="I167" s="642">
        <f>G167*8</f>
        <v>8</v>
      </c>
      <c r="J167" s="642"/>
      <c r="K167" s="642">
        <f>E167-I167</f>
        <v>0</v>
      </c>
      <c r="L167" s="642"/>
      <c r="M167" s="644">
        <f>IF(ISERROR(K167/E167),"",K167/E167)</f>
        <v>0</v>
      </c>
      <c r="N167" s="644"/>
      <c r="O167" s="640"/>
      <c r="P167" s="643" t="s">
        <v>224</v>
      </c>
      <c r="Q167" s="643"/>
      <c r="R167" s="645">
        <f>SUM(O121:U121)</f>
        <v>0</v>
      </c>
      <c r="S167" s="645"/>
      <c r="T167" s="646" t="str">
        <f>IF(ISERROR(R167/R172),"",R167/R172)</f>
        <v/>
      </c>
      <c r="U167" s="646"/>
      <c r="V167" s="643" t="s">
        <v>263</v>
      </c>
      <c r="W167" s="643"/>
      <c r="X167" s="647">
        <f>SUM(P29,P87,P122,P138,P148,P163)</f>
        <v>0</v>
      </c>
      <c r="Y167" s="647"/>
      <c r="Z167" s="646" t="str">
        <f>IF(ISERROR(X167/X172),"",X167/X172)</f>
        <v/>
      </c>
      <c r="AA167" s="646"/>
    </row>
    <row r="168" spans="1:27" ht="20.100000000000001" customHeight="1">
      <c r="A168" s="636"/>
      <c r="B168" s="416" t="s">
        <v>264</v>
      </c>
      <c r="C168" s="638">
        <v>1</v>
      </c>
      <c r="D168" s="639"/>
      <c r="E168" s="642">
        <f>C168*11</f>
        <v>11</v>
      </c>
      <c r="F168" s="642"/>
      <c r="G168" s="643">
        <v>1</v>
      </c>
      <c r="H168" s="643"/>
      <c r="I168" s="642">
        <f>G168*11</f>
        <v>11</v>
      </c>
      <c r="J168" s="642"/>
      <c r="K168" s="642">
        <f>E168-I168</f>
        <v>0</v>
      </c>
      <c r="L168" s="642"/>
      <c r="M168" s="644">
        <f>IF(ISERROR(K168/E168),"",K168/E168)</f>
        <v>0</v>
      </c>
      <c r="N168" s="644"/>
      <c r="O168" s="640"/>
      <c r="P168" s="643" t="s">
        <v>231</v>
      </c>
      <c r="Q168" s="643"/>
      <c r="R168" s="645">
        <f>SUM(O137:U137)</f>
        <v>0</v>
      </c>
      <c r="S168" s="645"/>
      <c r="T168" s="646" t="str">
        <f>IF(ISERROR(R168/R172),"",R168/R172)</f>
        <v/>
      </c>
      <c r="U168" s="646"/>
      <c r="V168" s="643" t="s">
        <v>265</v>
      </c>
      <c r="W168" s="643"/>
      <c r="X168" s="647">
        <f>SUM(P31,P88,P123,P139,P149,P164)</f>
        <v>0</v>
      </c>
      <c r="Y168" s="647"/>
      <c r="Z168" s="646" t="str">
        <f>IF(ISERROR(X168/X172),"",X168/X172)</f>
        <v/>
      </c>
      <c r="AA168" s="646"/>
    </row>
    <row r="169" spans="1:27" ht="20.100000000000001" customHeight="1">
      <c r="A169" s="637"/>
      <c r="B169" s="416" t="s">
        <v>266</v>
      </c>
      <c r="C169" s="648">
        <f>SUM(C165:D168)</f>
        <v>4</v>
      </c>
      <c r="D169" s="649"/>
      <c r="E169" s="642">
        <f>SUM(E165:F168)</f>
        <v>41</v>
      </c>
      <c r="F169" s="642"/>
      <c r="G169" s="643">
        <f>SUM(G165:H168)</f>
        <v>4</v>
      </c>
      <c r="H169" s="643"/>
      <c r="I169" s="642">
        <f>SUM(I165:J168)</f>
        <v>41</v>
      </c>
      <c r="J169" s="642"/>
      <c r="K169" s="642">
        <f>SUM(K165:L168)</f>
        <v>0</v>
      </c>
      <c r="L169" s="642"/>
      <c r="M169" s="644">
        <f>IF(ISERROR(K169/E169),"",K169/E169)</f>
        <v>0</v>
      </c>
      <c r="N169" s="644"/>
      <c r="O169" s="640"/>
      <c r="P169" s="643" t="s">
        <v>234</v>
      </c>
      <c r="Q169" s="643"/>
      <c r="R169" s="645">
        <f>SUM(O147:U147)</f>
        <v>0</v>
      </c>
      <c r="S169" s="645"/>
      <c r="T169" s="646" t="str">
        <f>IF(ISERROR(R169/R172),"",R169/R172)</f>
        <v/>
      </c>
      <c r="U169" s="646"/>
      <c r="V169" s="643" t="s">
        <v>267</v>
      </c>
      <c r="W169" s="643"/>
      <c r="X169" s="647">
        <f>SUM(P32,P89,P124,P140,P150,P165)</f>
        <v>0</v>
      </c>
      <c r="Y169" s="647"/>
      <c r="Z169" s="646" t="str">
        <f>IF(ISERROR(X169/X172),"",X169/X172)</f>
        <v/>
      </c>
      <c r="AA169" s="646"/>
    </row>
    <row r="170" spans="1:27" ht="20.100000000000001" customHeight="1">
      <c r="A170" s="307" t="s">
        <v>477</v>
      </c>
      <c r="B170" s="416">
        <f>G163</f>
        <v>2184</v>
      </c>
      <c r="C170" s="650" t="s">
        <v>269</v>
      </c>
      <c r="D170" s="651"/>
      <c r="E170" s="643">
        <f>H163</f>
        <v>11115.82</v>
      </c>
      <c r="F170" s="643"/>
      <c r="G170" s="643" t="s">
        <v>270</v>
      </c>
      <c r="H170" s="643"/>
      <c r="I170" s="652">
        <f>L163</f>
        <v>13.637077539575136</v>
      </c>
      <c r="J170" s="652"/>
      <c r="K170" s="640" t="s">
        <v>271</v>
      </c>
      <c r="L170" s="640"/>
      <c r="M170" s="652">
        <f>J163</f>
        <v>13.565217391304348</v>
      </c>
      <c r="N170" s="652"/>
      <c r="O170" s="640"/>
      <c r="P170" s="643" t="s">
        <v>244</v>
      </c>
      <c r="Q170" s="643"/>
      <c r="R170" s="645">
        <f>SUM(O162:U162)</f>
        <v>0</v>
      </c>
      <c r="S170" s="645"/>
      <c r="T170" s="646" t="str">
        <f>IF(ISERROR(R170/R172),"",R170/R172)</f>
        <v/>
      </c>
      <c r="U170" s="646"/>
      <c r="V170" s="643" t="s">
        <v>272</v>
      </c>
      <c r="W170" s="643"/>
      <c r="X170" s="647">
        <f>SUM(P33,P90,P125,P141,P151,P166)</f>
        <v>0</v>
      </c>
      <c r="Y170" s="647"/>
      <c r="Z170" s="646" t="str">
        <f>IF(ISERROR(X170/X172),"",X170/X172)</f>
        <v/>
      </c>
      <c r="AA170" s="646"/>
    </row>
    <row r="171" spans="1:27" ht="20.100000000000001" customHeight="1">
      <c r="A171" s="308" t="s">
        <v>478</v>
      </c>
      <c r="B171" s="416">
        <f>I163+C169</f>
        <v>165</v>
      </c>
      <c r="C171" s="653" t="s">
        <v>251</v>
      </c>
      <c r="D171" s="654"/>
      <c r="E171" s="655">
        <f>K163+I169</f>
        <v>201.15161559813515</v>
      </c>
      <c r="F171" s="655"/>
      <c r="G171" s="643" t="s">
        <v>274</v>
      </c>
      <c r="H171" s="643"/>
      <c r="I171" s="652">
        <f>B171-E171</f>
        <v>-36.151615598135152</v>
      </c>
      <c r="J171" s="652"/>
      <c r="K171" s="640" t="s">
        <v>275</v>
      </c>
      <c r="L171" s="640"/>
      <c r="M171" s="644">
        <f>IF(ISERROR(I171/E171),"",I171/E171)</f>
        <v>-0.17972321768650168</v>
      </c>
      <c r="N171" s="644"/>
      <c r="O171" s="640"/>
      <c r="P171" s="643" t="s">
        <v>245</v>
      </c>
      <c r="Q171" s="643"/>
      <c r="R171" s="645"/>
      <c r="S171" s="645"/>
      <c r="T171" s="646" t="str">
        <f>IF(ISERROR(R171/R172),"",R171/R172)</f>
        <v/>
      </c>
      <c r="U171" s="646"/>
      <c r="V171" s="643" t="s">
        <v>264</v>
      </c>
      <c r="W171" s="643"/>
      <c r="X171" s="647"/>
      <c r="Y171" s="647"/>
      <c r="Z171" s="646" t="str">
        <f>IF(ISERROR(X171/X172),"",X171/X172)</f>
        <v/>
      </c>
      <c r="AA171" s="646"/>
    </row>
    <row r="172" spans="1:27" ht="20.100000000000001" customHeight="1">
      <c r="A172" s="308" t="s">
        <v>479</v>
      </c>
      <c r="B172" s="416">
        <f>N163</f>
        <v>0</v>
      </c>
      <c r="C172" s="653" t="s">
        <v>277</v>
      </c>
      <c r="D172" s="654"/>
      <c r="E172" s="646">
        <f>IF(ISERROR(B172/B171),"",B172/B171)</f>
        <v>0</v>
      </c>
      <c r="F172" s="646"/>
      <c r="G172" s="643" t="s">
        <v>278</v>
      </c>
      <c r="H172" s="643"/>
      <c r="I172" s="640">
        <f>V163</f>
        <v>0</v>
      </c>
      <c r="J172" s="640"/>
      <c r="K172" s="640" t="s">
        <v>279</v>
      </c>
      <c r="L172" s="640"/>
      <c r="M172" s="644">
        <f t="array" ref="M172">IF(ISERROR(I172/B170),"",I172/B170)</f>
        <v>0</v>
      </c>
      <c r="N172" s="644"/>
      <c r="O172" s="640"/>
      <c r="P172" s="643" t="s">
        <v>266</v>
      </c>
      <c r="Q172" s="643"/>
      <c r="R172" s="645">
        <f>SUM(R165:S171)</f>
        <v>0</v>
      </c>
      <c r="S172" s="645"/>
      <c r="T172" s="646"/>
      <c r="U172" s="646"/>
      <c r="V172" s="643" t="s">
        <v>266</v>
      </c>
      <c r="W172" s="643"/>
      <c r="X172" s="647">
        <f>SUM(X165:Y171)</f>
        <v>0</v>
      </c>
      <c r="Y172" s="647"/>
      <c r="Z172" s="646"/>
      <c r="AA172" s="646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56" t="s">
        <v>480</v>
      </c>
      <c r="B174" s="659" t="s">
        <v>280</v>
      </c>
      <c r="C174" s="659" t="s">
        <v>281</v>
      </c>
      <c r="D174" s="659" t="s">
        <v>282</v>
      </c>
      <c r="E174" s="662" t="s">
        <v>283</v>
      </c>
      <c r="F174" s="675" t="s">
        <v>284</v>
      </c>
      <c r="G174" s="640" t="s">
        <v>285</v>
      </c>
      <c r="H174" s="640"/>
      <c r="I174" s="659" t="s">
        <v>286</v>
      </c>
      <c r="J174" s="665" t="s">
        <v>271</v>
      </c>
      <c r="K174" s="668" t="s">
        <v>287</v>
      </c>
      <c r="L174" s="659" t="s">
        <v>270</v>
      </c>
      <c r="M174" s="671" t="s">
        <v>288</v>
      </c>
      <c r="N174" s="673" t="s">
        <v>252</v>
      </c>
      <c r="O174" s="640" t="s">
        <v>289</v>
      </c>
      <c r="P174" s="640"/>
      <c r="Q174" s="640"/>
      <c r="R174" s="640"/>
      <c r="S174" s="640"/>
      <c r="T174" s="640"/>
      <c r="U174" s="640"/>
      <c r="V174" s="640" t="s">
        <v>290</v>
      </c>
      <c r="W174" s="673" t="s">
        <v>291</v>
      </c>
      <c r="X174" s="640" t="s">
        <v>292</v>
      </c>
      <c r="Y174" s="640"/>
      <c r="Z174" s="640"/>
      <c r="AA174" s="640"/>
    </row>
    <row r="175" spans="1:27" ht="21.95" customHeight="1">
      <c r="A175" s="657"/>
      <c r="B175" s="660"/>
      <c r="C175" s="660"/>
      <c r="D175" s="660"/>
      <c r="E175" s="663"/>
      <c r="F175" s="676"/>
      <c r="G175" s="640"/>
      <c r="H175" s="640"/>
      <c r="I175" s="660"/>
      <c r="J175" s="666"/>
      <c r="K175" s="669"/>
      <c r="L175" s="660"/>
      <c r="M175" s="672"/>
      <c r="N175" s="673"/>
      <c r="O175" s="640" t="s">
        <v>259</v>
      </c>
      <c r="P175" s="640" t="s">
        <v>261</v>
      </c>
      <c r="Q175" s="640" t="s">
        <v>263</v>
      </c>
      <c r="R175" s="674" t="s">
        <v>265</v>
      </c>
      <c r="S175" s="643" t="s">
        <v>267</v>
      </c>
      <c r="T175" s="640" t="s">
        <v>272</v>
      </c>
      <c r="U175" s="640" t="s">
        <v>264</v>
      </c>
      <c r="V175" s="640"/>
      <c r="W175" s="673"/>
      <c r="X175" s="640" t="s">
        <v>293</v>
      </c>
      <c r="Y175" s="640" t="s">
        <v>294</v>
      </c>
      <c r="Z175" s="640" t="s">
        <v>295</v>
      </c>
      <c r="AA175" s="640" t="s">
        <v>264</v>
      </c>
    </row>
    <row r="176" spans="1:27" ht="21.95" customHeight="1">
      <c r="A176" s="658"/>
      <c r="B176" s="661"/>
      <c r="C176" s="661"/>
      <c r="D176" s="661"/>
      <c r="E176" s="664"/>
      <c r="F176" s="677"/>
      <c r="G176" s="348" t="s">
        <v>518</v>
      </c>
      <c r="H176" s="409" t="s">
        <v>297</v>
      </c>
      <c r="I176" s="661"/>
      <c r="J176" s="667"/>
      <c r="K176" s="670"/>
      <c r="L176" s="661"/>
      <c r="M176" s="672"/>
      <c r="N176" s="673"/>
      <c r="O176" s="640"/>
      <c r="P176" s="640"/>
      <c r="Q176" s="640"/>
      <c r="R176" s="674"/>
      <c r="S176" s="643"/>
      <c r="T176" s="640"/>
      <c r="U176" s="640"/>
      <c r="V176" s="640"/>
      <c r="W176" s="673"/>
      <c r="X176" s="640"/>
      <c r="Y176" s="640"/>
      <c r="Z176" s="640"/>
      <c r="AA176" s="640"/>
    </row>
    <row r="177" spans="1:27" ht="20.100000000000001" hidden="1" customHeight="1">
      <c r="A177" s="299">
        <v>30100030</v>
      </c>
      <c r="B177" s="411" t="s">
        <v>178</v>
      </c>
      <c r="C177" s="126" t="s">
        <v>179</v>
      </c>
      <c r="D177" s="108">
        <v>5.03</v>
      </c>
      <c r="E177" s="108"/>
      <c r="F177" s="127"/>
      <c r="G177" s="128"/>
      <c r="H177" s="419">
        <f t="shared" ref="H177:H186" si="78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9">IF(ISERROR(I177-K177),"",I177-K177)</f>
        <v>0</v>
      </c>
      <c r="N177" s="130">
        <f>SUM(O177:U177)</f>
        <v>0</v>
      </c>
      <c r="O177" s="410"/>
      <c r="P177" s="410"/>
      <c r="Q177" s="410"/>
      <c r="R177" s="410"/>
      <c r="S177" s="410"/>
      <c r="T177" s="410"/>
      <c r="U177" s="410"/>
      <c r="V177" s="132">
        <f t="shared" ref="V177:V182" si="80">SUM(X177:AA177)</f>
        <v>0</v>
      </c>
      <c r="W177" s="133" t="str">
        <f t="shared" ref="W177:W182" si="81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419">
        <f t="shared" si="78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9"/>
        <v>0</v>
      </c>
      <c r="N178" s="130">
        <f t="shared" ref="N178:N186" si="82">SUM(O178:U178)</f>
        <v>0</v>
      </c>
      <c r="O178" s="410"/>
      <c r="P178" s="410"/>
      <c r="Q178" s="410"/>
      <c r="R178" s="410"/>
      <c r="S178" s="410"/>
      <c r="T178" s="410"/>
      <c r="U178" s="410"/>
      <c r="V178" s="132">
        <f t="shared" si="80"/>
        <v>0</v>
      </c>
      <c r="W178" s="133" t="str">
        <f t="shared" si="81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419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9"/>
        <v>0</v>
      </c>
      <c r="N179" s="130">
        <f t="shared" si="82"/>
        <v>0</v>
      </c>
      <c r="O179" s="410"/>
      <c r="P179" s="410"/>
      <c r="Q179" s="410"/>
      <c r="R179" s="410"/>
      <c r="S179" s="410"/>
      <c r="T179" s="410"/>
      <c r="U179" s="410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>
        <v>42709</v>
      </c>
      <c r="G180" s="128">
        <f>36+108*6</f>
        <v>684</v>
      </c>
      <c r="H180" s="419">
        <f t="shared" si="78"/>
        <v>3440.52</v>
      </c>
      <c r="I180" s="129">
        <f>10.5*4</f>
        <v>42</v>
      </c>
      <c r="J180" s="130">
        <f t="array" ref="J180">IF(ISERROR(G180/I180),"",G180/I180)</f>
        <v>16.285714285714285</v>
      </c>
      <c r="K180" s="131">
        <f t="array" ref="K180">IF(ISERROR(G180/L180),"",G180/L180)</f>
        <v>36</v>
      </c>
      <c r="L180" s="129">
        <v>19</v>
      </c>
      <c r="M180" s="109">
        <f t="shared" si="79"/>
        <v>6</v>
      </c>
      <c r="N180" s="130">
        <f t="shared" si="82"/>
        <v>0</v>
      </c>
      <c r="O180" s="410"/>
      <c r="P180" s="410"/>
      <c r="Q180" s="410"/>
      <c r="R180" s="410"/>
      <c r="S180" s="410"/>
      <c r="T180" s="410"/>
      <c r="U180" s="410"/>
      <c r="V180" s="132">
        <f t="shared" si="80"/>
        <v>0</v>
      </c>
      <c r="W180" s="133">
        <f t="shared" si="81"/>
        <v>0</v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419">
        <f t="shared" si="78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9"/>
        <v>0</v>
      </c>
      <c r="N181" s="130">
        <f t="shared" si="82"/>
        <v>0</v>
      </c>
      <c r="O181" s="410"/>
      <c r="P181" s="410"/>
      <c r="Q181" s="410"/>
      <c r="R181" s="410"/>
      <c r="S181" s="410"/>
      <c r="T181" s="410"/>
      <c r="U181" s="410"/>
      <c r="V181" s="132">
        <f t="shared" si="80"/>
        <v>0</v>
      </c>
      <c r="W181" s="133" t="str">
        <f t="shared" si="81"/>
        <v/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419">
        <f t="shared" si="78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9"/>
        <v>0</v>
      </c>
      <c r="N182" s="130">
        <f t="shared" si="82"/>
        <v>0</v>
      </c>
      <c r="O182" s="410"/>
      <c r="P182" s="410"/>
      <c r="Q182" s="410"/>
      <c r="R182" s="410"/>
      <c r="S182" s="410"/>
      <c r="T182" s="410"/>
      <c r="U182" s="410"/>
      <c r="V182" s="132">
        <f t="shared" si="80"/>
        <v>0</v>
      </c>
      <c r="W182" s="133" t="str">
        <f t="shared" si="81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419">
        <f t="shared" si="78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9"/>
        <v>0</v>
      </c>
      <c r="N183" s="130">
        <f t="shared" si="82"/>
        <v>0</v>
      </c>
      <c r="O183" s="410"/>
      <c r="P183" s="410"/>
      <c r="Q183" s="410"/>
      <c r="R183" s="410"/>
      <c r="S183" s="410"/>
      <c r="T183" s="410"/>
      <c r="U183" s="410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419">
        <f t="shared" si="78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9"/>
        <v>0</v>
      </c>
      <c r="N184" s="130">
        <f t="shared" si="82"/>
        <v>0</v>
      </c>
      <c r="O184" s="410"/>
      <c r="P184" s="410"/>
      <c r="Q184" s="410"/>
      <c r="R184" s="410"/>
      <c r="S184" s="410"/>
      <c r="T184" s="410"/>
      <c r="U184" s="410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419">
        <f t="shared" si="78"/>
        <v>0</v>
      </c>
      <c r="I185" s="419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9"/>
        <v>0</v>
      </c>
      <c r="N185" s="130">
        <f t="shared" si="82"/>
        <v>0</v>
      </c>
      <c r="O185" s="410"/>
      <c r="P185" s="410"/>
      <c r="Q185" s="410"/>
      <c r="R185" s="410"/>
      <c r="S185" s="410"/>
      <c r="T185" s="410"/>
      <c r="U185" s="410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419">
        <f t="shared" si="78"/>
        <v>0</v>
      </c>
      <c r="I186" s="419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9"/>
        <v>0</v>
      </c>
      <c r="N186" s="130">
        <f t="shared" si="82"/>
        <v>0</v>
      </c>
      <c r="O186" s="410"/>
      <c r="P186" s="410"/>
      <c r="Q186" s="410"/>
      <c r="R186" s="410"/>
      <c r="S186" s="410"/>
      <c r="T186" s="410"/>
      <c r="U186" s="410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419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410"/>
      <c r="P187" s="410"/>
      <c r="Q187" s="410"/>
      <c r="R187" s="410"/>
      <c r="S187" s="410"/>
      <c r="T187" s="410"/>
      <c r="U187" s="410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419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10"/>
      <c r="P188" s="410"/>
      <c r="Q188" s="410"/>
      <c r="R188" s="410"/>
      <c r="S188" s="410"/>
      <c r="T188" s="410"/>
      <c r="U188" s="410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419">
        <f t="shared" ref="H189:H197" si="83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4">IF(ISERROR(I189-K189),"",I189-K189)</f>
        <v>0</v>
      </c>
      <c r="N189" s="130">
        <f t="shared" ref="N189:N191" si="85">SUM(O189:U189)</f>
        <v>0</v>
      </c>
      <c r="O189" s="410"/>
      <c r="P189" s="410"/>
      <c r="Q189" s="410"/>
      <c r="R189" s="410"/>
      <c r="S189" s="410"/>
      <c r="T189" s="410"/>
      <c r="U189" s="410"/>
      <c r="V189" s="132">
        <f t="shared" ref="V189:V191" si="86">SUM(X189:AA189)</f>
        <v>0</v>
      </c>
      <c r="W189" s="133" t="str">
        <f t="shared" ref="W189:W191" si="87">IF(ISERROR(V189/G189),"",V189/G189)</f>
        <v/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419">
        <f t="shared" si="83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4"/>
        <v>0</v>
      </c>
      <c r="N190" s="130">
        <f t="shared" si="85"/>
        <v>0</v>
      </c>
      <c r="O190" s="410"/>
      <c r="P190" s="410"/>
      <c r="Q190" s="410"/>
      <c r="R190" s="410"/>
      <c r="S190" s="410"/>
      <c r="T190" s="410"/>
      <c r="U190" s="410"/>
      <c r="V190" s="132">
        <f t="shared" si="86"/>
        <v>0</v>
      </c>
      <c r="W190" s="133" t="str">
        <f t="shared" si="87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419">
        <f t="shared" si="83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4"/>
        <v>0</v>
      </c>
      <c r="N191" s="130">
        <f t="shared" si="85"/>
        <v>0</v>
      </c>
      <c r="O191" s="410"/>
      <c r="P191" s="410"/>
      <c r="Q191" s="410"/>
      <c r="R191" s="410"/>
      <c r="S191" s="410"/>
      <c r="T191" s="410"/>
      <c r="U191" s="410"/>
      <c r="V191" s="132">
        <f t="shared" si="86"/>
        <v>0</v>
      </c>
      <c r="W191" s="133" t="str">
        <f t="shared" si="87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409" t="s">
        <v>190</v>
      </c>
      <c r="D192" s="108">
        <v>4.8</v>
      </c>
      <c r="E192" s="108"/>
      <c r="F192" s="127"/>
      <c r="G192" s="128"/>
      <c r="H192" s="419">
        <f t="shared" si="83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4"/>
        <v>0</v>
      </c>
      <c r="N192" s="130"/>
      <c r="O192" s="410"/>
      <c r="P192" s="410"/>
      <c r="Q192" s="410"/>
      <c r="R192" s="410"/>
      <c r="S192" s="410"/>
      <c r="T192" s="410"/>
      <c r="U192" s="410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409" t="s">
        <v>187</v>
      </c>
      <c r="D193" s="108">
        <v>4.8</v>
      </c>
      <c r="E193" s="108"/>
      <c r="F193" s="127"/>
      <c r="G193" s="128"/>
      <c r="H193" s="419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410"/>
      <c r="P193" s="410"/>
      <c r="Q193" s="410"/>
      <c r="R193" s="410"/>
      <c r="S193" s="410"/>
      <c r="T193" s="410"/>
      <c r="U193" s="410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409" t="s">
        <v>179</v>
      </c>
      <c r="D194" s="108">
        <v>4.8</v>
      </c>
      <c r="E194" s="108"/>
      <c r="F194" s="127"/>
      <c r="G194" s="128"/>
      <c r="H194" s="419">
        <f t="shared" si="83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4"/>
        <v>0</v>
      </c>
      <c r="N194" s="130"/>
      <c r="O194" s="410"/>
      <c r="P194" s="410"/>
      <c r="Q194" s="410"/>
      <c r="R194" s="410"/>
      <c r="S194" s="410"/>
      <c r="T194" s="410"/>
      <c r="U194" s="410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409" t="s">
        <v>199</v>
      </c>
      <c r="D195" s="108">
        <v>4.8</v>
      </c>
      <c r="E195" s="108"/>
      <c r="F195" s="127"/>
      <c r="G195" s="128"/>
      <c r="H195" s="419">
        <f t="shared" si="83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4"/>
        <v>0</v>
      </c>
      <c r="N195" s="130"/>
      <c r="O195" s="410"/>
      <c r="P195" s="410"/>
      <c r="Q195" s="410"/>
      <c r="R195" s="410"/>
      <c r="S195" s="410"/>
      <c r="T195" s="410"/>
      <c r="U195" s="410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419">
        <f t="shared" si="83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4"/>
        <v>0</v>
      </c>
      <c r="N196" s="130">
        <f t="shared" ref="N196:N197" si="88">SUM(O196:U196)</f>
        <v>0</v>
      </c>
      <c r="O196" s="410"/>
      <c r="P196" s="410"/>
      <c r="Q196" s="410"/>
      <c r="R196" s="410"/>
      <c r="S196" s="410"/>
      <c r="T196" s="410"/>
      <c r="U196" s="410"/>
      <c r="V196" s="132">
        <f t="shared" ref="V196:V197" si="89">SUM(X196:AA196)</f>
        <v>0</v>
      </c>
      <c r="W196" s="133" t="str">
        <f t="shared" ref="W196:W197" si="90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419">
        <f t="shared" si="83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4"/>
        <v>0</v>
      </c>
      <c r="N197" s="130">
        <f t="shared" si="88"/>
        <v>0</v>
      </c>
      <c r="O197" s="410"/>
      <c r="P197" s="410"/>
      <c r="Q197" s="410"/>
      <c r="R197" s="410"/>
      <c r="S197" s="410"/>
      <c r="T197" s="410"/>
      <c r="U197" s="410"/>
      <c r="V197" s="132">
        <f t="shared" si="89"/>
        <v>0</v>
      </c>
      <c r="W197" s="133" t="str">
        <f t="shared" si="90"/>
        <v/>
      </c>
      <c r="X197" s="132"/>
      <c r="Y197" s="132"/>
      <c r="Z197" s="132"/>
      <c r="AA197" s="132"/>
    </row>
    <row r="198" spans="1:27" ht="20.100000000000001" customHeight="1">
      <c r="A198" s="630" t="s">
        <v>201</v>
      </c>
      <c r="B198" s="631"/>
      <c r="C198" s="417" t="s">
        <v>202</v>
      </c>
      <c r="D198" s="143"/>
      <c r="E198" s="143"/>
      <c r="F198" s="144"/>
      <c r="G198" s="145">
        <f>SUM(G177:G197)</f>
        <v>684</v>
      </c>
      <c r="H198" s="146">
        <f>SUM(H177:H197)</f>
        <v>3440.52</v>
      </c>
      <c r="I198" s="146">
        <f>SUM(I177:I197)</f>
        <v>42</v>
      </c>
      <c r="J198" s="130">
        <f t="array" ref="J198">IF(ISERROR(G198/I198),"",G198/I198)</f>
        <v>16.285714285714285</v>
      </c>
      <c r="K198" s="146">
        <f>SUM(K177:K197)</f>
        <v>36</v>
      </c>
      <c r="L198" s="147"/>
      <c r="M198" s="150">
        <f t="shared" ref="M198:AA198" si="91">SUM(M177:M197)</f>
        <v>6</v>
      </c>
      <c r="N198" s="146">
        <f t="shared" si="91"/>
        <v>0</v>
      </c>
      <c r="O198" s="148">
        <f t="shared" si="91"/>
        <v>0</v>
      </c>
      <c r="P198" s="148">
        <f t="shared" si="91"/>
        <v>0</v>
      </c>
      <c r="Q198" s="148">
        <f t="shared" si="91"/>
        <v>0</v>
      </c>
      <c r="R198" s="148">
        <f t="shared" si="91"/>
        <v>0</v>
      </c>
      <c r="S198" s="148">
        <f t="shared" si="91"/>
        <v>0</v>
      </c>
      <c r="T198" s="148">
        <f t="shared" si="91"/>
        <v>0</v>
      </c>
      <c r="U198" s="148">
        <f t="shared" si="91"/>
        <v>0</v>
      </c>
      <c r="V198" s="149">
        <f t="shared" si="91"/>
        <v>0</v>
      </c>
      <c r="W198" s="133">
        <f t="shared" si="91"/>
        <v>0</v>
      </c>
      <c r="X198" s="149">
        <f t="shared" si="91"/>
        <v>0</v>
      </c>
      <c r="Y198" s="149">
        <f t="shared" si="91"/>
        <v>0</v>
      </c>
      <c r="Z198" s="149">
        <f t="shared" si="91"/>
        <v>0</v>
      </c>
      <c r="AA198" s="149">
        <f t="shared" si="91"/>
        <v>0</v>
      </c>
    </row>
    <row r="199" spans="1:27" ht="20.100000000000001" hidden="1" customHeight="1">
      <c r="A199" s="300">
        <v>30100012</v>
      </c>
      <c r="B199" s="411" t="s">
        <v>206</v>
      </c>
      <c r="C199" s="126" t="s">
        <v>199</v>
      </c>
      <c r="D199" s="108">
        <v>5.03</v>
      </c>
      <c r="E199" s="108"/>
      <c r="F199" s="127"/>
      <c r="G199" s="128"/>
      <c r="H199" s="419">
        <f t="shared" ref="H199:H255" si="92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3">IF(ISERROR(I199-K199),"",I199-K199)</f>
        <v>0</v>
      </c>
      <c r="N199" s="130">
        <f t="shared" ref="N199" si="94">SUM(O199:U199)</f>
        <v>0</v>
      </c>
      <c r="O199" s="414"/>
      <c r="P199" s="414"/>
      <c r="Q199" s="414"/>
      <c r="R199" s="414"/>
      <c r="S199" s="414"/>
      <c r="T199" s="414"/>
      <c r="U199" s="414"/>
      <c r="V199" s="132">
        <f t="shared" ref="V199" si="95">SUM(X199:AA199)</f>
        <v>0</v>
      </c>
      <c r="W199" s="133" t="str">
        <f t="shared" ref="W199" si="96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411" t="s">
        <v>425</v>
      </c>
      <c r="C200" s="187" t="s">
        <v>427</v>
      </c>
      <c r="D200" s="108">
        <v>5.03</v>
      </c>
      <c r="E200" s="108"/>
      <c r="F200" s="127"/>
      <c r="G200" s="128"/>
      <c r="H200" s="419">
        <f t="shared" si="92"/>
        <v>0</v>
      </c>
      <c r="I200" s="129"/>
      <c r="J200" s="130"/>
      <c r="K200" s="131"/>
      <c r="L200" s="129">
        <v>52</v>
      </c>
      <c r="M200" s="109"/>
      <c r="N200" s="130"/>
      <c r="O200" s="414"/>
      <c r="P200" s="414"/>
      <c r="Q200" s="414"/>
      <c r="R200" s="414"/>
      <c r="S200" s="414"/>
      <c r="T200" s="414"/>
      <c r="U200" s="414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411" t="s">
        <v>206</v>
      </c>
      <c r="C201" s="126" t="s">
        <v>186</v>
      </c>
      <c r="D201" s="108">
        <v>5.03</v>
      </c>
      <c r="E201" s="108"/>
      <c r="F201" s="127"/>
      <c r="G201" s="128"/>
      <c r="H201" s="419">
        <f t="shared" si="92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7">IF(ISERROR(I201-K201),"",I201-K201)</f>
        <v>0</v>
      </c>
      <c r="N201" s="130">
        <f t="shared" ref="N201:N203" si="98">SUM(O201:U201)</f>
        <v>0</v>
      </c>
      <c r="O201" s="414"/>
      <c r="P201" s="414"/>
      <c r="Q201" s="414"/>
      <c r="R201" s="414"/>
      <c r="S201" s="414"/>
      <c r="T201" s="414"/>
      <c r="U201" s="414"/>
      <c r="V201" s="132">
        <f t="shared" ref="V201:V203" si="99">SUM(X201:AA201)</f>
        <v>0</v>
      </c>
      <c r="W201" s="133" t="str">
        <f t="shared" ref="W201:W203" si="100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411" t="s">
        <v>206</v>
      </c>
      <c r="C202" s="126" t="s">
        <v>203</v>
      </c>
      <c r="D202" s="108">
        <v>5.03</v>
      </c>
      <c r="E202" s="108"/>
      <c r="F202" s="127"/>
      <c r="G202" s="128"/>
      <c r="H202" s="419">
        <f t="shared" si="92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8"/>
        <v>0</v>
      </c>
      <c r="O202" s="414"/>
      <c r="P202" s="414"/>
      <c r="Q202" s="414"/>
      <c r="R202" s="414"/>
      <c r="S202" s="414"/>
      <c r="T202" s="414"/>
      <c r="U202" s="414"/>
      <c r="V202" s="132">
        <f t="shared" si="99"/>
        <v>0</v>
      </c>
      <c r="W202" s="133" t="str">
        <f t="shared" si="100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411" t="s">
        <v>206</v>
      </c>
      <c r="C203" s="126" t="s">
        <v>207</v>
      </c>
      <c r="D203" s="108">
        <v>5.03</v>
      </c>
      <c r="E203" s="108"/>
      <c r="F203" s="127"/>
      <c r="G203" s="128"/>
      <c r="H203" s="419">
        <f t="shared" si="92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1">IF(ISERROR(I203-K203),"",I203-K203)</f>
        <v>0</v>
      </c>
      <c r="N203" s="130">
        <f t="shared" si="98"/>
        <v>0</v>
      </c>
      <c r="O203" s="414"/>
      <c r="P203" s="414"/>
      <c r="Q203" s="414"/>
      <c r="R203" s="414"/>
      <c r="S203" s="414"/>
      <c r="T203" s="414"/>
      <c r="U203" s="414"/>
      <c r="V203" s="132">
        <f t="shared" si="99"/>
        <v>0</v>
      </c>
      <c r="W203" s="133" t="str">
        <f t="shared" si="100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411" t="s">
        <v>414</v>
      </c>
      <c r="C204" s="187" t="s">
        <v>415</v>
      </c>
      <c r="D204" s="108">
        <v>5.03</v>
      </c>
      <c r="E204" s="108"/>
      <c r="F204" s="127"/>
      <c r="G204" s="128"/>
      <c r="H204" s="419">
        <f t="shared" si="92"/>
        <v>0</v>
      </c>
      <c r="I204" s="129"/>
      <c r="J204" s="130"/>
      <c r="K204" s="131"/>
      <c r="L204" s="129">
        <v>52</v>
      </c>
      <c r="M204" s="109"/>
      <c r="N204" s="130"/>
      <c r="O204" s="414"/>
      <c r="P204" s="414"/>
      <c r="Q204" s="414"/>
      <c r="R204" s="414"/>
      <c r="S204" s="414"/>
      <c r="T204" s="414"/>
      <c r="U204" s="414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411" t="s">
        <v>414</v>
      </c>
      <c r="C205" s="187" t="s">
        <v>416</v>
      </c>
      <c r="D205" s="108">
        <v>5.03</v>
      </c>
      <c r="E205" s="108"/>
      <c r="F205" s="127"/>
      <c r="G205" s="128"/>
      <c r="H205" s="419">
        <f t="shared" si="92"/>
        <v>0</v>
      </c>
      <c r="I205" s="129"/>
      <c r="J205" s="130"/>
      <c r="K205" s="131"/>
      <c r="L205" s="129">
        <v>52</v>
      </c>
      <c r="M205" s="109"/>
      <c r="N205" s="130"/>
      <c r="O205" s="414"/>
      <c r="P205" s="414"/>
      <c r="Q205" s="414"/>
      <c r="R205" s="414"/>
      <c r="S205" s="414"/>
      <c r="T205" s="414"/>
      <c r="U205" s="414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411" t="s">
        <v>414</v>
      </c>
      <c r="C206" s="187" t="s">
        <v>61</v>
      </c>
      <c r="D206" s="108">
        <v>5.03</v>
      </c>
      <c r="E206" s="108"/>
      <c r="F206" s="127"/>
      <c r="G206" s="128"/>
      <c r="H206" s="419">
        <f t="shared" si="92"/>
        <v>0</v>
      </c>
      <c r="I206" s="129"/>
      <c r="J206" s="130"/>
      <c r="K206" s="131"/>
      <c r="L206" s="129">
        <v>52</v>
      </c>
      <c r="M206" s="109"/>
      <c r="N206" s="130"/>
      <c r="O206" s="414"/>
      <c r="P206" s="414"/>
      <c r="Q206" s="414"/>
      <c r="R206" s="414"/>
      <c r="S206" s="414"/>
      <c r="T206" s="414"/>
      <c r="U206" s="414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411" t="s">
        <v>208</v>
      </c>
      <c r="C207" s="126" t="s">
        <v>179</v>
      </c>
      <c r="D207" s="108">
        <v>5.08</v>
      </c>
      <c r="E207" s="108"/>
      <c r="F207" s="127"/>
      <c r="G207" s="128"/>
      <c r="H207" s="419">
        <f t="shared" si="92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2">IF(ISERROR(I207-K207),"",I207-K207)</f>
        <v>0</v>
      </c>
      <c r="N207" s="130">
        <f t="shared" ref="N207:N236" si="103">SUM(O207:U207)</f>
        <v>0</v>
      </c>
      <c r="O207" s="414"/>
      <c r="P207" s="414"/>
      <c r="Q207" s="414"/>
      <c r="R207" s="414"/>
      <c r="S207" s="414"/>
      <c r="T207" s="414"/>
      <c r="U207" s="414"/>
      <c r="V207" s="132">
        <f t="shared" ref="V207:V218" si="104">SUM(X207:AA207)</f>
        <v>0</v>
      </c>
      <c r="W207" s="133" t="str">
        <f t="shared" ref="W207:W218" si="105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411" t="s">
        <v>208</v>
      </c>
      <c r="C208" s="126" t="s">
        <v>204</v>
      </c>
      <c r="D208" s="108">
        <v>5.08</v>
      </c>
      <c r="E208" s="108"/>
      <c r="F208" s="127"/>
      <c r="G208" s="128"/>
      <c r="H208" s="419">
        <f t="shared" si="92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2"/>
        <v>0</v>
      </c>
      <c r="N208" s="130">
        <f t="shared" si="103"/>
        <v>0</v>
      </c>
      <c r="O208" s="414"/>
      <c r="P208" s="414"/>
      <c r="Q208" s="414"/>
      <c r="R208" s="414"/>
      <c r="S208" s="414"/>
      <c r="T208" s="414"/>
      <c r="U208" s="414"/>
      <c r="V208" s="132">
        <f t="shared" si="104"/>
        <v>0</v>
      </c>
      <c r="W208" s="133" t="str">
        <f t="shared" si="105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411" t="s">
        <v>208</v>
      </c>
      <c r="C209" s="126" t="s">
        <v>205</v>
      </c>
      <c r="D209" s="108">
        <v>5.08</v>
      </c>
      <c r="E209" s="108"/>
      <c r="F209" s="127"/>
      <c r="G209" s="128"/>
      <c r="H209" s="419">
        <f t="shared" si="92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414"/>
      <c r="P209" s="414"/>
      <c r="Q209" s="414"/>
      <c r="R209" s="414"/>
      <c r="S209" s="414"/>
      <c r="T209" s="414"/>
      <c r="U209" s="414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411" t="s">
        <v>208</v>
      </c>
      <c r="C210" s="126" t="s">
        <v>186</v>
      </c>
      <c r="D210" s="108">
        <v>5.08</v>
      </c>
      <c r="E210" s="108"/>
      <c r="F210" s="127"/>
      <c r="G210" s="128"/>
      <c r="H210" s="419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414"/>
      <c r="P210" s="414"/>
      <c r="Q210" s="414"/>
      <c r="R210" s="414"/>
      <c r="S210" s="414"/>
      <c r="T210" s="414"/>
      <c r="U210" s="414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411" t="s">
        <v>208</v>
      </c>
      <c r="C211" s="126" t="s">
        <v>203</v>
      </c>
      <c r="D211" s="108">
        <v>5.08</v>
      </c>
      <c r="E211" s="108"/>
      <c r="F211" s="127"/>
      <c r="G211" s="128"/>
      <c r="H211" s="419">
        <f t="shared" si="92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2"/>
        <v>0</v>
      </c>
      <c r="N211" s="130">
        <f t="shared" si="103"/>
        <v>0</v>
      </c>
      <c r="O211" s="414"/>
      <c r="P211" s="414"/>
      <c r="Q211" s="414"/>
      <c r="R211" s="414"/>
      <c r="S211" s="414"/>
      <c r="T211" s="414"/>
      <c r="U211" s="414"/>
      <c r="V211" s="132">
        <f t="shared" si="104"/>
        <v>0</v>
      </c>
      <c r="W211" s="133" t="str">
        <f t="shared" si="105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411" t="s">
        <v>208</v>
      </c>
      <c r="C212" s="126" t="s">
        <v>199</v>
      </c>
      <c r="D212" s="108">
        <v>5.08</v>
      </c>
      <c r="E212" s="108"/>
      <c r="F212" s="127"/>
      <c r="G212" s="128"/>
      <c r="H212" s="419">
        <f t="shared" si="92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2"/>
        <v>0</v>
      </c>
      <c r="N212" s="130">
        <f t="shared" si="103"/>
        <v>0</v>
      </c>
      <c r="O212" s="410"/>
      <c r="P212" s="410"/>
      <c r="Q212" s="410"/>
      <c r="R212" s="410"/>
      <c r="S212" s="410"/>
      <c r="T212" s="410"/>
      <c r="U212" s="410"/>
      <c r="V212" s="132">
        <f t="shared" si="104"/>
        <v>0</v>
      </c>
      <c r="W212" s="133" t="str">
        <f t="shared" si="105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411" t="s">
        <v>208</v>
      </c>
      <c r="C213" s="126" t="s">
        <v>187</v>
      </c>
      <c r="D213" s="108">
        <v>5.08</v>
      </c>
      <c r="E213" s="108"/>
      <c r="F213" s="127"/>
      <c r="G213" s="128"/>
      <c r="H213" s="419">
        <f t="shared" si="92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2"/>
        <v>0</v>
      </c>
      <c r="N213" s="130">
        <f t="shared" si="103"/>
        <v>0</v>
      </c>
      <c r="O213" s="414"/>
      <c r="P213" s="414"/>
      <c r="Q213" s="414"/>
      <c r="R213" s="414"/>
      <c r="S213" s="414"/>
      <c r="T213" s="414"/>
      <c r="U213" s="414"/>
      <c r="V213" s="132">
        <f t="shared" si="104"/>
        <v>0</v>
      </c>
      <c r="W213" s="133" t="str">
        <f t="shared" si="105"/>
        <v/>
      </c>
      <c r="X213" s="132"/>
      <c r="Y213" s="132"/>
      <c r="Z213" s="132"/>
      <c r="AA213" s="132"/>
    </row>
    <row r="214" spans="1:27" ht="20.100000000000001" customHeight="1">
      <c r="A214" s="300">
        <v>30100028</v>
      </c>
      <c r="B214" s="411" t="s">
        <v>208</v>
      </c>
      <c r="C214" s="126" t="s">
        <v>207</v>
      </c>
      <c r="D214" s="108">
        <v>5.08</v>
      </c>
      <c r="E214" s="108"/>
      <c r="F214" s="127">
        <v>42710</v>
      </c>
      <c r="G214" s="128">
        <f>60+107</f>
        <v>167</v>
      </c>
      <c r="H214" s="419">
        <f t="shared" si="92"/>
        <v>848.36</v>
      </c>
      <c r="I214" s="129">
        <v>8</v>
      </c>
      <c r="J214" s="130">
        <f t="array" ref="J214">IF(ISERROR(G214/I214),"",G214/I214)</f>
        <v>20.875</v>
      </c>
      <c r="K214" s="131">
        <f t="array" ref="K214">IF(ISERROR(G214/L214),"",G214/L214)</f>
        <v>7.9523809523809526</v>
      </c>
      <c r="L214" s="129">
        <v>21</v>
      </c>
      <c r="M214" s="109">
        <f t="shared" si="102"/>
        <v>4.761904761904745E-2</v>
      </c>
      <c r="N214" s="130">
        <f t="shared" si="103"/>
        <v>0</v>
      </c>
      <c r="O214" s="410"/>
      <c r="P214" s="410"/>
      <c r="Q214" s="410"/>
      <c r="R214" s="410"/>
      <c r="S214" s="410"/>
      <c r="T214" s="410"/>
      <c r="U214" s="410"/>
      <c r="V214" s="132">
        <f t="shared" si="104"/>
        <v>0</v>
      </c>
      <c r="W214" s="133">
        <f t="shared" si="105"/>
        <v>0</v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411" t="s">
        <v>209</v>
      </c>
      <c r="C215" s="126" t="s">
        <v>194</v>
      </c>
      <c r="D215" s="108">
        <v>5.03</v>
      </c>
      <c r="E215" s="108"/>
      <c r="F215" s="127"/>
      <c r="G215" s="128"/>
      <c r="H215" s="419">
        <f t="shared" si="92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2"/>
        <v>0</v>
      </c>
      <c r="N215" s="130">
        <f t="shared" si="103"/>
        <v>0</v>
      </c>
      <c r="O215" s="414"/>
      <c r="P215" s="414"/>
      <c r="Q215" s="414"/>
      <c r="R215" s="414"/>
      <c r="S215" s="414"/>
      <c r="T215" s="414"/>
      <c r="U215" s="414"/>
      <c r="V215" s="132">
        <f t="shared" si="104"/>
        <v>0</v>
      </c>
      <c r="W215" s="133" t="str">
        <f t="shared" si="105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411" t="s">
        <v>209</v>
      </c>
      <c r="C216" s="126" t="s">
        <v>179</v>
      </c>
      <c r="D216" s="108">
        <v>5.03</v>
      </c>
      <c r="E216" s="108"/>
      <c r="F216" s="127"/>
      <c r="G216" s="128"/>
      <c r="H216" s="419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414"/>
      <c r="P216" s="414"/>
      <c r="Q216" s="414"/>
      <c r="R216" s="414"/>
      <c r="S216" s="414"/>
      <c r="T216" s="414"/>
      <c r="U216" s="414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411" t="s">
        <v>209</v>
      </c>
      <c r="C217" s="126" t="s">
        <v>195</v>
      </c>
      <c r="D217" s="108">
        <v>5.03</v>
      </c>
      <c r="E217" s="108"/>
      <c r="F217" s="127"/>
      <c r="G217" s="128"/>
      <c r="H217" s="419">
        <f t="shared" si="92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414"/>
      <c r="P217" s="414"/>
      <c r="Q217" s="414"/>
      <c r="R217" s="414"/>
      <c r="S217" s="414"/>
      <c r="T217" s="414"/>
      <c r="U217" s="414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411" t="s">
        <v>209</v>
      </c>
      <c r="C218" s="126" t="s">
        <v>204</v>
      </c>
      <c r="D218" s="108">
        <v>5.03</v>
      </c>
      <c r="E218" s="108"/>
      <c r="F218" s="127"/>
      <c r="G218" s="128"/>
      <c r="H218" s="419">
        <f t="shared" si="92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2"/>
        <v>0</v>
      </c>
      <c r="N218" s="130">
        <f t="shared" si="103"/>
        <v>0</v>
      </c>
      <c r="O218" s="414"/>
      <c r="P218" s="414"/>
      <c r="Q218" s="414"/>
      <c r="R218" s="414"/>
      <c r="S218" s="414"/>
      <c r="T218" s="414"/>
      <c r="U218" s="414"/>
      <c r="V218" s="132">
        <f t="shared" si="104"/>
        <v>0</v>
      </c>
      <c r="W218" s="133" t="str">
        <f t="shared" si="105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411" t="s">
        <v>382</v>
      </c>
      <c r="C219" s="187" t="s">
        <v>383</v>
      </c>
      <c r="D219" s="108">
        <v>5.03</v>
      </c>
      <c r="E219" s="108"/>
      <c r="F219" s="127"/>
      <c r="G219" s="128"/>
      <c r="H219" s="419">
        <f t="shared" si="92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2"/>
        <v>0</v>
      </c>
      <c r="N219" s="130">
        <f t="shared" si="103"/>
        <v>0</v>
      </c>
      <c r="O219" s="414"/>
      <c r="P219" s="414"/>
      <c r="Q219" s="414"/>
      <c r="R219" s="414"/>
      <c r="S219" s="414"/>
      <c r="T219" s="414"/>
      <c r="U219" s="414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411" t="s">
        <v>382</v>
      </c>
      <c r="C220" s="187" t="s">
        <v>384</v>
      </c>
      <c r="D220" s="108">
        <v>5.03</v>
      </c>
      <c r="E220" s="108"/>
      <c r="F220" s="127"/>
      <c r="G220" s="128"/>
      <c r="H220" s="419">
        <f t="shared" si="92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414"/>
      <c r="P220" s="414"/>
      <c r="Q220" s="414"/>
      <c r="R220" s="414"/>
      <c r="S220" s="414"/>
      <c r="T220" s="414"/>
      <c r="U220" s="414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411" t="s">
        <v>382</v>
      </c>
      <c r="C221" s="187" t="s">
        <v>389</v>
      </c>
      <c r="D221" s="108">
        <v>5.03</v>
      </c>
      <c r="E221" s="108"/>
      <c r="F221" s="127"/>
      <c r="G221" s="128"/>
      <c r="H221" s="419">
        <f t="shared" si="92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2"/>
        <v>0</v>
      </c>
      <c r="N221" s="130">
        <f t="shared" si="103"/>
        <v>0</v>
      </c>
      <c r="O221" s="414"/>
      <c r="P221" s="414"/>
      <c r="Q221" s="414"/>
      <c r="R221" s="414"/>
      <c r="S221" s="414"/>
      <c r="T221" s="414"/>
      <c r="U221" s="414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411" t="s">
        <v>382</v>
      </c>
      <c r="C222" s="187" t="s">
        <v>391</v>
      </c>
      <c r="D222" s="108">
        <v>5.03</v>
      </c>
      <c r="E222" s="108"/>
      <c r="F222" s="127"/>
      <c r="G222" s="128"/>
      <c r="H222" s="419">
        <f t="shared" si="92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2"/>
        <v>0</v>
      </c>
      <c r="N222" s="130">
        <f t="shared" si="103"/>
        <v>0</v>
      </c>
      <c r="O222" s="414"/>
      <c r="P222" s="414"/>
      <c r="Q222" s="414"/>
      <c r="R222" s="414"/>
      <c r="S222" s="414"/>
      <c r="T222" s="414"/>
      <c r="U222" s="414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411" t="s">
        <v>418</v>
      </c>
      <c r="C223" s="187" t="s">
        <v>364</v>
      </c>
      <c r="D223" s="108">
        <v>5.03</v>
      </c>
      <c r="E223" s="108"/>
      <c r="F223" s="127"/>
      <c r="G223" s="128"/>
      <c r="H223" s="419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2"/>
        <v>0</v>
      </c>
      <c r="N223" s="130">
        <f t="shared" si="103"/>
        <v>0</v>
      </c>
      <c r="O223" s="414"/>
      <c r="P223" s="414"/>
      <c r="Q223" s="414"/>
      <c r="R223" s="414"/>
      <c r="S223" s="414"/>
      <c r="T223" s="414"/>
      <c r="U223" s="414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411" t="s">
        <v>418</v>
      </c>
      <c r="C224" s="187" t="s">
        <v>365</v>
      </c>
      <c r="D224" s="108">
        <v>5.03</v>
      </c>
      <c r="E224" s="108"/>
      <c r="F224" s="127"/>
      <c r="G224" s="128"/>
      <c r="H224" s="419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414"/>
      <c r="P224" s="414"/>
      <c r="Q224" s="414"/>
      <c r="R224" s="414"/>
      <c r="S224" s="414"/>
      <c r="T224" s="414"/>
      <c r="U224" s="414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411" t="s">
        <v>418</v>
      </c>
      <c r="C225" s="187" t="s">
        <v>366</v>
      </c>
      <c r="D225" s="108">
        <v>5.03</v>
      </c>
      <c r="E225" s="108"/>
      <c r="F225" s="127"/>
      <c r="G225" s="128"/>
      <c r="H225" s="419">
        <f t="shared" si="92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414"/>
      <c r="P225" s="414"/>
      <c r="Q225" s="414"/>
      <c r="R225" s="414"/>
      <c r="S225" s="414"/>
      <c r="T225" s="414"/>
      <c r="U225" s="414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411" t="s">
        <v>418</v>
      </c>
      <c r="C226" s="187" t="s">
        <v>367</v>
      </c>
      <c r="D226" s="108">
        <v>5.03</v>
      </c>
      <c r="E226" s="108"/>
      <c r="F226" s="127"/>
      <c r="G226" s="128"/>
      <c r="H226" s="419">
        <f t="shared" si="92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414"/>
      <c r="P226" s="414"/>
      <c r="Q226" s="414"/>
      <c r="R226" s="414"/>
      <c r="S226" s="414"/>
      <c r="T226" s="414"/>
      <c r="U226" s="414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419">
        <f t="shared" si="92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2"/>
        <v>0</v>
      </c>
      <c r="N227" s="130">
        <f t="shared" si="103"/>
        <v>0</v>
      </c>
      <c r="O227" s="410"/>
      <c r="P227" s="410"/>
      <c r="Q227" s="410"/>
      <c r="R227" s="410"/>
      <c r="S227" s="410"/>
      <c r="T227" s="410"/>
      <c r="U227" s="410"/>
      <c r="V227" s="132">
        <f t="shared" ref="V227:V236" si="106">SUM(X227:AA227)</f>
        <v>0</v>
      </c>
      <c r="W227" s="133" t="str">
        <f t="shared" ref="W227:W236" si="107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419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410"/>
      <c r="P228" s="410"/>
      <c r="Q228" s="410"/>
      <c r="R228" s="410"/>
      <c r="S228" s="410"/>
      <c r="T228" s="410"/>
      <c r="U228" s="410"/>
      <c r="V228" s="132">
        <f t="shared" si="106"/>
        <v>0</v>
      </c>
      <c r="W228" s="133" t="str">
        <f t="shared" si="107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419">
        <f t="shared" si="92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2"/>
        <v>0</v>
      </c>
      <c r="N229" s="130">
        <f t="shared" si="103"/>
        <v>0</v>
      </c>
      <c r="O229" s="410"/>
      <c r="P229" s="410"/>
      <c r="Q229" s="410"/>
      <c r="R229" s="410"/>
      <c r="S229" s="410"/>
      <c r="T229" s="410"/>
      <c r="U229" s="410"/>
      <c r="V229" s="132">
        <f t="shared" si="106"/>
        <v>0</v>
      </c>
      <c r="W229" s="133" t="str">
        <f t="shared" si="107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419">
        <f t="shared" si="92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2"/>
        <v>0</v>
      </c>
      <c r="N230" s="130">
        <f t="shared" si="103"/>
        <v>0</v>
      </c>
      <c r="O230" s="410"/>
      <c r="P230" s="410"/>
      <c r="Q230" s="410"/>
      <c r="R230" s="410"/>
      <c r="S230" s="410"/>
      <c r="T230" s="410"/>
      <c r="U230" s="410"/>
      <c r="V230" s="132">
        <f t="shared" si="106"/>
        <v>0</v>
      </c>
      <c r="W230" s="133" t="str">
        <f t="shared" si="107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419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410"/>
      <c r="P231" s="410"/>
      <c r="Q231" s="410"/>
      <c r="R231" s="410"/>
      <c r="S231" s="410"/>
      <c r="T231" s="410"/>
      <c r="U231" s="410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419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410"/>
      <c r="P232" s="410"/>
      <c r="Q232" s="410"/>
      <c r="R232" s="410"/>
      <c r="S232" s="410"/>
      <c r="T232" s="410"/>
      <c r="U232" s="410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419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410"/>
      <c r="P233" s="410"/>
      <c r="Q233" s="410"/>
      <c r="R233" s="410"/>
      <c r="S233" s="410"/>
      <c r="T233" s="410"/>
      <c r="U233" s="410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419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410"/>
      <c r="P234" s="410"/>
      <c r="Q234" s="410"/>
      <c r="R234" s="410"/>
      <c r="S234" s="410"/>
      <c r="T234" s="410"/>
      <c r="U234" s="410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419">
        <f t="shared" si="92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2"/>
        <v>0</v>
      </c>
      <c r="N235" s="130">
        <f t="shared" si="103"/>
        <v>0</v>
      </c>
      <c r="O235" s="410"/>
      <c r="P235" s="410"/>
      <c r="Q235" s="410"/>
      <c r="R235" s="410"/>
      <c r="S235" s="410"/>
      <c r="T235" s="410"/>
      <c r="U235" s="410"/>
      <c r="V235" s="132">
        <f t="shared" si="106"/>
        <v>0</v>
      </c>
      <c r="W235" s="133" t="str">
        <f t="shared" si="107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419">
        <f t="shared" si="92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2"/>
        <v>0</v>
      </c>
      <c r="N236" s="130">
        <f t="shared" si="103"/>
        <v>0</v>
      </c>
      <c r="O236" s="410"/>
      <c r="P236" s="410"/>
      <c r="Q236" s="410"/>
      <c r="R236" s="410"/>
      <c r="S236" s="410"/>
      <c r="T236" s="410"/>
      <c r="U236" s="410"/>
      <c r="V236" s="132">
        <f t="shared" si="106"/>
        <v>0</v>
      </c>
      <c r="W236" s="133" t="str">
        <f t="shared" si="107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419">
        <f t="shared" si="92"/>
        <v>0</v>
      </c>
      <c r="I237" s="129"/>
      <c r="J237" s="130"/>
      <c r="K237" s="131"/>
      <c r="L237" s="129">
        <v>50</v>
      </c>
      <c r="M237" s="109"/>
      <c r="N237" s="130"/>
      <c r="O237" s="410"/>
      <c r="P237" s="410"/>
      <c r="Q237" s="410"/>
      <c r="R237" s="410"/>
      <c r="S237" s="410"/>
      <c r="T237" s="410"/>
      <c r="U237" s="410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419">
        <f t="shared" si="92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8">IF(ISERROR(I238-K238),"",I238-K238)</f>
        <v>0</v>
      </c>
      <c r="N238" s="130"/>
      <c r="O238" s="410"/>
      <c r="P238" s="410"/>
      <c r="Q238" s="410"/>
      <c r="R238" s="410"/>
      <c r="S238" s="410"/>
      <c r="T238" s="410"/>
      <c r="U238" s="410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419">
        <f t="shared" si="92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8"/>
        <v>0</v>
      </c>
      <c r="N239" s="130">
        <f t="shared" ref="N239:N240" si="109">SUM(O239:U239)</f>
        <v>0</v>
      </c>
      <c r="O239" s="410"/>
      <c r="P239" s="410"/>
      <c r="Q239" s="410"/>
      <c r="R239" s="410"/>
      <c r="S239" s="410"/>
      <c r="T239" s="410"/>
      <c r="U239" s="410"/>
      <c r="V239" s="132">
        <f t="shared" ref="V239:V240" si="110">SUM(X239:AA239)</f>
        <v>0</v>
      </c>
      <c r="W239" s="133" t="str">
        <f t="shared" ref="W239:W240" si="111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419">
        <f t="shared" si="92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si="109"/>
        <v>0</v>
      </c>
      <c r="O240" s="410"/>
      <c r="P240" s="410"/>
      <c r="Q240" s="410"/>
      <c r="R240" s="410"/>
      <c r="S240" s="410"/>
      <c r="T240" s="410"/>
      <c r="U240" s="410"/>
      <c r="V240" s="132">
        <f t="shared" si="110"/>
        <v>0</v>
      </c>
      <c r="W240" s="133" t="str">
        <f t="shared" si="111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419">
        <f t="shared" si="92"/>
        <v>0</v>
      </c>
      <c r="I241" s="129"/>
      <c r="J241" s="130"/>
      <c r="K241" s="131"/>
      <c r="L241" s="129"/>
      <c r="M241" s="109">
        <f t="shared" si="108"/>
        <v>0</v>
      </c>
      <c r="N241" s="130"/>
      <c r="O241" s="410"/>
      <c r="P241" s="410"/>
      <c r="Q241" s="410"/>
      <c r="R241" s="410"/>
      <c r="S241" s="410"/>
      <c r="T241" s="410"/>
      <c r="U241" s="410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419">
        <f t="shared" si="92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8"/>
        <v/>
      </c>
      <c r="N242" s="130">
        <f t="shared" ref="N242:N245" si="112">SUM(O242:U242)</f>
        <v>0</v>
      </c>
      <c r="O242" s="410"/>
      <c r="P242" s="410"/>
      <c r="Q242" s="410"/>
      <c r="R242" s="410"/>
      <c r="S242" s="410"/>
      <c r="T242" s="410"/>
      <c r="U242" s="410"/>
      <c r="V242" s="132">
        <f t="shared" ref="V242:V245" si="113">SUM(X242:AA242)</f>
        <v>0</v>
      </c>
      <c r="W242" s="133" t="str">
        <f t="shared" ref="W242:W245" si="114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419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si="112"/>
        <v>0</v>
      </c>
      <c r="O243" s="410"/>
      <c r="P243" s="410"/>
      <c r="Q243" s="410"/>
      <c r="R243" s="410"/>
      <c r="S243" s="410"/>
      <c r="T243" s="410"/>
      <c r="U243" s="410"/>
      <c r="V243" s="132">
        <f t="shared" si="113"/>
        <v>0</v>
      </c>
      <c r="W243" s="133" t="str">
        <f t="shared" si="114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419">
        <f t="shared" si="92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410"/>
      <c r="P244" s="410"/>
      <c r="Q244" s="410"/>
      <c r="R244" s="410"/>
      <c r="S244" s="410"/>
      <c r="T244" s="410"/>
      <c r="U244" s="410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419">
        <f t="shared" si="92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410"/>
      <c r="P245" s="410"/>
      <c r="Q245" s="410"/>
      <c r="R245" s="410"/>
      <c r="S245" s="410"/>
      <c r="T245" s="410"/>
      <c r="U245" s="410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419">
        <f t="shared" si="92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8"/>
        <v>0</v>
      </c>
      <c r="N246" s="130"/>
      <c r="O246" s="410"/>
      <c r="P246" s="410"/>
      <c r="Q246" s="410"/>
      <c r="R246" s="410"/>
      <c r="S246" s="410"/>
      <c r="T246" s="410"/>
      <c r="U246" s="410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419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410"/>
      <c r="P247" s="410"/>
      <c r="Q247" s="410"/>
      <c r="R247" s="410"/>
      <c r="S247" s="410"/>
      <c r="T247" s="410"/>
      <c r="U247" s="410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419">
        <f t="shared" si="92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410"/>
      <c r="P248" s="410"/>
      <c r="Q248" s="410"/>
      <c r="R248" s="410"/>
      <c r="S248" s="410"/>
      <c r="T248" s="410"/>
      <c r="U248" s="410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419">
        <f t="shared" si="92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410"/>
      <c r="P249" s="410"/>
      <c r="Q249" s="410"/>
      <c r="R249" s="410"/>
      <c r="S249" s="410"/>
      <c r="T249" s="410"/>
      <c r="U249" s="410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419">
        <f t="shared" si="92"/>
        <v>0</v>
      </c>
      <c r="I250" s="129"/>
      <c r="J250" s="130"/>
      <c r="K250" s="131"/>
      <c r="L250" s="129">
        <v>4</v>
      </c>
      <c r="M250" s="109"/>
      <c r="N250" s="130"/>
      <c r="O250" s="410"/>
      <c r="P250" s="410"/>
      <c r="Q250" s="410"/>
      <c r="R250" s="410"/>
      <c r="S250" s="410"/>
      <c r="T250" s="410"/>
      <c r="U250" s="410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419">
        <f t="shared" si="92"/>
        <v>0</v>
      </c>
      <c r="I251" s="129"/>
      <c r="J251" s="130"/>
      <c r="K251" s="131"/>
      <c r="L251" s="129">
        <v>4</v>
      </c>
      <c r="M251" s="109"/>
      <c r="N251" s="130"/>
      <c r="O251" s="410"/>
      <c r="P251" s="410"/>
      <c r="Q251" s="410"/>
      <c r="R251" s="410"/>
      <c r="S251" s="410"/>
      <c r="T251" s="410"/>
      <c r="U251" s="410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419">
        <f t="shared" si="92"/>
        <v>0</v>
      </c>
      <c r="I252" s="129"/>
      <c r="J252" s="130"/>
      <c r="K252" s="131"/>
      <c r="L252" s="129">
        <v>4</v>
      </c>
      <c r="M252" s="109"/>
      <c r="N252" s="130"/>
      <c r="O252" s="410"/>
      <c r="P252" s="410"/>
      <c r="Q252" s="410"/>
      <c r="R252" s="410"/>
      <c r="S252" s="410"/>
      <c r="T252" s="410"/>
      <c r="U252" s="410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419">
        <f t="shared" si="92"/>
        <v>0</v>
      </c>
      <c r="I253" s="129"/>
      <c r="J253" s="130"/>
      <c r="K253" s="131"/>
      <c r="L253" s="129">
        <v>4</v>
      </c>
      <c r="M253" s="109"/>
      <c r="N253" s="130"/>
      <c r="O253" s="410"/>
      <c r="P253" s="410"/>
      <c r="Q253" s="410"/>
      <c r="R253" s="410"/>
      <c r="S253" s="410"/>
      <c r="T253" s="410"/>
      <c r="U253" s="410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419">
        <f t="shared" si="92"/>
        <v>0</v>
      </c>
      <c r="I254" s="129"/>
      <c r="J254" s="130"/>
      <c r="K254" s="131"/>
      <c r="L254" s="129">
        <v>4</v>
      </c>
      <c r="M254" s="109"/>
      <c r="N254" s="130"/>
      <c r="O254" s="410"/>
      <c r="P254" s="410"/>
      <c r="Q254" s="410"/>
      <c r="R254" s="410"/>
      <c r="S254" s="410"/>
      <c r="T254" s="410"/>
      <c r="U254" s="410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419">
        <f t="shared" si="92"/>
        <v>0</v>
      </c>
      <c r="I255" s="129"/>
      <c r="J255" s="130"/>
      <c r="K255" s="131"/>
      <c r="L255" s="129">
        <v>4</v>
      </c>
      <c r="M255" s="109"/>
      <c r="N255" s="130"/>
      <c r="O255" s="410"/>
      <c r="P255" s="410"/>
      <c r="Q255" s="410"/>
      <c r="R255" s="410"/>
      <c r="S255" s="410"/>
      <c r="T255" s="410"/>
      <c r="U255" s="410"/>
      <c r="V255" s="132"/>
      <c r="W255" s="133"/>
      <c r="X255" s="132"/>
      <c r="Y255" s="132"/>
      <c r="Z255" s="132"/>
      <c r="AA255" s="132"/>
    </row>
    <row r="256" spans="1:27" ht="20.100000000000001" customHeight="1">
      <c r="A256" s="641" t="s">
        <v>216</v>
      </c>
      <c r="B256" s="641"/>
      <c r="C256" s="417" t="s">
        <v>202</v>
      </c>
      <c r="D256" s="143"/>
      <c r="E256" s="143"/>
      <c r="F256" s="144"/>
      <c r="G256" s="145">
        <f>SUM(G199:G255)</f>
        <v>167</v>
      </c>
      <c r="H256" s="146">
        <f>SUM(H199:H255)</f>
        <v>848.36</v>
      </c>
      <c r="I256" s="146">
        <f>SUM(I199:I255)</f>
        <v>8</v>
      </c>
      <c r="J256" s="130">
        <f t="array" ref="J256">IF(ISERROR(G256/I256),"",G256/I256)</f>
        <v>20.875</v>
      </c>
      <c r="K256" s="146">
        <f>SUM(K199:K255)</f>
        <v>7.9523809523809526</v>
      </c>
      <c r="L256" s="147"/>
      <c r="M256" s="150">
        <f t="shared" ref="M256:V256" si="115">SUM(M199:M255)</f>
        <v>4.761904761904745E-2</v>
      </c>
      <c r="N256" s="146">
        <f t="shared" si="115"/>
        <v>0</v>
      </c>
      <c r="O256" s="148">
        <f t="shared" si="115"/>
        <v>0</v>
      </c>
      <c r="P256" s="148">
        <f t="shared" si="115"/>
        <v>0</v>
      </c>
      <c r="Q256" s="148">
        <f t="shared" si="115"/>
        <v>0</v>
      </c>
      <c r="R256" s="148">
        <f t="shared" si="115"/>
        <v>0</v>
      </c>
      <c r="S256" s="148">
        <f t="shared" si="115"/>
        <v>0</v>
      </c>
      <c r="T256" s="148">
        <f t="shared" si="115"/>
        <v>0</v>
      </c>
      <c r="U256" s="148">
        <f t="shared" si="115"/>
        <v>0</v>
      </c>
      <c r="V256" s="149">
        <f t="shared" si="115"/>
        <v>0</v>
      </c>
      <c r="W256" s="133">
        <f t="shared" ref="W256:W263" si="116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411" t="s">
        <v>217</v>
      </c>
      <c r="C257" s="126" t="s">
        <v>179</v>
      </c>
      <c r="D257" s="108">
        <v>5.03</v>
      </c>
      <c r="E257" s="108"/>
      <c r="F257" s="127"/>
      <c r="G257" s="128"/>
      <c r="H257" s="419">
        <f t="shared" ref="H257:H290" si="117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8">IF(ISERROR(I257-K257),"",I257-K257)</f>
        <v>0</v>
      </c>
      <c r="N257" s="130">
        <f t="shared" ref="N257:N264" si="119">SUM(O257:U257)</f>
        <v>0</v>
      </c>
      <c r="O257" s="410"/>
      <c r="P257" s="410"/>
      <c r="Q257" s="410"/>
      <c r="R257" s="410"/>
      <c r="S257" s="410"/>
      <c r="T257" s="410"/>
      <c r="U257" s="410"/>
      <c r="V257" s="132">
        <f t="shared" ref="V257:V263" si="120">SUM(X257:AA257)</f>
        <v>0</v>
      </c>
      <c r="W257" s="133" t="str">
        <f t="shared" si="116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411" t="s">
        <v>217</v>
      </c>
      <c r="C258" s="126" t="s">
        <v>186</v>
      </c>
      <c r="D258" s="108">
        <v>5.03</v>
      </c>
      <c r="E258" s="108"/>
      <c r="F258" s="127"/>
      <c r="G258" s="128"/>
      <c r="H258" s="419">
        <f t="shared" si="117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8"/>
        <v>0</v>
      </c>
      <c r="N258" s="130">
        <f t="shared" si="119"/>
        <v>0</v>
      </c>
      <c r="O258" s="410"/>
      <c r="P258" s="410"/>
      <c r="Q258" s="410"/>
      <c r="R258" s="410"/>
      <c r="S258" s="410"/>
      <c r="T258" s="410"/>
      <c r="U258" s="410"/>
      <c r="V258" s="132">
        <f t="shared" si="120"/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411" t="s">
        <v>217</v>
      </c>
      <c r="C259" s="126" t="s">
        <v>204</v>
      </c>
      <c r="D259" s="108">
        <v>5.03</v>
      </c>
      <c r="E259" s="108"/>
      <c r="F259" s="127"/>
      <c r="G259" s="128"/>
      <c r="H259" s="419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410"/>
      <c r="P259" s="410"/>
      <c r="Q259" s="410"/>
      <c r="R259" s="410"/>
      <c r="S259" s="410"/>
      <c r="T259" s="410"/>
      <c r="U259" s="410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>
        <v>42707</v>
      </c>
      <c r="G260" s="128">
        <f>27</f>
        <v>27</v>
      </c>
      <c r="H260" s="419">
        <f t="shared" si="117"/>
        <v>135.81</v>
      </c>
      <c r="I260" s="129">
        <f>8</f>
        <v>8</v>
      </c>
      <c r="J260" s="130">
        <f t="array" ref="J260">IF(ISERROR(G260/I260),"",G260/I260)</f>
        <v>3.375</v>
      </c>
      <c r="K260" s="131">
        <f t="array" ref="K260">IF(ISERROR(G260/L260),"",G260/L260)</f>
        <v>2.9032258064516125</v>
      </c>
      <c r="L260" s="129">
        <v>9.3000000000000007</v>
      </c>
      <c r="M260" s="109">
        <f t="shared" si="118"/>
        <v>5.0967741935483879</v>
      </c>
      <c r="N260" s="130">
        <f t="shared" si="119"/>
        <v>0</v>
      </c>
      <c r="O260" s="410"/>
      <c r="P260" s="410"/>
      <c r="Q260" s="410"/>
      <c r="R260" s="410"/>
      <c r="S260" s="410"/>
      <c r="T260" s="410"/>
      <c r="U260" s="410"/>
      <c r="V260" s="132">
        <f t="shared" si="120"/>
        <v>0</v>
      </c>
      <c r="W260" s="133">
        <f t="shared" si="116"/>
        <v>0</v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419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410"/>
      <c r="P261" s="410"/>
      <c r="Q261" s="410"/>
      <c r="R261" s="410"/>
      <c r="S261" s="410"/>
      <c r="T261" s="410"/>
      <c r="U261" s="410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19.5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>
        <v>42707</v>
      </c>
      <c r="G262" s="128">
        <v>46</v>
      </c>
      <c r="H262" s="419">
        <f t="shared" si="117"/>
        <v>231.38000000000002</v>
      </c>
      <c r="I262" s="129">
        <v>10</v>
      </c>
      <c r="J262" s="130">
        <f t="array" ref="J262">IF(ISERROR(G262/I262),"",G262/I262)</f>
        <v>4.5999999999999996</v>
      </c>
      <c r="K262" s="131">
        <f t="array" ref="K262">IF(ISERROR(G262/L262),"",G262/L262)</f>
        <v>4.946236559139785</v>
      </c>
      <c r="L262" s="129">
        <v>9.3000000000000007</v>
      </c>
      <c r="M262" s="109">
        <f t="shared" si="118"/>
        <v>5.053763440860215</v>
      </c>
      <c r="N262" s="130">
        <f t="shared" si="119"/>
        <v>0</v>
      </c>
      <c r="O262" s="410"/>
      <c r="P262" s="410"/>
      <c r="Q262" s="410"/>
      <c r="R262" s="410"/>
      <c r="S262" s="410"/>
      <c r="T262" s="410"/>
      <c r="U262" s="410"/>
      <c r="V262" s="132">
        <f t="shared" si="120"/>
        <v>0</v>
      </c>
      <c r="W262" s="133">
        <f t="shared" si="116"/>
        <v>0</v>
      </c>
      <c r="X262" s="132"/>
      <c r="Y262" s="132"/>
      <c r="Z262" s="132"/>
      <c r="AA262" s="132"/>
    </row>
    <row r="263" spans="1:27" ht="19.5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>
        <v>42708</v>
      </c>
      <c r="G263" s="128">
        <v>102</v>
      </c>
      <c r="H263" s="419">
        <f t="shared" si="117"/>
        <v>513.06000000000006</v>
      </c>
      <c r="I263" s="129">
        <f>11*2</f>
        <v>22</v>
      </c>
      <c r="J263" s="130">
        <f t="array" ref="J263">IF(ISERROR(G263/I263),"",G263/I263)</f>
        <v>4.6363636363636367</v>
      </c>
      <c r="K263" s="131">
        <f t="array" ref="K263">IF(ISERROR(G263/L263),"",G263/L263)</f>
        <v>10.96774193548387</v>
      </c>
      <c r="L263" s="129">
        <v>9.3000000000000007</v>
      </c>
      <c r="M263" s="109">
        <f t="shared" si="118"/>
        <v>11.03225806451613</v>
      </c>
      <c r="N263" s="130">
        <f t="shared" si="119"/>
        <v>0</v>
      </c>
      <c r="O263" s="410"/>
      <c r="P263" s="410"/>
      <c r="Q263" s="410"/>
      <c r="R263" s="410"/>
      <c r="S263" s="410"/>
      <c r="T263" s="410"/>
      <c r="U263" s="410"/>
      <c r="V263" s="132">
        <f t="shared" si="120"/>
        <v>0</v>
      </c>
      <c r="W263" s="133">
        <f t="shared" si="116"/>
        <v>0</v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419">
        <f t="shared" si="117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8"/>
        <v>0</v>
      </c>
      <c r="N264" s="130">
        <f t="shared" si="119"/>
        <v>0</v>
      </c>
      <c r="O264" s="410"/>
      <c r="P264" s="410"/>
      <c r="Q264" s="410"/>
      <c r="R264" s="410"/>
      <c r="S264" s="410"/>
      <c r="T264" s="410"/>
      <c r="U264" s="410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419">
        <f t="shared" si="117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10"/>
      <c r="P265" s="410"/>
      <c r="Q265" s="410"/>
      <c r="R265" s="410"/>
      <c r="S265" s="410"/>
      <c r="T265" s="410"/>
      <c r="U265" s="410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419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10"/>
      <c r="P266" s="410"/>
      <c r="Q266" s="410"/>
      <c r="R266" s="410"/>
      <c r="S266" s="410"/>
      <c r="T266" s="410"/>
      <c r="U266" s="410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419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10"/>
      <c r="P267" s="410"/>
      <c r="Q267" s="410"/>
      <c r="R267" s="410"/>
      <c r="S267" s="410"/>
      <c r="T267" s="410"/>
      <c r="U267" s="410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419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10"/>
      <c r="P268" s="410"/>
      <c r="Q268" s="410"/>
      <c r="R268" s="410"/>
      <c r="S268" s="410"/>
      <c r="T268" s="410"/>
      <c r="U268" s="410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419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1">IF(ISERROR(I269-K269),"",I269-K269)</f>
        <v>0</v>
      </c>
      <c r="N269" s="130">
        <f t="shared" ref="N269:N284" si="122">SUM(O269:U269)</f>
        <v>0</v>
      </c>
      <c r="O269" s="410"/>
      <c r="P269" s="410"/>
      <c r="Q269" s="410"/>
      <c r="R269" s="410"/>
      <c r="S269" s="410"/>
      <c r="T269" s="410"/>
      <c r="U269" s="410"/>
      <c r="V269" s="132">
        <f t="shared" ref="V269:V272" si="123">SUM(X269:AA269)</f>
        <v>0</v>
      </c>
      <c r="W269" s="133" t="str">
        <f t="shared" ref="W269:W276" si="124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419">
        <f t="shared" si="117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1"/>
        <v/>
      </c>
      <c r="N270" s="130">
        <f t="shared" si="122"/>
        <v>0</v>
      </c>
      <c r="O270" s="410"/>
      <c r="P270" s="410"/>
      <c r="Q270" s="410"/>
      <c r="R270" s="410"/>
      <c r="S270" s="410"/>
      <c r="T270" s="410"/>
      <c r="U270" s="410"/>
      <c r="V270" s="132">
        <f t="shared" si="123"/>
        <v>0</v>
      </c>
      <c r="W270" s="133" t="str">
        <f t="shared" si="124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419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410"/>
      <c r="P271" s="410"/>
      <c r="Q271" s="410"/>
      <c r="R271" s="410"/>
      <c r="S271" s="410"/>
      <c r="T271" s="410"/>
      <c r="U271" s="410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419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410"/>
      <c r="P272" s="410"/>
      <c r="Q272" s="410"/>
      <c r="R272" s="410"/>
      <c r="S272" s="410"/>
      <c r="T272" s="410"/>
      <c r="U272" s="410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411" t="s">
        <v>222</v>
      </c>
      <c r="C273" s="126" t="s">
        <v>181</v>
      </c>
      <c r="D273" s="108">
        <v>9.36</v>
      </c>
      <c r="E273" s="108"/>
      <c r="F273" s="127"/>
      <c r="G273" s="128"/>
      <c r="H273" s="419">
        <f t="shared" si="117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1"/>
        <v>0</v>
      </c>
      <c r="N273" s="130">
        <f t="shared" si="122"/>
        <v>0</v>
      </c>
      <c r="O273" s="410"/>
      <c r="P273" s="410"/>
      <c r="Q273" s="410"/>
      <c r="R273" s="410"/>
      <c r="S273" s="410"/>
      <c r="T273" s="410"/>
      <c r="U273" s="410"/>
      <c r="V273" s="132">
        <f t="shared" ref="V273:V276" si="125">SUM(X273:AA273)</f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411" t="s">
        <v>222</v>
      </c>
      <c r="C274" s="126" t="s">
        <v>179</v>
      </c>
      <c r="D274" s="108">
        <v>9.36</v>
      </c>
      <c r="E274" s="108"/>
      <c r="F274" s="127"/>
      <c r="G274" s="128"/>
      <c r="H274" s="419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410"/>
      <c r="P274" s="410"/>
      <c r="Q274" s="410"/>
      <c r="R274" s="410"/>
      <c r="S274" s="410"/>
      <c r="T274" s="410"/>
      <c r="U274" s="410"/>
      <c r="V274" s="132">
        <f t="shared" si="125"/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411" t="s">
        <v>222</v>
      </c>
      <c r="C275" s="126" t="s">
        <v>221</v>
      </c>
      <c r="D275" s="108">
        <v>9.36</v>
      </c>
      <c r="E275" s="108"/>
      <c r="F275" s="127"/>
      <c r="G275" s="128"/>
      <c r="H275" s="419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410"/>
      <c r="P275" s="410"/>
      <c r="Q275" s="410"/>
      <c r="R275" s="410"/>
      <c r="S275" s="410"/>
      <c r="T275" s="410"/>
      <c r="U275" s="410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411" t="s">
        <v>222</v>
      </c>
      <c r="C276" s="126" t="s">
        <v>186</v>
      </c>
      <c r="D276" s="108">
        <v>9.36</v>
      </c>
      <c r="E276" s="108"/>
      <c r="F276" s="127"/>
      <c r="G276" s="128"/>
      <c r="H276" s="419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410"/>
      <c r="P276" s="410"/>
      <c r="Q276" s="410"/>
      <c r="R276" s="410"/>
      <c r="S276" s="410"/>
      <c r="T276" s="410"/>
      <c r="U276" s="410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411" t="s">
        <v>393</v>
      </c>
      <c r="C277" s="187" t="s">
        <v>395</v>
      </c>
      <c r="D277" s="108">
        <v>5</v>
      </c>
      <c r="E277" s="108"/>
      <c r="F277" s="127"/>
      <c r="G277" s="128"/>
      <c r="H277" s="419">
        <f t="shared" si="117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1"/>
        <v>0</v>
      </c>
      <c r="N277" s="130">
        <f t="shared" si="122"/>
        <v>0</v>
      </c>
      <c r="O277" s="410"/>
      <c r="P277" s="410"/>
      <c r="Q277" s="410"/>
      <c r="R277" s="410"/>
      <c r="S277" s="410"/>
      <c r="T277" s="410"/>
      <c r="U277" s="410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411" t="s">
        <v>393</v>
      </c>
      <c r="C278" s="187" t="s">
        <v>402</v>
      </c>
      <c r="D278" s="108">
        <v>5</v>
      </c>
      <c r="E278" s="108"/>
      <c r="F278" s="127"/>
      <c r="G278" s="128"/>
      <c r="H278" s="419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410"/>
      <c r="P278" s="410"/>
      <c r="Q278" s="410"/>
      <c r="R278" s="410"/>
      <c r="S278" s="410"/>
      <c r="T278" s="410"/>
      <c r="U278" s="410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411" t="s">
        <v>404</v>
      </c>
      <c r="C279" s="187" t="s">
        <v>405</v>
      </c>
      <c r="D279" s="108">
        <v>5</v>
      </c>
      <c r="E279" s="108"/>
      <c r="F279" s="127"/>
      <c r="G279" s="128"/>
      <c r="H279" s="419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410"/>
      <c r="P279" s="410"/>
      <c r="Q279" s="410"/>
      <c r="R279" s="410"/>
      <c r="S279" s="410"/>
      <c r="T279" s="410"/>
      <c r="U279" s="410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411" t="s">
        <v>342</v>
      </c>
      <c r="C280" s="187" t="s">
        <v>372</v>
      </c>
      <c r="D280" s="108">
        <v>5</v>
      </c>
      <c r="E280" s="108"/>
      <c r="F280" s="127"/>
      <c r="G280" s="128"/>
      <c r="H280" s="419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410"/>
      <c r="P280" s="410"/>
      <c r="Q280" s="410"/>
      <c r="R280" s="410"/>
      <c r="S280" s="410"/>
      <c r="T280" s="410"/>
      <c r="U280" s="410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411" t="s">
        <v>343</v>
      </c>
      <c r="C281" s="126" t="s">
        <v>345</v>
      </c>
      <c r="D281" s="108">
        <v>5</v>
      </c>
      <c r="E281" s="108"/>
      <c r="F281" s="127"/>
      <c r="G281" s="128"/>
      <c r="H281" s="419">
        <f t="shared" si="117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1"/>
        <v>0</v>
      </c>
      <c r="N281" s="130">
        <f t="shared" si="122"/>
        <v>0</v>
      </c>
      <c r="O281" s="410"/>
      <c r="P281" s="410"/>
      <c r="Q281" s="410"/>
      <c r="R281" s="410"/>
      <c r="S281" s="410"/>
      <c r="T281" s="410"/>
      <c r="U281" s="410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411" t="s">
        <v>343</v>
      </c>
      <c r="C282" s="126" t="s">
        <v>347</v>
      </c>
      <c r="D282" s="108">
        <v>5</v>
      </c>
      <c r="E282" s="108"/>
      <c r="F282" s="127"/>
      <c r="G282" s="128"/>
      <c r="H282" s="419">
        <f t="shared" si="117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1"/>
        <v>0</v>
      </c>
      <c r="N282" s="130">
        <f t="shared" si="122"/>
        <v>0</v>
      </c>
      <c r="O282" s="410"/>
      <c r="P282" s="410"/>
      <c r="Q282" s="410"/>
      <c r="R282" s="410"/>
      <c r="S282" s="410"/>
      <c r="T282" s="410"/>
      <c r="U282" s="410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419">
        <f t="shared" si="117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1"/>
        <v>0</v>
      </c>
      <c r="N283" s="130">
        <f t="shared" si="122"/>
        <v>0</v>
      </c>
      <c r="O283" s="410"/>
      <c r="P283" s="410"/>
      <c r="Q283" s="410"/>
      <c r="R283" s="410"/>
      <c r="S283" s="410"/>
      <c r="T283" s="410"/>
      <c r="U283" s="410"/>
      <c r="V283" s="132">
        <f t="shared" ref="V283:V284" si="126">SUM(X283:AA283)</f>
        <v>0</v>
      </c>
      <c r="W283" s="133" t="str">
        <f t="shared" ref="W283:W284" si="127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419">
        <f t="shared" si="117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1"/>
        <v>0</v>
      </c>
      <c r="N284" s="130">
        <f t="shared" si="122"/>
        <v>0</v>
      </c>
      <c r="O284" s="410"/>
      <c r="P284" s="410"/>
      <c r="Q284" s="410"/>
      <c r="R284" s="410"/>
      <c r="S284" s="410"/>
      <c r="T284" s="410"/>
      <c r="U284" s="410"/>
      <c r="V284" s="132">
        <f t="shared" si="126"/>
        <v>0</v>
      </c>
      <c r="W284" s="133" t="str">
        <f t="shared" si="127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/>
      <c r="G285" s="128"/>
      <c r="H285" s="419">
        <f t="shared" si="117"/>
        <v>0</v>
      </c>
      <c r="I285" s="129"/>
      <c r="J285" s="130"/>
      <c r="K285" s="131"/>
      <c r="L285" s="129">
        <v>24</v>
      </c>
      <c r="M285" s="109"/>
      <c r="N285" s="130"/>
      <c r="O285" s="410"/>
      <c r="P285" s="410"/>
      <c r="Q285" s="410"/>
      <c r="R285" s="410"/>
      <c r="S285" s="410"/>
      <c r="T285" s="410"/>
      <c r="U285" s="410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419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410"/>
      <c r="P286" s="410"/>
      <c r="Q286" s="410"/>
      <c r="R286" s="410"/>
      <c r="S286" s="410"/>
      <c r="T286" s="410"/>
      <c r="U286" s="410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419">
        <f t="shared" si="117"/>
        <v>0</v>
      </c>
      <c r="I287" s="129"/>
      <c r="J287" s="130"/>
      <c r="K287" s="131"/>
      <c r="L287" s="129">
        <v>24</v>
      </c>
      <c r="M287" s="109"/>
      <c r="N287" s="130"/>
      <c r="O287" s="410"/>
      <c r="P287" s="410"/>
      <c r="Q287" s="410"/>
      <c r="R287" s="410"/>
      <c r="S287" s="410"/>
      <c r="T287" s="410"/>
      <c r="U287" s="410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419">
        <f t="shared" si="117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8">IF(ISERROR(I288-K288),"",I288-K288)</f>
        <v>0</v>
      </c>
      <c r="N288" s="130">
        <f t="shared" ref="N288:N290" si="129">SUM(O288:U288)</f>
        <v>0</v>
      </c>
      <c r="O288" s="410"/>
      <c r="P288" s="410"/>
      <c r="Q288" s="410"/>
      <c r="R288" s="410"/>
      <c r="S288" s="410"/>
      <c r="T288" s="410"/>
      <c r="U288" s="410"/>
      <c r="V288" s="132">
        <f t="shared" ref="V288:V290" si="130">SUM(X288:AA288)</f>
        <v>0</v>
      </c>
      <c r="W288" s="133" t="str">
        <f t="shared" ref="W288:W312" si="131">IF(ISERROR(V288/G288),"",V288/G288)</f>
        <v/>
      </c>
      <c r="X288" s="132"/>
      <c r="Y288" s="132"/>
      <c r="Z288" s="132"/>
      <c r="AA288" s="132"/>
    </row>
    <row r="289" spans="1:27" ht="20.10000000000000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>
        <v>42710</v>
      </c>
      <c r="G289" s="128">
        <f>61+100+100</f>
        <v>261</v>
      </c>
      <c r="H289" s="419">
        <f t="shared" si="117"/>
        <v>1323.27</v>
      </c>
      <c r="I289" s="129">
        <f>6*5</f>
        <v>30</v>
      </c>
      <c r="J289" s="130">
        <f t="array" ref="J289">IF(ISERROR(G289/I289),"",G289/I289)</f>
        <v>8.6999999999999993</v>
      </c>
      <c r="K289" s="131">
        <f t="array" ref="K289">IF(ISERROR(G289/L289),"",G289/L289)</f>
        <v>29</v>
      </c>
      <c r="L289" s="129">
        <v>9</v>
      </c>
      <c r="M289" s="109">
        <f t="shared" si="128"/>
        <v>1</v>
      </c>
      <c r="N289" s="130">
        <f t="shared" si="129"/>
        <v>0</v>
      </c>
      <c r="O289" s="410"/>
      <c r="P289" s="410"/>
      <c r="Q289" s="410"/>
      <c r="R289" s="410"/>
      <c r="S289" s="410"/>
      <c r="T289" s="410"/>
      <c r="U289" s="410"/>
      <c r="V289" s="132">
        <f t="shared" si="130"/>
        <v>0</v>
      </c>
      <c r="W289" s="133">
        <f t="shared" si="131"/>
        <v>0</v>
      </c>
      <c r="X289" s="132"/>
      <c r="Y289" s="132"/>
      <c r="Z289" s="132"/>
      <c r="AA289" s="132"/>
    </row>
    <row r="290" spans="1:27" ht="20.10000000000000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>
        <v>42708</v>
      </c>
      <c r="G290" s="128">
        <f>100+51+99</f>
        <v>250</v>
      </c>
      <c r="H290" s="419">
        <f t="shared" si="117"/>
        <v>1265</v>
      </c>
      <c r="I290" s="129">
        <f>3.5*5</f>
        <v>17.5</v>
      </c>
      <c r="J290" s="130">
        <f t="array" ref="J290">IF(ISERROR(G290/I290),"",G290/I290)</f>
        <v>14.285714285714286</v>
      </c>
      <c r="K290" s="419">
        <f t="array" ref="K290">IF(ISERROR(G290/L290),"",G290/L290)</f>
        <v>27.777777777777779</v>
      </c>
      <c r="L290" s="129">
        <v>9</v>
      </c>
      <c r="M290" s="109">
        <f t="shared" si="128"/>
        <v>-10.277777777777779</v>
      </c>
      <c r="N290" s="130">
        <f t="shared" si="129"/>
        <v>0</v>
      </c>
      <c r="O290" s="410"/>
      <c r="P290" s="410"/>
      <c r="Q290" s="410"/>
      <c r="R290" s="410"/>
      <c r="S290" s="410"/>
      <c r="T290" s="410"/>
      <c r="U290" s="410"/>
      <c r="V290" s="132">
        <f t="shared" si="130"/>
        <v>0</v>
      </c>
      <c r="W290" s="133">
        <f t="shared" si="131"/>
        <v>0</v>
      </c>
      <c r="X290" s="132"/>
      <c r="Y290" s="132"/>
      <c r="Z290" s="132"/>
      <c r="AA290" s="132"/>
    </row>
    <row r="291" spans="1:27" ht="20.100000000000001" customHeight="1">
      <c r="A291" s="630" t="s">
        <v>224</v>
      </c>
      <c r="B291" s="631"/>
      <c r="C291" s="417" t="s">
        <v>202</v>
      </c>
      <c r="D291" s="143"/>
      <c r="E291" s="143"/>
      <c r="F291" s="144"/>
      <c r="G291" s="145">
        <f>SUM(G257:G290)</f>
        <v>686</v>
      </c>
      <c r="H291" s="146">
        <f>SUM(H257:H290)</f>
        <v>3468.52</v>
      </c>
      <c r="I291" s="146">
        <f>SUM(I257:I290)</f>
        <v>87.5</v>
      </c>
      <c r="J291" s="130">
        <f t="array" ref="J291">IF(ISERROR(G291/I291),"",G291/I291)</f>
        <v>7.84</v>
      </c>
      <c r="K291" s="146">
        <f>SUM(K257:K290)</f>
        <v>75.594982078853036</v>
      </c>
      <c r="L291" s="147"/>
      <c r="M291" s="150">
        <f t="shared" ref="M291:V291" si="132">SUM(M257:M290)</f>
        <v>11.905017921146957</v>
      </c>
      <c r="N291" s="146">
        <f t="shared" si="132"/>
        <v>0</v>
      </c>
      <c r="O291" s="148">
        <f t="shared" si="132"/>
        <v>0</v>
      </c>
      <c r="P291" s="148">
        <f t="shared" si="132"/>
        <v>0</v>
      </c>
      <c r="Q291" s="148">
        <f t="shared" si="132"/>
        <v>0</v>
      </c>
      <c r="R291" s="148">
        <f t="shared" si="132"/>
        <v>0</v>
      </c>
      <c r="S291" s="148">
        <f t="shared" si="132"/>
        <v>0</v>
      </c>
      <c r="T291" s="148">
        <f t="shared" si="132"/>
        <v>0</v>
      </c>
      <c r="U291" s="148">
        <f t="shared" si="132"/>
        <v>0</v>
      </c>
      <c r="V291" s="149">
        <f t="shared" si="132"/>
        <v>0</v>
      </c>
      <c r="W291" s="133">
        <f t="shared" si="131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419">
        <f t="shared" ref="H292:H306" si="133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4">IF(ISERROR(I292-K292),"",I292-K292)</f>
        <v>0</v>
      </c>
      <c r="N292" s="130">
        <f t="shared" ref="N292:N306" si="135">SUM(O292:U292)</f>
        <v>0</v>
      </c>
      <c r="O292" s="410"/>
      <c r="P292" s="410"/>
      <c r="Q292" s="410"/>
      <c r="R292" s="410"/>
      <c r="S292" s="410"/>
      <c r="T292" s="410"/>
      <c r="U292" s="410"/>
      <c r="V292" s="132">
        <f t="shared" ref="V292:V306" si="136">SUM(X292:AA292)</f>
        <v>0</v>
      </c>
      <c r="W292" s="133" t="str">
        <f t="shared" si="131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419">
        <f t="shared" si="133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4"/>
        <v>0</v>
      </c>
      <c r="N293" s="130">
        <f t="shared" si="135"/>
        <v>0</v>
      </c>
      <c r="O293" s="410"/>
      <c r="P293" s="410"/>
      <c r="Q293" s="410"/>
      <c r="R293" s="410"/>
      <c r="S293" s="410"/>
      <c r="T293" s="410"/>
      <c r="U293" s="410"/>
      <c r="V293" s="132">
        <f t="shared" si="136"/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419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4"/>
        <v>0</v>
      </c>
      <c r="N294" s="130">
        <f t="shared" si="135"/>
        <v>0</v>
      </c>
      <c r="O294" s="410"/>
      <c r="P294" s="410"/>
      <c r="Q294" s="410"/>
      <c r="R294" s="410"/>
      <c r="S294" s="410"/>
      <c r="T294" s="410"/>
      <c r="U294" s="410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419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4"/>
        <v>0</v>
      </c>
      <c r="N295" s="130">
        <f t="shared" si="135"/>
        <v>0</v>
      </c>
      <c r="O295" s="410"/>
      <c r="P295" s="410"/>
      <c r="Q295" s="410"/>
      <c r="R295" s="410"/>
      <c r="S295" s="410"/>
      <c r="T295" s="410"/>
      <c r="U295" s="410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415" t="s">
        <v>203</v>
      </c>
      <c r="D296" s="108">
        <v>5.03</v>
      </c>
      <c r="E296" s="108"/>
      <c r="F296" s="127"/>
      <c r="G296" s="128"/>
      <c r="H296" s="419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410"/>
      <c r="P296" s="410"/>
      <c r="Q296" s="410"/>
      <c r="R296" s="410"/>
      <c r="S296" s="410"/>
      <c r="T296" s="410"/>
      <c r="U296" s="410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419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410"/>
      <c r="P297" s="410"/>
      <c r="Q297" s="410"/>
      <c r="R297" s="410"/>
      <c r="S297" s="410"/>
      <c r="T297" s="410"/>
      <c r="U297" s="410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419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410"/>
      <c r="P298" s="410"/>
      <c r="Q298" s="410"/>
      <c r="R298" s="410"/>
      <c r="S298" s="410"/>
      <c r="T298" s="410"/>
      <c r="U298" s="410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415" t="s">
        <v>228</v>
      </c>
      <c r="D299" s="108">
        <v>5.03</v>
      </c>
      <c r="E299" s="108"/>
      <c r="F299" s="127"/>
      <c r="G299" s="128"/>
      <c r="H299" s="419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410"/>
      <c r="P299" s="410"/>
      <c r="Q299" s="410"/>
      <c r="R299" s="410"/>
      <c r="S299" s="410"/>
      <c r="T299" s="410"/>
      <c r="U299" s="410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415" t="s">
        <v>212</v>
      </c>
      <c r="D300" s="108">
        <v>5.03</v>
      </c>
      <c r="E300" s="108"/>
      <c r="F300" s="127"/>
      <c r="G300" s="128"/>
      <c r="H300" s="419">
        <f t="shared" si="133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4"/>
        <v/>
      </c>
      <c r="N300" s="130">
        <f t="shared" si="135"/>
        <v>0</v>
      </c>
      <c r="O300" s="410"/>
      <c r="P300" s="410"/>
      <c r="Q300" s="410"/>
      <c r="R300" s="410"/>
      <c r="S300" s="410"/>
      <c r="T300" s="410"/>
      <c r="U300" s="410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415" t="s">
        <v>203</v>
      </c>
      <c r="D301" s="108">
        <v>5.03</v>
      </c>
      <c r="E301" s="108"/>
      <c r="F301" s="127"/>
      <c r="G301" s="128"/>
      <c r="H301" s="419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410"/>
      <c r="P301" s="410"/>
      <c r="Q301" s="410"/>
      <c r="R301" s="410"/>
      <c r="S301" s="410"/>
      <c r="T301" s="410"/>
      <c r="U301" s="410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415" t="s">
        <v>186</v>
      </c>
      <c r="D302" s="108">
        <v>5.03</v>
      </c>
      <c r="E302" s="108"/>
      <c r="F302" s="127"/>
      <c r="G302" s="128"/>
      <c r="H302" s="419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410"/>
      <c r="P302" s="410"/>
      <c r="Q302" s="410"/>
      <c r="R302" s="410"/>
      <c r="S302" s="410"/>
      <c r="T302" s="410"/>
      <c r="U302" s="410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415" t="s">
        <v>228</v>
      </c>
      <c r="D303" s="108">
        <v>5.03</v>
      </c>
      <c r="E303" s="108"/>
      <c r="F303" s="127"/>
      <c r="G303" s="128"/>
      <c r="H303" s="419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410"/>
      <c r="P303" s="410"/>
      <c r="Q303" s="410"/>
      <c r="R303" s="410"/>
      <c r="S303" s="410"/>
      <c r="T303" s="410"/>
      <c r="U303" s="410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415" t="s">
        <v>199</v>
      </c>
      <c r="D304" s="108">
        <v>5.03</v>
      </c>
      <c r="E304" s="108"/>
      <c r="F304" s="127"/>
      <c r="G304" s="128"/>
      <c r="H304" s="419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410"/>
      <c r="P304" s="410"/>
      <c r="Q304" s="410"/>
      <c r="R304" s="410"/>
      <c r="S304" s="410"/>
      <c r="T304" s="410"/>
      <c r="U304" s="410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419">
        <f t="shared" si="133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4"/>
        <v>0</v>
      </c>
      <c r="N305" s="130">
        <f t="shared" si="135"/>
        <v>0</v>
      </c>
      <c r="O305" s="410"/>
      <c r="P305" s="410"/>
      <c r="Q305" s="410"/>
      <c r="R305" s="410"/>
      <c r="S305" s="410"/>
      <c r="T305" s="410"/>
      <c r="U305" s="410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419">
        <f t="shared" si="133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4"/>
        <v>0</v>
      </c>
      <c r="N306" s="130">
        <f t="shared" si="135"/>
        <v>0</v>
      </c>
      <c r="O306" s="410"/>
      <c r="P306" s="410"/>
      <c r="Q306" s="410"/>
      <c r="R306" s="410"/>
      <c r="S306" s="410"/>
      <c r="T306" s="410"/>
      <c r="U306" s="410"/>
      <c r="V306" s="132">
        <f t="shared" si="136"/>
        <v>0</v>
      </c>
      <c r="W306" s="133" t="str">
        <f t="shared" si="131"/>
        <v/>
      </c>
      <c r="X306" s="132"/>
      <c r="Y306" s="132"/>
      <c r="Z306" s="132"/>
      <c r="AA306" s="132"/>
    </row>
    <row r="307" spans="1:27" ht="20.100000000000001" hidden="1" customHeight="1">
      <c r="A307" s="630" t="s">
        <v>231</v>
      </c>
      <c r="B307" s="631"/>
      <c r="C307" s="417" t="s">
        <v>202</v>
      </c>
      <c r="D307" s="143"/>
      <c r="E307" s="143"/>
      <c r="F307" s="144"/>
      <c r="G307" s="145">
        <f>SUM(G292:G306)</f>
        <v>0</v>
      </c>
      <c r="H307" s="146">
        <f>SUM(H292:H306)</f>
        <v>0</v>
      </c>
      <c r="I307" s="146">
        <f>SUM(I292:I306)</f>
        <v>0</v>
      </c>
      <c r="J307" s="130" t="str">
        <f t="array" ref="J307">IF(ISERROR(G307/I307),"",G307/I307)</f>
        <v/>
      </c>
      <c r="K307" s="146">
        <f>SUM(K292:K306)</f>
        <v>0</v>
      </c>
      <c r="L307" s="146"/>
      <c r="M307" s="150">
        <f>SUM(M292:M306)</f>
        <v>0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 t="str">
        <f t="shared" si="131"/>
        <v/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419">
        <f t="shared" ref="H308:H315" si="137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8">IF(ISERROR(I308-K308),"",I308-K308)</f>
        <v>0</v>
      </c>
      <c r="N308" s="130">
        <f t="shared" ref="N308:N312" si="139">SUM(O308:U308)</f>
        <v>0</v>
      </c>
      <c r="O308" s="410"/>
      <c r="P308" s="410"/>
      <c r="Q308" s="410"/>
      <c r="R308" s="410"/>
      <c r="S308" s="410"/>
      <c r="T308" s="410"/>
      <c r="U308" s="410"/>
      <c r="V308" s="132">
        <f t="shared" ref="V308:V312" si="140">SUM(X308:AA308)</f>
        <v>0</v>
      </c>
      <c r="W308" s="133" t="str">
        <f t="shared" si="131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419">
        <f t="shared" si="137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8"/>
        <v>0</v>
      </c>
      <c r="N309" s="130">
        <f t="shared" si="139"/>
        <v>0</v>
      </c>
      <c r="O309" s="410"/>
      <c r="P309" s="410"/>
      <c r="Q309" s="410"/>
      <c r="R309" s="410"/>
      <c r="S309" s="410"/>
      <c r="T309" s="410"/>
      <c r="U309" s="410"/>
      <c r="V309" s="132">
        <f t="shared" si="140"/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419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410"/>
      <c r="P310" s="410"/>
      <c r="Q310" s="410"/>
      <c r="R310" s="410"/>
      <c r="S310" s="410"/>
      <c r="T310" s="410"/>
      <c r="U310" s="410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419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410"/>
      <c r="P311" s="410"/>
      <c r="Q311" s="410"/>
      <c r="R311" s="410"/>
      <c r="S311" s="410"/>
      <c r="T311" s="410"/>
      <c r="U311" s="410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419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410"/>
      <c r="P312" s="410"/>
      <c r="Q312" s="410"/>
      <c r="R312" s="410"/>
      <c r="S312" s="410"/>
      <c r="T312" s="410"/>
      <c r="U312" s="410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79">
        <f t="shared" si="137"/>
        <v>0</v>
      </c>
      <c r="I313" s="129"/>
      <c r="J313" s="130"/>
      <c r="K313" s="131"/>
      <c r="L313" s="129">
        <v>13.5</v>
      </c>
      <c r="M313" s="109"/>
      <c r="N313" s="130"/>
      <c r="O313" s="410"/>
      <c r="P313" s="410"/>
      <c r="Q313" s="410"/>
      <c r="R313" s="410"/>
      <c r="S313" s="410"/>
      <c r="T313" s="410"/>
      <c r="U313" s="410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/>
      <c r="G314" s="128"/>
      <c r="H314" s="479">
        <f t="shared" si="137"/>
        <v>0</v>
      </c>
      <c r="I314" s="129"/>
      <c r="J314" s="130"/>
      <c r="K314" s="131"/>
      <c r="L314" s="129">
        <v>13.5</v>
      </c>
      <c r="M314" s="109"/>
      <c r="N314" s="130"/>
      <c r="O314" s="470"/>
      <c r="P314" s="470"/>
      <c r="Q314" s="470"/>
      <c r="R314" s="470"/>
      <c r="S314" s="470"/>
      <c r="T314" s="470"/>
      <c r="U314" s="470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37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419">
        <f t="shared" ref="H316" si="141">D316*G316</f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2">IF(ISERROR(I316-K316),"",I316-K316)</f>
        <v>0</v>
      </c>
      <c r="N316" s="130">
        <f t="shared" ref="N316" si="143">SUM(O316:U316)</f>
        <v>0</v>
      </c>
      <c r="O316" s="410"/>
      <c r="P316" s="410"/>
      <c r="Q316" s="410"/>
      <c r="R316" s="410"/>
      <c r="S316" s="410"/>
      <c r="T316" s="410"/>
      <c r="U316" s="410"/>
      <c r="V316" s="132">
        <f t="shared" ref="V316" si="144">SUM(X316:AA316)</f>
        <v>0</v>
      </c>
      <c r="W316" s="133" t="str">
        <f t="shared" ref="W316:W321" si="145">IF(ISERROR(V316/G316),"",V316/G316)</f>
        <v/>
      </c>
      <c r="X316" s="132"/>
      <c r="Y316" s="132"/>
      <c r="Z316" s="132"/>
      <c r="AA316" s="132"/>
    </row>
    <row r="317" spans="1:27" ht="20.100000000000001" hidden="1" customHeight="1">
      <c r="A317" s="630" t="s">
        <v>234</v>
      </c>
      <c r="B317" s="631"/>
      <c r="C317" s="417" t="s">
        <v>202</v>
      </c>
      <c r="D317" s="143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5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409"/>
      <c r="D318" s="108">
        <v>3.65</v>
      </c>
      <c r="E318" s="108"/>
      <c r="F318" s="153"/>
      <c r="G318" s="128"/>
      <c r="H318" s="419">
        <f t="shared" ref="H318:H331" si="146">D318*G318</f>
        <v>0</v>
      </c>
      <c r="I318" s="129"/>
      <c r="J318" s="130" t="str">
        <f t="array" ref="J318">IF(ISERROR(G318/I318),"",G318/I318)</f>
        <v/>
      </c>
      <c r="K318" s="419">
        <f t="array" ref="K318">IF(ISERROR(G318/L318),"",G318/L318)</f>
        <v>0</v>
      </c>
      <c r="L318" s="129">
        <v>5</v>
      </c>
      <c r="M318" s="109">
        <f t="shared" ref="M318:M321" si="147">IF(ISERROR(I318-K318),"",I318-K318)</f>
        <v>0</v>
      </c>
      <c r="N318" s="130">
        <f t="shared" ref="N318:N321" si="148">SUM(O318:U318)</f>
        <v>0</v>
      </c>
      <c r="O318" s="410"/>
      <c r="P318" s="410"/>
      <c r="Q318" s="410"/>
      <c r="R318" s="410"/>
      <c r="S318" s="410"/>
      <c r="T318" s="410"/>
      <c r="U318" s="410"/>
      <c r="V318" s="132">
        <f t="shared" ref="V318:V321" si="149">SUM(X318:AA318)</f>
        <v>0</v>
      </c>
      <c r="W318" s="133" t="str">
        <f t="shared" si="145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409"/>
      <c r="D319" s="108">
        <v>6.58</v>
      </c>
      <c r="E319" s="108"/>
      <c r="F319" s="127"/>
      <c r="G319" s="128"/>
      <c r="H319" s="419">
        <f t="shared" si="146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7"/>
        <v>0</v>
      </c>
      <c r="N319" s="130">
        <f t="shared" si="148"/>
        <v>0</v>
      </c>
      <c r="O319" s="410"/>
      <c r="P319" s="410"/>
      <c r="Q319" s="410"/>
      <c r="R319" s="410"/>
      <c r="S319" s="410"/>
      <c r="T319" s="410"/>
      <c r="U319" s="410"/>
      <c r="V319" s="132">
        <f t="shared" si="149"/>
        <v>0</v>
      </c>
      <c r="W319" s="133" t="str">
        <f t="shared" si="145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409"/>
      <c r="D320" s="108">
        <v>7.8</v>
      </c>
      <c r="E320" s="108"/>
      <c r="F320" s="127"/>
      <c r="G320" s="128"/>
      <c r="H320" s="419">
        <f t="shared" si="146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7"/>
        <v>0</v>
      </c>
      <c r="N320" s="130">
        <f t="shared" si="148"/>
        <v>0</v>
      </c>
      <c r="O320" s="410"/>
      <c r="P320" s="410"/>
      <c r="Q320" s="410"/>
      <c r="R320" s="410"/>
      <c r="S320" s="410"/>
      <c r="T320" s="410"/>
      <c r="U320" s="410"/>
      <c r="V320" s="132">
        <f t="shared" si="149"/>
        <v>0</v>
      </c>
      <c r="W320" s="133" t="str">
        <f t="shared" si="145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409"/>
      <c r="D321" s="108">
        <v>4.4000000000000004</v>
      </c>
      <c r="E321" s="108"/>
      <c r="F321" s="127"/>
      <c r="G321" s="128"/>
      <c r="H321" s="419">
        <f t="shared" si="146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7"/>
        <v>0</v>
      </c>
      <c r="N321" s="130">
        <f t="shared" si="148"/>
        <v>0</v>
      </c>
      <c r="O321" s="410"/>
      <c r="P321" s="410"/>
      <c r="Q321" s="410"/>
      <c r="R321" s="410"/>
      <c r="S321" s="410"/>
      <c r="T321" s="410"/>
      <c r="U321" s="410"/>
      <c r="V321" s="132">
        <f t="shared" si="149"/>
        <v>0</v>
      </c>
      <c r="W321" s="133" t="str">
        <f t="shared" si="145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409"/>
      <c r="D322" s="108"/>
      <c r="E322" s="108"/>
      <c r="F322" s="127"/>
      <c r="G322" s="128"/>
      <c r="H322" s="419">
        <f t="shared" si="146"/>
        <v>0</v>
      </c>
      <c r="I322" s="129"/>
      <c r="J322" s="130"/>
      <c r="K322" s="131"/>
      <c r="L322" s="129">
        <v>6</v>
      </c>
      <c r="M322" s="109"/>
      <c r="N322" s="130"/>
      <c r="O322" s="410"/>
      <c r="P322" s="410"/>
      <c r="Q322" s="410"/>
      <c r="R322" s="410"/>
      <c r="S322" s="410"/>
      <c r="T322" s="410"/>
      <c r="U322" s="410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409" t="s">
        <v>239</v>
      </c>
      <c r="C323" s="409" t="s">
        <v>179</v>
      </c>
      <c r="D323" s="108">
        <v>6.04</v>
      </c>
      <c r="E323" s="108"/>
      <c r="F323" s="127"/>
      <c r="G323" s="128"/>
      <c r="H323" s="419">
        <f t="shared" si="146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50">IF(ISERROR(I323-K323),"",I323-K323)</f>
        <v>0</v>
      </c>
      <c r="N323" s="130">
        <f t="shared" ref="N323:N324" si="151">SUM(O323:U323)</f>
        <v>0</v>
      </c>
      <c r="O323" s="410"/>
      <c r="P323" s="410"/>
      <c r="Q323" s="410"/>
      <c r="R323" s="410"/>
      <c r="S323" s="410"/>
      <c r="T323" s="410"/>
      <c r="U323" s="410"/>
      <c r="V323" s="132">
        <f t="shared" ref="V323:V324" si="152">SUM(X323:AA323)</f>
        <v>0</v>
      </c>
      <c r="W323" s="133" t="str">
        <f t="shared" ref="W323:W324" si="153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409" t="s">
        <v>239</v>
      </c>
      <c r="C324" s="409" t="s">
        <v>186</v>
      </c>
      <c r="D324" s="108">
        <v>6.04</v>
      </c>
      <c r="E324" s="108"/>
      <c r="F324" s="127"/>
      <c r="G324" s="128"/>
      <c r="H324" s="419">
        <f t="shared" si="146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50"/>
        <v>0</v>
      </c>
      <c r="N324" s="130">
        <f t="shared" si="151"/>
        <v>0</v>
      </c>
      <c r="O324" s="410"/>
      <c r="P324" s="410"/>
      <c r="Q324" s="410"/>
      <c r="R324" s="410"/>
      <c r="S324" s="410"/>
      <c r="T324" s="410"/>
      <c r="U324" s="410"/>
      <c r="V324" s="132">
        <f t="shared" si="152"/>
        <v>0</v>
      </c>
      <c r="W324" s="133" t="str">
        <f t="shared" si="153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409" t="s">
        <v>443</v>
      </c>
      <c r="C325" s="409" t="s">
        <v>179</v>
      </c>
      <c r="D325" s="108">
        <v>6</v>
      </c>
      <c r="E325" s="108"/>
      <c r="F325" s="127"/>
      <c r="G325" s="128"/>
      <c r="H325" s="419">
        <f t="shared" si="146"/>
        <v>0</v>
      </c>
      <c r="I325" s="129"/>
      <c r="J325" s="130"/>
      <c r="K325" s="131"/>
      <c r="L325" s="129"/>
      <c r="M325" s="109"/>
      <c r="N325" s="130"/>
      <c r="O325" s="410"/>
      <c r="P325" s="410"/>
      <c r="Q325" s="410"/>
      <c r="R325" s="410"/>
      <c r="S325" s="410"/>
      <c r="T325" s="410"/>
      <c r="U325" s="410"/>
      <c r="V325" s="132"/>
      <c r="W325" s="133"/>
      <c r="X325" s="132"/>
      <c r="Y325" s="132"/>
      <c r="Z325" s="132"/>
      <c r="AA325" s="132"/>
    </row>
    <row r="326" spans="1:27" ht="20.100000000000001" customHeight="1">
      <c r="A326" s="305">
        <v>30101016</v>
      </c>
      <c r="B326" s="409" t="s">
        <v>443</v>
      </c>
      <c r="C326" s="409" t="s">
        <v>60</v>
      </c>
      <c r="D326" s="108">
        <v>6</v>
      </c>
      <c r="E326" s="108"/>
      <c r="F326" s="127">
        <v>42711</v>
      </c>
      <c r="G326" s="128">
        <f>25+42+42+42</f>
        <v>151</v>
      </c>
      <c r="H326" s="419">
        <f t="shared" si="146"/>
        <v>906</v>
      </c>
      <c r="I326" s="129">
        <f>3.5*4+0.5*3+8*4</f>
        <v>47.5</v>
      </c>
      <c r="J326" s="130">
        <f t="array" ref="J326">IF(ISERROR(G326/I326),"",G326/I326)</f>
        <v>3.1789473684210527</v>
      </c>
      <c r="K326" s="419">
        <f t="array" ref="K326">IF(ISERROR(G326/L326),"",G326/L326)</f>
        <v>25.166666666666668</v>
      </c>
      <c r="L326" s="129">
        <v>6</v>
      </c>
      <c r="M326" s="109">
        <f t="shared" ref="M326" si="154">IF(ISERROR(I326-K326),"",I326-K326)</f>
        <v>22.333333333333332</v>
      </c>
      <c r="N326" s="130"/>
      <c r="O326" s="410"/>
      <c r="P326" s="410"/>
      <c r="Q326" s="410"/>
      <c r="R326" s="410"/>
      <c r="S326" s="410"/>
      <c r="T326" s="410"/>
      <c r="U326" s="410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411" t="s">
        <v>240</v>
      </c>
      <c r="C327" s="126"/>
      <c r="D327" s="108">
        <v>7.3</v>
      </c>
      <c r="E327" s="108"/>
      <c r="F327" s="127"/>
      <c r="G327" s="128"/>
      <c r="H327" s="419">
        <f t="shared" si="146"/>
        <v>0</v>
      </c>
      <c r="I327" s="129"/>
      <c r="J327" s="130"/>
      <c r="K327" s="131"/>
      <c r="L327" s="129"/>
      <c r="M327" s="109"/>
      <c r="N327" s="130"/>
      <c r="O327" s="410"/>
      <c r="P327" s="410"/>
      <c r="Q327" s="410"/>
      <c r="R327" s="410"/>
      <c r="S327" s="410"/>
      <c r="T327" s="410"/>
      <c r="U327" s="410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411" t="s">
        <v>241</v>
      </c>
      <c r="C328" s="126"/>
      <c r="D328" s="108">
        <f>78*120/1000</f>
        <v>9.36</v>
      </c>
      <c r="E328" s="108"/>
      <c r="F328" s="127"/>
      <c r="G328" s="128"/>
      <c r="H328" s="419">
        <f t="shared" si="146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5">SUM(O328:U328)</f>
        <v>0</v>
      </c>
      <c r="O328" s="410"/>
      <c r="P328" s="410"/>
      <c r="Q328" s="410"/>
      <c r="R328" s="410"/>
      <c r="S328" s="410"/>
      <c r="T328" s="410"/>
      <c r="U328" s="410"/>
      <c r="V328" s="132">
        <f t="shared" ref="V328" si="156">SUM(X328:AA328)</f>
        <v>0</v>
      </c>
      <c r="W328" s="133" t="str">
        <f t="shared" ref="W328" si="157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411" t="s">
        <v>242</v>
      </c>
      <c r="C329" s="126"/>
      <c r="D329" s="108">
        <v>4.5</v>
      </c>
      <c r="E329" s="108"/>
      <c r="F329" s="127"/>
      <c r="G329" s="128"/>
      <c r="H329" s="419">
        <f t="shared" si="146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410"/>
      <c r="P329" s="410"/>
      <c r="Q329" s="410"/>
      <c r="R329" s="410"/>
      <c r="S329" s="410"/>
      <c r="T329" s="410"/>
      <c r="U329" s="410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411" t="s">
        <v>243</v>
      </c>
      <c r="C330" s="126"/>
      <c r="D330" s="108">
        <v>4.5</v>
      </c>
      <c r="E330" s="108"/>
      <c r="F330" s="127"/>
      <c r="G330" s="128"/>
      <c r="H330" s="419">
        <f t="shared" si="146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410"/>
      <c r="P330" s="410"/>
      <c r="Q330" s="410"/>
      <c r="R330" s="410"/>
      <c r="S330" s="410"/>
      <c r="T330" s="410"/>
      <c r="U330" s="410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419">
        <f t="shared" si="146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10"/>
      <c r="P331" s="410"/>
      <c r="Q331" s="410"/>
      <c r="R331" s="410"/>
      <c r="S331" s="410"/>
      <c r="T331" s="410"/>
      <c r="U331" s="410"/>
      <c r="V331" s="132"/>
      <c r="W331" s="133"/>
      <c r="X331" s="132"/>
      <c r="Y331" s="132"/>
      <c r="Z331" s="132"/>
      <c r="AA331" s="132"/>
    </row>
    <row r="332" spans="1:27" ht="20.100000000000001" customHeight="1">
      <c r="A332" s="630" t="s">
        <v>244</v>
      </c>
      <c r="B332" s="631"/>
      <c r="C332" s="417" t="s">
        <v>202</v>
      </c>
      <c r="D332" s="143"/>
      <c r="E332" s="143"/>
      <c r="F332" s="144"/>
      <c r="G332" s="145">
        <f>SUM(G318:G331)</f>
        <v>151</v>
      </c>
      <c r="H332" s="146">
        <f>SUM(H318:H328)</f>
        <v>906</v>
      </c>
      <c r="I332" s="146">
        <f>SUM(I318:I331)</f>
        <v>47.5</v>
      </c>
      <c r="J332" s="130"/>
      <c r="K332" s="146">
        <f>SUM(K318:K328)</f>
        <v>25.166666666666668</v>
      </c>
      <c r="L332" s="147"/>
      <c r="M332" s="150">
        <f t="shared" ref="M332:AA332" si="158">SUM(M318:M328)</f>
        <v>22.333333333333332</v>
      </c>
      <c r="N332" s="146">
        <f t="shared" si="158"/>
        <v>0</v>
      </c>
      <c r="O332" s="148">
        <f t="shared" si="158"/>
        <v>0</v>
      </c>
      <c r="P332" s="148">
        <f t="shared" si="158"/>
        <v>0</v>
      </c>
      <c r="Q332" s="148">
        <f t="shared" si="158"/>
        <v>0</v>
      </c>
      <c r="R332" s="148">
        <f t="shared" si="158"/>
        <v>0</v>
      </c>
      <c r="S332" s="148">
        <f t="shared" si="158"/>
        <v>0</v>
      </c>
      <c r="T332" s="148">
        <f t="shared" si="158"/>
        <v>0</v>
      </c>
      <c r="U332" s="148">
        <f t="shared" si="158"/>
        <v>0</v>
      </c>
      <c r="V332" s="149">
        <f t="shared" si="158"/>
        <v>0</v>
      </c>
      <c r="W332" s="133">
        <f t="shared" si="158"/>
        <v>0</v>
      </c>
      <c r="X332" s="149">
        <f t="shared" si="158"/>
        <v>0</v>
      </c>
      <c r="Y332" s="149">
        <f t="shared" si="158"/>
        <v>0</v>
      </c>
      <c r="Z332" s="149">
        <f t="shared" si="158"/>
        <v>0</v>
      </c>
      <c r="AA332" s="149">
        <f t="shared" si="158"/>
        <v>0</v>
      </c>
    </row>
    <row r="333" spans="1:27" ht="20.100000000000001" customHeight="1">
      <c r="A333" s="632" t="s">
        <v>246</v>
      </c>
      <c r="B333" s="633"/>
      <c r="C333" s="633"/>
      <c r="D333" s="633"/>
      <c r="E333" s="633"/>
      <c r="F333" s="634"/>
      <c r="G333" s="154">
        <f>SUM(G198,G256,G291,G307,G317,G332)</f>
        <v>1688</v>
      </c>
      <c r="H333" s="154">
        <f>SUM(H198,H256,H291,H307,H317,H332)</f>
        <v>8663.4</v>
      </c>
      <c r="I333" s="154">
        <f>SUM(I198,I256,I291,I307,I317,I332)</f>
        <v>185</v>
      </c>
      <c r="J333" s="155">
        <f t="array" ref="J333">IF(ISERROR(G333/I333),"",G333/I333)</f>
        <v>9.1243243243243235</v>
      </c>
      <c r="K333" s="154">
        <f>SUM(K198,K256,K291,K307,K317,K332)</f>
        <v>144.71402969790066</v>
      </c>
      <c r="L333" s="155">
        <f>IF(ISERROR(G333/K333),"",G333/K333)</f>
        <v>11.664383913044249</v>
      </c>
      <c r="M333" s="154">
        <f t="shared" ref="M333:AA333" si="159">SUM(M198,M256,M291,M307,M317,M332)</f>
        <v>40.285970302099336</v>
      </c>
      <c r="N333" s="154">
        <f t="shared" si="159"/>
        <v>0</v>
      </c>
      <c r="O333" s="154">
        <f t="shared" si="159"/>
        <v>0</v>
      </c>
      <c r="P333" s="154">
        <f t="shared" si="159"/>
        <v>0</v>
      </c>
      <c r="Q333" s="154">
        <f t="shared" si="159"/>
        <v>0</v>
      </c>
      <c r="R333" s="154">
        <f t="shared" si="159"/>
        <v>0</v>
      </c>
      <c r="S333" s="154">
        <f t="shared" si="159"/>
        <v>0</v>
      </c>
      <c r="T333" s="154">
        <f t="shared" si="159"/>
        <v>0</v>
      </c>
      <c r="U333" s="154">
        <f t="shared" si="159"/>
        <v>0</v>
      </c>
      <c r="V333" s="154">
        <f t="shared" si="159"/>
        <v>0</v>
      </c>
      <c r="W333" s="154">
        <f t="shared" si="159"/>
        <v>0</v>
      </c>
      <c r="X333" s="154">
        <f t="shared" si="159"/>
        <v>0</v>
      </c>
      <c r="Y333" s="154">
        <f t="shared" si="159"/>
        <v>0</v>
      </c>
      <c r="Z333" s="154">
        <f t="shared" si="159"/>
        <v>0</v>
      </c>
      <c r="AA333" s="154">
        <f t="shared" si="159"/>
        <v>0</v>
      </c>
    </row>
    <row r="334" spans="1:27" ht="20.100000000000001" customHeight="1">
      <c r="A334" s="635" t="s">
        <v>476</v>
      </c>
      <c r="B334" s="416" t="s">
        <v>247</v>
      </c>
      <c r="C334" s="638" t="s">
        <v>248</v>
      </c>
      <c r="D334" s="639"/>
      <c r="E334" s="640" t="s">
        <v>249</v>
      </c>
      <c r="F334" s="640"/>
      <c r="G334" s="643" t="s">
        <v>250</v>
      </c>
      <c r="H334" s="643"/>
      <c r="I334" s="640" t="s">
        <v>251</v>
      </c>
      <c r="J334" s="640"/>
      <c r="K334" s="640" t="s">
        <v>252</v>
      </c>
      <c r="L334" s="640"/>
      <c r="M334" s="640" t="s">
        <v>253</v>
      </c>
      <c r="N334" s="640"/>
      <c r="O334" s="640" t="s">
        <v>254</v>
      </c>
      <c r="P334" s="643" t="s">
        <v>255</v>
      </c>
      <c r="Q334" s="643"/>
      <c r="R334" s="643" t="s">
        <v>252</v>
      </c>
      <c r="S334" s="643"/>
      <c r="T334" s="643" t="s">
        <v>256</v>
      </c>
      <c r="U334" s="643"/>
      <c r="V334" s="643" t="s">
        <v>257</v>
      </c>
      <c r="W334" s="643"/>
      <c r="X334" s="643" t="s">
        <v>252</v>
      </c>
      <c r="Y334" s="643"/>
      <c r="Z334" s="643" t="s">
        <v>256</v>
      </c>
      <c r="AA334" s="643"/>
    </row>
    <row r="335" spans="1:27" ht="20.100000000000001" customHeight="1">
      <c r="A335" s="636"/>
      <c r="B335" s="416" t="s">
        <v>258</v>
      </c>
      <c r="C335" s="678">
        <v>1</v>
      </c>
      <c r="D335" s="679"/>
      <c r="E335" s="642">
        <f>C335*11</f>
        <v>11</v>
      </c>
      <c r="F335" s="642"/>
      <c r="G335" s="643">
        <v>1</v>
      </c>
      <c r="H335" s="643"/>
      <c r="I335" s="642">
        <f>G335*11</f>
        <v>11</v>
      </c>
      <c r="J335" s="642"/>
      <c r="K335" s="642">
        <f>E335-I335</f>
        <v>0</v>
      </c>
      <c r="L335" s="642"/>
      <c r="M335" s="644">
        <f>IF(ISERROR(K335/E335),"",K335/E335)</f>
        <v>0</v>
      </c>
      <c r="N335" s="644"/>
      <c r="O335" s="640"/>
      <c r="P335" s="643" t="s">
        <v>201</v>
      </c>
      <c r="Q335" s="643"/>
      <c r="R335" s="645">
        <f>SUM(O198:U198)</f>
        <v>0</v>
      </c>
      <c r="S335" s="645"/>
      <c r="T335" s="646" t="str">
        <f t="array" ref="T335">IF(ISERROR(R335/R342),"",R335/R342)</f>
        <v/>
      </c>
      <c r="U335" s="646"/>
      <c r="V335" s="643" t="s">
        <v>259</v>
      </c>
      <c r="W335" s="643"/>
      <c r="X335" s="680">
        <f>SUM(P197,P255,P290,P306,P316,P331)</f>
        <v>0</v>
      </c>
      <c r="Y335" s="681"/>
      <c r="Z335" s="646" t="str">
        <f t="array" ref="Z335">IF(ISERROR(X335/X342),"",X335/X342)</f>
        <v/>
      </c>
      <c r="AA335" s="646"/>
    </row>
    <row r="336" spans="1:27" ht="20.100000000000001" customHeight="1">
      <c r="A336" s="636"/>
      <c r="B336" s="416" t="s">
        <v>260</v>
      </c>
      <c r="C336" s="638">
        <v>0</v>
      </c>
      <c r="D336" s="639"/>
      <c r="E336" s="642">
        <f>C336*11</f>
        <v>0</v>
      </c>
      <c r="F336" s="642"/>
      <c r="G336" s="643">
        <v>0</v>
      </c>
      <c r="H336" s="643"/>
      <c r="I336" s="642">
        <f>G336*11</f>
        <v>0</v>
      </c>
      <c r="J336" s="642"/>
      <c r="K336" s="642">
        <f>E336-I336</f>
        <v>0</v>
      </c>
      <c r="L336" s="642"/>
      <c r="M336" s="644" t="str">
        <f>IF(ISERROR(K336/E336),"",K336/E336)</f>
        <v/>
      </c>
      <c r="N336" s="644"/>
      <c r="O336" s="640"/>
      <c r="P336" s="643" t="s">
        <v>216</v>
      </c>
      <c r="Q336" s="643"/>
      <c r="R336" s="645">
        <f>SUM(O256:U256)</f>
        <v>0</v>
      </c>
      <c r="S336" s="645"/>
      <c r="T336" s="646" t="str">
        <f>IF(ISERROR(R336/R342),"",R336/R342)</f>
        <v/>
      </c>
      <c r="U336" s="646"/>
      <c r="V336" s="643" t="s">
        <v>261</v>
      </c>
      <c r="W336" s="643"/>
      <c r="X336" s="680">
        <f>SUM(P198,P256,P291,P307,P317,P332)</f>
        <v>0</v>
      </c>
      <c r="Y336" s="681"/>
      <c r="Z336" s="646" t="str">
        <f>IF(ISERROR(X336/X342),"",X336/X342)</f>
        <v/>
      </c>
      <c r="AA336" s="646"/>
    </row>
    <row r="337" spans="1:27" ht="20.100000000000001" customHeight="1">
      <c r="A337" s="636"/>
      <c r="B337" s="416" t="s">
        <v>262</v>
      </c>
      <c r="C337" s="638">
        <v>0</v>
      </c>
      <c r="D337" s="639"/>
      <c r="E337" s="642">
        <f>C337*8</f>
        <v>0</v>
      </c>
      <c r="F337" s="642"/>
      <c r="G337" s="643">
        <v>1</v>
      </c>
      <c r="H337" s="643"/>
      <c r="I337" s="642">
        <f>G337*8</f>
        <v>8</v>
      </c>
      <c r="J337" s="642"/>
      <c r="K337" s="642">
        <f>E337-I337</f>
        <v>-8</v>
      </c>
      <c r="L337" s="642"/>
      <c r="M337" s="644" t="str">
        <f>IF(ISERROR(K337/E337),"",K337/E337)</f>
        <v/>
      </c>
      <c r="N337" s="644"/>
      <c r="O337" s="640"/>
      <c r="P337" s="643" t="s">
        <v>224</v>
      </c>
      <c r="Q337" s="643"/>
      <c r="R337" s="645">
        <f>SUM(O291:U291)</f>
        <v>0</v>
      </c>
      <c r="S337" s="645"/>
      <c r="T337" s="646" t="str">
        <f>IF(ISERROR(R337/R342),"",R337/R342)</f>
        <v/>
      </c>
      <c r="U337" s="646"/>
      <c r="V337" s="643" t="s">
        <v>263</v>
      </c>
      <c r="W337" s="643"/>
      <c r="X337" s="680">
        <f>SUM(P199,P257,P292,P308,P318,P333)</f>
        <v>0</v>
      </c>
      <c r="Y337" s="681"/>
      <c r="Z337" s="646" t="str">
        <f>IF(ISERROR(X337/X342),"",X337/X342)</f>
        <v/>
      </c>
      <c r="AA337" s="646"/>
    </row>
    <row r="338" spans="1:27" ht="20.100000000000001" customHeight="1">
      <c r="A338" s="636"/>
      <c r="B338" s="416" t="s">
        <v>264</v>
      </c>
      <c r="C338" s="638">
        <v>1</v>
      </c>
      <c r="D338" s="639"/>
      <c r="E338" s="642">
        <f>C338*11</f>
        <v>11</v>
      </c>
      <c r="F338" s="642"/>
      <c r="G338" s="643">
        <v>1</v>
      </c>
      <c r="H338" s="643"/>
      <c r="I338" s="642">
        <f>G338*11</f>
        <v>11</v>
      </c>
      <c r="J338" s="642"/>
      <c r="K338" s="642">
        <f>E338-I338</f>
        <v>0</v>
      </c>
      <c r="L338" s="642"/>
      <c r="M338" s="644">
        <f>IF(ISERROR(K338/E338),"",K338/E338)</f>
        <v>0</v>
      </c>
      <c r="N338" s="644"/>
      <c r="O338" s="640"/>
      <c r="P338" s="643" t="s">
        <v>231</v>
      </c>
      <c r="Q338" s="643"/>
      <c r="R338" s="645">
        <f>SUM(O307:U307)</f>
        <v>0</v>
      </c>
      <c r="S338" s="645"/>
      <c r="T338" s="646" t="str">
        <f>IF(ISERROR(R338/R342),"",R338/R342)</f>
        <v/>
      </c>
      <c r="U338" s="646"/>
      <c r="V338" s="643" t="s">
        <v>265</v>
      </c>
      <c r="W338" s="643"/>
      <c r="X338" s="680">
        <f>SUM(P201,P258,P293,P309,P319,P334)</f>
        <v>0</v>
      </c>
      <c r="Y338" s="681"/>
      <c r="Z338" s="646" t="str">
        <f>IF(ISERROR(X338/X342),"",X338/X342)</f>
        <v/>
      </c>
      <c r="AA338" s="646"/>
    </row>
    <row r="339" spans="1:27" ht="20.100000000000001" customHeight="1">
      <c r="A339" s="637"/>
      <c r="B339" s="416" t="s">
        <v>266</v>
      </c>
      <c r="C339" s="648">
        <f>SUM(C335:D338)</f>
        <v>2</v>
      </c>
      <c r="D339" s="649"/>
      <c r="E339" s="642">
        <f>SUM(E335:F338)</f>
        <v>22</v>
      </c>
      <c r="F339" s="642"/>
      <c r="G339" s="643">
        <f>SUM(G335:H338)</f>
        <v>3</v>
      </c>
      <c r="H339" s="643"/>
      <c r="I339" s="642">
        <f>SUM(I335:J338)</f>
        <v>30</v>
      </c>
      <c r="J339" s="642"/>
      <c r="K339" s="642">
        <f>SUM(K335:L338)</f>
        <v>-8</v>
      </c>
      <c r="L339" s="642"/>
      <c r="M339" s="644">
        <f>IF(ISERROR(K339/E339),"",K339/E339)</f>
        <v>-0.36363636363636365</v>
      </c>
      <c r="N339" s="644"/>
      <c r="O339" s="640"/>
      <c r="P339" s="643" t="s">
        <v>234</v>
      </c>
      <c r="Q339" s="643"/>
      <c r="R339" s="645">
        <f>SUM(O317:U317)</f>
        <v>0</v>
      </c>
      <c r="S339" s="645"/>
      <c r="T339" s="646" t="str">
        <f>IF(ISERROR(R339/R342),"",R339/R342)</f>
        <v/>
      </c>
      <c r="U339" s="646"/>
      <c r="V339" s="643" t="s">
        <v>267</v>
      </c>
      <c r="W339" s="643"/>
      <c r="X339" s="680">
        <f>SUM(P202,P259,P294,P310,P320,P335)</f>
        <v>0</v>
      </c>
      <c r="Y339" s="681"/>
      <c r="Z339" s="646" t="str">
        <f>IF(ISERROR(X339/X342),"",X339/X342)</f>
        <v/>
      </c>
      <c r="AA339" s="646"/>
    </row>
    <row r="340" spans="1:27" ht="20.100000000000001" customHeight="1">
      <c r="A340" s="309" t="s">
        <v>477</v>
      </c>
      <c r="B340" s="416">
        <f>G333</f>
        <v>1688</v>
      </c>
      <c r="C340" s="650" t="s">
        <v>269</v>
      </c>
      <c r="D340" s="651"/>
      <c r="E340" s="643">
        <f>H333</f>
        <v>8663.4</v>
      </c>
      <c r="F340" s="643"/>
      <c r="G340" s="643" t="s">
        <v>270</v>
      </c>
      <c r="H340" s="643"/>
      <c r="I340" s="652">
        <f>L333</f>
        <v>11.664383913044249</v>
      </c>
      <c r="J340" s="652"/>
      <c r="K340" s="640" t="s">
        <v>271</v>
      </c>
      <c r="L340" s="640"/>
      <c r="M340" s="652">
        <f>J333</f>
        <v>9.1243243243243235</v>
      </c>
      <c r="N340" s="652"/>
      <c r="O340" s="640"/>
      <c r="P340" s="643" t="s">
        <v>244</v>
      </c>
      <c r="Q340" s="643"/>
      <c r="R340" s="645">
        <f>SUM(O332:U332)</f>
        <v>0</v>
      </c>
      <c r="S340" s="645"/>
      <c r="T340" s="646" t="str">
        <f>IF(ISERROR(R340/R342),"",R340/R342)</f>
        <v/>
      </c>
      <c r="U340" s="646"/>
      <c r="V340" s="643" t="s">
        <v>272</v>
      </c>
      <c r="W340" s="643"/>
      <c r="X340" s="680">
        <f>SUM(P203,P260,P295,P311,P321,P336)</f>
        <v>0</v>
      </c>
      <c r="Y340" s="681"/>
      <c r="Z340" s="646" t="str">
        <f>IF(ISERROR(X340/X342),"",X340/X342)</f>
        <v/>
      </c>
      <c r="AA340" s="646"/>
    </row>
    <row r="341" spans="1:27" ht="20.100000000000001" customHeight="1">
      <c r="A341" s="310" t="s">
        <v>478</v>
      </c>
      <c r="B341" s="416">
        <f>I333+C339</f>
        <v>187</v>
      </c>
      <c r="C341" s="653" t="s">
        <v>251</v>
      </c>
      <c r="D341" s="654"/>
      <c r="E341" s="655">
        <f>K333+I339</f>
        <v>174.71402969790066</v>
      </c>
      <c r="F341" s="655"/>
      <c r="G341" s="643" t="s">
        <v>274</v>
      </c>
      <c r="H341" s="643"/>
      <c r="I341" s="652">
        <f>B341-E341</f>
        <v>12.285970302099344</v>
      </c>
      <c r="J341" s="652"/>
      <c r="K341" s="640" t="s">
        <v>275</v>
      </c>
      <c r="L341" s="640"/>
      <c r="M341" s="644">
        <f>IF(ISERROR(I341/E341),"",I341/E341)</f>
        <v>7.0320456367145262E-2</v>
      </c>
      <c r="N341" s="644"/>
      <c r="O341" s="640"/>
      <c r="P341" s="643" t="s">
        <v>245</v>
      </c>
      <c r="Q341" s="643"/>
      <c r="R341" s="645"/>
      <c r="S341" s="645"/>
      <c r="T341" s="646" t="str">
        <f>IF(ISERROR(R341/R342),"",R341/R342)</f>
        <v/>
      </c>
      <c r="U341" s="646"/>
      <c r="V341" s="643" t="s">
        <v>264</v>
      </c>
      <c r="W341" s="643"/>
      <c r="X341" s="680">
        <f>SUM(P204,P261,P296,P312,P322,P337)</f>
        <v>0</v>
      </c>
      <c r="Y341" s="681"/>
      <c r="Z341" s="646" t="str">
        <f>IF(ISERROR(X341/X342),"",X341/X342)</f>
        <v/>
      </c>
      <c r="AA341" s="646"/>
    </row>
    <row r="342" spans="1:27" ht="20.100000000000001" customHeight="1">
      <c r="A342" s="310" t="s">
        <v>479</v>
      </c>
      <c r="B342" s="416">
        <f>N333</f>
        <v>0</v>
      </c>
      <c r="C342" s="653" t="s">
        <v>277</v>
      </c>
      <c r="D342" s="654"/>
      <c r="E342" s="646">
        <f>IF(ISERROR(B342/B341),"",B342/B341)</f>
        <v>0</v>
      </c>
      <c r="F342" s="646"/>
      <c r="G342" s="643" t="s">
        <v>278</v>
      </c>
      <c r="H342" s="643"/>
      <c r="I342" s="640">
        <f>V333</f>
        <v>0</v>
      </c>
      <c r="J342" s="640"/>
      <c r="K342" s="640" t="s">
        <v>279</v>
      </c>
      <c r="L342" s="640"/>
      <c r="M342" s="644">
        <f t="array" ref="M342">IF(ISERROR(I342/B340),"",I342/B340)</f>
        <v>0</v>
      </c>
      <c r="N342" s="644"/>
      <c r="O342" s="640"/>
      <c r="P342" s="643" t="s">
        <v>266</v>
      </c>
      <c r="Q342" s="643"/>
      <c r="R342" s="645">
        <f>SUM(R335:S341)</f>
        <v>0</v>
      </c>
      <c r="S342" s="645"/>
      <c r="T342" s="646"/>
      <c r="U342" s="646"/>
      <c r="V342" s="643" t="s">
        <v>266</v>
      </c>
      <c r="W342" s="643"/>
      <c r="X342" s="647">
        <f>SUM(X335:Y341)</f>
        <v>0</v>
      </c>
      <c r="Y342" s="647"/>
      <c r="Z342" s="646"/>
      <c r="AA342" s="646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56" t="s">
        <v>480</v>
      </c>
      <c r="B344" s="659" t="s">
        <v>280</v>
      </c>
      <c r="C344" s="659" t="s">
        <v>281</v>
      </c>
      <c r="D344" s="659" t="s">
        <v>282</v>
      </c>
      <c r="E344" s="662" t="s">
        <v>283</v>
      </c>
      <c r="F344" s="675" t="s">
        <v>284</v>
      </c>
      <c r="G344" s="640" t="s">
        <v>285</v>
      </c>
      <c r="H344" s="640"/>
      <c r="I344" s="659" t="s">
        <v>286</v>
      </c>
      <c r="J344" s="665" t="s">
        <v>271</v>
      </c>
      <c r="K344" s="668" t="s">
        <v>287</v>
      </c>
      <c r="L344" s="659" t="s">
        <v>270</v>
      </c>
      <c r="M344" s="671" t="s">
        <v>288</v>
      </c>
      <c r="N344" s="673" t="s">
        <v>252</v>
      </c>
      <c r="O344" s="640" t="s">
        <v>289</v>
      </c>
      <c r="P344" s="640"/>
      <c r="Q344" s="640"/>
      <c r="R344" s="640"/>
      <c r="S344" s="640"/>
      <c r="T344" s="640"/>
      <c r="U344" s="640"/>
      <c r="V344" s="640" t="s">
        <v>290</v>
      </c>
      <c r="W344" s="673" t="s">
        <v>291</v>
      </c>
      <c r="X344" s="640" t="s">
        <v>292</v>
      </c>
      <c r="Y344" s="640"/>
      <c r="Z344" s="640"/>
      <c r="AA344" s="640"/>
    </row>
    <row r="345" spans="1:27" ht="21.95" customHeight="1">
      <c r="A345" s="657"/>
      <c r="B345" s="660"/>
      <c r="C345" s="660"/>
      <c r="D345" s="660"/>
      <c r="E345" s="663"/>
      <c r="F345" s="676"/>
      <c r="G345" s="640"/>
      <c r="H345" s="640"/>
      <c r="I345" s="660"/>
      <c r="J345" s="666"/>
      <c r="K345" s="669"/>
      <c r="L345" s="660"/>
      <c r="M345" s="672"/>
      <c r="N345" s="673"/>
      <c r="O345" s="640" t="s">
        <v>259</v>
      </c>
      <c r="P345" s="640" t="s">
        <v>261</v>
      </c>
      <c r="Q345" s="640" t="s">
        <v>263</v>
      </c>
      <c r="R345" s="674" t="s">
        <v>265</v>
      </c>
      <c r="S345" s="643" t="s">
        <v>267</v>
      </c>
      <c r="T345" s="640" t="s">
        <v>272</v>
      </c>
      <c r="U345" s="640" t="s">
        <v>264</v>
      </c>
      <c r="V345" s="640"/>
      <c r="W345" s="673"/>
      <c r="X345" s="640" t="s">
        <v>293</v>
      </c>
      <c r="Y345" s="640" t="s">
        <v>294</v>
      </c>
      <c r="Z345" s="640" t="s">
        <v>295</v>
      </c>
      <c r="AA345" s="640" t="s">
        <v>264</v>
      </c>
    </row>
    <row r="346" spans="1:27" ht="21.95" customHeight="1">
      <c r="A346" s="658"/>
      <c r="B346" s="661"/>
      <c r="C346" s="661"/>
      <c r="D346" s="661"/>
      <c r="E346" s="664"/>
      <c r="F346" s="677"/>
      <c r="G346" s="348" t="s">
        <v>518</v>
      </c>
      <c r="H346" s="409" t="s">
        <v>297</v>
      </c>
      <c r="I346" s="661"/>
      <c r="J346" s="667"/>
      <c r="K346" s="670"/>
      <c r="L346" s="661"/>
      <c r="M346" s="672"/>
      <c r="N346" s="673"/>
      <c r="O346" s="640"/>
      <c r="P346" s="640"/>
      <c r="Q346" s="640"/>
      <c r="R346" s="674"/>
      <c r="S346" s="643"/>
      <c r="T346" s="640"/>
      <c r="U346" s="640"/>
      <c r="V346" s="640"/>
      <c r="W346" s="673"/>
      <c r="X346" s="640"/>
      <c r="Y346" s="640"/>
      <c r="Z346" s="640"/>
      <c r="AA346" s="640"/>
    </row>
    <row r="347" spans="1:27" ht="20.100000000000001" hidden="1" customHeight="1">
      <c r="A347" s="299">
        <v>30100030</v>
      </c>
      <c r="B347" s="411" t="s">
        <v>178</v>
      </c>
      <c r="C347" s="126" t="s">
        <v>179</v>
      </c>
      <c r="D347" s="108">
        <v>5.03</v>
      </c>
      <c r="E347" s="108"/>
      <c r="F347" s="127"/>
      <c r="G347" s="128"/>
      <c r="H347" s="419">
        <f t="shared" ref="H347:H367" si="160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61">IF(ISERROR(I347-K347),"",I347-K347)</f>
        <v>0</v>
      </c>
      <c r="N347" s="130">
        <f t="shared" ref="N347:N352" si="162">SUM(O347:U347)</f>
        <v>0</v>
      </c>
      <c r="O347" s="410"/>
      <c r="P347" s="410"/>
      <c r="Q347" s="410"/>
      <c r="R347" s="410"/>
      <c r="S347" s="410"/>
      <c r="T347" s="410"/>
      <c r="U347" s="410"/>
      <c r="V347" s="132">
        <f t="shared" ref="V347:V352" si="163">SUM(X347:AA347)</f>
        <v>0</v>
      </c>
      <c r="W347" s="133" t="str">
        <f t="shared" ref="W347:W352" si="164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419">
        <f t="shared" si="160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61"/>
        <v>0</v>
      </c>
      <c r="N348" s="130">
        <f t="shared" si="162"/>
        <v>0</v>
      </c>
      <c r="O348" s="410"/>
      <c r="P348" s="410"/>
      <c r="Q348" s="410"/>
      <c r="R348" s="410"/>
      <c r="S348" s="410"/>
      <c r="T348" s="410"/>
      <c r="U348" s="410"/>
      <c r="V348" s="132">
        <f t="shared" si="163"/>
        <v>0</v>
      </c>
      <c r="W348" s="133" t="str">
        <f t="shared" si="164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419">
        <f t="shared" si="160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61"/>
        <v>0</v>
      </c>
      <c r="N349" s="130">
        <f t="shared" si="162"/>
        <v>0</v>
      </c>
      <c r="O349" s="410"/>
      <c r="P349" s="410"/>
      <c r="Q349" s="410"/>
      <c r="R349" s="410"/>
      <c r="S349" s="410"/>
      <c r="T349" s="410"/>
      <c r="U349" s="410"/>
      <c r="V349" s="132">
        <f t="shared" si="163"/>
        <v>0</v>
      </c>
      <c r="W349" s="133" t="str">
        <f t="shared" si="164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419">
        <f t="shared" si="160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1"/>
        <v>0</v>
      </c>
      <c r="N350" s="130">
        <f t="shared" si="162"/>
        <v>0</v>
      </c>
      <c r="O350" s="410"/>
      <c r="P350" s="410"/>
      <c r="Q350" s="410"/>
      <c r="R350" s="410"/>
      <c r="S350" s="410"/>
      <c r="T350" s="410"/>
      <c r="U350" s="410"/>
      <c r="V350" s="132">
        <f t="shared" si="163"/>
        <v>0</v>
      </c>
      <c r="W350" s="133" t="str">
        <f t="shared" si="164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419">
        <f t="shared" si="160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61"/>
        <v>0</v>
      </c>
      <c r="N351" s="130">
        <f t="shared" si="162"/>
        <v>0</v>
      </c>
      <c r="O351" s="410"/>
      <c r="P351" s="410"/>
      <c r="Q351" s="410"/>
      <c r="R351" s="410"/>
      <c r="S351" s="410"/>
      <c r="T351" s="410"/>
      <c r="U351" s="410"/>
      <c r="V351" s="132">
        <f t="shared" si="163"/>
        <v>0</v>
      </c>
      <c r="W351" s="133" t="str">
        <f t="shared" si="164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419">
        <f t="shared" si="160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1"/>
        <v>0</v>
      </c>
      <c r="N352" s="130">
        <f t="shared" si="162"/>
        <v>0</v>
      </c>
      <c r="O352" s="410"/>
      <c r="P352" s="410"/>
      <c r="Q352" s="410"/>
      <c r="R352" s="410"/>
      <c r="S352" s="410"/>
      <c r="T352" s="410"/>
      <c r="U352" s="410"/>
      <c r="V352" s="132">
        <f t="shared" si="163"/>
        <v>0</v>
      </c>
      <c r="W352" s="133" t="str">
        <f t="shared" si="164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419">
        <f t="shared" si="160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61"/>
        <v>0</v>
      </c>
      <c r="N353" s="130"/>
      <c r="O353" s="410"/>
      <c r="P353" s="410"/>
      <c r="Q353" s="410"/>
      <c r="R353" s="410"/>
      <c r="S353" s="410"/>
      <c r="T353" s="410"/>
      <c r="U353" s="410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419">
        <f t="shared" si="160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61"/>
        <v>0</v>
      </c>
      <c r="N354" s="130"/>
      <c r="O354" s="410"/>
      <c r="P354" s="410"/>
      <c r="Q354" s="410"/>
      <c r="R354" s="410"/>
      <c r="S354" s="410"/>
      <c r="T354" s="410"/>
      <c r="U354" s="410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419">
        <f t="shared" si="160"/>
        <v>0</v>
      </c>
      <c r="I355" s="419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61"/>
        <v>0</v>
      </c>
      <c r="N355" s="130">
        <f>SUM(O355:U355)</f>
        <v>0</v>
      </c>
      <c r="O355" s="410"/>
      <c r="P355" s="410"/>
      <c r="Q355" s="410"/>
      <c r="R355" s="410"/>
      <c r="S355" s="410"/>
      <c r="T355" s="410"/>
      <c r="U355" s="410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419">
        <f t="shared" si="160"/>
        <v>0</v>
      </c>
      <c r="I356" s="419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61"/>
        <v>0</v>
      </c>
      <c r="N356" s="130">
        <f>SUM(O356:U356)</f>
        <v>0</v>
      </c>
      <c r="O356" s="410"/>
      <c r="P356" s="410"/>
      <c r="Q356" s="410"/>
      <c r="R356" s="410"/>
      <c r="S356" s="410"/>
      <c r="T356" s="410"/>
      <c r="U356" s="410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419">
        <f t="shared" si="160"/>
        <v>0</v>
      </c>
      <c r="I357" s="419"/>
      <c r="J357" s="130"/>
      <c r="K357" s="131"/>
      <c r="L357" s="129"/>
      <c r="M357" s="109"/>
      <c r="N357" s="130"/>
      <c r="O357" s="410"/>
      <c r="P357" s="410"/>
      <c r="Q357" s="410"/>
      <c r="R357" s="410"/>
      <c r="S357" s="410"/>
      <c r="T357" s="410"/>
      <c r="U357" s="410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419">
        <f t="shared" si="160"/>
        <v>0</v>
      </c>
      <c r="I358" s="419"/>
      <c r="J358" s="130"/>
      <c r="K358" s="131"/>
      <c r="L358" s="129"/>
      <c r="M358" s="109"/>
      <c r="N358" s="130"/>
      <c r="O358" s="410"/>
      <c r="P358" s="410"/>
      <c r="Q358" s="410"/>
      <c r="R358" s="410"/>
      <c r="S358" s="410"/>
      <c r="T358" s="410"/>
      <c r="U358" s="410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419">
        <f t="shared" si="160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5">IF(ISERROR(I359-K359),"",I359-K359)</f>
        <v>0</v>
      </c>
      <c r="N359" s="130">
        <f t="shared" ref="N359:N361" si="166">SUM(O359:U359)</f>
        <v>0</v>
      </c>
      <c r="O359" s="410"/>
      <c r="P359" s="410"/>
      <c r="Q359" s="410"/>
      <c r="R359" s="410"/>
      <c r="S359" s="410"/>
      <c r="T359" s="410"/>
      <c r="U359" s="410"/>
      <c r="V359" s="132">
        <f t="shared" ref="V359:V361" si="167">SUM(X359:AA359)</f>
        <v>0</v>
      </c>
      <c r="W359" s="133" t="str">
        <f t="shared" ref="W359:W361" si="168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419">
        <f t="shared" si="160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5"/>
        <v>0</v>
      </c>
      <c r="N360" s="130">
        <f t="shared" si="166"/>
        <v>0</v>
      </c>
      <c r="O360" s="410"/>
      <c r="P360" s="410"/>
      <c r="Q360" s="410"/>
      <c r="R360" s="410"/>
      <c r="S360" s="410"/>
      <c r="T360" s="410"/>
      <c r="U360" s="410"/>
      <c r="V360" s="132">
        <f t="shared" si="167"/>
        <v>0</v>
      </c>
      <c r="W360" s="133" t="str">
        <f t="shared" si="168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419">
        <f t="shared" si="160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5"/>
        <v>0</v>
      </c>
      <c r="N361" s="130">
        <f t="shared" si="166"/>
        <v>0</v>
      </c>
      <c r="O361" s="410"/>
      <c r="P361" s="410"/>
      <c r="Q361" s="410"/>
      <c r="R361" s="410"/>
      <c r="S361" s="410"/>
      <c r="T361" s="410"/>
      <c r="U361" s="410"/>
      <c r="V361" s="132">
        <f t="shared" si="167"/>
        <v>0</v>
      </c>
      <c r="W361" s="133" t="str">
        <f t="shared" si="168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409" t="s">
        <v>190</v>
      </c>
      <c r="D362" s="108">
        <v>4.8</v>
      </c>
      <c r="E362" s="108"/>
      <c r="F362" s="127"/>
      <c r="G362" s="128"/>
      <c r="H362" s="419">
        <f t="shared" si="160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5"/>
        <v>0</v>
      </c>
      <c r="N362" s="130"/>
      <c r="O362" s="410"/>
      <c r="P362" s="410"/>
      <c r="Q362" s="410"/>
      <c r="R362" s="410"/>
      <c r="S362" s="410"/>
      <c r="T362" s="410"/>
      <c r="U362" s="410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409" t="s">
        <v>187</v>
      </c>
      <c r="D363" s="108">
        <v>4.8</v>
      </c>
      <c r="E363" s="108"/>
      <c r="F363" s="127"/>
      <c r="G363" s="128"/>
      <c r="H363" s="419">
        <f t="shared" si="160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5"/>
        <v>0</v>
      </c>
      <c r="N363" s="130"/>
      <c r="O363" s="410"/>
      <c r="P363" s="410"/>
      <c r="Q363" s="410"/>
      <c r="R363" s="410"/>
      <c r="S363" s="410"/>
      <c r="T363" s="410"/>
      <c r="U363" s="410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409" t="s">
        <v>179</v>
      </c>
      <c r="D364" s="108">
        <v>4.8</v>
      </c>
      <c r="E364" s="108"/>
      <c r="F364" s="127"/>
      <c r="G364" s="128"/>
      <c r="H364" s="419">
        <f t="shared" si="160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5"/>
        <v>0</v>
      </c>
      <c r="N364" s="130"/>
      <c r="O364" s="410"/>
      <c r="P364" s="410"/>
      <c r="Q364" s="410"/>
      <c r="R364" s="410"/>
      <c r="S364" s="410"/>
      <c r="T364" s="410"/>
      <c r="U364" s="410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409" t="s">
        <v>199</v>
      </c>
      <c r="D365" s="108">
        <v>4.8</v>
      </c>
      <c r="E365" s="108"/>
      <c r="F365" s="127"/>
      <c r="G365" s="128"/>
      <c r="H365" s="419">
        <f t="shared" si="160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5"/>
        <v>0</v>
      </c>
      <c r="N365" s="130"/>
      <c r="O365" s="410"/>
      <c r="P365" s="410"/>
      <c r="Q365" s="410"/>
      <c r="R365" s="410"/>
      <c r="S365" s="410"/>
      <c r="T365" s="410"/>
      <c r="U365" s="410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419">
        <f t="shared" si="160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5"/>
        <v>0</v>
      </c>
      <c r="N366" s="130">
        <f t="shared" ref="N366:N367" si="169">SUM(O366:U366)</f>
        <v>0</v>
      </c>
      <c r="O366" s="410"/>
      <c r="P366" s="410"/>
      <c r="Q366" s="410"/>
      <c r="R366" s="410"/>
      <c r="S366" s="410"/>
      <c r="T366" s="410"/>
      <c r="U366" s="410"/>
      <c r="V366" s="132">
        <f t="shared" ref="V366:V367" si="170">SUM(X366:AA366)</f>
        <v>0</v>
      </c>
      <c r="W366" s="133" t="str">
        <f t="shared" ref="W366:W367" si="171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419">
        <f t="shared" si="160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5"/>
        <v>0</v>
      </c>
      <c r="N367" s="130">
        <f t="shared" si="169"/>
        <v>0</v>
      </c>
      <c r="O367" s="410"/>
      <c r="P367" s="410"/>
      <c r="Q367" s="410"/>
      <c r="R367" s="410"/>
      <c r="S367" s="410"/>
      <c r="T367" s="410"/>
      <c r="U367" s="410"/>
      <c r="V367" s="132">
        <f t="shared" si="170"/>
        <v>0</v>
      </c>
      <c r="W367" s="133" t="str">
        <f t="shared" si="171"/>
        <v/>
      </c>
      <c r="X367" s="132"/>
      <c r="Y367" s="132"/>
      <c r="Z367" s="132"/>
      <c r="AA367" s="132"/>
    </row>
    <row r="368" spans="1:27" ht="20.100000000000001" hidden="1" customHeight="1">
      <c r="A368" s="630" t="s">
        <v>201</v>
      </c>
      <c r="B368" s="631"/>
      <c r="C368" s="417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2">SUM(M347:M367)</f>
        <v>0</v>
      </c>
      <c r="N368" s="146">
        <f t="shared" si="172"/>
        <v>0</v>
      </c>
      <c r="O368" s="148">
        <f t="shared" si="172"/>
        <v>0</v>
      </c>
      <c r="P368" s="148">
        <f t="shared" si="172"/>
        <v>0</v>
      </c>
      <c r="Q368" s="148">
        <f t="shared" si="172"/>
        <v>0</v>
      </c>
      <c r="R368" s="148">
        <f t="shared" si="172"/>
        <v>0</v>
      </c>
      <c r="S368" s="148">
        <f t="shared" si="172"/>
        <v>0</v>
      </c>
      <c r="T368" s="148">
        <f t="shared" si="172"/>
        <v>0</v>
      </c>
      <c r="U368" s="148">
        <f t="shared" si="172"/>
        <v>0</v>
      </c>
      <c r="V368" s="149">
        <f t="shared" si="172"/>
        <v>0</v>
      </c>
      <c r="W368" s="133">
        <f t="shared" si="172"/>
        <v>0</v>
      </c>
      <c r="X368" s="149">
        <f t="shared" si="172"/>
        <v>0</v>
      </c>
      <c r="Y368" s="149">
        <f t="shared" si="172"/>
        <v>0</v>
      </c>
      <c r="Z368" s="149">
        <f t="shared" si="172"/>
        <v>0</v>
      </c>
      <c r="AA368" s="149">
        <f t="shared" si="172"/>
        <v>0</v>
      </c>
    </row>
    <row r="369" spans="1:27" ht="20.100000000000001" hidden="1" customHeight="1">
      <c r="A369" s="300">
        <v>30100012</v>
      </c>
      <c r="B369" s="411" t="s">
        <v>206</v>
      </c>
      <c r="C369" s="126" t="s">
        <v>199</v>
      </c>
      <c r="D369" s="108">
        <v>5.03</v>
      </c>
      <c r="E369" s="108"/>
      <c r="F369" s="127"/>
      <c r="G369" s="128"/>
      <c r="H369" s="419">
        <f t="shared" ref="H369:H425" si="173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4">IF(ISERROR(I369-K369),"",I369-K369)</f>
        <v>0</v>
      </c>
      <c r="N369" s="130">
        <f t="shared" ref="N369" si="175">SUM(O369:U369)</f>
        <v>0</v>
      </c>
      <c r="O369" s="414"/>
      <c r="P369" s="414"/>
      <c r="Q369" s="414"/>
      <c r="R369" s="414"/>
      <c r="S369" s="414"/>
      <c r="T369" s="414"/>
      <c r="U369" s="414"/>
      <c r="V369" s="132">
        <f t="shared" ref="V369" si="176">SUM(X369:AA369)</f>
        <v>0</v>
      </c>
      <c r="W369" s="133" t="str">
        <f t="shared" ref="W369" si="177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411" t="s">
        <v>425</v>
      </c>
      <c r="C370" s="187" t="s">
        <v>427</v>
      </c>
      <c r="D370" s="108">
        <v>5.03</v>
      </c>
      <c r="E370" s="108"/>
      <c r="F370" s="127"/>
      <c r="G370" s="128"/>
      <c r="H370" s="419">
        <f t="shared" si="173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414"/>
      <c r="P370" s="414"/>
      <c r="Q370" s="414"/>
      <c r="R370" s="414"/>
      <c r="S370" s="414"/>
      <c r="T370" s="414"/>
      <c r="U370" s="414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411" t="s">
        <v>206</v>
      </c>
      <c r="C371" s="126" t="s">
        <v>186</v>
      </c>
      <c r="D371" s="108">
        <v>5.03</v>
      </c>
      <c r="E371" s="108"/>
      <c r="F371" s="127"/>
      <c r="G371" s="128"/>
      <c r="H371" s="419">
        <f t="shared" si="173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8">IF(ISERROR(I371-K371),"",I371-K371)</f>
        <v>0</v>
      </c>
      <c r="N371" s="130">
        <f t="shared" ref="N371:N373" si="179">SUM(O371:U371)</f>
        <v>0</v>
      </c>
      <c r="O371" s="414"/>
      <c r="P371" s="414"/>
      <c r="Q371" s="414"/>
      <c r="R371" s="414"/>
      <c r="S371" s="414"/>
      <c r="T371" s="414"/>
      <c r="U371" s="414"/>
      <c r="V371" s="132">
        <f t="shared" ref="V371:V373" si="180">SUM(X371:AA371)</f>
        <v>0</v>
      </c>
      <c r="W371" s="133" t="str">
        <f t="shared" ref="W371:W373" si="181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411" t="s">
        <v>206</v>
      </c>
      <c r="C372" s="126" t="s">
        <v>203</v>
      </c>
      <c r="D372" s="108">
        <v>5.03</v>
      </c>
      <c r="E372" s="108"/>
      <c r="F372" s="127"/>
      <c r="G372" s="128"/>
      <c r="H372" s="419">
        <f t="shared" si="173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8"/>
        <v>0</v>
      </c>
      <c r="N372" s="130">
        <f t="shared" si="179"/>
        <v>0</v>
      </c>
      <c r="O372" s="414"/>
      <c r="P372" s="414"/>
      <c r="Q372" s="414"/>
      <c r="R372" s="414"/>
      <c r="S372" s="414"/>
      <c r="T372" s="414"/>
      <c r="U372" s="414"/>
      <c r="V372" s="132">
        <f t="shared" si="180"/>
        <v>0</v>
      </c>
      <c r="W372" s="133" t="str">
        <f t="shared" si="181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411" t="s">
        <v>206</v>
      </c>
      <c r="C373" s="126" t="s">
        <v>207</v>
      </c>
      <c r="D373" s="108">
        <v>5.03</v>
      </c>
      <c r="E373" s="108"/>
      <c r="F373" s="127"/>
      <c r="G373" s="128"/>
      <c r="H373" s="419">
        <f t="shared" si="173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8"/>
        <v>0</v>
      </c>
      <c r="N373" s="130">
        <f t="shared" si="179"/>
        <v>0</v>
      </c>
      <c r="O373" s="414"/>
      <c r="P373" s="414"/>
      <c r="Q373" s="414"/>
      <c r="R373" s="414"/>
      <c r="S373" s="414"/>
      <c r="T373" s="414"/>
      <c r="U373" s="414"/>
      <c r="V373" s="132">
        <f t="shared" si="180"/>
        <v>0</v>
      </c>
      <c r="W373" s="133" t="str">
        <f t="shared" si="181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411" t="s">
        <v>414</v>
      </c>
      <c r="C374" s="187" t="s">
        <v>415</v>
      </c>
      <c r="D374" s="108"/>
      <c r="E374" s="108"/>
      <c r="F374" s="127"/>
      <c r="G374" s="128"/>
      <c r="H374" s="419">
        <f t="shared" si="173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8"/>
        <v>0</v>
      </c>
      <c r="N374" s="130"/>
      <c r="O374" s="414"/>
      <c r="P374" s="414"/>
      <c r="Q374" s="414"/>
      <c r="R374" s="414"/>
      <c r="S374" s="414"/>
      <c r="T374" s="414"/>
      <c r="U374" s="414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411" t="s">
        <v>414</v>
      </c>
      <c r="C375" s="187" t="s">
        <v>416</v>
      </c>
      <c r="D375" s="108"/>
      <c r="E375" s="108"/>
      <c r="F375" s="127"/>
      <c r="G375" s="128"/>
      <c r="H375" s="419">
        <f t="shared" si="173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8"/>
        <v>0</v>
      </c>
      <c r="N375" s="130"/>
      <c r="O375" s="414"/>
      <c r="P375" s="414"/>
      <c r="Q375" s="414"/>
      <c r="R375" s="414"/>
      <c r="S375" s="414"/>
      <c r="T375" s="414"/>
      <c r="U375" s="414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411" t="s">
        <v>414</v>
      </c>
      <c r="C376" s="187" t="s">
        <v>61</v>
      </c>
      <c r="D376" s="108"/>
      <c r="E376" s="108"/>
      <c r="F376" s="127"/>
      <c r="G376" s="128"/>
      <c r="H376" s="419">
        <f t="shared" si="173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8"/>
        <v>0</v>
      </c>
      <c r="N376" s="130"/>
      <c r="O376" s="414"/>
      <c r="P376" s="414"/>
      <c r="Q376" s="414"/>
      <c r="R376" s="414"/>
      <c r="S376" s="414"/>
      <c r="T376" s="414"/>
      <c r="U376" s="414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411" t="s">
        <v>208</v>
      </c>
      <c r="C377" s="126" t="s">
        <v>179</v>
      </c>
      <c r="D377" s="108">
        <v>5.08</v>
      </c>
      <c r="E377" s="108"/>
      <c r="F377" s="127"/>
      <c r="G377" s="128"/>
      <c r="H377" s="419">
        <f t="shared" si="173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8"/>
        <v>0</v>
      </c>
      <c r="N377" s="130">
        <f t="shared" ref="N377:N392" si="182">SUM(O377:U377)</f>
        <v>0</v>
      </c>
      <c r="O377" s="414"/>
      <c r="P377" s="414"/>
      <c r="Q377" s="414"/>
      <c r="R377" s="414"/>
      <c r="S377" s="414"/>
      <c r="T377" s="414"/>
      <c r="U377" s="414"/>
      <c r="V377" s="132">
        <f t="shared" ref="V377:V388" si="183">SUM(X377:AA377)</f>
        <v>0</v>
      </c>
      <c r="W377" s="133" t="str">
        <f t="shared" ref="W377:W388" si="184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411" t="s">
        <v>208</v>
      </c>
      <c r="C378" s="126" t="s">
        <v>204</v>
      </c>
      <c r="D378" s="108">
        <v>5.08</v>
      </c>
      <c r="E378" s="108"/>
      <c r="F378" s="127"/>
      <c r="G378" s="128"/>
      <c r="H378" s="419">
        <f t="shared" si="173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8"/>
        <v>0</v>
      </c>
      <c r="N378" s="130">
        <f t="shared" si="182"/>
        <v>0</v>
      </c>
      <c r="O378" s="414"/>
      <c r="P378" s="414"/>
      <c r="Q378" s="414"/>
      <c r="R378" s="414"/>
      <c r="S378" s="414"/>
      <c r="T378" s="414"/>
      <c r="U378" s="414"/>
      <c r="V378" s="132">
        <f t="shared" si="183"/>
        <v>0</v>
      </c>
      <c r="W378" s="133" t="str">
        <f t="shared" si="184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411" t="s">
        <v>208</v>
      </c>
      <c r="C379" s="126" t="s">
        <v>205</v>
      </c>
      <c r="D379" s="108">
        <v>5.08</v>
      </c>
      <c r="E379" s="108"/>
      <c r="F379" s="127"/>
      <c r="G379" s="128"/>
      <c r="H379" s="419">
        <f t="shared" si="173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8"/>
        <v>0</v>
      </c>
      <c r="N379" s="130">
        <f t="shared" si="182"/>
        <v>0</v>
      </c>
      <c r="O379" s="414"/>
      <c r="P379" s="414"/>
      <c r="Q379" s="414"/>
      <c r="R379" s="414"/>
      <c r="S379" s="414"/>
      <c r="T379" s="414"/>
      <c r="U379" s="414"/>
      <c r="V379" s="132">
        <f t="shared" si="183"/>
        <v>0</v>
      </c>
      <c r="W379" s="133" t="str">
        <f t="shared" si="184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411" t="s">
        <v>208</v>
      </c>
      <c r="C380" s="126" t="s">
        <v>186</v>
      </c>
      <c r="D380" s="108">
        <v>5.08</v>
      </c>
      <c r="E380" s="108"/>
      <c r="F380" s="127"/>
      <c r="G380" s="128"/>
      <c r="H380" s="419">
        <f t="shared" si="173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8"/>
        <v>0</v>
      </c>
      <c r="N380" s="130">
        <f t="shared" si="182"/>
        <v>0</v>
      </c>
      <c r="O380" s="414"/>
      <c r="P380" s="414"/>
      <c r="Q380" s="414"/>
      <c r="R380" s="414"/>
      <c r="S380" s="414"/>
      <c r="T380" s="414"/>
      <c r="U380" s="414"/>
      <c r="V380" s="132">
        <f t="shared" si="183"/>
        <v>0</v>
      </c>
      <c r="W380" s="133" t="str">
        <f t="shared" si="184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411" t="s">
        <v>208</v>
      </c>
      <c r="C381" s="126" t="s">
        <v>203</v>
      </c>
      <c r="D381" s="108">
        <v>5.08</v>
      </c>
      <c r="E381" s="108"/>
      <c r="F381" s="127"/>
      <c r="G381" s="128"/>
      <c r="H381" s="419">
        <f t="shared" si="173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8"/>
        <v>0</v>
      </c>
      <c r="N381" s="130">
        <f t="shared" si="182"/>
        <v>0</v>
      </c>
      <c r="O381" s="414"/>
      <c r="P381" s="414"/>
      <c r="Q381" s="414"/>
      <c r="R381" s="414"/>
      <c r="S381" s="414"/>
      <c r="T381" s="414"/>
      <c r="U381" s="414"/>
      <c r="V381" s="132">
        <f t="shared" si="183"/>
        <v>0</v>
      </c>
      <c r="W381" s="133" t="str">
        <f t="shared" si="184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411" t="s">
        <v>208</v>
      </c>
      <c r="C382" s="126" t="s">
        <v>199</v>
      </c>
      <c r="D382" s="108">
        <v>5.08</v>
      </c>
      <c r="E382" s="108"/>
      <c r="F382" s="127"/>
      <c r="G382" s="128"/>
      <c r="H382" s="419">
        <f t="shared" si="173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8"/>
        <v>0</v>
      </c>
      <c r="N382" s="130">
        <f t="shared" si="182"/>
        <v>0</v>
      </c>
      <c r="O382" s="410"/>
      <c r="P382" s="410"/>
      <c r="Q382" s="410"/>
      <c r="R382" s="410"/>
      <c r="S382" s="410"/>
      <c r="T382" s="410"/>
      <c r="U382" s="410"/>
      <c r="V382" s="132">
        <f t="shared" si="183"/>
        <v>0</v>
      </c>
      <c r="W382" s="133" t="str">
        <f t="shared" si="184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411" t="s">
        <v>208</v>
      </c>
      <c r="C383" s="126" t="s">
        <v>187</v>
      </c>
      <c r="D383" s="108">
        <v>5.08</v>
      </c>
      <c r="E383" s="108"/>
      <c r="F383" s="127"/>
      <c r="G383" s="128"/>
      <c r="H383" s="419">
        <f t="shared" si="173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8"/>
        <v>0</v>
      </c>
      <c r="N383" s="130">
        <f t="shared" si="182"/>
        <v>0</v>
      </c>
      <c r="O383" s="414"/>
      <c r="P383" s="414"/>
      <c r="Q383" s="414"/>
      <c r="R383" s="414"/>
      <c r="S383" s="414"/>
      <c r="T383" s="414"/>
      <c r="U383" s="414"/>
      <c r="V383" s="132">
        <f t="shared" si="183"/>
        <v>0</v>
      </c>
      <c r="W383" s="133" t="str">
        <f t="shared" si="184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411" t="s">
        <v>208</v>
      </c>
      <c r="C384" s="126" t="s">
        <v>207</v>
      </c>
      <c r="D384" s="108">
        <v>5.08</v>
      </c>
      <c r="E384" s="108"/>
      <c r="F384" s="127"/>
      <c r="G384" s="128"/>
      <c r="H384" s="419">
        <f t="shared" si="173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8"/>
        <v>0</v>
      </c>
      <c r="N384" s="130">
        <f t="shared" si="182"/>
        <v>0</v>
      </c>
      <c r="O384" s="410"/>
      <c r="P384" s="410"/>
      <c r="Q384" s="410"/>
      <c r="R384" s="410"/>
      <c r="S384" s="410"/>
      <c r="T384" s="410"/>
      <c r="U384" s="410"/>
      <c r="V384" s="132">
        <f t="shared" si="183"/>
        <v>0</v>
      </c>
      <c r="W384" s="133" t="str">
        <f t="shared" si="184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411" t="s">
        <v>209</v>
      </c>
      <c r="C385" s="126" t="s">
        <v>194</v>
      </c>
      <c r="D385" s="108">
        <v>5.03</v>
      </c>
      <c r="E385" s="108"/>
      <c r="F385" s="127"/>
      <c r="G385" s="128"/>
      <c r="H385" s="419">
        <f t="shared" si="173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8"/>
        <v>0</v>
      </c>
      <c r="N385" s="130">
        <f t="shared" si="182"/>
        <v>0</v>
      </c>
      <c r="O385" s="414"/>
      <c r="P385" s="414"/>
      <c r="Q385" s="414"/>
      <c r="R385" s="414"/>
      <c r="S385" s="414"/>
      <c r="T385" s="414"/>
      <c r="U385" s="414"/>
      <c r="V385" s="132">
        <f t="shared" si="183"/>
        <v>0</v>
      </c>
      <c r="W385" s="133" t="str">
        <f t="shared" si="184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411" t="s">
        <v>209</v>
      </c>
      <c r="C386" s="126" t="s">
        <v>179</v>
      </c>
      <c r="D386" s="108">
        <v>5.03</v>
      </c>
      <c r="E386" s="108"/>
      <c r="F386" s="127"/>
      <c r="G386" s="128"/>
      <c r="H386" s="419">
        <f t="shared" si="173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8"/>
        <v>0</v>
      </c>
      <c r="N386" s="130">
        <f t="shared" si="182"/>
        <v>0</v>
      </c>
      <c r="O386" s="414"/>
      <c r="P386" s="414"/>
      <c r="Q386" s="414"/>
      <c r="R386" s="414"/>
      <c r="S386" s="414"/>
      <c r="T386" s="414"/>
      <c r="U386" s="414"/>
      <c r="V386" s="132">
        <f t="shared" si="183"/>
        <v>0</v>
      </c>
      <c r="W386" s="133" t="str">
        <f t="shared" si="184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411" t="s">
        <v>209</v>
      </c>
      <c r="C387" s="126" t="s">
        <v>195</v>
      </c>
      <c r="D387" s="108">
        <v>5.03</v>
      </c>
      <c r="E387" s="108"/>
      <c r="F387" s="127"/>
      <c r="G387" s="128"/>
      <c r="H387" s="419">
        <f t="shared" si="173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8"/>
        <v>0</v>
      </c>
      <c r="N387" s="130">
        <f t="shared" si="182"/>
        <v>0</v>
      </c>
      <c r="O387" s="414"/>
      <c r="P387" s="414"/>
      <c r="Q387" s="414"/>
      <c r="R387" s="414"/>
      <c r="S387" s="414"/>
      <c r="T387" s="414"/>
      <c r="U387" s="414"/>
      <c r="V387" s="132">
        <f t="shared" si="183"/>
        <v>0</v>
      </c>
      <c r="W387" s="133" t="str">
        <f t="shared" si="184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411" t="s">
        <v>209</v>
      </c>
      <c r="C388" s="126" t="s">
        <v>204</v>
      </c>
      <c r="D388" s="108">
        <v>5.03</v>
      </c>
      <c r="E388" s="108"/>
      <c r="F388" s="127"/>
      <c r="G388" s="128"/>
      <c r="H388" s="419">
        <f t="shared" si="173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8"/>
        <v>0</v>
      </c>
      <c r="N388" s="130">
        <f t="shared" si="182"/>
        <v>0</v>
      </c>
      <c r="O388" s="414"/>
      <c r="P388" s="414"/>
      <c r="Q388" s="414"/>
      <c r="R388" s="414"/>
      <c r="S388" s="414"/>
      <c r="T388" s="414"/>
      <c r="U388" s="414"/>
      <c r="V388" s="132">
        <f t="shared" si="183"/>
        <v>0</v>
      </c>
      <c r="W388" s="133" t="str">
        <f t="shared" si="184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411" t="s">
        <v>382</v>
      </c>
      <c r="C389" s="187" t="s">
        <v>383</v>
      </c>
      <c r="D389" s="108">
        <v>5.03</v>
      </c>
      <c r="E389" s="108"/>
      <c r="F389" s="127"/>
      <c r="G389" s="128"/>
      <c r="H389" s="419">
        <f t="shared" si="173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8"/>
        <v>0</v>
      </c>
      <c r="N389" s="130">
        <f t="shared" si="182"/>
        <v>0</v>
      </c>
      <c r="O389" s="414"/>
      <c r="P389" s="414"/>
      <c r="Q389" s="414"/>
      <c r="R389" s="414"/>
      <c r="S389" s="414"/>
      <c r="T389" s="414"/>
      <c r="U389" s="414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411" t="s">
        <v>382</v>
      </c>
      <c r="C390" s="187" t="s">
        <v>384</v>
      </c>
      <c r="D390" s="108">
        <v>5.03</v>
      </c>
      <c r="E390" s="108"/>
      <c r="F390" s="127"/>
      <c r="G390" s="128"/>
      <c r="H390" s="419">
        <f t="shared" si="173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8"/>
        <v>0</v>
      </c>
      <c r="N390" s="130">
        <f t="shared" si="182"/>
        <v>0</v>
      </c>
      <c r="O390" s="414"/>
      <c r="P390" s="414"/>
      <c r="Q390" s="414"/>
      <c r="R390" s="414"/>
      <c r="S390" s="414"/>
      <c r="T390" s="414"/>
      <c r="U390" s="414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411" t="s">
        <v>382</v>
      </c>
      <c r="C391" s="187" t="s">
        <v>389</v>
      </c>
      <c r="D391" s="108">
        <v>5.03</v>
      </c>
      <c r="E391" s="108"/>
      <c r="F391" s="127"/>
      <c r="G391" s="128"/>
      <c r="H391" s="419">
        <f t="shared" si="173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8"/>
        <v>0</v>
      </c>
      <c r="N391" s="130">
        <f t="shared" si="182"/>
        <v>0</v>
      </c>
      <c r="O391" s="414"/>
      <c r="P391" s="414"/>
      <c r="Q391" s="414"/>
      <c r="R391" s="414"/>
      <c r="S391" s="414"/>
      <c r="T391" s="414"/>
      <c r="U391" s="414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411" t="s">
        <v>382</v>
      </c>
      <c r="C392" s="187" t="s">
        <v>391</v>
      </c>
      <c r="D392" s="108">
        <v>5.03</v>
      </c>
      <c r="E392" s="108"/>
      <c r="F392" s="127"/>
      <c r="G392" s="128"/>
      <c r="H392" s="419">
        <f t="shared" si="173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8"/>
        <v>0</v>
      </c>
      <c r="N392" s="130">
        <f t="shared" si="182"/>
        <v>0</v>
      </c>
      <c r="O392" s="414"/>
      <c r="P392" s="414"/>
      <c r="Q392" s="414"/>
      <c r="R392" s="414"/>
      <c r="S392" s="414"/>
      <c r="T392" s="414"/>
      <c r="U392" s="414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411" t="s">
        <v>418</v>
      </c>
      <c r="C393" s="187" t="s">
        <v>364</v>
      </c>
      <c r="D393" s="108">
        <v>5.03</v>
      </c>
      <c r="E393" s="108"/>
      <c r="F393" s="127"/>
      <c r="G393" s="128"/>
      <c r="H393" s="419">
        <f t="shared" si="173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8"/>
        <v>0</v>
      </c>
      <c r="N393" s="130"/>
      <c r="O393" s="414"/>
      <c r="P393" s="414"/>
      <c r="Q393" s="414"/>
      <c r="R393" s="414"/>
      <c r="S393" s="414"/>
      <c r="T393" s="414"/>
      <c r="U393" s="414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411" t="s">
        <v>418</v>
      </c>
      <c r="C394" s="187" t="s">
        <v>365</v>
      </c>
      <c r="D394" s="108">
        <v>5.03</v>
      </c>
      <c r="E394" s="108"/>
      <c r="F394" s="127"/>
      <c r="G394" s="128"/>
      <c r="H394" s="419">
        <f t="shared" si="173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8"/>
        <v>0</v>
      </c>
      <c r="N394" s="130"/>
      <c r="O394" s="414"/>
      <c r="P394" s="414"/>
      <c r="Q394" s="414"/>
      <c r="R394" s="414"/>
      <c r="S394" s="414"/>
      <c r="T394" s="414"/>
      <c r="U394" s="414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411" t="s">
        <v>418</v>
      </c>
      <c r="C395" s="187" t="s">
        <v>366</v>
      </c>
      <c r="D395" s="108">
        <v>5.03</v>
      </c>
      <c r="E395" s="108"/>
      <c r="F395" s="127"/>
      <c r="G395" s="128"/>
      <c r="H395" s="419">
        <f t="shared" si="173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8"/>
        <v>0</v>
      </c>
      <c r="N395" s="130"/>
      <c r="O395" s="414"/>
      <c r="P395" s="414"/>
      <c r="Q395" s="414"/>
      <c r="R395" s="414"/>
      <c r="S395" s="414"/>
      <c r="T395" s="414"/>
      <c r="U395" s="414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411" t="s">
        <v>418</v>
      </c>
      <c r="C396" s="187" t="s">
        <v>367</v>
      </c>
      <c r="D396" s="108">
        <v>5.03</v>
      </c>
      <c r="E396" s="108"/>
      <c r="F396" s="127"/>
      <c r="G396" s="128"/>
      <c r="H396" s="419">
        <f t="shared" si="173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8"/>
        <v>0</v>
      </c>
      <c r="N396" s="130"/>
      <c r="O396" s="414"/>
      <c r="P396" s="414"/>
      <c r="Q396" s="414"/>
      <c r="R396" s="414"/>
      <c r="S396" s="414"/>
      <c r="T396" s="414"/>
      <c r="U396" s="414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419">
        <f t="shared" si="173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8"/>
        <v>0</v>
      </c>
      <c r="N397" s="130">
        <f t="shared" ref="N397:N406" si="185">SUM(O397:U397)</f>
        <v>0</v>
      </c>
      <c r="O397" s="410"/>
      <c r="P397" s="410"/>
      <c r="Q397" s="410"/>
      <c r="R397" s="410"/>
      <c r="S397" s="410"/>
      <c r="T397" s="410"/>
      <c r="U397" s="410"/>
      <c r="V397" s="132">
        <f t="shared" ref="V397:V406" si="186">SUM(X397:AA397)</f>
        <v>0</v>
      </c>
      <c r="W397" s="133" t="str">
        <f t="shared" ref="W397:W406" si="187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419">
        <f t="shared" si="173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8"/>
        <v>0</v>
      </c>
      <c r="N398" s="130">
        <f t="shared" si="185"/>
        <v>0</v>
      </c>
      <c r="O398" s="410"/>
      <c r="P398" s="410"/>
      <c r="Q398" s="410"/>
      <c r="R398" s="410"/>
      <c r="S398" s="410"/>
      <c r="T398" s="410"/>
      <c r="U398" s="410"/>
      <c r="V398" s="132">
        <f t="shared" si="186"/>
        <v>0</v>
      </c>
      <c r="W398" s="133" t="str">
        <f t="shared" si="187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419">
        <f t="shared" si="173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8"/>
        <v>0</v>
      </c>
      <c r="N399" s="130">
        <f t="shared" si="185"/>
        <v>0</v>
      </c>
      <c r="O399" s="410"/>
      <c r="P399" s="410"/>
      <c r="Q399" s="410"/>
      <c r="R399" s="410"/>
      <c r="S399" s="410"/>
      <c r="T399" s="410"/>
      <c r="U399" s="410"/>
      <c r="V399" s="132">
        <f t="shared" si="186"/>
        <v>0</v>
      </c>
      <c r="W399" s="133" t="str">
        <f t="shared" si="187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419">
        <f t="shared" si="173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8"/>
        <v>0</v>
      </c>
      <c r="N400" s="130">
        <f t="shared" si="185"/>
        <v>0</v>
      </c>
      <c r="O400" s="410"/>
      <c r="P400" s="410"/>
      <c r="Q400" s="410"/>
      <c r="R400" s="410"/>
      <c r="S400" s="410"/>
      <c r="T400" s="410"/>
      <c r="U400" s="410"/>
      <c r="V400" s="132">
        <f t="shared" si="186"/>
        <v>0</v>
      </c>
      <c r="W400" s="133" t="str">
        <f t="shared" si="187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419">
        <f t="shared" si="173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8"/>
        <v>0</v>
      </c>
      <c r="N401" s="130">
        <f t="shared" si="185"/>
        <v>0</v>
      </c>
      <c r="O401" s="410"/>
      <c r="P401" s="410"/>
      <c r="Q401" s="410"/>
      <c r="R401" s="410"/>
      <c r="S401" s="410"/>
      <c r="T401" s="410"/>
      <c r="U401" s="410"/>
      <c r="V401" s="132">
        <f t="shared" si="186"/>
        <v>0</v>
      </c>
      <c r="W401" s="133" t="str">
        <f t="shared" si="187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419">
        <f t="shared" si="173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8"/>
        <v>0</v>
      </c>
      <c r="N402" s="130">
        <f t="shared" si="185"/>
        <v>0</v>
      </c>
      <c r="O402" s="410"/>
      <c r="P402" s="410"/>
      <c r="Q402" s="410"/>
      <c r="R402" s="410"/>
      <c r="S402" s="410"/>
      <c r="T402" s="410"/>
      <c r="U402" s="410"/>
      <c r="V402" s="132">
        <f t="shared" si="186"/>
        <v>0</v>
      </c>
      <c r="W402" s="133" t="str">
        <f t="shared" si="187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419">
        <f t="shared" si="173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8"/>
        <v>0</v>
      </c>
      <c r="N403" s="130">
        <f t="shared" si="185"/>
        <v>0</v>
      </c>
      <c r="O403" s="410"/>
      <c r="P403" s="410"/>
      <c r="Q403" s="410"/>
      <c r="R403" s="410"/>
      <c r="S403" s="410"/>
      <c r="T403" s="410"/>
      <c r="U403" s="410"/>
      <c r="V403" s="132">
        <f t="shared" si="186"/>
        <v>0</v>
      </c>
      <c r="W403" s="133" t="str">
        <f t="shared" si="187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419">
        <f t="shared" si="173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8"/>
        <v>0</v>
      </c>
      <c r="N404" s="130">
        <f t="shared" si="185"/>
        <v>0</v>
      </c>
      <c r="O404" s="410"/>
      <c r="P404" s="410"/>
      <c r="Q404" s="410"/>
      <c r="R404" s="410"/>
      <c r="S404" s="410"/>
      <c r="T404" s="410"/>
      <c r="U404" s="410"/>
      <c r="V404" s="132">
        <f t="shared" si="186"/>
        <v>0</v>
      </c>
      <c r="W404" s="133" t="str">
        <f t="shared" si="187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419">
        <f t="shared" si="173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8"/>
        <v>0</v>
      </c>
      <c r="N405" s="130">
        <f t="shared" si="185"/>
        <v>0</v>
      </c>
      <c r="O405" s="410"/>
      <c r="P405" s="410"/>
      <c r="Q405" s="410"/>
      <c r="R405" s="410"/>
      <c r="S405" s="410"/>
      <c r="T405" s="410"/>
      <c r="U405" s="410"/>
      <c r="V405" s="132">
        <f t="shared" si="186"/>
        <v>0</v>
      </c>
      <c r="W405" s="133" t="str">
        <f t="shared" si="187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419">
        <f t="shared" si="173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8"/>
        <v>0</v>
      </c>
      <c r="N406" s="130">
        <f t="shared" si="185"/>
        <v>0</v>
      </c>
      <c r="O406" s="410"/>
      <c r="P406" s="410"/>
      <c r="Q406" s="410"/>
      <c r="R406" s="410"/>
      <c r="S406" s="410"/>
      <c r="T406" s="410"/>
      <c r="U406" s="410"/>
      <c r="V406" s="132">
        <f t="shared" si="186"/>
        <v>0</v>
      </c>
      <c r="W406" s="133" t="str">
        <f t="shared" si="187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419">
        <f t="shared" si="173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410"/>
      <c r="P407" s="410"/>
      <c r="Q407" s="410"/>
      <c r="R407" s="410"/>
      <c r="S407" s="410"/>
      <c r="T407" s="410"/>
      <c r="U407" s="410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419">
        <f t="shared" si="173"/>
        <v>0</v>
      </c>
      <c r="I408" s="129"/>
      <c r="J408" s="130"/>
      <c r="K408" s="131"/>
      <c r="L408" s="129">
        <v>50</v>
      </c>
      <c r="M408" s="109"/>
      <c r="N408" s="130"/>
      <c r="O408" s="410"/>
      <c r="P408" s="410"/>
      <c r="Q408" s="410"/>
      <c r="R408" s="410"/>
      <c r="S408" s="410"/>
      <c r="T408" s="410"/>
      <c r="U408" s="410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419">
        <f t="shared" si="173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8">IF(ISERROR(I409-K409),"",I409-K409)</f>
        <v>0</v>
      </c>
      <c r="N409" s="130">
        <f t="shared" ref="N409:N410" si="189">SUM(O409:U409)</f>
        <v>0</v>
      </c>
      <c r="O409" s="410"/>
      <c r="P409" s="410"/>
      <c r="Q409" s="410"/>
      <c r="R409" s="410"/>
      <c r="S409" s="410"/>
      <c r="T409" s="410"/>
      <c r="U409" s="410"/>
      <c r="V409" s="132">
        <f t="shared" ref="V409:V410" si="190">SUM(X409:AA409)</f>
        <v>0</v>
      </c>
      <c r="W409" s="133" t="str">
        <f t="shared" ref="W409:W410" si="191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419">
        <f t="shared" si="173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8"/>
        <v>0</v>
      </c>
      <c r="N410" s="130">
        <f t="shared" si="189"/>
        <v>0</v>
      </c>
      <c r="O410" s="410"/>
      <c r="P410" s="410"/>
      <c r="Q410" s="410"/>
      <c r="R410" s="410"/>
      <c r="S410" s="410"/>
      <c r="T410" s="410"/>
      <c r="U410" s="410"/>
      <c r="V410" s="132">
        <f t="shared" si="190"/>
        <v>0</v>
      </c>
      <c r="W410" s="133" t="str">
        <f t="shared" si="191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419">
        <f t="shared" si="173"/>
        <v>0</v>
      </c>
      <c r="I411" s="129"/>
      <c r="J411" s="130"/>
      <c r="K411" s="131"/>
      <c r="L411" s="129"/>
      <c r="M411" s="109"/>
      <c r="N411" s="130"/>
      <c r="O411" s="410"/>
      <c r="P411" s="410"/>
      <c r="Q411" s="410"/>
      <c r="R411" s="410"/>
      <c r="S411" s="410"/>
      <c r="T411" s="410"/>
      <c r="U411" s="410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419">
        <f t="shared" si="173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2">IF(ISERROR(I412-K412),"",I412-K412)</f>
        <v/>
      </c>
      <c r="N412" s="130">
        <f t="shared" ref="N412:N415" si="193">SUM(O412:U412)</f>
        <v>0</v>
      </c>
      <c r="O412" s="410"/>
      <c r="P412" s="410"/>
      <c r="Q412" s="410"/>
      <c r="R412" s="410"/>
      <c r="S412" s="410"/>
      <c r="T412" s="410"/>
      <c r="U412" s="410"/>
      <c r="V412" s="132">
        <f t="shared" ref="V412:V415" si="194">SUM(X412:AA412)</f>
        <v>0</v>
      </c>
      <c r="W412" s="133" t="str">
        <f t="shared" ref="W412:W415" si="195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419">
        <f t="shared" si="173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2"/>
        <v/>
      </c>
      <c r="N413" s="130">
        <f t="shared" si="193"/>
        <v>0</v>
      </c>
      <c r="O413" s="410"/>
      <c r="P413" s="410"/>
      <c r="Q413" s="410"/>
      <c r="R413" s="410"/>
      <c r="S413" s="410"/>
      <c r="T413" s="410"/>
      <c r="U413" s="410"/>
      <c r="V413" s="132">
        <f t="shared" si="194"/>
        <v>0</v>
      </c>
      <c r="W413" s="133" t="str">
        <f t="shared" si="195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419">
        <f t="shared" si="173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2"/>
        <v/>
      </c>
      <c r="N414" s="130">
        <f t="shared" si="193"/>
        <v>0</v>
      </c>
      <c r="O414" s="410"/>
      <c r="P414" s="410"/>
      <c r="Q414" s="410"/>
      <c r="R414" s="410"/>
      <c r="S414" s="410"/>
      <c r="T414" s="410"/>
      <c r="U414" s="410"/>
      <c r="V414" s="132">
        <f t="shared" si="194"/>
        <v>0</v>
      </c>
      <c r="W414" s="133" t="str">
        <f t="shared" si="195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419">
        <f t="shared" si="173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2"/>
        <v/>
      </c>
      <c r="N415" s="130">
        <f t="shared" si="193"/>
        <v>0</v>
      </c>
      <c r="O415" s="410"/>
      <c r="P415" s="410"/>
      <c r="Q415" s="410"/>
      <c r="R415" s="410"/>
      <c r="S415" s="410"/>
      <c r="T415" s="410"/>
      <c r="U415" s="410"/>
      <c r="V415" s="132">
        <f t="shared" si="194"/>
        <v>0</v>
      </c>
      <c r="W415" s="133" t="str">
        <f t="shared" si="195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419">
        <f t="shared" si="173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2"/>
        <v>0</v>
      </c>
      <c r="N416" s="130"/>
      <c r="O416" s="410"/>
      <c r="P416" s="410"/>
      <c r="Q416" s="410"/>
      <c r="R416" s="410"/>
      <c r="S416" s="410"/>
      <c r="T416" s="410"/>
      <c r="U416" s="410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419">
        <f t="shared" si="173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2"/>
        <v>0</v>
      </c>
      <c r="N417" s="130"/>
      <c r="O417" s="410"/>
      <c r="P417" s="410"/>
      <c r="Q417" s="410"/>
      <c r="R417" s="410"/>
      <c r="S417" s="410"/>
      <c r="T417" s="410"/>
      <c r="U417" s="410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419">
        <f t="shared" si="173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2"/>
        <v>0</v>
      </c>
      <c r="N418" s="130"/>
      <c r="O418" s="410"/>
      <c r="P418" s="410"/>
      <c r="Q418" s="410"/>
      <c r="R418" s="410"/>
      <c r="S418" s="410"/>
      <c r="T418" s="410"/>
      <c r="U418" s="410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419">
        <f t="shared" si="173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2"/>
        <v>0</v>
      </c>
      <c r="N419" s="130"/>
      <c r="O419" s="410"/>
      <c r="P419" s="410"/>
      <c r="Q419" s="410"/>
      <c r="R419" s="410"/>
      <c r="S419" s="410"/>
      <c r="T419" s="410"/>
      <c r="U419" s="410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419">
        <f t="shared" si="173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2"/>
        <v>0</v>
      </c>
      <c r="N420" s="130"/>
      <c r="O420" s="410"/>
      <c r="P420" s="410"/>
      <c r="Q420" s="410"/>
      <c r="R420" s="410"/>
      <c r="S420" s="410"/>
      <c r="T420" s="410"/>
      <c r="U420" s="410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419">
        <f t="shared" si="173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2"/>
        <v>0</v>
      </c>
      <c r="N421" s="130"/>
      <c r="O421" s="410"/>
      <c r="P421" s="410"/>
      <c r="Q421" s="410"/>
      <c r="R421" s="410"/>
      <c r="S421" s="410"/>
      <c r="T421" s="410"/>
      <c r="U421" s="410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419">
        <f t="shared" si="173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2"/>
        <v>0</v>
      </c>
      <c r="N422" s="130"/>
      <c r="O422" s="410"/>
      <c r="P422" s="410"/>
      <c r="Q422" s="410"/>
      <c r="R422" s="410"/>
      <c r="S422" s="410"/>
      <c r="T422" s="410"/>
      <c r="U422" s="410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419">
        <f t="shared" si="173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2"/>
        <v>0</v>
      </c>
      <c r="N423" s="130"/>
      <c r="O423" s="410"/>
      <c r="P423" s="410"/>
      <c r="Q423" s="410"/>
      <c r="R423" s="410"/>
      <c r="S423" s="410"/>
      <c r="T423" s="410"/>
      <c r="U423" s="410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419">
        <f t="shared" si="173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2"/>
        <v>0</v>
      </c>
      <c r="N424" s="130"/>
      <c r="O424" s="410"/>
      <c r="P424" s="410"/>
      <c r="Q424" s="410"/>
      <c r="R424" s="410"/>
      <c r="S424" s="410"/>
      <c r="T424" s="410"/>
      <c r="U424" s="410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419">
        <f t="shared" si="173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2"/>
        <v>0</v>
      </c>
      <c r="N425" s="130"/>
      <c r="O425" s="410"/>
      <c r="P425" s="410"/>
      <c r="Q425" s="410"/>
      <c r="R425" s="410"/>
      <c r="S425" s="410"/>
      <c r="T425" s="410"/>
      <c r="U425" s="410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41" t="s">
        <v>216</v>
      </c>
      <c r="B426" s="641"/>
      <c r="C426" s="417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6">SUM(M369:M425)</f>
        <v>0</v>
      </c>
      <c r="N426" s="146">
        <f t="shared" si="196"/>
        <v>0</v>
      </c>
      <c r="O426" s="148">
        <f t="shared" si="196"/>
        <v>0</v>
      </c>
      <c r="P426" s="148">
        <f t="shared" si="196"/>
        <v>0</v>
      </c>
      <c r="Q426" s="148">
        <f t="shared" si="196"/>
        <v>0</v>
      </c>
      <c r="R426" s="148">
        <f t="shared" si="196"/>
        <v>0</v>
      </c>
      <c r="S426" s="148">
        <f t="shared" si="196"/>
        <v>0</v>
      </c>
      <c r="T426" s="148">
        <f t="shared" si="196"/>
        <v>0</v>
      </c>
      <c r="U426" s="148">
        <f t="shared" si="196"/>
        <v>0</v>
      </c>
      <c r="V426" s="149">
        <f t="shared" si="196"/>
        <v>0</v>
      </c>
      <c r="W426" s="133" t="str">
        <f t="shared" ref="W426:W433" si="197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411" t="s">
        <v>217</v>
      </c>
      <c r="C427" s="126" t="s">
        <v>179</v>
      </c>
      <c r="D427" s="108">
        <v>5.03</v>
      </c>
      <c r="E427" s="108"/>
      <c r="F427" s="127"/>
      <c r="G427" s="128"/>
      <c r="H427" s="419">
        <f t="shared" ref="H427:H460" si="198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9">IF(ISERROR(I427-K427),"",I427-K427)</f>
        <v>0</v>
      </c>
      <c r="N427" s="130">
        <f t="shared" ref="N427:N434" si="200">SUM(O427:U427)</f>
        <v>0</v>
      </c>
      <c r="O427" s="410"/>
      <c r="P427" s="410"/>
      <c r="Q427" s="410"/>
      <c r="R427" s="410"/>
      <c r="S427" s="410"/>
      <c r="T427" s="410"/>
      <c r="U427" s="410"/>
      <c r="V427" s="132">
        <f t="shared" ref="V427:V433" si="201">SUM(X427:AA427)</f>
        <v>0</v>
      </c>
      <c r="W427" s="133" t="str">
        <f t="shared" si="197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411" t="s">
        <v>217</v>
      </c>
      <c r="C428" s="126" t="s">
        <v>186</v>
      </c>
      <c r="D428" s="108">
        <v>5.03</v>
      </c>
      <c r="E428" s="108"/>
      <c r="F428" s="127"/>
      <c r="G428" s="128"/>
      <c r="H428" s="419">
        <f t="shared" si="198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9"/>
        <v>0</v>
      </c>
      <c r="N428" s="130">
        <f t="shared" si="200"/>
        <v>0</v>
      </c>
      <c r="O428" s="410"/>
      <c r="P428" s="410"/>
      <c r="Q428" s="410"/>
      <c r="R428" s="410"/>
      <c r="S428" s="410"/>
      <c r="T428" s="410"/>
      <c r="U428" s="410"/>
      <c r="V428" s="132">
        <f t="shared" si="201"/>
        <v>0</v>
      </c>
      <c r="W428" s="133" t="str">
        <f t="shared" si="197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411" t="s">
        <v>217</v>
      </c>
      <c r="C429" s="126" t="s">
        <v>204</v>
      </c>
      <c r="D429" s="108">
        <v>5.03</v>
      </c>
      <c r="E429" s="108"/>
      <c r="F429" s="127"/>
      <c r="G429" s="128"/>
      <c r="H429" s="419">
        <f t="shared" si="198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9"/>
        <v>0</v>
      </c>
      <c r="N429" s="130">
        <f t="shared" si="200"/>
        <v>0</v>
      </c>
      <c r="O429" s="410"/>
      <c r="P429" s="410"/>
      <c r="Q429" s="410"/>
      <c r="R429" s="410"/>
      <c r="S429" s="410"/>
      <c r="T429" s="410"/>
      <c r="U429" s="410"/>
      <c r="V429" s="132">
        <f t="shared" si="201"/>
        <v>0</v>
      </c>
      <c r="W429" s="133" t="str">
        <f t="shared" si="197"/>
        <v/>
      </c>
      <c r="X429" s="132"/>
      <c r="Y429" s="132"/>
      <c r="Z429" s="132"/>
      <c r="AA429" s="132"/>
    </row>
    <row r="430" spans="1:27" ht="20.10000000000000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>
        <v>42707</v>
      </c>
      <c r="G430" s="128">
        <f>108+108+79+103</f>
        <v>398</v>
      </c>
      <c r="H430" s="419">
        <f t="shared" si="198"/>
        <v>2001.94</v>
      </c>
      <c r="I430" s="129">
        <f>9*2+8+3.5+3.5+4.5+3</f>
        <v>40.5</v>
      </c>
      <c r="J430" s="130">
        <f t="array" ref="J430">IF(ISERROR(G430/I430),"",G430/I430)</f>
        <v>9.8271604938271597</v>
      </c>
      <c r="K430" s="131">
        <f t="array" ref="K430">IF(ISERROR(G430/L430),"",G430/L430)</f>
        <v>42.795698924731177</v>
      </c>
      <c r="L430" s="129">
        <v>9.3000000000000007</v>
      </c>
      <c r="M430" s="109">
        <f t="shared" si="199"/>
        <v>-2.2956989247311768</v>
      </c>
      <c r="N430" s="130">
        <f t="shared" si="200"/>
        <v>0</v>
      </c>
      <c r="O430" s="410"/>
      <c r="P430" s="410"/>
      <c r="Q430" s="410"/>
      <c r="R430" s="410"/>
      <c r="S430" s="410"/>
      <c r="T430" s="410"/>
      <c r="U430" s="410"/>
      <c r="V430" s="132">
        <f t="shared" si="201"/>
        <v>0</v>
      </c>
      <c r="W430" s="133">
        <f t="shared" si="197"/>
        <v>0</v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419">
        <f t="shared" si="198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9"/>
        <v>0</v>
      </c>
      <c r="N431" s="130">
        <f t="shared" si="200"/>
        <v>0</v>
      </c>
      <c r="O431" s="410"/>
      <c r="P431" s="410"/>
      <c r="Q431" s="410"/>
      <c r="R431" s="410"/>
      <c r="S431" s="410"/>
      <c r="T431" s="410"/>
      <c r="U431" s="410"/>
      <c r="V431" s="132">
        <f t="shared" si="201"/>
        <v>0</v>
      </c>
      <c r="W431" s="133" t="str">
        <f t="shared" si="197"/>
        <v/>
      </c>
      <c r="X431" s="132"/>
      <c r="Y431" s="132"/>
      <c r="Z431" s="132"/>
      <c r="AA431" s="132"/>
    </row>
    <row r="432" spans="1:27" ht="20.10000000000000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>
        <v>42707</v>
      </c>
      <c r="G432" s="128">
        <f>113+118</f>
        <v>231</v>
      </c>
      <c r="H432" s="419">
        <f t="shared" si="198"/>
        <v>1161.93</v>
      </c>
      <c r="I432" s="129">
        <f>9.5+9</f>
        <v>18.5</v>
      </c>
      <c r="J432" s="130">
        <f t="array" ref="J432">IF(ISERROR(G432/I432),"",G432/I432)</f>
        <v>12.486486486486486</v>
      </c>
      <c r="K432" s="131">
        <f t="array" ref="K432">IF(ISERROR(G432/L432),"",G432/L432)</f>
        <v>24.838709677419352</v>
      </c>
      <c r="L432" s="129">
        <v>9.3000000000000007</v>
      </c>
      <c r="M432" s="109">
        <f t="shared" si="199"/>
        <v>-6.3387096774193523</v>
      </c>
      <c r="N432" s="130">
        <f t="shared" si="200"/>
        <v>0</v>
      </c>
      <c r="O432" s="410"/>
      <c r="P432" s="410"/>
      <c r="Q432" s="410"/>
      <c r="R432" s="410"/>
      <c r="S432" s="410"/>
      <c r="T432" s="410"/>
      <c r="U432" s="410"/>
      <c r="V432" s="132">
        <f t="shared" si="201"/>
        <v>0</v>
      </c>
      <c r="W432" s="133">
        <f t="shared" si="197"/>
        <v>0</v>
      </c>
      <c r="X432" s="132"/>
      <c r="Y432" s="132"/>
      <c r="Z432" s="132"/>
      <c r="AA432" s="132"/>
    </row>
    <row r="433" spans="1:27" ht="20.10000000000000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>
        <v>42708</v>
      </c>
      <c r="G433" s="128">
        <f>63+50+20+38+111+3-3</f>
        <v>282</v>
      </c>
      <c r="H433" s="419">
        <f t="shared" si="198"/>
        <v>1418.46</v>
      </c>
      <c r="I433" s="129">
        <f>4.5+4+5+5.5</f>
        <v>19</v>
      </c>
      <c r="J433" s="130">
        <f t="array" ref="J433">IF(ISERROR(G433/I433),"",G433/I433)</f>
        <v>14.842105263157896</v>
      </c>
      <c r="K433" s="131">
        <f t="array" ref="K433">IF(ISERROR(G433/L433),"",G433/L433)</f>
        <v>30.322580645161288</v>
      </c>
      <c r="L433" s="129">
        <v>9.3000000000000007</v>
      </c>
      <c r="M433" s="109">
        <f t="shared" si="199"/>
        <v>-11.322580645161288</v>
      </c>
      <c r="N433" s="130">
        <f t="shared" si="200"/>
        <v>0</v>
      </c>
      <c r="O433" s="410"/>
      <c r="P433" s="410"/>
      <c r="Q433" s="410"/>
      <c r="R433" s="410"/>
      <c r="S433" s="410"/>
      <c r="T433" s="410"/>
      <c r="U433" s="410"/>
      <c r="V433" s="132">
        <f t="shared" si="201"/>
        <v>0</v>
      </c>
      <c r="W433" s="133">
        <f t="shared" si="197"/>
        <v>0</v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419">
        <f t="shared" si="198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9"/>
        <v>0</v>
      </c>
      <c r="N434" s="130">
        <f t="shared" si="200"/>
        <v>0</v>
      </c>
      <c r="O434" s="410"/>
      <c r="P434" s="410"/>
      <c r="Q434" s="410"/>
      <c r="R434" s="410"/>
      <c r="S434" s="410"/>
      <c r="T434" s="410"/>
      <c r="U434" s="410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419">
        <f t="shared" si="198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410"/>
      <c r="P435" s="410"/>
      <c r="Q435" s="410"/>
      <c r="R435" s="410"/>
      <c r="S435" s="410"/>
      <c r="T435" s="410"/>
      <c r="U435" s="410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419">
        <f t="shared" si="198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410"/>
      <c r="P436" s="410"/>
      <c r="Q436" s="410"/>
      <c r="R436" s="410"/>
      <c r="S436" s="410"/>
      <c r="T436" s="410"/>
      <c r="U436" s="410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419">
        <f t="shared" si="198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10"/>
      <c r="P437" s="410"/>
      <c r="Q437" s="410"/>
      <c r="R437" s="410"/>
      <c r="S437" s="410"/>
      <c r="T437" s="410"/>
      <c r="U437" s="410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419">
        <f t="shared" si="198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10"/>
      <c r="P438" s="410"/>
      <c r="Q438" s="410"/>
      <c r="R438" s="410"/>
      <c r="S438" s="410"/>
      <c r="T438" s="410"/>
      <c r="U438" s="410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419">
        <f t="shared" si="198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2">IF(ISERROR(I439-K439),"",I439-K439)</f>
        <v>0</v>
      </c>
      <c r="N439" s="130">
        <f t="shared" ref="N439:N454" si="203">SUM(O439:U439)</f>
        <v>0</v>
      </c>
      <c r="O439" s="410"/>
      <c r="P439" s="410"/>
      <c r="Q439" s="410"/>
      <c r="R439" s="410"/>
      <c r="S439" s="410"/>
      <c r="T439" s="410"/>
      <c r="U439" s="410"/>
      <c r="V439" s="132">
        <f t="shared" ref="V439:V442" si="204">SUM(X439:AA439)</f>
        <v>0</v>
      </c>
      <c r="W439" s="133" t="str">
        <f t="shared" ref="W439:W446" si="205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419">
        <f t="shared" si="198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2"/>
        <v/>
      </c>
      <c r="N440" s="130">
        <f t="shared" si="203"/>
        <v>0</v>
      </c>
      <c r="O440" s="410"/>
      <c r="P440" s="410"/>
      <c r="Q440" s="410"/>
      <c r="R440" s="410"/>
      <c r="S440" s="410"/>
      <c r="T440" s="410"/>
      <c r="U440" s="410"/>
      <c r="V440" s="132">
        <f t="shared" si="204"/>
        <v>0</v>
      </c>
      <c r="W440" s="133" t="str">
        <f t="shared" si="205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419">
        <f t="shared" si="198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2"/>
        <v/>
      </c>
      <c r="N441" s="130">
        <f t="shared" si="203"/>
        <v>0</v>
      </c>
      <c r="O441" s="410"/>
      <c r="P441" s="410"/>
      <c r="Q441" s="410"/>
      <c r="R441" s="410"/>
      <c r="S441" s="410"/>
      <c r="T441" s="410"/>
      <c r="U441" s="410"/>
      <c r="V441" s="132">
        <f t="shared" si="204"/>
        <v>0</v>
      </c>
      <c r="W441" s="133" t="str">
        <f t="shared" si="205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419">
        <f t="shared" si="198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2"/>
        <v/>
      </c>
      <c r="N442" s="130">
        <f t="shared" si="203"/>
        <v>0</v>
      </c>
      <c r="O442" s="410"/>
      <c r="P442" s="410"/>
      <c r="Q442" s="410"/>
      <c r="R442" s="410"/>
      <c r="S442" s="410"/>
      <c r="T442" s="410"/>
      <c r="U442" s="410"/>
      <c r="V442" s="132">
        <f t="shared" si="204"/>
        <v>0</v>
      </c>
      <c r="W442" s="133" t="str">
        <f t="shared" si="205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411" t="s">
        <v>222</v>
      </c>
      <c r="C443" s="126" t="s">
        <v>181</v>
      </c>
      <c r="D443" s="108">
        <v>9.36</v>
      </c>
      <c r="E443" s="108"/>
      <c r="F443" s="127"/>
      <c r="G443" s="128"/>
      <c r="H443" s="419">
        <f t="shared" si="198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2"/>
        <v>0</v>
      </c>
      <c r="N443" s="130">
        <f t="shared" si="203"/>
        <v>0</v>
      </c>
      <c r="O443" s="410"/>
      <c r="P443" s="410"/>
      <c r="Q443" s="410"/>
      <c r="R443" s="410"/>
      <c r="S443" s="410"/>
      <c r="T443" s="410"/>
      <c r="U443" s="410"/>
      <c r="V443" s="132">
        <f t="shared" ref="V443:V446" si="206">SUM(X443:AA443)</f>
        <v>0</v>
      </c>
      <c r="W443" s="133" t="str">
        <f t="shared" si="205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411" t="s">
        <v>222</v>
      </c>
      <c r="C444" s="126" t="s">
        <v>179</v>
      </c>
      <c r="D444" s="108">
        <v>9.36</v>
      </c>
      <c r="E444" s="108"/>
      <c r="F444" s="127"/>
      <c r="G444" s="128"/>
      <c r="H444" s="419">
        <f t="shared" si="198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2"/>
        <v>0</v>
      </c>
      <c r="N444" s="130">
        <f t="shared" si="203"/>
        <v>0</v>
      </c>
      <c r="O444" s="410"/>
      <c r="P444" s="410"/>
      <c r="Q444" s="410"/>
      <c r="R444" s="410"/>
      <c r="S444" s="410"/>
      <c r="T444" s="410"/>
      <c r="U444" s="410"/>
      <c r="V444" s="132">
        <f t="shared" si="206"/>
        <v>0</v>
      </c>
      <c r="W444" s="133" t="str">
        <f t="shared" si="205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411" t="s">
        <v>222</v>
      </c>
      <c r="C445" s="126" t="s">
        <v>221</v>
      </c>
      <c r="D445" s="108">
        <v>9.36</v>
      </c>
      <c r="E445" s="108"/>
      <c r="F445" s="127"/>
      <c r="G445" s="128"/>
      <c r="H445" s="419">
        <f t="shared" si="198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2"/>
        <v>0</v>
      </c>
      <c r="N445" s="130">
        <f t="shared" si="203"/>
        <v>0</v>
      </c>
      <c r="O445" s="410"/>
      <c r="P445" s="410"/>
      <c r="Q445" s="410"/>
      <c r="R445" s="410"/>
      <c r="S445" s="410"/>
      <c r="T445" s="410"/>
      <c r="U445" s="410"/>
      <c r="V445" s="132">
        <f t="shared" si="206"/>
        <v>0</v>
      </c>
      <c r="W445" s="133" t="str">
        <f t="shared" si="205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411" t="s">
        <v>222</v>
      </c>
      <c r="C446" s="126" t="s">
        <v>186</v>
      </c>
      <c r="D446" s="108">
        <v>9.36</v>
      </c>
      <c r="E446" s="108"/>
      <c r="F446" s="127"/>
      <c r="G446" s="128"/>
      <c r="H446" s="419">
        <f t="shared" si="198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2"/>
        <v>0</v>
      </c>
      <c r="N446" s="130">
        <f t="shared" si="203"/>
        <v>0</v>
      </c>
      <c r="O446" s="410"/>
      <c r="P446" s="410"/>
      <c r="Q446" s="410"/>
      <c r="R446" s="410"/>
      <c r="S446" s="410"/>
      <c r="T446" s="410"/>
      <c r="U446" s="410"/>
      <c r="V446" s="132">
        <f t="shared" si="206"/>
        <v>0</v>
      </c>
      <c r="W446" s="133" t="str">
        <f t="shared" si="205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411" t="s">
        <v>393</v>
      </c>
      <c r="C447" s="187" t="s">
        <v>395</v>
      </c>
      <c r="D447" s="108">
        <v>5</v>
      </c>
      <c r="E447" s="108"/>
      <c r="F447" s="127"/>
      <c r="G447" s="128"/>
      <c r="H447" s="419">
        <f t="shared" si="198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2"/>
        <v>0</v>
      </c>
      <c r="N447" s="130">
        <f t="shared" si="203"/>
        <v>0</v>
      </c>
      <c r="O447" s="410"/>
      <c r="P447" s="410"/>
      <c r="Q447" s="410"/>
      <c r="R447" s="410"/>
      <c r="S447" s="410"/>
      <c r="T447" s="410"/>
      <c r="U447" s="410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411" t="s">
        <v>393</v>
      </c>
      <c r="C448" s="187" t="s">
        <v>402</v>
      </c>
      <c r="D448" s="108">
        <v>5</v>
      </c>
      <c r="E448" s="108"/>
      <c r="F448" s="127"/>
      <c r="G448" s="128"/>
      <c r="H448" s="419">
        <f t="shared" si="198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2"/>
        <v>0</v>
      </c>
      <c r="N448" s="130">
        <f t="shared" si="203"/>
        <v>0</v>
      </c>
      <c r="O448" s="410"/>
      <c r="P448" s="410"/>
      <c r="Q448" s="410"/>
      <c r="R448" s="410"/>
      <c r="S448" s="410"/>
      <c r="T448" s="410"/>
      <c r="U448" s="410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411" t="s">
        <v>404</v>
      </c>
      <c r="C449" s="187" t="s">
        <v>405</v>
      </c>
      <c r="D449" s="108">
        <v>5</v>
      </c>
      <c r="E449" s="108"/>
      <c r="F449" s="127"/>
      <c r="G449" s="128"/>
      <c r="H449" s="419">
        <f t="shared" si="198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2"/>
        <v>0</v>
      </c>
      <c r="N449" s="130">
        <f t="shared" si="203"/>
        <v>0</v>
      </c>
      <c r="O449" s="410"/>
      <c r="P449" s="410"/>
      <c r="Q449" s="410"/>
      <c r="R449" s="410"/>
      <c r="S449" s="410"/>
      <c r="T449" s="410"/>
      <c r="U449" s="410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411" t="s">
        <v>342</v>
      </c>
      <c r="C450" s="187" t="s">
        <v>372</v>
      </c>
      <c r="D450" s="108">
        <v>5</v>
      </c>
      <c r="E450" s="108"/>
      <c r="F450" s="127"/>
      <c r="G450" s="128"/>
      <c r="H450" s="419">
        <f t="shared" si="198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2"/>
        <v>0</v>
      </c>
      <c r="N450" s="130">
        <f t="shared" si="203"/>
        <v>0</v>
      </c>
      <c r="O450" s="410"/>
      <c r="P450" s="410"/>
      <c r="Q450" s="410"/>
      <c r="R450" s="410"/>
      <c r="S450" s="410"/>
      <c r="T450" s="410"/>
      <c r="U450" s="410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411" t="s">
        <v>343</v>
      </c>
      <c r="C451" s="126" t="s">
        <v>345</v>
      </c>
      <c r="D451" s="108">
        <v>5</v>
      </c>
      <c r="E451" s="108"/>
      <c r="F451" s="127"/>
      <c r="G451" s="128"/>
      <c r="H451" s="419">
        <f t="shared" si="198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2"/>
        <v>0</v>
      </c>
      <c r="N451" s="130">
        <f t="shared" si="203"/>
        <v>0</v>
      </c>
      <c r="O451" s="410"/>
      <c r="P451" s="410"/>
      <c r="Q451" s="410"/>
      <c r="R451" s="410"/>
      <c r="S451" s="410"/>
      <c r="T451" s="410"/>
      <c r="U451" s="410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411" t="s">
        <v>343</v>
      </c>
      <c r="C452" s="126" t="s">
        <v>347</v>
      </c>
      <c r="D452" s="108">
        <v>5</v>
      </c>
      <c r="E452" s="108"/>
      <c r="F452" s="127"/>
      <c r="G452" s="128"/>
      <c r="H452" s="419">
        <f t="shared" si="198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2"/>
        <v>0</v>
      </c>
      <c r="N452" s="130">
        <f t="shared" si="203"/>
        <v>0</v>
      </c>
      <c r="O452" s="410"/>
      <c r="P452" s="410"/>
      <c r="Q452" s="410"/>
      <c r="R452" s="410"/>
      <c r="S452" s="410"/>
      <c r="T452" s="410"/>
      <c r="U452" s="410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419">
        <f t="shared" si="198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2"/>
        <v>0</v>
      </c>
      <c r="N453" s="130">
        <f t="shared" si="203"/>
        <v>0</v>
      </c>
      <c r="O453" s="410"/>
      <c r="P453" s="410"/>
      <c r="Q453" s="410"/>
      <c r="R453" s="410"/>
      <c r="S453" s="410"/>
      <c r="T453" s="410"/>
      <c r="U453" s="410"/>
      <c r="V453" s="132">
        <f t="shared" ref="V453:V454" si="207">SUM(X453:AA453)</f>
        <v>0</v>
      </c>
      <c r="W453" s="133" t="str">
        <f t="shared" ref="W453:W454" si="208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419">
        <f t="shared" si="198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2"/>
        <v>0</v>
      </c>
      <c r="N454" s="130">
        <f t="shared" si="203"/>
        <v>0</v>
      </c>
      <c r="O454" s="410"/>
      <c r="P454" s="410"/>
      <c r="Q454" s="410"/>
      <c r="R454" s="410"/>
      <c r="S454" s="410"/>
      <c r="T454" s="410"/>
      <c r="U454" s="410"/>
      <c r="V454" s="132">
        <f t="shared" si="207"/>
        <v>0</v>
      </c>
      <c r="W454" s="133" t="str">
        <f t="shared" si="208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419">
        <f t="shared" si="198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2"/>
        <v>0</v>
      </c>
      <c r="N455" s="130"/>
      <c r="O455" s="410"/>
      <c r="P455" s="410"/>
      <c r="Q455" s="410"/>
      <c r="R455" s="410"/>
      <c r="S455" s="410"/>
      <c r="T455" s="410"/>
      <c r="U455" s="410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419">
        <f t="shared" si="198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2"/>
        <v>0</v>
      </c>
      <c r="N456" s="130"/>
      <c r="O456" s="410"/>
      <c r="P456" s="410"/>
      <c r="Q456" s="410"/>
      <c r="R456" s="410"/>
      <c r="S456" s="410"/>
      <c r="T456" s="410"/>
      <c r="U456" s="410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419">
        <f t="shared" si="198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2"/>
        <v>0</v>
      </c>
      <c r="N457" s="130"/>
      <c r="O457" s="410"/>
      <c r="P457" s="410"/>
      <c r="Q457" s="410"/>
      <c r="R457" s="410"/>
      <c r="S457" s="410"/>
      <c r="T457" s="410"/>
      <c r="U457" s="410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419">
        <f t="shared" si="198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2"/>
        <v>0</v>
      </c>
      <c r="N458" s="130">
        <f t="shared" ref="N458:N460" si="209">SUM(O458:U458)</f>
        <v>0</v>
      </c>
      <c r="O458" s="410"/>
      <c r="P458" s="410"/>
      <c r="Q458" s="410"/>
      <c r="R458" s="410"/>
      <c r="S458" s="410"/>
      <c r="T458" s="410"/>
      <c r="U458" s="410"/>
      <c r="V458" s="132">
        <f t="shared" ref="V458:V460" si="210">SUM(X458:AA458)</f>
        <v>0</v>
      </c>
      <c r="W458" s="133" t="str">
        <f t="shared" ref="W458:W482" si="211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419">
        <f t="shared" si="198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2"/>
        <v>0</v>
      </c>
      <c r="N459" s="130">
        <f t="shared" si="209"/>
        <v>0</v>
      </c>
      <c r="O459" s="410"/>
      <c r="P459" s="410"/>
      <c r="Q459" s="410"/>
      <c r="R459" s="410"/>
      <c r="S459" s="410"/>
      <c r="T459" s="410"/>
      <c r="U459" s="410"/>
      <c r="V459" s="132">
        <f t="shared" si="210"/>
        <v>0</v>
      </c>
      <c r="W459" s="133" t="str">
        <f t="shared" si="211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419">
        <f t="shared" si="198"/>
        <v>0</v>
      </c>
      <c r="I460" s="129"/>
      <c r="J460" s="130" t="str">
        <f t="array" ref="J460">IF(ISERROR(G460/I460),"",G460/I460)</f>
        <v/>
      </c>
      <c r="K460" s="419">
        <f t="array" ref="K460">IF(ISERROR(G460/L460),"",G460/L460)</f>
        <v>0</v>
      </c>
      <c r="L460" s="129">
        <v>9</v>
      </c>
      <c r="M460" s="109">
        <f t="shared" si="202"/>
        <v>0</v>
      </c>
      <c r="N460" s="130">
        <f t="shared" si="209"/>
        <v>0</v>
      </c>
      <c r="O460" s="410"/>
      <c r="P460" s="410"/>
      <c r="Q460" s="410"/>
      <c r="R460" s="410"/>
      <c r="S460" s="410"/>
      <c r="T460" s="410"/>
      <c r="U460" s="410"/>
      <c r="V460" s="132">
        <f t="shared" si="210"/>
        <v>0</v>
      </c>
      <c r="W460" s="133" t="str">
        <f t="shared" si="211"/>
        <v/>
      </c>
      <c r="X460" s="132"/>
      <c r="Y460" s="132"/>
      <c r="Z460" s="132"/>
      <c r="AA460" s="132"/>
    </row>
    <row r="461" spans="1:27" ht="20.100000000000001" customHeight="1">
      <c r="A461" s="630" t="s">
        <v>224</v>
      </c>
      <c r="B461" s="631"/>
      <c r="C461" s="417" t="s">
        <v>202</v>
      </c>
      <c r="D461" s="143"/>
      <c r="E461" s="143"/>
      <c r="F461" s="144"/>
      <c r="G461" s="145">
        <f>SUM(G427:G460)</f>
        <v>911</v>
      </c>
      <c r="H461" s="146">
        <f>SUM(H427:H460)</f>
        <v>4582.33</v>
      </c>
      <c r="I461" s="146">
        <f>SUM(I427:I460)</f>
        <v>78</v>
      </c>
      <c r="J461" s="130">
        <f t="array" ref="J461">IF(ISERROR(G461/I461),"",G461/I461)</f>
        <v>11.679487179487179</v>
      </c>
      <c r="K461" s="146">
        <f>SUM(K427:K460)</f>
        <v>97.95698924731181</v>
      </c>
      <c r="L461" s="147"/>
      <c r="M461" s="150">
        <f t="shared" ref="M461:V461" si="212">SUM(M427:M460)</f>
        <v>-19.956989247311817</v>
      </c>
      <c r="N461" s="146">
        <f t="shared" si="212"/>
        <v>0</v>
      </c>
      <c r="O461" s="148">
        <f t="shared" si="212"/>
        <v>0</v>
      </c>
      <c r="P461" s="148">
        <f t="shared" si="212"/>
        <v>0</v>
      </c>
      <c r="Q461" s="148">
        <f t="shared" si="212"/>
        <v>0</v>
      </c>
      <c r="R461" s="148">
        <f t="shared" si="212"/>
        <v>0</v>
      </c>
      <c r="S461" s="148">
        <f t="shared" si="212"/>
        <v>0</v>
      </c>
      <c r="T461" s="148">
        <f t="shared" si="212"/>
        <v>0</v>
      </c>
      <c r="U461" s="148">
        <f t="shared" si="212"/>
        <v>0</v>
      </c>
      <c r="V461" s="149">
        <f t="shared" si="212"/>
        <v>0</v>
      </c>
      <c r="W461" s="133">
        <f t="shared" si="211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419">
        <f t="shared" ref="H462:H476" si="213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4">IF(ISERROR(I462-K462),"",I462-K462)</f>
        <v>0</v>
      </c>
      <c r="N462" s="130">
        <f t="shared" ref="N462:N476" si="215">SUM(O462:U462)</f>
        <v>0</v>
      </c>
      <c r="O462" s="410"/>
      <c r="P462" s="410"/>
      <c r="Q462" s="410"/>
      <c r="R462" s="410"/>
      <c r="S462" s="410"/>
      <c r="T462" s="410"/>
      <c r="U462" s="410"/>
      <c r="V462" s="132">
        <f t="shared" ref="V462:V476" si="216">SUM(X462:AA462)</f>
        <v>0</v>
      </c>
      <c r="W462" s="133" t="str">
        <f t="shared" si="211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419">
        <f t="shared" si="213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4"/>
        <v>0</v>
      </c>
      <c r="N463" s="130">
        <f t="shared" si="215"/>
        <v>0</v>
      </c>
      <c r="O463" s="410"/>
      <c r="P463" s="410"/>
      <c r="Q463" s="410"/>
      <c r="R463" s="410"/>
      <c r="S463" s="410"/>
      <c r="T463" s="410"/>
      <c r="U463" s="410"/>
      <c r="V463" s="132">
        <f t="shared" si="216"/>
        <v>0</v>
      </c>
      <c r="W463" s="133" t="str">
        <f t="shared" si="211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419">
        <f t="shared" si="213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4"/>
        <v>0</v>
      </c>
      <c r="N464" s="130">
        <f t="shared" si="215"/>
        <v>0</v>
      </c>
      <c r="O464" s="410"/>
      <c r="P464" s="410"/>
      <c r="Q464" s="410"/>
      <c r="R464" s="410"/>
      <c r="S464" s="410"/>
      <c r="T464" s="410"/>
      <c r="U464" s="410"/>
      <c r="V464" s="132">
        <f t="shared" si="216"/>
        <v>0</v>
      </c>
      <c r="W464" s="133" t="str">
        <f t="shared" si="211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419">
        <f t="shared" si="213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4"/>
        <v>0</v>
      </c>
      <c r="N465" s="130">
        <f t="shared" si="215"/>
        <v>0</v>
      </c>
      <c r="O465" s="410"/>
      <c r="P465" s="410"/>
      <c r="Q465" s="410"/>
      <c r="R465" s="410"/>
      <c r="S465" s="410"/>
      <c r="T465" s="410"/>
      <c r="U465" s="410"/>
      <c r="V465" s="132">
        <f t="shared" si="216"/>
        <v>0</v>
      </c>
      <c r="W465" s="133" t="str">
        <f t="shared" si="211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415" t="s">
        <v>203</v>
      </c>
      <c r="D466" s="108">
        <v>5.03</v>
      </c>
      <c r="E466" s="108"/>
      <c r="F466" s="127"/>
      <c r="G466" s="128"/>
      <c r="H466" s="419">
        <f t="shared" si="213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4"/>
        <v>0</v>
      </c>
      <c r="N466" s="130">
        <f t="shared" si="215"/>
        <v>0</v>
      </c>
      <c r="O466" s="410"/>
      <c r="P466" s="410"/>
      <c r="Q466" s="410"/>
      <c r="R466" s="410"/>
      <c r="S466" s="410"/>
      <c r="T466" s="410"/>
      <c r="U466" s="410"/>
      <c r="V466" s="132">
        <f t="shared" si="216"/>
        <v>0</v>
      </c>
      <c r="W466" s="133" t="str">
        <f t="shared" si="211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419">
        <f t="shared" si="213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4"/>
        <v>0</v>
      </c>
      <c r="N467" s="130">
        <f t="shared" si="215"/>
        <v>0</v>
      </c>
      <c r="O467" s="410"/>
      <c r="P467" s="410"/>
      <c r="Q467" s="410"/>
      <c r="R467" s="410"/>
      <c r="S467" s="410"/>
      <c r="T467" s="410"/>
      <c r="U467" s="410"/>
      <c r="V467" s="132">
        <f t="shared" si="216"/>
        <v>0</v>
      </c>
      <c r="W467" s="133" t="str">
        <f t="shared" si="211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419">
        <f t="shared" si="213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4"/>
        <v>0</v>
      </c>
      <c r="N468" s="130">
        <f t="shared" si="215"/>
        <v>0</v>
      </c>
      <c r="O468" s="410"/>
      <c r="P468" s="410"/>
      <c r="Q468" s="410"/>
      <c r="R468" s="410"/>
      <c r="S468" s="410"/>
      <c r="T468" s="410"/>
      <c r="U468" s="410"/>
      <c r="V468" s="132">
        <f t="shared" si="216"/>
        <v>0</v>
      </c>
      <c r="W468" s="133" t="str">
        <f t="shared" si="211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415" t="s">
        <v>228</v>
      </c>
      <c r="D469" s="108">
        <v>5.03</v>
      </c>
      <c r="E469" s="108"/>
      <c r="F469" s="127"/>
      <c r="G469" s="128"/>
      <c r="H469" s="419">
        <f t="shared" si="213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4"/>
        <v>0</v>
      </c>
      <c r="N469" s="130">
        <f t="shared" si="215"/>
        <v>0</v>
      </c>
      <c r="O469" s="410"/>
      <c r="P469" s="410"/>
      <c r="Q469" s="410"/>
      <c r="R469" s="410"/>
      <c r="S469" s="410"/>
      <c r="T469" s="410"/>
      <c r="U469" s="410"/>
      <c r="V469" s="132">
        <f t="shared" si="216"/>
        <v>0</v>
      </c>
      <c r="W469" s="133" t="str">
        <f t="shared" si="211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415" t="s">
        <v>212</v>
      </c>
      <c r="D470" s="108">
        <v>5.03</v>
      </c>
      <c r="E470" s="108"/>
      <c r="F470" s="127"/>
      <c r="G470" s="128"/>
      <c r="H470" s="419">
        <f t="shared" si="213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4"/>
        <v/>
      </c>
      <c r="N470" s="130">
        <f t="shared" si="215"/>
        <v>0</v>
      </c>
      <c r="O470" s="410"/>
      <c r="P470" s="410"/>
      <c r="Q470" s="410"/>
      <c r="R470" s="410"/>
      <c r="S470" s="410"/>
      <c r="T470" s="410"/>
      <c r="U470" s="410"/>
      <c r="V470" s="132">
        <f t="shared" si="216"/>
        <v>0</v>
      </c>
      <c r="W470" s="133" t="str">
        <f t="shared" si="211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415" t="s">
        <v>203</v>
      </c>
      <c r="D471" s="108">
        <v>5.03</v>
      </c>
      <c r="E471" s="108"/>
      <c r="F471" s="127"/>
      <c r="G471" s="128"/>
      <c r="H471" s="419">
        <f t="shared" si="213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4"/>
        <v/>
      </c>
      <c r="N471" s="130">
        <f t="shared" si="215"/>
        <v>0</v>
      </c>
      <c r="O471" s="410"/>
      <c r="P471" s="410"/>
      <c r="Q471" s="410"/>
      <c r="R471" s="410"/>
      <c r="S471" s="410"/>
      <c r="T471" s="410"/>
      <c r="U471" s="410"/>
      <c r="V471" s="132">
        <f t="shared" si="216"/>
        <v>0</v>
      </c>
      <c r="W471" s="133" t="str">
        <f t="shared" si="211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415" t="s">
        <v>186</v>
      </c>
      <c r="D472" s="108">
        <v>5.03</v>
      </c>
      <c r="E472" s="108"/>
      <c r="F472" s="127"/>
      <c r="G472" s="128"/>
      <c r="H472" s="419">
        <f t="shared" si="213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4"/>
        <v/>
      </c>
      <c r="N472" s="130">
        <f t="shared" si="215"/>
        <v>0</v>
      </c>
      <c r="O472" s="410"/>
      <c r="P472" s="410"/>
      <c r="Q472" s="410"/>
      <c r="R472" s="410"/>
      <c r="S472" s="410"/>
      <c r="T472" s="410"/>
      <c r="U472" s="410"/>
      <c r="V472" s="132">
        <f t="shared" si="216"/>
        <v>0</v>
      </c>
      <c r="W472" s="133" t="str">
        <f t="shared" si="211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415" t="s">
        <v>228</v>
      </c>
      <c r="D473" s="108">
        <v>5.03</v>
      </c>
      <c r="E473" s="108"/>
      <c r="F473" s="127"/>
      <c r="G473" s="128"/>
      <c r="H473" s="419">
        <f t="shared" si="213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4"/>
        <v/>
      </c>
      <c r="N473" s="130">
        <f t="shared" si="215"/>
        <v>0</v>
      </c>
      <c r="O473" s="410"/>
      <c r="P473" s="410"/>
      <c r="Q473" s="410"/>
      <c r="R473" s="410"/>
      <c r="S473" s="410"/>
      <c r="T473" s="410"/>
      <c r="U473" s="410"/>
      <c r="V473" s="132">
        <f t="shared" si="216"/>
        <v>0</v>
      </c>
      <c r="W473" s="133" t="str">
        <f t="shared" si="211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415" t="s">
        <v>199</v>
      </c>
      <c r="D474" s="108">
        <v>5.03</v>
      </c>
      <c r="E474" s="108"/>
      <c r="F474" s="127"/>
      <c r="G474" s="128"/>
      <c r="H474" s="419">
        <f t="shared" si="213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4"/>
        <v/>
      </c>
      <c r="N474" s="130">
        <f t="shared" si="215"/>
        <v>0</v>
      </c>
      <c r="O474" s="410"/>
      <c r="P474" s="410"/>
      <c r="Q474" s="410"/>
      <c r="R474" s="410"/>
      <c r="S474" s="410"/>
      <c r="T474" s="410"/>
      <c r="U474" s="410"/>
      <c r="V474" s="132">
        <f t="shared" si="216"/>
        <v>0</v>
      </c>
      <c r="W474" s="133" t="str">
        <f t="shared" si="211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419">
        <f t="shared" si="213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4"/>
        <v>0</v>
      </c>
      <c r="N475" s="130">
        <f t="shared" si="215"/>
        <v>0</v>
      </c>
      <c r="O475" s="410"/>
      <c r="P475" s="410"/>
      <c r="Q475" s="410"/>
      <c r="R475" s="410"/>
      <c r="S475" s="410"/>
      <c r="T475" s="410"/>
      <c r="U475" s="410"/>
      <c r="V475" s="132">
        <f t="shared" si="216"/>
        <v>0</v>
      </c>
      <c r="W475" s="133" t="str">
        <f t="shared" si="211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419">
        <f t="shared" si="213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4"/>
        <v>0</v>
      </c>
      <c r="N476" s="130">
        <f t="shared" si="215"/>
        <v>0</v>
      </c>
      <c r="O476" s="410"/>
      <c r="P476" s="410"/>
      <c r="Q476" s="410"/>
      <c r="R476" s="410"/>
      <c r="S476" s="410"/>
      <c r="T476" s="410"/>
      <c r="U476" s="410"/>
      <c r="V476" s="132">
        <f t="shared" si="216"/>
        <v>0</v>
      </c>
      <c r="W476" s="133" t="str">
        <f t="shared" si="211"/>
        <v/>
      </c>
      <c r="X476" s="132"/>
      <c r="Y476" s="132"/>
      <c r="Z476" s="132"/>
      <c r="AA476" s="132"/>
    </row>
    <row r="477" spans="1:27" ht="20.100000000000001" hidden="1" customHeight="1">
      <c r="A477" s="630" t="s">
        <v>231</v>
      </c>
      <c r="B477" s="631"/>
      <c r="C477" s="417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11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419">
        <f t="shared" ref="H478:H486" si="217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8">IF(ISERROR(I478-K478),"",I478-K478)</f>
        <v>0</v>
      </c>
      <c r="N478" s="130">
        <f t="shared" ref="N478:N482" si="219">SUM(O478:U478)</f>
        <v>0</v>
      </c>
      <c r="O478" s="410"/>
      <c r="P478" s="410"/>
      <c r="Q478" s="410"/>
      <c r="R478" s="410"/>
      <c r="S478" s="410"/>
      <c r="T478" s="410"/>
      <c r="U478" s="410"/>
      <c r="V478" s="132">
        <f t="shared" ref="V478:V482" si="220">SUM(X478:AA478)</f>
        <v>0</v>
      </c>
      <c r="W478" s="133" t="str">
        <f t="shared" si="211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419">
        <f t="shared" si="217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8"/>
        <v>0</v>
      </c>
      <c r="N479" s="130">
        <f t="shared" si="219"/>
        <v>0</v>
      </c>
      <c r="O479" s="410"/>
      <c r="P479" s="410"/>
      <c r="Q479" s="410"/>
      <c r="R479" s="410"/>
      <c r="S479" s="410"/>
      <c r="T479" s="410"/>
      <c r="U479" s="410"/>
      <c r="V479" s="132">
        <f t="shared" si="220"/>
        <v>0</v>
      </c>
      <c r="W479" s="133" t="str">
        <f t="shared" si="211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419">
        <f t="shared" si="217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8"/>
        <v>0</v>
      </c>
      <c r="N480" s="130">
        <f t="shared" si="219"/>
        <v>0</v>
      </c>
      <c r="O480" s="410"/>
      <c r="P480" s="410"/>
      <c r="Q480" s="410"/>
      <c r="R480" s="410"/>
      <c r="S480" s="410"/>
      <c r="T480" s="410"/>
      <c r="U480" s="410"/>
      <c r="V480" s="132">
        <f t="shared" si="220"/>
        <v>0</v>
      </c>
      <c r="W480" s="133" t="str">
        <f t="shared" si="211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419">
        <f t="shared" si="217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8"/>
        <v>0</v>
      </c>
      <c r="N481" s="130">
        <f t="shared" si="219"/>
        <v>0</v>
      </c>
      <c r="O481" s="410"/>
      <c r="P481" s="410"/>
      <c r="Q481" s="410"/>
      <c r="R481" s="410"/>
      <c r="S481" s="410"/>
      <c r="T481" s="410"/>
      <c r="U481" s="410"/>
      <c r="V481" s="132">
        <f t="shared" si="220"/>
        <v>0</v>
      </c>
      <c r="W481" s="133" t="str">
        <f t="shared" si="211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419">
        <f t="shared" si="217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8"/>
        <v>0</v>
      </c>
      <c r="N482" s="130">
        <f t="shared" si="219"/>
        <v>0</v>
      </c>
      <c r="O482" s="410"/>
      <c r="P482" s="410"/>
      <c r="Q482" s="410"/>
      <c r="R482" s="410"/>
      <c r="S482" s="410"/>
      <c r="T482" s="410"/>
      <c r="U482" s="410"/>
      <c r="V482" s="132">
        <f t="shared" si="220"/>
        <v>0</v>
      </c>
      <c r="W482" s="133" t="str">
        <f t="shared" si="211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419">
        <f t="shared" si="217"/>
        <v>0</v>
      </c>
      <c r="I483" s="129"/>
      <c r="J483" s="130"/>
      <c r="K483" s="131"/>
      <c r="L483" s="129">
        <v>13.5</v>
      </c>
      <c r="M483" s="109"/>
      <c r="N483" s="130"/>
      <c r="O483" s="410"/>
      <c r="P483" s="410"/>
      <c r="Q483" s="410"/>
      <c r="R483" s="410"/>
      <c r="S483" s="410"/>
      <c r="T483" s="410"/>
      <c r="U483" s="410"/>
      <c r="V483" s="132"/>
      <c r="W483" s="133"/>
      <c r="X483" s="132"/>
      <c r="Y483" s="132"/>
      <c r="Z483" s="132"/>
      <c r="AA483" s="132"/>
    </row>
    <row r="484" spans="1:27" ht="20.10000000000000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17"/>
        <v>0</v>
      </c>
      <c r="I484" s="129"/>
      <c r="J484" s="130"/>
      <c r="K484" s="131"/>
      <c r="L484" s="129">
        <v>13.5</v>
      </c>
      <c r="M484" s="109"/>
      <c r="N484" s="130"/>
      <c r="O484" s="470"/>
      <c r="P484" s="470"/>
      <c r="Q484" s="470"/>
      <c r="R484" s="470"/>
      <c r="S484" s="470"/>
      <c r="T484" s="470"/>
      <c r="U484" s="470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7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419">
        <f t="shared" si="217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21">IF(ISERROR(I486-K486),"",I486-K486)</f>
        <v>0</v>
      </c>
      <c r="N486" s="130">
        <f t="shared" ref="N486" si="222">SUM(O486:U486)</f>
        <v>0</v>
      </c>
      <c r="O486" s="410"/>
      <c r="P486" s="410"/>
      <c r="Q486" s="410"/>
      <c r="R486" s="410"/>
      <c r="S486" s="410"/>
      <c r="T486" s="410"/>
      <c r="U486" s="410"/>
      <c r="V486" s="132">
        <f t="shared" ref="V486" si="223">SUM(X486:AA486)</f>
        <v>0</v>
      </c>
      <c r="W486" s="133" t="str">
        <f t="shared" ref="W486:W491" si="224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30" t="s">
        <v>234</v>
      </c>
      <c r="B487" s="631"/>
      <c r="C487" s="417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4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409"/>
      <c r="D488" s="108">
        <v>3.65</v>
      </c>
      <c r="E488" s="108"/>
      <c r="F488" s="153"/>
      <c r="G488" s="128"/>
      <c r="H488" s="419">
        <f t="shared" ref="H488:H502" si="225">D488*G488</f>
        <v>0</v>
      </c>
      <c r="I488" s="129"/>
      <c r="J488" s="130" t="str">
        <f t="array" ref="J488">IF(ISERROR(G488/I488),"",G488/I488)</f>
        <v/>
      </c>
      <c r="K488" s="419">
        <f t="array" ref="K488">IF(ISERROR(G488/L488),"",G488/L488)</f>
        <v>0</v>
      </c>
      <c r="L488" s="129">
        <v>5</v>
      </c>
      <c r="M488" s="109">
        <f t="shared" ref="M488:M491" si="226">IF(ISERROR(I488-K488),"",I488-K488)</f>
        <v>0</v>
      </c>
      <c r="N488" s="130">
        <f t="shared" ref="N488:N491" si="227">SUM(O488:U488)</f>
        <v>0</v>
      </c>
      <c r="O488" s="410"/>
      <c r="P488" s="410"/>
      <c r="Q488" s="410"/>
      <c r="R488" s="410"/>
      <c r="S488" s="410"/>
      <c r="T488" s="410"/>
      <c r="U488" s="410"/>
      <c r="V488" s="132">
        <f t="shared" ref="V488:V491" si="228">SUM(X488:AA488)</f>
        <v>0</v>
      </c>
      <c r="W488" s="133" t="str">
        <f t="shared" si="224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409"/>
      <c r="D489" s="108">
        <v>6.58</v>
      </c>
      <c r="E489" s="108"/>
      <c r="F489" s="127"/>
      <c r="G489" s="128"/>
      <c r="H489" s="419">
        <f t="shared" si="225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6"/>
        <v>0</v>
      </c>
      <c r="N489" s="130">
        <f t="shared" si="227"/>
        <v>0</v>
      </c>
      <c r="O489" s="410"/>
      <c r="P489" s="410"/>
      <c r="Q489" s="410"/>
      <c r="R489" s="410"/>
      <c r="S489" s="410"/>
      <c r="T489" s="410"/>
      <c r="U489" s="410"/>
      <c r="V489" s="132">
        <f t="shared" si="228"/>
        <v>0</v>
      </c>
      <c r="W489" s="133" t="str">
        <f t="shared" si="224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409"/>
      <c r="D490" s="108">
        <v>7.8</v>
      </c>
      <c r="E490" s="108"/>
      <c r="F490" s="127"/>
      <c r="G490" s="128"/>
      <c r="H490" s="419">
        <f t="shared" si="225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6"/>
        <v>0</v>
      </c>
      <c r="N490" s="130">
        <f t="shared" si="227"/>
        <v>0</v>
      </c>
      <c r="O490" s="410"/>
      <c r="P490" s="410"/>
      <c r="Q490" s="410"/>
      <c r="R490" s="410"/>
      <c r="S490" s="410"/>
      <c r="T490" s="410"/>
      <c r="U490" s="410"/>
      <c r="V490" s="132">
        <f t="shared" si="228"/>
        <v>0</v>
      </c>
      <c r="W490" s="133" t="str">
        <f t="shared" si="224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409"/>
      <c r="D491" s="108">
        <v>4.4000000000000004</v>
      </c>
      <c r="E491" s="108"/>
      <c r="F491" s="127"/>
      <c r="G491" s="128"/>
      <c r="H491" s="419">
        <f t="shared" si="225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6"/>
        <v>0</v>
      </c>
      <c r="N491" s="130">
        <f t="shared" si="227"/>
        <v>0</v>
      </c>
      <c r="O491" s="410"/>
      <c r="P491" s="410"/>
      <c r="Q491" s="410"/>
      <c r="R491" s="410"/>
      <c r="S491" s="410"/>
      <c r="T491" s="410"/>
      <c r="U491" s="410"/>
      <c r="V491" s="132">
        <f t="shared" si="228"/>
        <v>0</v>
      </c>
      <c r="W491" s="133" t="str">
        <f t="shared" si="224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419">
        <f t="shared" si="225"/>
        <v>0</v>
      </c>
      <c r="I492" s="129"/>
      <c r="J492" s="130"/>
      <c r="K492" s="131"/>
      <c r="L492" s="129"/>
      <c r="M492" s="109"/>
      <c r="N492" s="130"/>
      <c r="O492" s="410"/>
      <c r="P492" s="410"/>
      <c r="Q492" s="410"/>
      <c r="R492" s="410"/>
      <c r="S492" s="410"/>
      <c r="T492" s="410"/>
      <c r="U492" s="410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409"/>
      <c r="D493" s="108"/>
      <c r="E493" s="108"/>
      <c r="F493" s="127"/>
      <c r="G493" s="128"/>
      <c r="H493" s="419">
        <f t="shared" si="225"/>
        <v>0</v>
      </c>
      <c r="I493" s="129"/>
      <c r="J493" s="130"/>
      <c r="K493" s="131"/>
      <c r="L493" s="129">
        <v>6</v>
      </c>
      <c r="M493" s="109"/>
      <c r="N493" s="130"/>
      <c r="O493" s="410"/>
      <c r="P493" s="410"/>
      <c r="Q493" s="410"/>
      <c r="R493" s="410"/>
      <c r="S493" s="410"/>
      <c r="T493" s="410"/>
      <c r="U493" s="410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409" t="s">
        <v>239</v>
      </c>
      <c r="C494" s="409" t="s">
        <v>179</v>
      </c>
      <c r="D494" s="108">
        <v>6.04</v>
      </c>
      <c r="E494" s="108"/>
      <c r="F494" s="127"/>
      <c r="G494" s="128"/>
      <c r="H494" s="419">
        <f t="shared" si="225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9">IF(ISERROR(I494-K494),"",I494-K494)</f>
        <v>0</v>
      </c>
      <c r="N494" s="130">
        <f t="shared" ref="N494:N495" si="230">SUM(O494:U494)</f>
        <v>0</v>
      </c>
      <c r="O494" s="410"/>
      <c r="P494" s="410"/>
      <c r="Q494" s="410"/>
      <c r="R494" s="410"/>
      <c r="S494" s="410"/>
      <c r="T494" s="410"/>
      <c r="U494" s="410"/>
      <c r="V494" s="132">
        <f t="shared" ref="V494:V495" si="231">SUM(X494:AA494)</f>
        <v>0</v>
      </c>
      <c r="W494" s="133" t="str">
        <f t="shared" ref="W494:W495" si="232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409" t="s">
        <v>239</v>
      </c>
      <c r="C495" s="409" t="s">
        <v>186</v>
      </c>
      <c r="D495" s="108">
        <v>6.04</v>
      </c>
      <c r="E495" s="108"/>
      <c r="F495" s="127"/>
      <c r="G495" s="128"/>
      <c r="H495" s="419">
        <f t="shared" si="225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9"/>
        <v>0</v>
      </c>
      <c r="N495" s="130">
        <f t="shared" si="230"/>
        <v>0</v>
      </c>
      <c r="O495" s="410"/>
      <c r="P495" s="410"/>
      <c r="Q495" s="410"/>
      <c r="R495" s="410"/>
      <c r="S495" s="410"/>
      <c r="T495" s="410"/>
      <c r="U495" s="410"/>
      <c r="V495" s="132">
        <f t="shared" si="231"/>
        <v>0</v>
      </c>
      <c r="W495" s="133" t="str">
        <f t="shared" si="232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409" t="s">
        <v>443</v>
      </c>
      <c r="C496" s="409" t="s">
        <v>179</v>
      </c>
      <c r="D496" s="108"/>
      <c r="E496" s="108"/>
      <c r="F496" s="127"/>
      <c r="G496" s="128"/>
      <c r="H496" s="419">
        <f t="shared" si="225"/>
        <v>0</v>
      </c>
      <c r="I496" s="129"/>
      <c r="J496" s="130"/>
      <c r="K496" s="131"/>
      <c r="L496" s="129"/>
      <c r="M496" s="109"/>
      <c r="N496" s="130"/>
      <c r="O496" s="410"/>
      <c r="P496" s="410"/>
      <c r="Q496" s="410"/>
      <c r="R496" s="410"/>
      <c r="S496" s="410"/>
      <c r="T496" s="410"/>
      <c r="U496" s="410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409" t="s">
        <v>443</v>
      </c>
      <c r="C497" s="409" t="s">
        <v>186</v>
      </c>
      <c r="D497" s="108"/>
      <c r="E497" s="108"/>
      <c r="F497" s="127"/>
      <c r="G497" s="128"/>
      <c r="H497" s="419">
        <f t="shared" si="225"/>
        <v>0</v>
      </c>
      <c r="I497" s="129"/>
      <c r="J497" s="130"/>
      <c r="K497" s="131"/>
      <c r="L497" s="129"/>
      <c r="M497" s="109"/>
      <c r="N497" s="130"/>
      <c r="O497" s="410"/>
      <c r="P497" s="410"/>
      <c r="Q497" s="410"/>
      <c r="R497" s="410"/>
      <c r="S497" s="410"/>
      <c r="T497" s="410"/>
      <c r="U497" s="410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411" t="s">
        <v>240</v>
      </c>
      <c r="C498" s="126"/>
      <c r="D498" s="108">
        <v>7.3</v>
      </c>
      <c r="E498" s="108"/>
      <c r="F498" s="127"/>
      <c r="G498" s="128"/>
      <c r="H498" s="419">
        <f t="shared" si="225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3">IF(ISERROR(I498-K498),"",I498-K498)</f>
        <v>0</v>
      </c>
      <c r="N498" s="130">
        <f t="shared" ref="N498" si="234">SUM(O498:U498)</f>
        <v>0</v>
      </c>
      <c r="O498" s="410"/>
      <c r="P498" s="410"/>
      <c r="Q498" s="410"/>
      <c r="R498" s="410"/>
      <c r="S498" s="410"/>
      <c r="T498" s="410"/>
      <c r="U498" s="410"/>
      <c r="V498" s="132">
        <f t="shared" ref="V498" si="235">SUM(X498:AA498)</f>
        <v>0</v>
      </c>
      <c r="W498" s="133" t="str">
        <f t="shared" ref="W498" si="236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411" t="s">
        <v>241</v>
      </c>
      <c r="C499" s="126"/>
      <c r="D499" s="108">
        <f>78*120/1000</f>
        <v>9.36</v>
      </c>
      <c r="E499" s="108"/>
      <c r="F499" s="127"/>
      <c r="G499" s="128"/>
      <c r="H499" s="419">
        <f t="shared" si="225"/>
        <v>0</v>
      </c>
      <c r="I499" s="129"/>
      <c r="J499" s="130"/>
      <c r="K499" s="131"/>
      <c r="L499" s="129"/>
      <c r="M499" s="109"/>
      <c r="N499" s="130"/>
      <c r="O499" s="410"/>
      <c r="P499" s="410"/>
      <c r="Q499" s="410"/>
      <c r="R499" s="410"/>
      <c r="S499" s="410"/>
      <c r="T499" s="410"/>
      <c r="U499" s="410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411" t="s">
        <v>242</v>
      </c>
      <c r="C500" s="126"/>
      <c r="D500" s="108">
        <v>4.5</v>
      </c>
      <c r="E500" s="108"/>
      <c r="F500" s="127"/>
      <c r="G500" s="128"/>
      <c r="H500" s="419">
        <f t="shared" si="225"/>
        <v>0</v>
      </c>
      <c r="I500" s="129"/>
      <c r="J500" s="130"/>
      <c r="K500" s="131"/>
      <c r="L500" s="129"/>
      <c r="M500" s="109"/>
      <c r="N500" s="130"/>
      <c r="O500" s="410"/>
      <c r="P500" s="410"/>
      <c r="Q500" s="410"/>
      <c r="R500" s="410"/>
      <c r="S500" s="410"/>
      <c r="T500" s="410"/>
      <c r="U500" s="410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411" t="s">
        <v>243</v>
      </c>
      <c r="C501" s="126"/>
      <c r="D501" s="108">
        <v>4.5</v>
      </c>
      <c r="E501" s="108"/>
      <c r="F501" s="127"/>
      <c r="G501" s="128"/>
      <c r="H501" s="419">
        <f t="shared" si="225"/>
        <v>0</v>
      </c>
      <c r="I501" s="129"/>
      <c r="J501" s="130"/>
      <c r="K501" s="131"/>
      <c r="L501" s="129"/>
      <c r="M501" s="109"/>
      <c r="N501" s="130"/>
      <c r="O501" s="410"/>
      <c r="P501" s="410"/>
      <c r="Q501" s="410"/>
      <c r="R501" s="410"/>
      <c r="S501" s="410"/>
      <c r="T501" s="410"/>
      <c r="U501" s="410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411"/>
      <c r="C502" s="126"/>
      <c r="D502" s="108"/>
      <c r="E502" s="108"/>
      <c r="F502" s="127"/>
      <c r="G502" s="128"/>
      <c r="H502" s="419">
        <f t="shared" si="225"/>
        <v>0</v>
      </c>
      <c r="I502" s="129"/>
      <c r="J502" s="130"/>
      <c r="K502" s="131"/>
      <c r="L502" s="129"/>
      <c r="M502" s="109"/>
      <c r="N502" s="130"/>
      <c r="O502" s="410"/>
      <c r="P502" s="410"/>
      <c r="Q502" s="410"/>
      <c r="R502" s="410"/>
      <c r="S502" s="410"/>
      <c r="T502" s="410"/>
      <c r="U502" s="410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30" t="s">
        <v>244</v>
      </c>
      <c r="B503" s="631"/>
      <c r="C503" s="417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7">SUM(M488:M498)</f>
        <v>0</v>
      </c>
      <c r="N503" s="146">
        <f t="shared" si="237"/>
        <v>0</v>
      </c>
      <c r="O503" s="148">
        <f t="shared" si="237"/>
        <v>0</v>
      </c>
      <c r="P503" s="148">
        <f t="shared" si="237"/>
        <v>0</v>
      </c>
      <c r="Q503" s="148">
        <f t="shared" si="237"/>
        <v>0</v>
      </c>
      <c r="R503" s="148">
        <f t="shared" si="237"/>
        <v>0</v>
      </c>
      <c r="S503" s="148">
        <f t="shared" si="237"/>
        <v>0</v>
      </c>
      <c r="T503" s="148">
        <f t="shared" si="237"/>
        <v>0</v>
      </c>
      <c r="U503" s="148">
        <f t="shared" si="237"/>
        <v>0</v>
      </c>
      <c r="V503" s="149">
        <f t="shared" si="237"/>
        <v>0</v>
      </c>
      <c r="W503" s="133">
        <f t="shared" si="237"/>
        <v>0</v>
      </c>
      <c r="X503" s="149">
        <f t="shared" si="237"/>
        <v>0</v>
      </c>
      <c r="Y503" s="149">
        <f t="shared" si="237"/>
        <v>0</v>
      </c>
      <c r="Z503" s="149">
        <f t="shared" si="237"/>
        <v>0</v>
      </c>
      <c r="AA503" s="149">
        <f t="shared" si="237"/>
        <v>0</v>
      </c>
    </row>
    <row r="504" spans="1:27" ht="20.100000000000001" customHeight="1">
      <c r="A504" s="632" t="s">
        <v>246</v>
      </c>
      <c r="B504" s="633"/>
      <c r="C504" s="633"/>
      <c r="D504" s="633"/>
      <c r="E504" s="633"/>
      <c r="F504" s="634"/>
      <c r="G504" s="154">
        <f>SUM(G368,G426,G461,G477,G487,G503)</f>
        <v>911</v>
      </c>
      <c r="H504" s="154">
        <f>SUM(H368,H426,H461,H477,H487,H503)</f>
        <v>4582.33</v>
      </c>
      <c r="I504" s="154">
        <f>SUM(I368,I426,I461,I477,I487,I503)</f>
        <v>78</v>
      </c>
      <c r="J504" s="155">
        <f t="array" ref="J504">IF(ISERROR(G504/I504),"",G504/I504)</f>
        <v>11.679487179487179</v>
      </c>
      <c r="K504" s="154">
        <f>SUM(K368,K426,K461,K477,K487,K503)</f>
        <v>97.95698924731181</v>
      </c>
      <c r="L504" s="155">
        <f>IF(ISERROR(G504/K504),"",G504/K504)</f>
        <v>9.3000000000000025</v>
      </c>
      <c r="M504" s="154">
        <f t="shared" ref="M504:V504" si="238">SUM(M368,M426,M461,M477,M487,M503)</f>
        <v>-19.956989247311817</v>
      </c>
      <c r="N504" s="154">
        <f t="shared" si="238"/>
        <v>0</v>
      </c>
      <c r="O504" s="154">
        <f t="shared" si="238"/>
        <v>0</v>
      </c>
      <c r="P504" s="154">
        <f t="shared" si="238"/>
        <v>0</v>
      </c>
      <c r="Q504" s="154">
        <f t="shared" si="238"/>
        <v>0</v>
      </c>
      <c r="R504" s="154">
        <f t="shared" si="238"/>
        <v>0</v>
      </c>
      <c r="S504" s="154">
        <f t="shared" si="238"/>
        <v>0</v>
      </c>
      <c r="T504" s="154">
        <f t="shared" si="238"/>
        <v>0</v>
      </c>
      <c r="U504" s="154">
        <f t="shared" si="238"/>
        <v>0</v>
      </c>
      <c r="V504" s="154">
        <f t="shared" si="238"/>
        <v>0</v>
      </c>
      <c r="W504" s="156">
        <f t="shared" ref="W504" si="239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35" t="s">
        <v>476</v>
      </c>
      <c r="B505" s="416" t="s">
        <v>247</v>
      </c>
      <c r="C505" s="638" t="s">
        <v>248</v>
      </c>
      <c r="D505" s="639"/>
      <c r="E505" s="640" t="s">
        <v>249</v>
      </c>
      <c r="F505" s="640"/>
      <c r="G505" s="643" t="s">
        <v>250</v>
      </c>
      <c r="H505" s="643"/>
      <c r="I505" s="640" t="s">
        <v>251</v>
      </c>
      <c r="J505" s="640"/>
      <c r="K505" s="640" t="s">
        <v>252</v>
      </c>
      <c r="L505" s="640"/>
      <c r="M505" s="640" t="s">
        <v>253</v>
      </c>
      <c r="N505" s="640"/>
      <c r="O505" s="640" t="s">
        <v>254</v>
      </c>
      <c r="P505" s="643" t="s">
        <v>255</v>
      </c>
      <c r="Q505" s="643"/>
      <c r="R505" s="643" t="s">
        <v>252</v>
      </c>
      <c r="S505" s="643"/>
      <c r="T505" s="643" t="s">
        <v>256</v>
      </c>
      <c r="U505" s="643"/>
      <c r="V505" s="643" t="s">
        <v>257</v>
      </c>
      <c r="W505" s="643"/>
      <c r="X505" s="643" t="s">
        <v>252</v>
      </c>
      <c r="Y505" s="643"/>
      <c r="Z505" s="643" t="s">
        <v>256</v>
      </c>
      <c r="AA505" s="643"/>
    </row>
    <row r="506" spans="1:27" ht="20.100000000000001" customHeight="1">
      <c r="A506" s="636"/>
      <c r="B506" s="416" t="s">
        <v>258</v>
      </c>
      <c r="C506" s="638">
        <v>0</v>
      </c>
      <c r="D506" s="639"/>
      <c r="E506" s="642">
        <f>C506*11</f>
        <v>0</v>
      </c>
      <c r="F506" s="642"/>
      <c r="G506" s="643">
        <v>0</v>
      </c>
      <c r="H506" s="643"/>
      <c r="I506" s="642">
        <f>G506*11</f>
        <v>0</v>
      </c>
      <c r="J506" s="642"/>
      <c r="K506" s="642">
        <f>E506-I506</f>
        <v>0</v>
      </c>
      <c r="L506" s="642"/>
      <c r="M506" s="644" t="str">
        <f>IF(ISERROR(K506/E506),"",K506/E506)</f>
        <v/>
      </c>
      <c r="N506" s="644"/>
      <c r="O506" s="640"/>
      <c r="P506" s="643" t="s">
        <v>201</v>
      </c>
      <c r="Q506" s="643"/>
      <c r="R506" s="645">
        <f>SUM(O368:U368)</f>
        <v>0</v>
      </c>
      <c r="S506" s="645"/>
      <c r="T506" s="646" t="str">
        <f t="array" ref="T506">IF(ISERROR(R506/R513),"",R506/R513)</f>
        <v/>
      </c>
      <c r="U506" s="646"/>
      <c r="V506" s="643" t="s">
        <v>259</v>
      </c>
      <c r="W506" s="643"/>
      <c r="X506" s="647">
        <f>SUM(O368,O426,O461,O477,O487,O503)</f>
        <v>0</v>
      </c>
      <c r="Y506" s="647"/>
      <c r="Z506" s="646" t="str">
        <f t="array" ref="Z506">IF(ISERROR(X506/X513),"",X506/X513)</f>
        <v/>
      </c>
      <c r="AA506" s="646"/>
    </row>
    <row r="507" spans="1:27" ht="20.100000000000001" customHeight="1">
      <c r="A507" s="636"/>
      <c r="B507" s="416" t="s">
        <v>260</v>
      </c>
      <c r="C507" s="638">
        <v>0</v>
      </c>
      <c r="D507" s="639"/>
      <c r="E507" s="642">
        <f>C507*11</f>
        <v>0</v>
      </c>
      <c r="F507" s="642"/>
      <c r="G507" s="643">
        <v>0</v>
      </c>
      <c r="H507" s="643"/>
      <c r="I507" s="642">
        <f>G507*11</f>
        <v>0</v>
      </c>
      <c r="J507" s="642"/>
      <c r="K507" s="642">
        <f>E507-I507</f>
        <v>0</v>
      </c>
      <c r="L507" s="642"/>
      <c r="M507" s="644" t="str">
        <f>IF(ISERROR(K507/E507),"",K507/E507)</f>
        <v/>
      </c>
      <c r="N507" s="644"/>
      <c r="O507" s="640"/>
      <c r="P507" s="643" t="s">
        <v>216</v>
      </c>
      <c r="Q507" s="643"/>
      <c r="R507" s="645">
        <f>SUM(O426:U426)</f>
        <v>0</v>
      </c>
      <c r="S507" s="645"/>
      <c r="T507" s="646" t="str">
        <f>IF(ISERROR(R507/R513),"",R507/R513)</f>
        <v/>
      </c>
      <c r="U507" s="646"/>
      <c r="V507" s="643" t="s">
        <v>261</v>
      </c>
      <c r="W507" s="643"/>
      <c r="X507" s="647">
        <f>SUM(O369,O427,O462,O478,O488,O504)</f>
        <v>0</v>
      </c>
      <c r="Y507" s="647"/>
      <c r="Z507" s="646" t="str">
        <f>IF(ISERROR(X507/X513),"",X507/X513)</f>
        <v/>
      </c>
      <c r="AA507" s="646"/>
    </row>
    <row r="508" spans="1:27" ht="20.100000000000001" customHeight="1">
      <c r="A508" s="636"/>
      <c r="B508" s="416" t="s">
        <v>262</v>
      </c>
      <c r="C508" s="638">
        <v>0</v>
      </c>
      <c r="D508" s="639"/>
      <c r="E508" s="642">
        <f>C508*11</f>
        <v>0</v>
      </c>
      <c r="F508" s="642"/>
      <c r="G508" s="643">
        <v>0</v>
      </c>
      <c r="H508" s="643"/>
      <c r="I508" s="642">
        <f>G508*11</f>
        <v>0</v>
      </c>
      <c r="J508" s="642"/>
      <c r="K508" s="642">
        <f>E508-I508</f>
        <v>0</v>
      </c>
      <c r="L508" s="642"/>
      <c r="M508" s="644" t="str">
        <f>IF(ISERROR(K508/E508),"",K508/E508)</f>
        <v/>
      </c>
      <c r="N508" s="644"/>
      <c r="O508" s="640"/>
      <c r="P508" s="643" t="s">
        <v>224</v>
      </c>
      <c r="Q508" s="643"/>
      <c r="R508" s="645">
        <f>SUM(O461:U461)</f>
        <v>0</v>
      </c>
      <c r="S508" s="645"/>
      <c r="T508" s="646" t="str">
        <f>IF(ISERROR(R508/R513),"",R508/R513)</f>
        <v/>
      </c>
      <c r="U508" s="646"/>
      <c r="V508" s="643" t="s">
        <v>263</v>
      </c>
      <c r="W508" s="643"/>
      <c r="X508" s="647">
        <f>SUM(O371,O428,O463,O479,O489,O505)</f>
        <v>0</v>
      </c>
      <c r="Y508" s="647"/>
      <c r="Z508" s="646" t="str">
        <f>IF(ISERROR(X508/X513),"",X508/X513)</f>
        <v/>
      </c>
      <c r="AA508" s="646"/>
    </row>
    <row r="509" spans="1:27" ht="20.100000000000001" customHeight="1">
      <c r="A509" s="636"/>
      <c r="B509" s="416" t="s">
        <v>264</v>
      </c>
      <c r="C509" s="638">
        <v>1</v>
      </c>
      <c r="D509" s="639"/>
      <c r="E509" s="642">
        <f>C509*11</f>
        <v>11</v>
      </c>
      <c r="F509" s="642"/>
      <c r="G509" s="643">
        <v>1</v>
      </c>
      <c r="H509" s="643"/>
      <c r="I509" s="642">
        <f>G509*11</f>
        <v>11</v>
      </c>
      <c r="J509" s="642"/>
      <c r="K509" s="642">
        <f>E509-I509</f>
        <v>0</v>
      </c>
      <c r="L509" s="642"/>
      <c r="M509" s="644">
        <f>IF(ISERROR(K509/E509),"",K509/E509)</f>
        <v>0</v>
      </c>
      <c r="N509" s="644"/>
      <c r="O509" s="640"/>
      <c r="P509" s="643" t="s">
        <v>231</v>
      </c>
      <c r="Q509" s="643"/>
      <c r="R509" s="645">
        <f>SUM(O477:U477)</f>
        <v>0</v>
      </c>
      <c r="S509" s="645"/>
      <c r="T509" s="646" t="str">
        <f>IF(ISERROR(R509/R513),"",R509/R513)</f>
        <v/>
      </c>
      <c r="U509" s="646"/>
      <c r="V509" s="643" t="s">
        <v>265</v>
      </c>
      <c r="W509" s="643"/>
      <c r="X509" s="647">
        <f>SUM(O372,O429,O464,O480,O490,O506)</f>
        <v>0</v>
      </c>
      <c r="Y509" s="647"/>
      <c r="Z509" s="646" t="str">
        <f>IF(ISERROR(X509/X513),"",X509/X513)</f>
        <v/>
      </c>
      <c r="AA509" s="646"/>
    </row>
    <row r="510" spans="1:27" ht="20.100000000000001" customHeight="1">
      <c r="A510" s="637"/>
      <c r="B510" s="416" t="s">
        <v>266</v>
      </c>
      <c r="C510" s="648">
        <f>SUM(C506:D509)</f>
        <v>1</v>
      </c>
      <c r="D510" s="649"/>
      <c r="E510" s="642">
        <f>SUM(E506:F509)</f>
        <v>11</v>
      </c>
      <c r="F510" s="642"/>
      <c r="G510" s="643">
        <f>SUM(G506:H509)</f>
        <v>1</v>
      </c>
      <c r="H510" s="643"/>
      <c r="I510" s="642">
        <f>SUM(I506:J509)</f>
        <v>11</v>
      </c>
      <c r="J510" s="642"/>
      <c r="K510" s="642">
        <f>SUM(K506:L509)</f>
        <v>0</v>
      </c>
      <c r="L510" s="642"/>
      <c r="M510" s="644">
        <f>IF(ISERROR(K510/E510),"",K510/E510)</f>
        <v>0</v>
      </c>
      <c r="N510" s="644"/>
      <c r="O510" s="640"/>
      <c r="P510" s="643" t="s">
        <v>234</v>
      </c>
      <c r="Q510" s="643"/>
      <c r="R510" s="645">
        <f>SUM(O487:U487)</f>
        <v>0</v>
      </c>
      <c r="S510" s="645"/>
      <c r="T510" s="646" t="str">
        <f>IF(ISERROR(R510/R513),"",R510/R513)</f>
        <v/>
      </c>
      <c r="U510" s="646"/>
      <c r="V510" s="643" t="s">
        <v>267</v>
      </c>
      <c r="W510" s="643"/>
      <c r="X510" s="647">
        <f>SUM(O373,O430,O465,O481,O491,O507)</f>
        <v>0</v>
      </c>
      <c r="Y510" s="647"/>
      <c r="Z510" s="646" t="str">
        <f>IF(ISERROR(X510/X513),"",X510/X513)</f>
        <v/>
      </c>
      <c r="AA510" s="646"/>
    </row>
    <row r="511" spans="1:27" ht="20.100000000000001" customHeight="1">
      <c r="A511" s="307" t="s">
        <v>477</v>
      </c>
      <c r="B511" s="416">
        <f>G504</f>
        <v>911</v>
      </c>
      <c r="C511" s="650" t="s">
        <v>269</v>
      </c>
      <c r="D511" s="651"/>
      <c r="E511" s="643">
        <f>H504</f>
        <v>4582.33</v>
      </c>
      <c r="F511" s="643"/>
      <c r="G511" s="643" t="s">
        <v>270</v>
      </c>
      <c r="H511" s="643"/>
      <c r="I511" s="652">
        <f>L504</f>
        <v>9.3000000000000025</v>
      </c>
      <c r="J511" s="652"/>
      <c r="K511" s="640" t="s">
        <v>271</v>
      </c>
      <c r="L511" s="640"/>
      <c r="M511" s="652">
        <f>J504</f>
        <v>11.679487179487179</v>
      </c>
      <c r="N511" s="652"/>
      <c r="O511" s="640"/>
      <c r="P511" s="643" t="s">
        <v>244</v>
      </c>
      <c r="Q511" s="643"/>
      <c r="R511" s="645">
        <f>SUM(O503:U503)</f>
        <v>0</v>
      </c>
      <c r="S511" s="645"/>
      <c r="T511" s="646" t="str">
        <f>IF(ISERROR(R511/R513),"",R511/R513)</f>
        <v/>
      </c>
      <c r="U511" s="646"/>
      <c r="V511" s="643" t="s">
        <v>272</v>
      </c>
      <c r="W511" s="643"/>
      <c r="X511" s="647">
        <f>SUM(O374,O431,O466,O482,O492,O508)</f>
        <v>0</v>
      </c>
      <c r="Y511" s="647"/>
      <c r="Z511" s="646" t="str">
        <f>IF(ISERROR(X511/X513),"",X511/X513)</f>
        <v/>
      </c>
      <c r="AA511" s="646"/>
    </row>
    <row r="512" spans="1:27" ht="20.100000000000001" customHeight="1">
      <c r="A512" s="308" t="s">
        <v>478</v>
      </c>
      <c r="B512" s="416">
        <f>I504+C510</f>
        <v>79</v>
      </c>
      <c r="C512" s="653" t="s">
        <v>251</v>
      </c>
      <c r="D512" s="654"/>
      <c r="E512" s="655">
        <f>K504+I510</f>
        <v>108.95698924731181</v>
      </c>
      <c r="F512" s="655"/>
      <c r="G512" s="643" t="s">
        <v>274</v>
      </c>
      <c r="H512" s="643"/>
      <c r="I512" s="652">
        <f>B512-E512</f>
        <v>-29.95698924731181</v>
      </c>
      <c r="J512" s="652"/>
      <c r="K512" s="640" t="s">
        <v>275</v>
      </c>
      <c r="L512" s="640"/>
      <c r="M512" s="644">
        <f>IF(ISERROR(I512/E512),"",I512/E512)</f>
        <v>-0.27494325471232595</v>
      </c>
      <c r="N512" s="644"/>
      <c r="O512" s="640"/>
      <c r="P512" s="643" t="s">
        <v>245</v>
      </c>
      <c r="Q512" s="643"/>
      <c r="R512" s="645"/>
      <c r="S512" s="645"/>
      <c r="T512" s="646" t="str">
        <f>IF(ISERROR(R512/R513),"",R512/R513)</f>
        <v/>
      </c>
      <c r="U512" s="646"/>
      <c r="V512" s="643" t="s">
        <v>264</v>
      </c>
      <c r="W512" s="643"/>
      <c r="X512" s="647">
        <f>SUM(O375,O432,O467,O486,O493,O509)</f>
        <v>0</v>
      </c>
      <c r="Y512" s="647"/>
      <c r="Z512" s="646" t="str">
        <f>IF(ISERROR(X512/X513),"",X512/X513)</f>
        <v/>
      </c>
      <c r="AA512" s="646"/>
    </row>
    <row r="513" spans="1:27" ht="20.100000000000001" customHeight="1">
      <c r="A513" s="308" t="s">
        <v>479</v>
      </c>
      <c r="B513" s="416">
        <f>N504</f>
        <v>0</v>
      </c>
      <c r="C513" s="653" t="s">
        <v>277</v>
      </c>
      <c r="D513" s="654"/>
      <c r="E513" s="646">
        <f>IF(ISERROR(B513/B512),"",B513/B512)</f>
        <v>0</v>
      </c>
      <c r="F513" s="646"/>
      <c r="G513" s="643" t="s">
        <v>278</v>
      </c>
      <c r="H513" s="643"/>
      <c r="I513" s="640">
        <f>V504</f>
        <v>0</v>
      </c>
      <c r="J513" s="640"/>
      <c r="K513" s="640" t="s">
        <v>279</v>
      </c>
      <c r="L513" s="640"/>
      <c r="M513" s="644">
        <f t="array" ref="M513">IF(ISERROR(I513/B511),"",I513/B511)</f>
        <v>0</v>
      </c>
      <c r="N513" s="644"/>
      <c r="O513" s="640"/>
      <c r="P513" s="643" t="s">
        <v>266</v>
      </c>
      <c r="Q513" s="643"/>
      <c r="R513" s="645">
        <f>SUM(R506:S512)</f>
        <v>0</v>
      </c>
      <c r="S513" s="645"/>
      <c r="T513" s="646"/>
      <c r="U513" s="646"/>
      <c r="V513" s="643" t="s">
        <v>266</v>
      </c>
      <c r="W513" s="643"/>
      <c r="X513" s="647">
        <f>SUM(X506:Y512)</f>
        <v>0</v>
      </c>
      <c r="Y513" s="647"/>
      <c r="Z513" s="646"/>
      <c r="AA513" s="646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682" t="str">
        <f>IF(ISERROR(#REF!/#REF!),"",#REF!/#REF!)</f>
        <v/>
      </c>
      <c r="H514" s="682"/>
      <c r="I514" s="682"/>
      <c r="J514" s="125"/>
      <c r="K514" s="160"/>
      <c r="L514" s="122"/>
      <c r="M514" s="122"/>
      <c r="N514" s="682" t="str">
        <f>IF(ISERROR(G514/#REF!),"",G514/#REF!)</f>
        <v/>
      </c>
      <c r="O514" s="682"/>
      <c r="P514" s="682"/>
      <c r="Q514" s="682"/>
      <c r="R514" s="682"/>
      <c r="S514" s="418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685" t="s">
        <v>268</v>
      </c>
      <c r="B516" s="685"/>
      <c r="C516" s="638">
        <f>SUM(B170,B340,B511)</f>
        <v>4783</v>
      </c>
      <c r="D516" s="639"/>
      <c r="E516" s="685" t="s">
        <v>269</v>
      </c>
      <c r="F516" s="685"/>
      <c r="G516" s="655">
        <f>SUM(E170,E340,E511)</f>
        <v>24361.550000000003</v>
      </c>
      <c r="H516" s="655"/>
      <c r="I516" s="643" t="s">
        <v>270</v>
      </c>
      <c r="J516" s="685"/>
      <c r="K516" s="638">
        <f>IF(ISERROR(C516/G517),"",C516/G517)</f>
        <v>9.8654634895606446</v>
      </c>
      <c r="L516" s="639"/>
      <c r="M516" s="643" t="s">
        <v>271</v>
      </c>
      <c r="N516" s="643"/>
      <c r="O516" s="680">
        <f t="array" ref="O516">IF(ISERROR(C516/C517),"",C516/C517)</f>
        <v>11.097447795823665</v>
      </c>
      <c r="P516" s="681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643" t="s">
        <v>273</v>
      </c>
      <c r="B517" s="643"/>
      <c r="C517" s="638">
        <f>SUM(B171,B341,B512)</f>
        <v>431</v>
      </c>
      <c r="D517" s="639"/>
      <c r="E517" s="643" t="s">
        <v>251</v>
      </c>
      <c r="F517" s="643"/>
      <c r="G517" s="655">
        <f>SUM(E171,E341,E512)</f>
        <v>484.82263454334765</v>
      </c>
      <c r="H517" s="655"/>
      <c r="I517" s="653" t="s">
        <v>274</v>
      </c>
      <c r="J517" s="654"/>
      <c r="K517" s="650">
        <f>C517-G517</f>
        <v>-53.822634543347647</v>
      </c>
      <c r="L517" s="651"/>
      <c r="M517" s="650" t="s">
        <v>275</v>
      </c>
      <c r="N517" s="651"/>
      <c r="O517" s="683">
        <f>IF(ISERROR(K517/C517),"",K517/C517)</f>
        <v>-0.12487850242076021</v>
      </c>
      <c r="P517" s="684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653" t="s">
        <v>276</v>
      </c>
      <c r="B518" s="654"/>
      <c r="C518" s="638">
        <f>SUM(B172,B342,B513)</f>
        <v>0</v>
      </c>
      <c r="D518" s="639"/>
      <c r="E518" s="653" t="s">
        <v>277</v>
      </c>
      <c r="F518" s="654"/>
      <c r="G518" s="646">
        <f>IF(ISERROR(C518/C517),"",C518/C517)</f>
        <v>0</v>
      </c>
      <c r="H518" s="646"/>
      <c r="I518" s="643" t="s">
        <v>278</v>
      </c>
      <c r="J518" s="685"/>
      <c r="K518" s="655">
        <f>SUM(I172,I342,I513)</f>
        <v>0</v>
      </c>
      <c r="L518" s="655"/>
      <c r="M518" s="685" t="s">
        <v>279</v>
      </c>
      <c r="N518" s="685"/>
      <c r="O518" s="683">
        <f t="array" ref="O518">IF(ISERROR(K518/C516),"",K518/C516)</f>
        <v>0</v>
      </c>
      <c r="P518" s="684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418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653" t="s">
        <v>298</v>
      </c>
      <c r="B520" s="654"/>
      <c r="C520" s="653" t="s">
        <v>299</v>
      </c>
      <c r="D520" s="654"/>
      <c r="E520" s="653" t="s">
        <v>256</v>
      </c>
      <c r="F520" s="654"/>
      <c r="G520" s="686" t="s">
        <v>254</v>
      </c>
      <c r="H520" s="687"/>
      <c r="I520" s="653" t="s">
        <v>255</v>
      </c>
      <c r="J520" s="651"/>
      <c r="K520" s="653" t="s">
        <v>300</v>
      </c>
      <c r="L520" s="654"/>
      <c r="M520" s="653" t="s">
        <v>256</v>
      </c>
      <c r="N520" s="654"/>
      <c r="O520" s="643" t="s">
        <v>257</v>
      </c>
      <c r="P520" s="643"/>
      <c r="Q520" s="653" t="s">
        <v>300</v>
      </c>
      <c r="R520" s="654"/>
      <c r="S520" s="653" t="s">
        <v>256</v>
      </c>
      <c r="T520" s="654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692" t="s">
        <v>201</v>
      </c>
      <c r="B521" s="654"/>
      <c r="C521" s="653">
        <f>SUM(G28,G198,G368)</f>
        <v>1472</v>
      </c>
      <c r="D521" s="654"/>
      <c r="E521" s="693">
        <f>IF(ISERROR(C521/C527),"",C521/C527)</f>
        <v>0.30775663809324694</v>
      </c>
      <c r="F521" s="694"/>
      <c r="G521" s="688"/>
      <c r="H521" s="689"/>
      <c r="I521" s="695" t="s">
        <v>301</v>
      </c>
      <c r="J521" s="696"/>
      <c r="K521" s="650">
        <f t="shared" ref="K521:K526" si="240">SUM(R165,U335,U506)</f>
        <v>0</v>
      </c>
      <c r="L521" s="651"/>
      <c r="M521" s="693" t="str">
        <f t="array" ref="M521">IF(ISERROR(K521/K527),"",K521/K527)</f>
        <v/>
      </c>
      <c r="N521" s="694"/>
      <c r="O521" s="643" t="s">
        <v>259</v>
      </c>
      <c r="P521" s="643"/>
      <c r="Q521" s="680">
        <f t="shared" ref="Q521:Q526" si="241">SUM(X165,AA335,AA506)</f>
        <v>0</v>
      </c>
      <c r="R521" s="681"/>
      <c r="S521" s="693" t="str">
        <f t="array" ref="S521">IF(ISERROR(Q521/Q527),"",Q521/Q527)</f>
        <v/>
      </c>
      <c r="T521" s="694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692" t="s">
        <v>216</v>
      </c>
      <c r="B522" s="654"/>
      <c r="C522" s="653">
        <f>SUM(G86,G256,G426)</f>
        <v>808</v>
      </c>
      <c r="D522" s="654"/>
      <c r="E522" s="693">
        <f>IF(ISERROR(C522/C527),"",C522/C527)</f>
        <v>0.16893163286640184</v>
      </c>
      <c r="F522" s="694"/>
      <c r="G522" s="688"/>
      <c r="H522" s="689"/>
      <c r="I522" s="695" t="s">
        <v>302</v>
      </c>
      <c r="J522" s="696"/>
      <c r="K522" s="650">
        <f t="shared" si="240"/>
        <v>0</v>
      </c>
      <c r="L522" s="651"/>
      <c r="M522" s="693" t="str">
        <f>IF(ISERROR(K522/K527),"",K522/K527)</f>
        <v/>
      </c>
      <c r="N522" s="694"/>
      <c r="O522" s="643" t="s">
        <v>261</v>
      </c>
      <c r="P522" s="643"/>
      <c r="Q522" s="680">
        <f t="shared" si="241"/>
        <v>0</v>
      </c>
      <c r="R522" s="681"/>
      <c r="S522" s="693" t="str">
        <f>IF(ISERROR(Q522/Q527),"",Q522/Q527)</f>
        <v/>
      </c>
      <c r="T522" s="694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692" t="s">
        <v>224</v>
      </c>
      <c r="B523" s="654"/>
      <c r="C523" s="653">
        <f>SUM(G121,G291,G461)</f>
        <v>2268</v>
      </c>
      <c r="D523" s="654"/>
      <c r="E523" s="693">
        <f>IF(ISERROR(C523/C527),"",C523/C527)</f>
        <v>0.47417938532301901</v>
      </c>
      <c r="F523" s="694"/>
      <c r="G523" s="688"/>
      <c r="H523" s="689"/>
      <c r="I523" s="695" t="s">
        <v>303</v>
      </c>
      <c r="J523" s="696"/>
      <c r="K523" s="650">
        <f t="shared" si="240"/>
        <v>0</v>
      </c>
      <c r="L523" s="651"/>
      <c r="M523" s="693" t="str">
        <f>IF(ISERROR(K523/K527),"",K523/K527)</f>
        <v/>
      </c>
      <c r="N523" s="694"/>
      <c r="O523" s="643" t="s">
        <v>263</v>
      </c>
      <c r="P523" s="643"/>
      <c r="Q523" s="680">
        <f t="shared" si="241"/>
        <v>0</v>
      </c>
      <c r="R523" s="681"/>
      <c r="S523" s="693" t="str">
        <f>IF(ISERROR(Q523/Q527),"",Q523/Q527)</f>
        <v/>
      </c>
      <c r="T523" s="694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692" t="s">
        <v>231</v>
      </c>
      <c r="B524" s="654"/>
      <c r="C524" s="653">
        <f>SUM(G137,G307,G477)</f>
        <v>0</v>
      </c>
      <c r="D524" s="654"/>
      <c r="E524" s="693">
        <f>IF(ISERROR(C524/C527),"",C524/C527)</f>
        <v>0</v>
      </c>
      <c r="F524" s="694"/>
      <c r="G524" s="688"/>
      <c r="H524" s="689"/>
      <c r="I524" s="695" t="s">
        <v>304</v>
      </c>
      <c r="J524" s="696"/>
      <c r="K524" s="650">
        <f t="shared" si="240"/>
        <v>0</v>
      </c>
      <c r="L524" s="651"/>
      <c r="M524" s="693" t="str">
        <f>IF(ISERROR(K524/K527),"",K524/K527)</f>
        <v/>
      </c>
      <c r="N524" s="694"/>
      <c r="O524" s="643" t="s">
        <v>305</v>
      </c>
      <c r="P524" s="643"/>
      <c r="Q524" s="680">
        <f t="shared" si="241"/>
        <v>0</v>
      </c>
      <c r="R524" s="681"/>
      <c r="S524" s="693" t="str">
        <f>IF(ISERROR(Q524/Q527),"",Q524/Q527)</f>
        <v/>
      </c>
      <c r="T524" s="694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92" t="s">
        <v>234</v>
      </c>
      <c r="B525" s="654"/>
      <c r="C525" s="653">
        <f>SUM(G147,G317,G487)</f>
        <v>0</v>
      </c>
      <c r="D525" s="654"/>
      <c r="E525" s="693">
        <f>IF(ISERROR(C525/C527),"",C525/C527)</f>
        <v>0</v>
      </c>
      <c r="F525" s="694"/>
      <c r="G525" s="688"/>
      <c r="H525" s="689"/>
      <c r="I525" s="695" t="s">
        <v>306</v>
      </c>
      <c r="J525" s="696"/>
      <c r="K525" s="650">
        <f t="shared" si="240"/>
        <v>0</v>
      </c>
      <c r="L525" s="651"/>
      <c r="M525" s="693" t="str">
        <f>IF(ISERROR(K525/K527),"",K525/K527)</f>
        <v/>
      </c>
      <c r="N525" s="694"/>
      <c r="O525" s="643" t="s">
        <v>267</v>
      </c>
      <c r="P525" s="643"/>
      <c r="Q525" s="680">
        <f t="shared" si="241"/>
        <v>0</v>
      </c>
      <c r="R525" s="681"/>
      <c r="S525" s="693" t="str">
        <f>IF(ISERROR(Q525/Q527),"",Q525/Q527)</f>
        <v/>
      </c>
      <c r="T525" s="694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92" t="s">
        <v>244</v>
      </c>
      <c r="B526" s="654"/>
      <c r="C526" s="653">
        <f>SUM(G162,G332,G503)</f>
        <v>235</v>
      </c>
      <c r="D526" s="654"/>
      <c r="E526" s="693">
        <f>IF(ISERROR(C526/C527),"",C526/C527)</f>
        <v>4.9132343717332216E-2</v>
      </c>
      <c r="F526" s="694"/>
      <c r="G526" s="688"/>
      <c r="H526" s="689"/>
      <c r="I526" s="695" t="s">
        <v>307</v>
      </c>
      <c r="J526" s="696"/>
      <c r="K526" s="650">
        <f t="shared" si="240"/>
        <v>0</v>
      </c>
      <c r="L526" s="651"/>
      <c r="M526" s="693" t="str">
        <f>IF(ISERROR(K526/K527),"",K526/K527)</f>
        <v/>
      </c>
      <c r="N526" s="694"/>
      <c r="O526" s="643" t="s">
        <v>272</v>
      </c>
      <c r="P526" s="643"/>
      <c r="Q526" s="680">
        <f t="shared" si="241"/>
        <v>0</v>
      </c>
      <c r="R526" s="681"/>
      <c r="S526" s="693" t="str">
        <f>IF(ISERROR(Q526/Q527),"",Q526/Q527)</f>
        <v/>
      </c>
      <c r="T526" s="694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53" t="s">
        <v>266</v>
      </c>
      <c r="B527" s="654"/>
      <c r="C527" s="653">
        <f>SUM(C521:C526)</f>
        <v>4783</v>
      </c>
      <c r="D527" s="654"/>
      <c r="E527" s="693">
        <f>SUM(E521:F526)</f>
        <v>1</v>
      </c>
      <c r="F527" s="694"/>
      <c r="G527" s="690"/>
      <c r="H527" s="691"/>
      <c r="I527" s="653" t="s">
        <v>266</v>
      </c>
      <c r="J527" s="651"/>
      <c r="K527" s="650">
        <f>SUM(R172,U342,U513)</f>
        <v>0</v>
      </c>
      <c r="L527" s="651"/>
      <c r="M527" s="693"/>
      <c r="N527" s="694"/>
      <c r="O527" s="643" t="s">
        <v>266</v>
      </c>
      <c r="P527" s="643"/>
      <c r="Q527" s="680">
        <f>SUM(Q521:R526)</f>
        <v>0</v>
      </c>
      <c r="R527" s="681"/>
      <c r="S527" s="693">
        <f>SUM(S521:T526)</f>
        <v>0</v>
      </c>
      <c r="T527" s="694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695" t="s">
        <v>308</v>
      </c>
      <c r="B529" s="649"/>
      <c r="C529" s="409" t="s">
        <v>309</v>
      </c>
      <c r="D529" s="409" t="s">
        <v>310</v>
      </c>
      <c r="E529" s="409" t="s">
        <v>311</v>
      </c>
      <c r="F529" s="409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410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419" t="s">
        <v>322</v>
      </c>
      <c r="Q529" s="129" t="s">
        <v>323</v>
      </c>
      <c r="R529" s="109" t="s">
        <v>324</v>
      </c>
      <c r="S529" s="409" t="s">
        <v>325</v>
      </c>
      <c r="T529" s="409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697" t="s">
        <v>327</v>
      </c>
      <c r="B530" s="698"/>
      <c r="C530" s="106">
        <f>D530+E530+F530-G530-O530-P530</f>
        <v>33</v>
      </c>
      <c r="D530" s="106">
        <v>31</v>
      </c>
      <c r="E530" s="106">
        <v>2</v>
      </c>
      <c r="F530" s="106"/>
      <c r="G530" s="107"/>
      <c r="H530" s="106"/>
      <c r="I530" s="106"/>
      <c r="J530" s="106">
        <f>C530-H530-I530</f>
        <v>33</v>
      </c>
      <c r="K530" s="106"/>
      <c r="L530" s="106"/>
      <c r="M530" s="106"/>
      <c r="N530" s="106"/>
      <c r="O530" s="106"/>
      <c r="P530" s="108"/>
      <c r="Q530" s="106">
        <f>J530-K530-L530</f>
        <v>33</v>
      </c>
      <c r="R530" s="109">
        <f>Q530*11-M530-N530</f>
        <v>363</v>
      </c>
      <c r="S530" s="412">
        <f t="array" ref="S530">IF(ISERROR(Q530/J530),"",Q530/J530)</f>
        <v>1</v>
      </c>
      <c r="T530" s="412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697" t="s">
        <v>328</v>
      </c>
      <c r="B531" s="698"/>
      <c r="C531" s="106">
        <f>D531+E531+F531-G531-O531-P531</f>
        <v>30</v>
      </c>
      <c r="D531" s="110">
        <v>30</v>
      </c>
      <c r="E531" s="110"/>
      <c r="F531" s="110"/>
      <c r="G531" s="107"/>
      <c r="H531" s="106"/>
      <c r="I531" s="106"/>
      <c r="J531" s="106">
        <f>C531-H531-I531</f>
        <v>30</v>
      </c>
      <c r="K531" s="106"/>
      <c r="L531" s="106"/>
      <c r="M531" s="106"/>
      <c r="N531" s="106"/>
      <c r="O531" s="110"/>
      <c r="P531" s="111"/>
      <c r="Q531" s="106">
        <f>J531-K531-L531</f>
        <v>30</v>
      </c>
      <c r="R531" s="109">
        <f>Q531*11-M531-N531</f>
        <v>330</v>
      </c>
      <c r="S531" s="412">
        <f t="array" ref="S531">IF(ISERROR(Q531/J531),"",Q531/J531)</f>
        <v>1</v>
      </c>
      <c r="T531" s="412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697" t="s">
        <v>329</v>
      </c>
      <c r="B532" s="698"/>
      <c r="C532" s="106">
        <f>D532+E532+F532-G532-O532-P532</f>
        <v>10</v>
      </c>
      <c r="D532" s="110"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412">
        <f t="array" ref="S532">IF(ISERROR(Q532/J532),"",Q532/J532)</f>
        <v>1</v>
      </c>
      <c r="T532" s="412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699" t="s">
        <v>330</v>
      </c>
      <c r="B533" s="700"/>
      <c r="C533" s="112">
        <f>SUM(C530:C532)</f>
        <v>73</v>
      </c>
      <c r="D533" s="112">
        <f t="shared" ref="D533:N533" si="242">SUM(D530:D532)</f>
        <v>71</v>
      </c>
      <c r="E533" s="112">
        <f t="shared" si="242"/>
        <v>2</v>
      </c>
      <c r="F533" s="112">
        <f t="shared" si="242"/>
        <v>0</v>
      </c>
      <c r="G533" s="113">
        <f t="shared" si="242"/>
        <v>0</v>
      </c>
      <c r="H533" s="112">
        <f t="shared" si="242"/>
        <v>0</v>
      </c>
      <c r="I533" s="112">
        <f t="shared" si="242"/>
        <v>0</v>
      </c>
      <c r="J533" s="112">
        <f t="shared" si="242"/>
        <v>73</v>
      </c>
      <c r="K533" s="112">
        <f t="shared" si="242"/>
        <v>0</v>
      </c>
      <c r="L533" s="112">
        <f t="shared" si="242"/>
        <v>0</v>
      </c>
      <c r="M533" s="112">
        <f t="shared" si="242"/>
        <v>0</v>
      </c>
      <c r="N533" s="112">
        <f t="shared" si="242"/>
        <v>0</v>
      </c>
      <c r="O533" s="112">
        <f>SUM(O530:O532)</f>
        <v>0</v>
      </c>
      <c r="P533" s="112">
        <f>SUM(P530:P532)</f>
        <v>0</v>
      </c>
      <c r="Q533" s="112">
        <f>SUM(Q530:Q532)</f>
        <v>73</v>
      </c>
      <c r="R533" s="114">
        <f>SUM(R530:R532)</f>
        <v>803</v>
      </c>
      <c r="S533" s="115">
        <f t="array" ref="S533">IF(ISERROR(Q533/J533),"",Q533/J533)</f>
        <v>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170" activePane="bottomRight" state="frozen"/>
      <selection activeCell="F484" sqref="F484"/>
      <selection pane="topRight" activeCell="F484" sqref="F484"/>
      <selection pane="bottomLeft" activeCell="F484" sqref="F484"/>
      <selection pane="bottomRight" activeCell="F484" sqref="F48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07" t="s">
        <v>413</v>
      </c>
      <c r="B1" s="607"/>
      <c r="C1" s="607"/>
      <c r="D1" s="607"/>
      <c r="E1" s="607"/>
      <c r="F1" s="607"/>
      <c r="G1" s="607"/>
      <c r="H1" s="607"/>
      <c r="I1" s="607"/>
      <c r="J1" s="607"/>
      <c r="K1" s="607"/>
      <c r="L1" s="607"/>
      <c r="M1" s="607"/>
      <c r="N1" s="607"/>
      <c r="O1" s="607"/>
      <c r="P1" s="607"/>
      <c r="Q1" s="607"/>
      <c r="R1" s="607"/>
      <c r="S1" s="607"/>
      <c r="T1" s="607"/>
      <c r="U1" s="607"/>
      <c r="V1" s="607"/>
      <c r="W1" s="607"/>
      <c r="X1" s="607"/>
      <c r="Y1" s="607"/>
      <c r="Z1" s="607"/>
      <c r="AA1" s="607"/>
    </row>
    <row r="2" spans="1:27" ht="18.75">
      <c r="A2" s="608"/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09" t="s">
        <v>12</v>
      </c>
      <c r="B4" s="609" t="s">
        <v>25</v>
      </c>
      <c r="C4" s="609" t="s">
        <v>26</v>
      </c>
      <c r="D4" s="609" t="s">
        <v>27</v>
      </c>
      <c r="E4" s="612" t="s">
        <v>28</v>
      </c>
      <c r="F4" s="615" t="s">
        <v>29</v>
      </c>
      <c r="G4" s="618" t="s">
        <v>30</v>
      </c>
      <c r="H4" s="618"/>
      <c r="I4" s="609" t="s">
        <v>31</v>
      </c>
      <c r="J4" s="621" t="s">
        <v>32</v>
      </c>
      <c r="K4" s="624" t="s">
        <v>33</v>
      </c>
      <c r="L4" s="609" t="s">
        <v>34</v>
      </c>
      <c r="M4" s="627" t="s">
        <v>35</v>
      </c>
      <c r="N4" s="629" t="s">
        <v>36</v>
      </c>
      <c r="O4" s="618" t="s">
        <v>37</v>
      </c>
      <c r="P4" s="618"/>
      <c r="Q4" s="618"/>
      <c r="R4" s="618"/>
      <c r="S4" s="618"/>
      <c r="T4" s="618"/>
      <c r="U4" s="618"/>
      <c r="V4" s="618" t="s">
        <v>38</v>
      </c>
      <c r="W4" s="629" t="s">
        <v>39</v>
      </c>
      <c r="X4" s="618" t="s">
        <v>40</v>
      </c>
      <c r="Y4" s="618"/>
      <c r="Z4" s="618"/>
      <c r="AA4" s="618"/>
    </row>
    <row r="5" spans="1:27" s="104" customFormat="1" ht="15" customHeight="1">
      <c r="A5" s="610"/>
      <c r="B5" s="610"/>
      <c r="C5" s="610"/>
      <c r="D5" s="610"/>
      <c r="E5" s="613"/>
      <c r="F5" s="616"/>
      <c r="G5" s="618"/>
      <c r="H5" s="618"/>
      <c r="I5" s="610"/>
      <c r="J5" s="622"/>
      <c r="K5" s="625"/>
      <c r="L5" s="610"/>
      <c r="M5" s="628"/>
      <c r="N5" s="629"/>
      <c r="O5" s="618" t="s">
        <v>41</v>
      </c>
      <c r="P5" s="618" t="s">
        <v>42</v>
      </c>
      <c r="Q5" s="618" t="s">
        <v>43</v>
      </c>
      <c r="R5" s="619" t="s">
        <v>44</v>
      </c>
      <c r="S5" s="620" t="s">
        <v>45</v>
      </c>
      <c r="T5" s="618" t="s">
        <v>46</v>
      </c>
      <c r="U5" s="618" t="s">
        <v>47</v>
      </c>
      <c r="V5" s="618"/>
      <c r="W5" s="629"/>
      <c r="X5" s="618" t="s">
        <v>13</v>
      </c>
      <c r="Y5" s="618" t="s">
        <v>48</v>
      </c>
      <c r="Z5" s="618" t="s">
        <v>49</v>
      </c>
      <c r="AA5" s="618" t="s">
        <v>47</v>
      </c>
    </row>
    <row r="6" spans="1:27" s="104" customFormat="1" ht="27.75" customHeight="1">
      <c r="A6" s="611"/>
      <c r="B6" s="611"/>
      <c r="C6" s="611"/>
      <c r="D6" s="611"/>
      <c r="E6" s="614"/>
      <c r="F6" s="617"/>
      <c r="G6" s="350" t="s">
        <v>50</v>
      </c>
      <c r="H6" s="431" t="s">
        <v>51</v>
      </c>
      <c r="I6" s="611"/>
      <c r="J6" s="623"/>
      <c r="K6" s="626"/>
      <c r="L6" s="611"/>
      <c r="M6" s="628"/>
      <c r="N6" s="629"/>
      <c r="O6" s="618"/>
      <c r="P6" s="618"/>
      <c r="Q6" s="618"/>
      <c r="R6" s="619"/>
      <c r="S6" s="620"/>
      <c r="T6" s="618"/>
      <c r="U6" s="618"/>
      <c r="V6" s="618"/>
      <c r="W6" s="629"/>
      <c r="X6" s="618"/>
      <c r="Y6" s="618"/>
      <c r="Z6" s="618"/>
      <c r="AA6" s="618"/>
    </row>
    <row r="7" spans="1:27" ht="20.100000000000001" hidden="1" customHeight="1">
      <c r="A7" s="299">
        <v>30100030</v>
      </c>
      <c r="B7" s="420" t="s">
        <v>178</v>
      </c>
      <c r="C7" s="126" t="s">
        <v>179</v>
      </c>
      <c r="D7" s="108">
        <v>5.03</v>
      </c>
      <c r="E7" s="108"/>
      <c r="F7" s="127"/>
      <c r="G7" s="128"/>
      <c r="H7" s="421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29"/>
      <c r="P7" s="429"/>
      <c r="Q7" s="429"/>
      <c r="R7" s="429"/>
      <c r="S7" s="429"/>
      <c r="T7" s="429"/>
      <c r="U7" s="42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21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29"/>
      <c r="Q8" s="429"/>
      <c r="R8" s="429"/>
      <c r="S8" s="429"/>
      <c r="T8" s="429"/>
      <c r="U8" s="42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21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29"/>
      <c r="P9" s="429"/>
      <c r="Q9" s="429"/>
      <c r="R9" s="429"/>
      <c r="S9" s="429"/>
      <c r="T9" s="429"/>
      <c r="U9" s="42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21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29"/>
      <c r="P10" s="429"/>
      <c r="Q10" s="429"/>
      <c r="R10" s="429"/>
      <c r="S10" s="429"/>
      <c r="T10" s="429"/>
      <c r="U10" s="42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21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29"/>
      <c r="P11" s="429"/>
      <c r="Q11" s="429"/>
      <c r="R11" s="429"/>
      <c r="S11" s="429"/>
      <c r="T11" s="429"/>
      <c r="U11" s="42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21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29"/>
      <c r="P12" s="429"/>
      <c r="Q12" s="429"/>
      <c r="R12" s="429"/>
      <c r="S12" s="429"/>
      <c r="T12" s="429"/>
      <c r="U12" s="42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21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29"/>
      <c r="P13" s="429"/>
      <c r="Q13" s="429"/>
      <c r="R13" s="429"/>
      <c r="S13" s="429"/>
      <c r="T13" s="429"/>
      <c r="U13" s="429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21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29"/>
      <c r="P14" s="429"/>
      <c r="Q14" s="429"/>
      <c r="R14" s="429"/>
      <c r="S14" s="429"/>
      <c r="T14" s="429"/>
      <c r="U14" s="429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21">
        <f t="shared" si="0"/>
        <v>0</v>
      </c>
      <c r="I15" s="421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29"/>
      <c r="P15" s="429"/>
      <c r="Q15" s="429"/>
      <c r="R15" s="429"/>
      <c r="S15" s="429"/>
      <c r="T15" s="429"/>
      <c r="U15" s="42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21">
        <f t="shared" si="0"/>
        <v>0</v>
      </c>
      <c r="I16" s="421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29"/>
      <c r="P16" s="429"/>
      <c r="Q16" s="429"/>
      <c r="R16" s="429"/>
      <c r="S16" s="429"/>
      <c r="T16" s="429"/>
      <c r="U16" s="42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21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29"/>
      <c r="P17" s="429"/>
      <c r="Q17" s="429"/>
      <c r="R17" s="429"/>
      <c r="S17" s="429"/>
      <c r="T17" s="429"/>
      <c r="U17" s="429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21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29"/>
      <c r="P18" s="429"/>
      <c r="Q18" s="429"/>
      <c r="R18" s="429"/>
      <c r="S18" s="429"/>
      <c r="T18" s="429"/>
      <c r="U18" s="429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21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29"/>
      <c r="P19" s="429"/>
      <c r="Q19" s="429"/>
      <c r="R19" s="429"/>
      <c r="S19" s="429"/>
      <c r="T19" s="429"/>
      <c r="U19" s="429"/>
      <c r="V19" s="132">
        <f t="shared" ref="V19:V21" si="5">SUM(X19:AA19)</f>
        <v>0</v>
      </c>
      <c r="W19" s="422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21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29"/>
      <c r="P20" s="429"/>
      <c r="Q20" s="429"/>
      <c r="R20" s="429"/>
      <c r="S20" s="429"/>
      <c r="T20" s="429"/>
      <c r="U20" s="42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21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29"/>
      <c r="P21" s="429"/>
      <c r="Q21" s="429"/>
      <c r="R21" s="429"/>
      <c r="S21" s="429"/>
      <c r="T21" s="429"/>
      <c r="U21" s="429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27" t="s">
        <v>190</v>
      </c>
      <c r="D22" s="108">
        <v>4.8</v>
      </c>
      <c r="E22" s="108"/>
      <c r="F22" s="127"/>
      <c r="G22" s="128"/>
      <c r="H22" s="421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29"/>
      <c r="P22" s="429"/>
      <c r="Q22" s="429"/>
      <c r="R22" s="429"/>
      <c r="S22" s="429"/>
      <c r="T22" s="429"/>
      <c r="U22" s="429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27" t="s">
        <v>187</v>
      </c>
      <c r="D23" s="108">
        <v>4.8</v>
      </c>
      <c r="E23" s="108"/>
      <c r="F23" s="127"/>
      <c r="G23" s="128"/>
      <c r="H23" s="421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29"/>
      <c r="P23" s="429"/>
      <c r="Q23" s="429"/>
      <c r="R23" s="429"/>
      <c r="S23" s="429"/>
      <c r="T23" s="429"/>
      <c r="U23" s="429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27" t="s">
        <v>179</v>
      </c>
      <c r="D24" s="108">
        <v>4.8</v>
      </c>
      <c r="E24" s="108"/>
      <c r="F24" s="127"/>
      <c r="G24" s="128"/>
      <c r="H24" s="421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29"/>
      <c r="P24" s="429"/>
      <c r="Q24" s="429"/>
      <c r="R24" s="429"/>
      <c r="S24" s="429"/>
      <c r="T24" s="429"/>
      <c r="U24" s="429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27" t="s">
        <v>199</v>
      </c>
      <c r="D25" s="108">
        <v>4.8</v>
      </c>
      <c r="E25" s="108"/>
      <c r="F25" s="127"/>
      <c r="G25" s="128"/>
      <c r="H25" s="421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29"/>
      <c r="P25" s="429"/>
      <c r="Q25" s="429"/>
      <c r="R25" s="429"/>
      <c r="S25" s="429"/>
      <c r="T25" s="429"/>
      <c r="U25" s="429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21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29"/>
      <c r="P26" s="429"/>
      <c r="Q26" s="429"/>
      <c r="R26" s="429"/>
      <c r="S26" s="429"/>
      <c r="T26" s="429"/>
      <c r="U26" s="429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21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29"/>
      <c r="P27" s="429"/>
      <c r="Q27" s="429"/>
      <c r="R27" s="429"/>
      <c r="S27" s="429"/>
      <c r="T27" s="429"/>
      <c r="U27" s="42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hidden="1" customHeight="1">
      <c r="A28" s="630" t="s">
        <v>201</v>
      </c>
      <c r="B28" s="631"/>
      <c r="C28" s="430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si="9"/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20" t="s">
        <v>206</v>
      </c>
      <c r="C29" s="126" t="s">
        <v>199</v>
      </c>
      <c r="D29" s="108">
        <v>5.03</v>
      </c>
      <c r="E29" s="108"/>
      <c r="F29" s="127"/>
      <c r="G29" s="128"/>
      <c r="H29" s="421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25"/>
      <c r="P29" s="425"/>
      <c r="Q29" s="425"/>
      <c r="R29" s="425"/>
      <c r="S29" s="425"/>
      <c r="T29" s="425"/>
      <c r="U29" s="425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20" t="s">
        <v>425</v>
      </c>
      <c r="C30" s="187" t="s">
        <v>427</v>
      </c>
      <c r="D30" s="108">
        <v>5.03</v>
      </c>
      <c r="E30" s="108"/>
      <c r="F30" s="127"/>
      <c r="G30" s="128"/>
      <c r="H30" s="421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25"/>
      <c r="P30" s="425"/>
      <c r="Q30" s="425"/>
      <c r="R30" s="425"/>
      <c r="S30" s="425"/>
      <c r="T30" s="425"/>
      <c r="U30" s="425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20" t="s">
        <v>206</v>
      </c>
      <c r="C31" s="126" t="s">
        <v>186</v>
      </c>
      <c r="D31" s="108">
        <v>5.03</v>
      </c>
      <c r="E31" s="108"/>
      <c r="F31" s="127"/>
      <c r="G31" s="128"/>
      <c r="H31" s="421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25"/>
      <c r="P31" s="425"/>
      <c r="Q31" s="425"/>
      <c r="R31" s="425"/>
      <c r="S31" s="425"/>
      <c r="T31" s="425"/>
      <c r="U31" s="425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20" t="s">
        <v>206</v>
      </c>
      <c r="C32" s="126" t="s">
        <v>203</v>
      </c>
      <c r="D32" s="108">
        <v>5.03</v>
      </c>
      <c r="E32" s="108"/>
      <c r="F32" s="127"/>
      <c r="G32" s="128"/>
      <c r="H32" s="421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25"/>
      <c r="P32" s="425"/>
      <c r="Q32" s="425"/>
      <c r="R32" s="425"/>
      <c r="S32" s="425"/>
      <c r="T32" s="425"/>
      <c r="U32" s="425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20" t="s">
        <v>206</v>
      </c>
      <c r="C33" s="126" t="s">
        <v>207</v>
      </c>
      <c r="D33" s="108">
        <v>5.03</v>
      </c>
      <c r="E33" s="108"/>
      <c r="F33" s="127"/>
      <c r="G33" s="128"/>
      <c r="H33" s="421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25"/>
      <c r="P33" s="425"/>
      <c r="Q33" s="425"/>
      <c r="R33" s="425"/>
      <c r="S33" s="425"/>
      <c r="T33" s="425"/>
      <c r="U33" s="425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20" t="s">
        <v>414</v>
      </c>
      <c r="C34" s="187" t="s">
        <v>415</v>
      </c>
      <c r="D34" s="108">
        <v>5.03</v>
      </c>
      <c r="E34" s="108"/>
      <c r="F34" s="127"/>
      <c r="G34" s="128"/>
      <c r="H34" s="421">
        <f t="shared" si="11"/>
        <v>0</v>
      </c>
      <c r="I34" s="129"/>
      <c r="J34" s="130"/>
      <c r="K34" s="131"/>
      <c r="L34" s="129">
        <v>52</v>
      </c>
      <c r="M34" s="109"/>
      <c r="N34" s="130"/>
      <c r="O34" s="425"/>
      <c r="P34" s="425"/>
      <c r="Q34" s="425"/>
      <c r="R34" s="425"/>
      <c r="S34" s="425"/>
      <c r="T34" s="425"/>
      <c r="U34" s="425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20" t="s">
        <v>414</v>
      </c>
      <c r="C35" s="187" t="s">
        <v>416</v>
      </c>
      <c r="D35" s="108">
        <v>5.03</v>
      </c>
      <c r="E35" s="108"/>
      <c r="F35" s="127"/>
      <c r="G35" s="128"/>
      <c r="H35" s="421">
        <f t="shared" si="11"/>
        <v>0</v>
      </c>
      <c r="I35" s="129"/>
      <c r="J35" s="130"/>
      <c r="K35" s="131"/>
      <c r="L35" s="129">
        <v>52</v>
      </c>
      <c r="M35" s="109"/>
      <c r="N35" s="130"/>
      <c r="O35" s="425"/>
      <c r="P35" s="425"/>
      <c r="Q35" s="425"/>
      <c r="R35" s="425"/>
      <c r="S35" s="425"/>
      <c r="T35" s="425"/>
      <c r="U35" s="425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20" t="s">
        <v>414</v>
      </c>
      <c r="C36" s="187" t="s">
        <v>61</v>
      </c>
      <c r="D36" s="108">
        <v>5.03</v>
      </c>
      <c r="E36" s="108"/>
      <c r="F36" s="127"/>
      <c r="G36" s="128"/>
      <c r="H36" s="421">
        <f t="shared" si="11"/>
        <v>0</v>
      </c>
      <c r="I36" s="129"/>
      <c r="J36" s="130"/>
      <c r="K36" s="131"/>
      <c r="L36" s="129">
        <v>52</v>
      </c>
      <c r="M36" s="109"/>
      <c r="N36" s="130"/>
      <c r="O36" s="425"/>
      <c r="P36" s="425"/>
      <c r="Q36" s="425"/>
      <c r="R36" s="425"/>
      <c r="S36" s="425"/>
      <c r="T36" s="425"/>
      <c r="U36" s="425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20" t="s">
        <v>208</v>
      </c>
      <c r="C37" s="126" t="s">
        <v>179</v>
      </c>
      <c r="D37" s="108">
        <v>5.08</v>
      </c>
      <c r="E37" s="108"/>
      <c r="F37" s="127"/>
      <c r="G37" s="128"/>
      <c r="H37" s="421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25"/>
      <c r="P37" s="425"/>
      <c r="Q37" s="425"/>
      <c r="R37" s="425"/>
      <c r="S37" s="425"/>
      <c r="T37" s="425"/>
      <c r="U37" s="425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20" t="s">
        <v>208</v>
      </c>
      <c r="C38" s="126" t="s">
        <v>204</v>
      </c>
      <c r="D38" s="108">
        <v>5.08</v>
      </c>
      <c r="E38" s="108"/>
      <c r="F38" s="127"/>
      <c r="G38" s="128"/>
      <c r="H38" s="421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25"/>
      <c r="P38" s="425"/>
      <c r="Q38" s="425"/>
      <c r="R38" s="425"/>
      <c r="S38" s="425"/>
      <c r="T38" s="425"/>
      <c r="U38" s="425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20" t="s">
        <v>208</v>
      </c>
      <c r="C39" s="126" t="s">
        <v>205</v>
      </c>
      <c r="D39" s="108">
        <v>5.08</v>
      </c>
      <c r="E39" s="108"/>
      <c r="F39" s="127"/>
      <c r="G39" s="128"/>
      <c r="H39" s="421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25"/>
      <c r="P39" s="425"/>
      <c r="Q39" s="425"/>
      <c r="R39" s="425"/>
      <c r="S39" s="425"/>
      <c r="T39" s="425"/>
      <c r="U39" s="425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20" t="s">
        <v>208</v>
      </c>
      <c r="C40" s="126" t="s">
        <v>186</v>
      </c>
      <c r="D40" s="108">
        <v>5.08</v>
      </c>
      <c r="E40" s="108"/>
      <c r="F40" s="127"/>
      <c r="G40" s="128"/>
      <c r="H40" s="421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25"/>
      <c r="P40" s="425"/>
      <c r="Q40" s="425"/>
      <c r="R40" s="425"/>
      <c r="S40" s="425"/>
      <c r="T40" s="425"/>
      <c r="U40" s="425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20" t="s">
        <v>208</v>
      </c>
      <c r="C41" s="126" t="s">
        <v>203</v>
      </c>
      <c r="D41" s="108">
        <v>5.08</v>
      </c>
      <c r="E41" s="108"/>
      <c r="F41" s="127"/>
      <c r="G41" s="128"/>
      <c r="H41" s="421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25"/>
      <c r="P41" s="425"/>
      <c r="Q41" s="425"/>
      <c r="R41" s="425"/>
      <c r="S41" s="425"/>
      <c r="T41" s="425"/>
      <c r="U41" s="425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20" t="s">
        <v>208</v>
      </c>
      <c r="C42" s="126" t="s">
        <v>199</v>
      </c>
      <c r="D42" s="108">
        <v>5.08</v>
      </c>
      <c r="E42" s="108"/>
      <c r="F42" s="127"/>
      <c r="G42" s="128"/>
      <c r="H42" s="421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29"/>
      <c r="P42" s="429"/>
      <c r="Q42" s="429"/>
      <c r="R42" s="429"/>
      <c r="S42" s="429"/>
      <c r="T42" s="429"/>
      <c r="U42" s="429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20" t="s">
        <v>208</v>
      </c>
      <c r="C43" s="126" t="s">
        <v>187</v>
      </c>
      <c r="D43" s="108">
        <v>5.08</v>
      </c>
      <c r="E43" s="108"/>
      <c r="F43" s="127"/>
      <c r="G43" s="128"/>
      <c r="H43" s="421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25"/>
      <c r="P43" s="425"/>
      <c r="Q43" s="425"/>
      <c r="R43" s="425"/>
      <c r="S43" s="425"/>
      <c r="T43" s="425"/>
      <c r="U43" s="425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20" t="s">
        <v>208</v>
      </c>
      <c r="C44" s="126" t="s">
        <v>207</v>
      </c>
      <c r="D44" s="108">
        <v>5.08</v>
      </c>
      <c r="E44" s="108"/>
      <c r="F44" s="127"/>
      <c r="G44" s="128"/>
      <c r="H44" s="421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29"/>
      <c r="P44" s="429"/>
      <c r="Q44" s="429"/>
      <c r="R44" s="429"/>
      <c r="S44" s="429"/>
      <c r="T44" s="429"/>
      <c r="U44" s="429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20" t="s">
        <v>209</v>
      </c>
      <c r="C45" s="126" t="s">
        <v>194</v>
      </c>
      <c r="D45" s="108">
        <v>5.03</v>
      </c>
      <c r="E45" s="108"/>
      <c r="F45" s="127"/>
      <c r="G45" s="128"/>
      <c r="H45" s="421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25"/>
      <c r="P45" s="425"/>
      <c r="Q45" s="425"/>
      <c r="R45" s="425"/>
      <c r="S45" s="425"/>
      <c r="T45" s="425"/>
      <c r="U45" s="425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20" t="s">
        <v>209</v>
      </c>
      <c r="C46" s="126" t="s">
        <v>179</v>
      </c>
      <c r="D46" s="108">
        <v>5.03</v>
      </c>
      <c r="E46" s="108"/>
      <c r="F46" s="127"/>
      <c r="G46" s="128"/>
      <c r="H46" s="421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25"/>
      <c r="P46" s="425"/>
      <c r="Q46" s="425"/>
      <c r="R46" s="425"/>
      <c r="S46" s="425"/>
      <c r="T46" s="425"/>
      <c r="U46" s="425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20" t="s">
        <v>209</v>
      </c>
      <c r="C47" s="126" t="s">
        <v>195</v>
      </c>
      <c r="D47" s="108">
        <v>5.03</v>
      </c>
      <c r="E47" s="108"/>
      <c r="F47" s="127"/>
      <c r="G47" s="128"/>
      <c r="H47" s="421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25"/>
      <c r="P47" s="425"/>
      <c r="Q47" s="425"/>
      <c r="R47" s="425"/>
      <c r="S47" s="425"/>
      <c r="T47" s="425"/>
      <c r="U47" s="425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20" t="s">
        <v>209</v>
      </c>
      <c r="C48" s="126" t="s">
        <v>204</v>
      </c>
      <c r="D48" s="108">
        <v>5.03</v>
      </c>
      <c r="E48" s="108"/>
      <c r="F48" s="127"/>
      <c r="G48" s="128"/>
      <c r="H48" s="421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25"/>
      <c r="P48" s="425"/>
      <c r="Q48" s="425"/>
      <c r="R48" s="425"/>
      <c r="S48" s="425"/>
      <c r="T48" s="425"/>
      <c r="U48" s="425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20" t="s">
        <v>382</v>
      </c>
      <c r="C49" s="187" t="s">
        <v>383</v>
      </c>
      <c r="D49" s="108">
        <v>5.03</v>
      </c>
      <c r="E49" s="108"/>
      <c r="F49" s="127"/>
      <c r="G49" s="128"/>
      <c r="H49" s="421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25"/>
      <c r="P49" s="425"/>
      <c r="Q49" s="425"/>
      <c r="R49" s="425"/>
      <c r="S49" s="425"/>
      <c r="T49" s="425"/>
      <c r="U49" s="425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20" t="s">
        <v>382</v>
      </c>
      <c r="C50" s="187" t="s">
        <v>384</v>
      </c>
      <c r="D50" s="108">
        <v>5.03</v>
      </c>
      <c r="E50" s="108"/>
      <c r="F50" s="127"/>
      <c r="G50" s="128"/>
      <c r="H50" s="421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25"/>
      <c r="P50" s="425"/>
      <c r="Q50" s="425"/>
      <c r="R50" s="425"/>
      <c r="S50" s="425"/>
      <c r="T50" s="425"/>
      <c r="U50" s="425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20" t="s">
        <v>382</v>
      </c>
      <c r="C51" s="187" t="s">
        <v>389</v>
      </c>
      <c r="D51" s="108">
        <v>5.03</v>
      </c>
      <c r="E51" s="108"/>
      <c r="F51" s="127"/>
      <c r="G51" s="128"/>
      <c r="H51" s="421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25"/>
      <c r="P51" s="425"/>
      <c r="Q51" s="425"/>
      <c r="R51" s="425"/>
      <c r="S51" s="425"/>
      <c r="T51" s="425"/>
      <c r="U51" s="425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20" t="s">
        <v>382</v>
      </c>
      <c r="C52" s="187" t="s">
        <v>391</v>
      </c>
      <c r="D52" s="108">
        <v>5.03</v>
      </c>
      <c r="E52" s="108"/>
      <c r="F52" s="127"/>
      <c r="G52" s="128"/>
      <c r="H52" s="421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25"/>
      <c r="P52" s="425"/>
      <c r="Q52" s="425"/>
      <c r="R52" s="425"/>
      <c r="S52" s="425"/>
      <c r="T52" s="425"/>
      <c r="U52" s="425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20" t="s">
        <v>418</v>
      </c>
      <c r="C53" s="187" t="s">
        <v>364</v>
      </c>
      <c r="D53" s="108">
        <v>5.03</v>
      </c>
      <c r="E53" s="108"/>
      <c r="F53" s="127"/>
      <c r="G53" s="128"/>
      <c r="H53" s="421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25"/>
      <c r="P53" s="425"/>
      <c r="Q53" s="425"/>
      <c r="R53" s="425"/>
      <c r="S53" s="425"/>
      <c r="T53" s="425"/>
      <c r="U53" s="425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20" t="s">
        <v>418</v>
      </c>
      <c r="C54" s="187" t="s">
        <v>365</v>
      </c>
      <c r="D54" s="108">
        <v>5.03</v>
      </c>
      <c r="E54" s="108"/>
      <c r="F54" s="127"/>
      <c r="G54" s="128"/>
      <c r="H54" s="421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25"/>
      <c r="P54" s="425"/>
      <c r="Q54" s="425"/>
      <c r="R54" s="425"/>
      <c r="S54" s="425"/>
      <c r="T54" s="425"/>
      <c r="U54" s="425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20" t="s">
        <v>418</v>
      </c>
      <c r="C55" s="187" t="s">
        <v>366</v>
      </c>
      <c r="D55" s="108">
        <v>5.03</v>
      </c>
      <c r="E55" s="108"/>
      <c r="F55" s="127"/>
      <c r="G55" s="128"/>
      <c r="H55" s="421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25"/>
      <c r="P55" s="425"/>
      <c r="Q55" s="425"/>
      <c r="R55" s="425"/>
      <c r="S55" s="425"/>
      <c r="T55" s="425"/>
      <c r="U55" s="425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20" t="s">
        <v>418</v>
      </c>
      <c r="C56" s="187" t="s">
        <v>367</v>
      </c>
      <c r="D56" s="108">
        <v>5.03</v>
      </c>
      <c r="E56" s="108"/>
      <c r="F56" s="127"/>
      <c r="G56" s="128"/>
      <c r="H56" s="421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25"/>
      <c r="P56" s="425"/>
      <c r="Q56" s="425"/>
      <c r="R56" s="425"/>
      <c r="S56" s="425"/>
      <c r="T56" s="425"/>
      <c r="U56" s="425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21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29"/>
      <c r="P57" s="429"/>
      <c r="Q57" s="429"/>
      <c r="R57" s="429"/>
      <c r="S57" s="429"/>
      <c r="T57" s="429"/>
      <c r="U57" s="429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21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29"/>
      <c r="P58" s="429"/>
      <c r="Q58" s="429"/>
      <c r="R58" s="429"/>
      <c r="S58" s="429"/>
      <c r="T58" s="429"/>
      <c r="U58" s="429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21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29"/>
      <c r="P59" s="429"/>
      <c r="Q59" s="429"/>
      <c r="R59" s="429"/>
      <c r="S59" s="429"/>
      <c r="T59" s="429"/>
      <c r="U59" s="429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21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29"/>
      <c r="P60" s="429"/>
      <c r="Q60" s="429"/>
      <c r="R60" s="429"/>
      <c r="S60" s="429"/>
      <c r="T60" s="429"/>
      <c r="U60" s="429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21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29"/>
      <c r="P61" s="429"/>
      <c r="Q61" s="429"/>
      <c r="R61" s="429"/>
      <c r="S61" s="429"/>
      <c r="T61" s="429"/>
      <c r="U61" s="429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21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29"/>
      <c r="P62" s="429"/>
      <c r="Q62" s="429"/>
      <c r="R62" s="429"/>
      <c r="S62" s="429"/>
      <c r="T62" s="429"/>
      <c r="U62" s="429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21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29"/>
      <c r="P63" s="429"/>
      <c r="Q63" s="429"/>
      <c r="R63" s="429"/>
      <c r="S63" s="429"/>
      <c r="T63" s="429"/>
      <c r="U63" s="429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21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29"/>
      <c r="P64" s="429"/>
      <c r="Q64" s="429"/>
      <c r="R64" s="429"/>
      <c r="S64" s="429"/>
      <c r="T64" s="429"/>
      <c r="U64" s="429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21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29"/>
      <c r="P65" s="429"/>
      <c r="Q65" s="429"/>
      <c r="R65" s="429"/>
      <c r="S65" s="429"/>
      <c r="T65" s="429"/>
      <c r="U65" s="429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21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29"/>
      <c r="P66" s="429"/>
      <c r="Q66" s="429"/>
      <c r="R66" s="429"/>
      <c r="S66" s="429"/>
      <c r="T66" s="429"/>
      <c r="U66" s="429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452</v>
      </c>
      <c r="D67" s="108">
        <v>5.03</v>
      </c>
      <c r="E67" s="108"/>
      <c r="F67" s="127"/>
      <c r="G67" s="128"/>
      <c r="H67" s="421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29"/>
      <c r="P67" s="429"/>
      <c r="Q67" s="429"/>
      <c r="R67" s="429"/>
      <c r="S67" s="429"/>
      <c r="T67" s="429"/>
      <c r="U67" s="429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21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29"/>
      <c r="P68" s="429"/>
      <c r="Q68" s="429"/>
      <c r="R68" s="429"/>
      <c r="S68" s="429"/>
      <c r="T68" s="429"/>
      <c r="U68" s="429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21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29"/>
      <c r="P69" s="429"/>
      <c r="Q69" s="429"/>
      <c r="R69" s="429"/>
      <c r="S69" s="429"/>
      <c r="T69" s="429"/>
      <c r="U69" s="429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21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29"/>
      <c r="P70" s="429"/>
      <c r="Q70" s="429"/>
      <c r="R70" s="429"/>
      <c r="S70" s="429"/>
      <c r="T70" s="429"/>
      <c r="U70" s="429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21">
        <f t="shared" si="11"/>
        <v>0</v>
      </c>
      <c r="I71" s="129"/>
      <c r="J71" s="130"/>
      <c r="K71" s="131"/>
      <c r="L71" s="129"/>
      <c r="M71" s="109"/>
      <c r="N71" s="130"/>
      <c r="O71" s="429"/>
      <c r="P71" s="429"/>
      <c r="Q71" s="429"/>
      <c r="R71" s="429"/>
      <c r="S71" s="429"/>
      <c r="T71" s="429"/>
      <c r="U71" s="429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21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29"/>
      <c r="P72" s="429"/>
      <c r="Q72" s="429"/>
      <c r="R72" s="429"/>
      <c r="S72" s="429"/>
      <c r="T72" s="429"/>
      <c r="U72" s="429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21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29"/>
      <c r="P73" s="429"/>
      <c r="Q73" s="429"/>
      <c r="R73" s="429"/>
      <c r="S73" s="429"/>
      <c r="T73" s="429"/>
      <c r="U73" s="429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21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29"/>
      <c r="P74" s="429"/>
      <c r="Q74" s="429"/>
      <c r="R74" s="429"/>
      <c r="S74" s="429"/>
      <c r="T74" s="429"/>
      <c r="U74" s="429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21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29"/>
      <c r="P75" s="429"/>
      <c r="Q75" s="429"/>
      <c r="R75" s="429"/>
      <c r="S75" s="429"/>
      <c r="T75" s="429"/>
      <c r="U75" s="429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21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29"/>
      <c r="P76" s="429"/>
      <c r="Q76" s="429"/>
      <c r="R76" s="429"/>
      <c r="S76" s="429"/>
      <c r="T76" s="429"/>
      <c r="U76" s="429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21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29"/>
      <c r="P77" s="429"/>
      <c r="Q77" s="429"/>
      <c r="R77" s="429"/>
      <c r="S77" s="429"/>
      <c r="T77" s="429"/>
      <c r="U77" s="429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21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29"/>
      <c r="P78" s="429"/>
      <c r="Q78" s="429"/>
      <c r="R78" s="429"/>
      <c r="S78" s="429"/>
      <c r="T78" s="429"/>
      <c r="U78" s="429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21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29"/>
      <c r="P79" s="429"/>
      <c r="Q79" s="429"/>
      <c r="R79" s="429"/>
      <c r="S79" s="429"/>
      <c r="T79" s="429"/>
      <c r="U79" s="429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21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29"/>
      <c r="P80" s="429"/>
      <c r="Q80" s="429"/>
      <c r="R80" s="429"/>
      <c r="S80" s="429"/>
      <c r="T80" s="429"/>
      <c r="U80" s="429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21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29"/>
      <c r="P81" s="429"/>
      <c r="Q81" s="429"/>
      <c r="R81" s="429"/>
      <c r="S81" s="429"/>
      <c r="T81" s="429"/>
      <c r="U81" s="429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21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29"/>
      <c r="P82" s="429"/>
      <c r="Q82" s="429"/>
      <c r="R82" s="429"/>
      <c r="S82" s="429"/>
      <c r="T82" s="429"/>
      <c r="U82" s="429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21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29"/>
      <c r="P83" s="429"/>
      <c r="Q83" s="429"/>
      <c r="R83" s="429"/>
      <c r="S83" s="429"/>
      <c r="T83" s="429"/>
      <c r="U83" s="429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21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29"/>
      <c r="P84" s="429"/>
      <c r="Q84" s="429"/>
      <c r="R84" s="429"/>
      <c r="S84" s="429"/>
      <c r="T84" s="429"/>
      <c r="U84" s="429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21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29"/>
      <c r="P85" s="429"/>
      <c r="Q85" s="429"/>
      <c r="R85" s="429"/>
      <c r="S85" s="429"/>
      <c r="T85" s="429"/>
      <c r="U85" s="429"/>
      <c r="V85" s="132"/>
      <c r="W85" s="133"/>
      <c r="X85" s="132"/>
      <c r="Y85" s="132"/>
      <c r="Z85" s="132"/>
      <c r="AA85" s="132"/>
    </row>
    <row r="86" spans="1:27" ht="20.100000000000001" hidden="1" customHeight="1">
      <c r="A86" s="641" t="s">
        <v>216</v>
      </c>
      <c r="B86" s="641"/>
      <c r="C86" s="430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4">SUM(M29:M85)</f>
        <v>0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 t="str">
        <f t="shared" ref="W86:W93" si="35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20" t="s">
        <v>217</v>
      </c>
      <c r="C87" s="126" t="s">
        <v>179</v>
      </c>
      <c r="D87" s="108">
        <v>5.03</v>
      </c>
      <c r="E87" s="108"/>
      <c r="F87" s="127"/>
      <c r="G87" s="128"/>
      <c r="H87" s="421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29"/>
      <c r="P87" s="429"/>
      <c r="Q87" s="429"/>
      <c r="R87" s="429"/>
      <c r="S87" s="429"/>
      <c r="T87" s="429"/>
      <c r="U87" s="429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20" t="s">
        <v>217</v>
      </c>
      <c r="C88" s="126" t="s">
        <v>186</v>
      </c>
      <c r="D88" s="108">
        <v>5.03</v>
      </c>
      <c r="E88" s="108"/>
      <c r="F88" s="127"/>
      <c r="G88" s="128"/>
      <c r="H88" s="421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29"/>
      <c r="P88" s="429"/>
      <c r="Q88" s="429"/>
      <c r="R88" s="429"/>
      <c r="S88" s="429"/>
      <c r="T88" s="429"/>
      <c r="U88" s="429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20" t="s">
        <v>217</v>
      </c>
      <c r="C89" s="126" t="s">
        <v>204</v>
      </c>
      <c r="D89" s="108">
        <v>5.03</v>
      </c>
      <c r="E89" s="108"/>
      <c r="F89" s="127"/>
      <c r="G89" s="128"/>
      <c r="H89" s="421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29"/>
      <c r="P89" s="429"/>
      <c r="Q89" s="429"/>
      <c r="R89" s="429"/>
      <c r="S89" s="429"/>
      <c r="T89" s="429"/>
      <c r="U89" s="429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21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29"/>
      <c r="P90" s="429"/>
      <c r="Q90" s="429"/>
      <c r="R90" s="429"/>
      <c r="S90" s="429"/>
      <c r="T90" s="429"/>
      <c r="U90" s="429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>
        <v>42707</v>
      </c>
      <c r="G91" s="128">
        <v>27</v>
      </c>
      <c r="H91" s="421">
        <f t="shared" si="36"/>
        <v>135.81</v>
      </c>
      <c r="I91" s="129">
        <v>9.3000000000000007</v>
      </c>
      <c r="J91" s="130">
        <f t="array" ref="J91">IF(ISERROR(G91/I91),"",G91/I91)</f>
        <v>2.9032258064516125</v>
      </c>
      <c r="K91" s="131">
        <f t="array" ref="K91">IF(ISERROR(G91/L91),"",G91/L91)</f>
        <v>2.9032258064516125</v>
      </c>
      <c r="L91" s="129">
        <v>9.3000000000000007</v>
      </c>
      <c r="M91" s="109">
        <f t="shared" si="37"/>
        <v>6.3967741935483886</v>
      </c>
      <c r="N91" s="130">
        <f t="shared" si="38"/>
        <v>0</v>
      </c>
      <c r="O91" s="429"/>
      <c r="P91" s="429"/>
      <c r="Q91" s="429"/>
      <c r="R91" s="429"/>
      <c r="S91" s="429"/>
      <c r="T91" s="429"/>
      <c r="U91" s="429"/>
      <c r="V91" s="132">
        <f t="shared" si="39"/>
        <v>0</v>
      </c>
      <c r="W91" s="133">
        <f t="shared" si="35"/>
        <v>0</v>
      </c>
      <c r="X91" s="132"/>
      <c r="Y91" s="132"/>
      <c r="Z91" s="132"/>
      <c r="AA91" s="132"/>
    </row>
    <row r="92" spans="1:27" ht="20.10000000000000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>
        <v>42707</v>
      </c>
      <c r="G92" s="128">
        <v>49</v>
      </c>
      <c r="H92" s="421">
        <f t="shared" si="36"/>
        <v>246.47</v>
      </c>
      <c r="I92" s="129">
        <v>9.3000000000000007</v>
      </c>
      <c r="J92" s="130">
        <f t="array" ref="J92">IF(ISERROR(G92/I92),"",G92/I92)</f>
        <v>5.268817204301075</v>
      </c>
      <c r="K92" s="131">
        <f t="array" ref="K92">IF(ISERROR(G92/L92),"",G92/L92)</f>
        <v>5.268817204301075</v>
      </c>
      <c r="L92" s="129">
        <v>9.3000000000000007</v>
      </c>
      <c r="M92" s="109">
        <f t="shared" si="37"/>
        <v>4.0311827956989257</v>
      </c>
      <c r="N92" s="130">
        <f t="shared" si="38"/>
        <v>0</v>
      </c>
      <c r="O92" s="429"/>
      <c r="P92" s="429"/>
      <c r="Q92" s="429"/>
      <c r="R92" s="429"/>
      <c r="S92" s="429"/>
      <c r="T92" s="429"/>
      <c r="U92" s="429"/>
      <c r="V92" s="132">
        <f t="shared" si="39"/>
        <v>0</v>
      </c>
      <c r="W92" s="133">
        <f t="shared" si="35"/>
        <v>0</v>
      </c>
      <c r="X92" s="132"/>
      <c r="Y92" s="132"/>
      <c r="Z92" s="132"/>
      <c r="AA92" s="132"/>
    </row>
    <row r="93" spans="1:27" ht="20.10000000000000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>
        <v>42710</v>
      </c>
      <c r="G93" s="128">
        <f>66+82+43+80</f>
        <v>271</v>
      </c>
      <c r="H93" s="421">
        <f t="shared" si="36"/>
        <v>1363.13</v>
      </c>
      <c r="I93" s="129">
        <v>9.3000000000000007</v>
      </c>
      <c r="J93" s="130">
        <f t="array" ref="J93">IF(ISERROR(G93/I93),"",G93/I93)</f>
        <v>29.139784946236556</v>
      </c>
      <c r="K93" s="131">
        <f t="array" ref="K93">IF(ISERROR(G93/L93),"",G93/L93)</f>
        <v>29.139784946236556</v>
      </c>
      <c r="L93" s="129">
        <v>9.3000000000000007</v>
      </c>
      <c r="M93" s="109">
        <f t="shared" si="37"/>
        <v>-19.839784946236556</v>
      </c>
      <c r="N93" s="130">
        <f t="shared" si="38"/>
        <v>0</v>
      </c>
      <c r="O93" s="429"/>
      <c r="P93" s="429"/>
      <c r="Q93" s="429"/>
      <c r="R93" s="429"/>
      <c r="S93" s="429"/>
      <c r="T93" s="429"/>
      <c r="U93" s="429"/>
      <c r="V93" s="132">
        <f t="shared" si="39"/>
        <v>0</v>
      </c>
      <c r="W93" s="133">
        <f t="shared" si="35"/>
        <v>0</v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21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29"/>
      <c r="P94" s="429"/>
      <c r="Q94" s="429"/>
      <c r="R94" s="429"/>
      <c r="S94" s="429"/>
      <c r="T94" s="429"/>
      <c r="U94" s="429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21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29"/>
      <c r="P95" s="429"/>
      <c r="Q95" s="429"/>
      <c r="R95" s="429"/>
      <c r="S95" s="429"/>
      <c r="T95" s="429"/>
      <c r="U95" s="429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21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29"/>
      <c r="P96" s="429"/>
      <c r="Q96" s="429"/>
      <c r="R96" s="429"/>
      <c r="S96" s="429"/>
      <c r="T96" s="429"/>
      <c r="U96" s="429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21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29"/>
      <c r="P97" s="429"/>
      <c r="Q97" s="429"/>
      <c r="R97" s="429"/>
      <c r="S97" s="429"/>
      <c r="T97" s="429"/>
      <c r="U97" s="429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21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29"/>
      <c r="P98" s="429"/>
      <c r="Q98" s="429"/>
      <c r="R98" s="429"/>
      <c r="S98" s="429"/>
      <c r="T98" s="429"/>
      <c r="U98" s="429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421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29"/>
      <c r="P99" s="429"/>
      <c r="Q99" s="429"/>
      <c r="R99" s="429"/>
      <c r="S99" s="429"/>
      <c r="T99" s="429"/>
      <c r="U99" s="429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21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29"/>
      <c r="P100" s="429"/>
      <c r="Q100" s="429"/>
      <c r="R100" s="429"/>
      <c r="S100" s="429"/>
      <c r="T100" s="429"/>
      <c r="U100" s="429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21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29"/>
      <c r="P101" s="429"/>
      <c r="Q101" s="429"/>
      <c r="R101" s="429"/>
      <c r="S101" s="429"/>
      <c r="T101" s="429"/>
      <c r="U101" s="429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21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29"/>
      <c r="P102" s="429"/>
      <c r="Q102" s="429"/>
      <c r="R102" s="429"/>
      <c r="S102" s="429"/>
      <c r="T102" s="429"/>
      <c r="U102" s="429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20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21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29"/>
      <c r="P103" s="429"/>
      <c r="Q103" s="429"/>
      <c r="R103" s="429"/>
      <c r="S103" s="429"/>
      <c r="T103" s="429"/>
      <c r="U103" s="429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20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21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29"/>
      <c r="P104" s="429"/>
      <c r="Q104" s="429"/>
      <c r="R104" s="429"/>
      <c r="S104" s="429"/>
      <c r="T104" s="429"/>
      <c r="U104" s="429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20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21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29"/>
      <c r="P105" s="429"/>
      <c r="Q105" s="429"/>
      <c r="R105" s="429"/>
      <c r="S105" s="429"/>
      <c r="T105" s="429"/>
      <c r="U105" s="429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20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21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29"/>
      <c r="P106" s="429"/>
      <c r="Q106" s="429"/>
      <c r="R106" s="429"/>
      <c r="S106" s="429"/>
      <c r="T106" s="429"/>
      <c r="U106" s="429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20" t="s">
        <v>393</v>
      </c>
      <c r="C107" s="187" t="s">
        <v>395</v>
      </c>
      <c r="D107" s="108">
        <v>5</v>
      </c>
      <c r="E107" s="108"/>
      <c r="F107" s="127"/>
      <c r="G107" s="128"/>
      <c r="H107" s="421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29"/>
      <c r="P107" s="429"/>
      <c r="Q107" s="429"/>
      <c r="R107" s="429"/>
      <c r="S107" s="429"/>
      <c r="T107" s="429"/>
      <c r="U107" s="429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20" t="s">
        <v>393</v>
      </c>
      <c r="C108" s="187" t="s">
        <v>402</v>
      </c>
      <c r="D108" s="108">
        <v>5</v>
      </c>
      <c r="E108" s="108"/>
      <c r="F108" s="127"/>
      <c r="G108" s="128"/>
      <c r="H108" s="421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29"/>
      <c r="P108" s="429"/>
      <c r="Q108" s="429"/>
      <c r="R108" s="429"/>
      <c r="S108" s="429"/>
      <c r="T108" s="429"/>
      <c r="U108" s="429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20" t="s">
        <v>404</v>
      </c>
      <c r="C109" s="187" t="s">
        <v>405</v>
      </c>
      <c r="D109" s="108">
        <v>5</v>
      </c>
      <c r="E109" s="108"/>
      <c r="F109" s="127"/>
      <c r="G109" s="128"/>
      <c r="H109" s="421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29"/>
      <c r="P109" s="429"/>
      <c r="Q109" s="429"/>
      <c r="R109" s="429"/>
      <c r="S109" s="429"/>
      <c r="T109" s="429"/>
      <c r="U109" s="429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20" t="s">
        <v>492</v>
      </c>
      <c r="C110" s="187" t="s">
        <v>372</v>
      </c>
      <c r="D110" s="108">
        <v>5</v>
      </c>
      <c r="E110" s="108"/>
      <c r="F110" s="127"/>
      <c r="G110" s="128"/>
      <c r="H110" s="421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29"/>
      <c r="P110" s="429"/>
      <c r="Q110" s="429"/>
      <c r="R110" s="429"/>
      <c r="S110" s="429"/>
      <c r="T110" s="429"/>
      <c r="U110" s="429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20" t="s">
        <v>343</v>
      </c>
      <c r="C111" s="126" t="s">
        <v>345</v>
      </c>
      <c r="D111" s="108">
        <v>5</v>
      </c>
      <c r="E111" s="108"/>
      <c r="F111" s="127"/>
      <c r="G111" s="128"/>
      <c r="H111" s="421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29"/>
      <c r="P111" s="429"/>
      <c r="Q111" s="429"/>
      <c r="R111" s="429"/>
      <c r="S111" s="429"/>
      <c r="T111" s="429"/>
      <c r="U111" s="429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20" t="s">
        <v>343</v>
      </c>
      <c r="C112" s="126" t="s">
        <v>347</v>
      </c>
      <c r="D112" s="108">
        <v>5</v>
      </c>
      <c r="E112" s="108"/>
      <c r="F112" s="127"/>
      <c r="G112" s="128"/>
      <c r="H112" s="421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29"/>
      <c r="P112" s="429"/>
      <c r="Q112" s="429"/>
      <c r="R112" s="429"/>
      <c r="S112" s="429"/>
      <c r="T112" s="429"/>
      <c r="U112" s="429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21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29"/>
      <c r="P113" s="429"/>
      <c r="Q113" s="429"/>
      <c r="R113" s="429"/>
      <c r="S113" s="429"/>
      <c r="T113" s="429"/>
      <c r="U113" s="429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21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29"/>
      <c r="P114" s="429"/>
      <c r="Q114" s="429"/>
      <c r="R114" s="429"/>
      <c r="S114" s="429"/>
      <c r="T114" s="429"/>
      <c r="U114" s="429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420</v>
      </c>
      <c r="D115" s="108">
        <v>5</v>
      </c>
      <c r="E115" s="108"/>
      <c r="F115" s="127"/>
      <c r="G115" s="128"/>
      <c r="H115" s="421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29"/>
      <c r="P115" s="429"/>
      <c r="Q115" s="429"/>
      <c r="R115" s="429"/>
      <c r="S115" s="429"/>
      <c r="T115" s="429"/>
      <c r="U115" s="429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21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29"/>
      <c r="P116" s="429"/>
      <c r="Q116" s="429"/>
      <c r="R116" s="429"/>
      <c r="S116" s="429"/>
      <c r="T116" s="429"/>
      <c r="U116" s="429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21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29"/>
      <c r="P117" s="429"/>
      <c r="Q117" s="429"/>
      <c r="R117" s="429"/>
      <c r="S117" s="429"/>
      <c r="T117" s="429"/>
      <c r="U117" s="429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21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29"/>
      <c r="P118" s="429"/>
      <c r="Q118" s="429"/>
      <c r="R118" s="429"/>
      <c r="S118" s="429"/>
      <c r="T118" s="429"/>
      <c r="U118" s="429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>
        <v>42710</v>
      </c>
      <c r="G119" s="128">
        <f>100+110+100*4</f>
        <v>610</v>
      </c>
      <c r="H119" s="421">
        <f t="shared" si="36"/>
        <v>3092.7000000000003</v>
      </c>
      <c r="I119" s="129">
        <f>6.5*3</f>
        <v>19.5</v>
      </c>
      <c r="J119" s="130">
        <f t="array" ref="J119">IF(ISERROR(G119/I119),"",G119/I119)</f>
        <v>31.282051282051281</v>
      </c>
      <c r="K119" s="131">
        <f t="array" ref="K119">IF(ISERROR(G119/L119),"",G119/L119)</f>
        <v>67.777777777777771</v>
      </c>
      <c r="L119" s="129">
        <v>9</v>
      </c>
      <c r="M119" s="109">
        <f t="shared" si="46"/>
        <v>-48.277777777777771</v>
      </c>
      <c r="N119" s="130">
        <f t="shared" si="47"/>
        <v>0</v>
      </c>
      <c r="O119" s="429"/>
      <c r="P119" s="429"/>
      <c r="Q119" s="429"/>
      <c r="R119" s="429"/>
      <c r="S119" s="429"/>
      <c r="T119" s="429"/>
      <c r="U119" s="429"/>
      <c r="V119" s="132">
        <f t="shared" si="48"/>
        <v>0</v>
      </c>
      <c r="W119" s="133">
        <f t="shared" si="49"/>
        <v>0</v>
      </c>
      <c r="X119" s="132"/>
      <c r="Y119" s="132"/>
      <c r="Z119" s="132"/>
      <c r="AA119" s="132"/>
    </row>
    <row r="120" spans="1:27" ht="20.10000000000000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>
        <v>42710</v>
      </c>
      <c r="G120" s="128">
        <f>76+100*3+100</f>
        <v>476</v>
      </c>
      <c r="H120" s="421">
        <f t="shared" si="36"/>
        <v>2408.56</v>
      </c>
      <c r="I120" s="129">
        <f>4.5*3</f>
        <v>13.5</v>
      </c>
      <c r="J120" s="130">
        <f t="array" ref="J120">IF(ISERROR(G120/I120),"",G120/I120)</f>
        <v>35.25925925925926</v>
      </c>
      <c r="K120" s="421">
        <f t="array" ref="K120">IF(ISERROR(G120/L120),"",G120/L120)</f>
        <v>52.888888888888886</v>
      </c>
      <c r="L120" s="129">
        <v>9</v>
      </c>
      <c r="M120" s="109">
        <f t="shared" si="46"/>
        <v>-39.388888888888886</v>
      </c>
      <c r="N120" s="130">
        <f t="shared" si="47"/>
        <v>0</v>
      </c>
      <c r="O120" s="429"/>
      <c r="P120" s="429"/>
      <c r="Q120" s="429"/>
      <c r="R120" s="429"/>
      <c r="S120" s="429"/>
      <c r="T120" s="429"/>
      <c r="U120" s="429"/>
      <c r="V120" s="132">
        <f t="shared" si="48"/>
        <v>0</v>
      </c>
      <c r="W120" s="133">
        <f t="shared" si="49"/>
        <v>0</v>
      </c>
      <c r="X120" s="132"/>
      <c r="Y120" s="132"/>
      <c r="Z120" s="132"/>
      <c r="AA120" s="132"/>
    </row>
    <row r="121" spans="1:27" ht="20.100000000000001" customHeight="1">
      <c r="A121" s="630" t="s">
        <v>224</v>
      </c>
      <c r="B121" s="631"/>
      <c r="C121" s="430" t="s">
        <v>202</v>
      </c>
      <c r="D121" s="143"/>
      <c r="E121" s="143"/>
      <c r="F121" s="144"/>
      <c r="G121" s="145">
        <f>SUM(G87:G120)</f>
        <v>1433</v>
      </c>
      <c r="H121" s="146">
        <f>SUM(H87:H120)</f>
        <v>7246.67</v>
      </c>
      <c r="I121" s="146">
        <f>SUM(I87:I120)</f>
        <v>60.900000000000006</v>
      </c>
      <c r="J121" s="130">
        <f t="array" ref="J121">IF(ISERROR(G121/I121),"",G121/I121)</f>
        <v>23.530377668308702</v>
      </c>
      <c r="K121" s="146">
        <f>SUM(K87:K120)</f>
        <v>157.97849462365591</v>
      </c>
      <c r="L121" s="147"/>
      <c r="M121" s="150">
        <f t="shared" ref="M121:V121" si="50">SUM(M87:M120)</f>
        <v>-97.078494623655899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21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29"/>
      <c r="P122" s="429"/>
      <c r="Q122" s="429"/>
      <c r="R122" s="429"/>
      <c r="S122" s="429"/>
      <c r="T122" s="429"/>
      <c r="U122" s="429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21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29"/>
      <c r="P123" s="429"/>
      <c r="Q123" s="429"/>
      <c r="R123" s="429"/>
      <c r="S123" s="429"/>
      <c r="T123" s="429"/>
      <c r="U123" s="429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21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29"/>
      <c r="P124" s="429"/>
      <c r="Q124" s="429"/>
      <c r="R124" s="429"/>
      <c r="S124" s="429"/>
      <c r="T124" s="429"/>
      <c r="U124" s="429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421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29"/>
      <c r="P125" s="429"/>
      <c r="Q125" s="429"/>
      <c r="R125" s="429"/>
      <c r="S125" s="429"/>
      <c r="T125" s="429"/>
      <c r="U125" s="429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26" t="s">
        <v>203</v>
      </c>
      <c r="D126" s="108">
        <v>5.03</v>
      </c>
      <c r="E126" s="108"/>
      <c r="F126" s="127"/>
      <c r="G126" s="128"/>
      <c r="H126" s="421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29"/>
      <c r="P126" s="429"/>
      <c r="Q126" s="429"/>
      <c r="R126" s="429"/>
      <c r="S126" s="429"/>
      <c r="T126" s="429"/>
      <c r="U126" s="429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21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29"/>
      <c r="P127" s="429"/>
      <c r="Q127" s="429"/>
      <c r="R127" s="429"/>
      <c r="S127" s="429"/>
      <c r="T127" s="429"/>
      <c r="U127" s="429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21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29"/>
      <c r="P128" s="429"/>
      <c r="Q128" s="429"/>
      <c r="R128" s="429"/>
      <c r="S128" s="429"/>
      <c r="T128" s="429"/>
      <c r="U128" s="429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26" t="s">
        <v>228</v>
      </c>
      <c r="D129" s="108">
        <v>5.03</v>
      </c>
      <c r="E129" s="108"/>
      <c r="F129" s="127"/>
      <c r="G129" s="128"/>
      <c r="H129" s="421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29"/>
      <c r="P129" s="429"/>
      <c r="Q129" s="429"/>
      <c r="R129" s="429"/>
      <c r="S129" s="429"/>
      <c r="T129" s="429"/>
      <c r="U129" s="429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496</v>
      </c>
      <c r="C130" s="426" t="s">
        <v>212</v>
      </c>
      <c r="D130" s="108">
        <v>5.03</v>
      </c>
      <c r="E130" s="108"/>
      <c r="F130" s="127"/>
      <c r="G130" s="128"/>
      <c r="H130" s="421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29"/>
      <c r="P130" s="429"/>
      <c r="Q130" s="429"/>
      <c r="R130" s="429"/>
      <c r="S130" s="429"/>
      <c r="T130" s="429"/>
      <c r="U130" s="429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26" t="s">
        <v>203</v>
      </c>
      <c r="D131" s="108">
        <v>5.03</v>
      </c>
      <c r="E131" s="108"/>
      <c r="F131" s="127"/>
      <c r="G131" s="128"/>
      <c r="H131" s="421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29"/>
      <c r="P131" s="429"/>
      <c r="Q131" s="429"/>
      <c r="R131" s="429"/>
      <c r="S131" s="429"/>
      <c r="T131" s="429"/>
      <c r="U131" s="429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26" t="s">
        <v>186</v>
      </c>
      <c r="D132" s="108">
        <v>5.03</v>
      </c>
      <c r="E132" s="108"/>
      <c r="F132" s="127"/>
      <c r="G132" s="128"/>
      <c r="H132" s="421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29"/>
      <c r="P132" s="429"/>
      <c r="Q132" s="429"/>
      <c r="R132" s="429"/>
      <c r="S132" s="429"/>
      <c r="T132" s="429"/>
      <c r="U132" s="429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26" t="s">
        <v>228</v>
      </c>
      <c r="D133" s="108">
        <v>5.03</v>
      </c>
      <c r="E133" s="108"/>
      <c r="F133" s="127"/>
      <c r="G133" s="128"/>
      <c r="H133" s="421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29"/>
      <c r="P133" s="429"/>
      <c r="Q133" s="429"/>
      <c r="R133" s="429"/>
      <c r="S133" s="429"/>
      <c r="T133" s="429"/>
      <c r="U133" s="429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26" t="s">
        <v>199</v>
      </c>
      <c r="D134" s="108">
        <v>5.03</v>
      </c>
      <c r="E134" s="108"/>
      <c r="F134" s="127"/>
      <c r="G134" s="128"/>
      <c r="H134" s="421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29"/>
      <c r="P134" s="429"/>
      <c r="Q134" s="429"/>
      <c r="R134" s="429"/>
      <c r="S134" s="429"/>
      <c r="T134" s="429"/>
      <c r="U134" s="429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21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29"/>
      <c r="P135" s="429"/>
      <c r="Q135" s="429"/>
      <c r="R135" s="429"/>
      <c r="S135" s="429"/>
      <c r="T135" s="429"/>
      <c r="U135" s="429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21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29"/>
      <c r="P136" s="429"/>
      <c r="Q136" s="429"/>
      <c r="R136" s="429"/>
      <c r="S136" s="429"/>
      <c r="T136" s="429"/>
      <c r="U136" s="429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630" t="s">
        <v>231</v>
      </c>
      <c r="B137" s="631"/>
      <c r="C137" s="430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21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29"/>
      <c r="P138" s="429"/>
      <c r="Q138" s="429"/>
      <c r="R138" s="429"/>
      <c r="S138" s="429"/>
      <c r="T138" s="429"/>
      <c r="U138" s="429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21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29"/>
      <c r="P139" s="429"/>
      <c r="Q139" s="429"/>
      <c r="R139" s="429"/>
      <c r="S139" s="429"/>
      <c r="T139" s="429"/>
      <c r="U139" s="429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21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29"/>
      <c r="P140" s="429"/>
      <c r="Q140" s="429"/>
      <c r="R140" s="429"/>
      <c r="S140" s="429"/>
      <c r="T140" s="429"/>
      <c r="U140" s="429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497</v>
      </c>
      <c r="C141" s="126" t="s">
        <v>195</v>
      </c>
      <c r="D141" s="108">
        <v>5.04</v>
      </c>
      <c r="E141" s="108"/>
      <c r="F141" s="127"/>
      <c r="G141" s="128"/>
      <c r="H141" s="421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29"/>
      <c r="P141" s="429"/>
      <c r="Q141" s="429"/>
      <c r="R141" s="429"/>
      <c r="S141" s="429"/>
      <c r="T141" s="429"/>
      <c r="U141" s="429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21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29"/>
      <c r="P142" s="429"/>
      <c r="Q142" s="429"/>
      <c r="R142" s="429"/>
      <c r="S142" s="429"/>
      <c r="T142" s="429"/>
      <c r="U142" s="429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21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29"/>
      <c r="P143" s="429"/>
      <c r="Q143" s="429"/>
      <c r="R143" s="429"/>
      <c r="S143" s="429"/>
      <c r="T143" s="429"/>
      <c r="U143" s="429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/>
      <c r="G144" s="128"/>
      <c r="H144" s="479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0"/>
      <c r="P144" s="470"/>
      <c r="Q144" s="470"/>
      <c r="R144" s="470"/>
      <c r="S144" s="470"/>
      <c r="T144" s="470"/>
      <c r="U144" s="470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421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429"/>
      <c r="P146" s="429"/>
      <c r="Q146" s="429"/>
      <c r="R146" s="429"/>
      <c r="S146" s="429"/>
      <c r="T146" s="429"/>
      <c r="U146" s="429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hidden="1" customHeight="1">
      <c r="A147" s="630" t="s">
        <v>234</v>
      </c>
      <c r="B147" s="631"/>
      <c r="C147" s="430" t="s">
        <v>202</v>
      </c>
      <c r="D147" s="143"/>
      <c r="E147" s="143"/>
      <c r="F147" s="144"/>
      <c r="G147" s="145">
        <f>SUM(G138:G146)</f>
        <v>0</v>
      </c>
      <c r="H147" s="146">
        <f>SUM(H138:H146)</f>
        <v>0</v>
      </c>
      <c r="I147" s="146">
        <f>SUM(I138:I146)</f>
        <v>0</v>
      </c>
      <c r="J147" s="130" t="str">
        <f t="array" ref="J147">IF(ISERROR(G147/I147),"",G147/I147)</f>
        <v/>
      </c>
      <c r="K147" s="146">
        <f>SUM(K138:K146)</f>
        <v>0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 t="str">
        <f t="shared" si="62"/>
        <v/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427"/>
      <c r="D148" s="108">
        <v>3.65</v>
      </c>
      <c r="E148" s="108"/>
      <c r="F148" s="153"/>
      <c r="G148" s="128"/>
      <c r="H148" s="421">
        <f t="shared" ref="H148:H161" si="63">D148*G148</f>
        <v>0</v>
      </c>
      <c r="I148" s="129"/>
      <c r="J148" s="130" t="str">
        <f t="array" ref="J148">IF(ISERROR(G148/I148),"",G148/I148)</f>
        <v/>
      </c>
      <c r="K148" s="421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429"/>
      <c r="P148" s="429"/>
      <c r="Q148" s="429"/>
      <c r="R148" s="429"/>
      <c r="S148" s="429"/>
      <c r="T148" s="429"/>
      <c r="U148" s="429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427"/>
      <c r="D149" s="108">
        <v>6.58</v>
      </c>
      <c r="E149" s="108"/>
      <c r="F149" s="127"/>
      <c r="G149" s="128"/>
      <c r="H149" s="421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429"/>
      <c r="P149" s="429"/>
      <c r="Q149" s="429"/>
      <c r="R149" s="429"/>
      <c r="S149" s="429"/>
      <c r="T149" s="429"/>
      <c r="U149" s="429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427"/>
      <c r="D150" s="108">
        <v>7.8</v>
      </c>
      <c r="E150" s="108"/>
      <c r="F150" s="127"/>
      <c r="G150" s="128"/>
      <c r="H150" s="421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429"/>
      <c r="P150" s="429"/>
      <c r="Q150" s="429"/>
      <c r="R150" s="429"/>
      <c r="S150" s="429"/>
      <c r="T150" s="429"/>
      <c r="U150" s="429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427"/>
      <c r="D151" s="108">
        <v>4.4000000000000004</v>
      </c>
      <c r="E151" s="108"/>
      <c r="F151" s="127"/>
      <c r="G151" s="128"/>
      <c r="H151" s="421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429"/>
      <c r="P151" s="429"/>
      <c r="Q151" s="429"/>
      <c r="R151" s="429"/>
      <c r="S151" s="429"/>
      <c r="T151" s="429"/>
      <c r="U151" s="429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421">
        <f t="shared" si="63"/>
        <v>0</v>
      </c>
      <c r="I152" s="129"/>
      <c r="J152" s="130"/>
      <c r="K152" s="131"/>
      <c r="L152" s="129">
        <v>6</v>
      </c>
      <c r="M152" s="109"/>
      <c r="N152" s="130"/>
      <c r="O152" s="429"/>
      <c r="P152" s="429"/>
      <c r="Q152" s="429"/>
      <c r="R152" s="429"/>
      <c r="S152" s="429"/>
      <c r="T152" s="429"/>
      <c r="U152" s="429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427" t="s">
        <v>499</v>
      </c>
      <c r="C153" s="427" t="s">
        <v>179</v>
      </c>
      <c r="D153" s="108">
        <v>6.04</v>
      </c>
      <c r="E153" s="108"/>
      <c r="F153" s="127"/>
      <c r="G153" s="128"/>
      <c r="H153" s="421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429"/>
      <c r="P153" s="429"/>
      <c r="Q153" s="429"/>
      <c r="R153" s="429"/>
      <c r="S153" s="429"/>
      <c r="T153" s="429"/>
      <c r="U153" s="429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427" t="s">
        <v>239</v>
      </c>
      <c r="C154" s="427" t="s">
        <v>186</v>
      </c>
      <c r="D154" s="108">
        <v>6.04</v>
      </c>
      <c r="E154" s="108"/>
      <c r="F154" s="127"/>
      <c r="G154" s="128"/>
      <c r="H154" s="421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429"/>
      <c r="P154" s="429"/>
      <c r="Q154" s="429"/>
      <c r="R154" s="429"/>
      <c r="S154" s="429"/>
      <c r="T154" s="429"/>
      <c r="U154" s="429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427" t="s">
        <v>443</v>
      </c>
      <c r="C155" s="427" t="s">
        <v>179</v>
      </c>
      <c r="D155" s="108">
        <v>6</v>
      </c>
      <c r="E155" s="108"/>
      <c r="F155" s="127"/>
      <c r="G155" s="128"/>
      <c r="H155" s="421">
        <f t="shared" si="63"/>
        <v>0</v>
      </c>
      <c r="I155" s="129"/>
      <c r="J155" s="130"/>
      <c r="K155" s="131"/>
      <c r="L155" s="129"/>
      <c r="M155" s="109"/>
      <c r="N155" s="130"/>
      <c r="O155" s="429"/>
      <c r="P155" s="429"/>
      <c r="Q155" s="429"/>
      <c r="R155" s="429"/>
      <c r="S155" s="429"/>
      <c r="T155" s="429"/>
      <c r="U155" s="429"/>
      <c r="V155" s="132"/>
      <c r="W155" s="133"/>
      <c r="X155" s="132"/>
      <c r="Y155" s="132"/>
      <c r="Z155" s="132"/>
      <c r="AA155" s="132"/>
    </row>
    <row r="156" spans="1:27" ht="20.100000000000001" customHeight="1">
      <c r="A156" s="305">
        <v>30101016</v>
      </c>
      <c r="B156" s="427" t="s">
        <v>443</v>
      </c>
      <c r="C156" s="427" t="s">
        <v>421</v>
      </c>
      <c r="D156" s="108">
        <v>6</v>
      </c>
      <c r="E156" s="108"/>
      <c r="F156" s="127">
        <v>42711</v>
      </c>
      <c r="G156" s="128">
        <f>42+42</f>
        <v>84</v>
      </c>
      <c r="H156" s="421">
        <f t="shared" si="63"/>
        <v>504</v>
      </c>
      <c r="I156" s="129">
        <v>6</v>
      </c>
      <c r="J156" s="130"/>
      <c r="K156" s="131"/>
      <c r="L156" s="129">
        <v>6</v>
      </c>
      <c r="M156" s="109"/>
      <c r="N156" s="130"/>
      <c r="O156" s="429"/>
      <c r="P156" s="429"/>
      <c r="Q156" s="429"/>
      <c r="R156" s="429"/>
      <c r="S156" s="429"/>
      <c r="T156" s="429"/>
      <c r="U156" s="429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420" t="s">
        <v>240</v>
      </c>
      <c r="C157" s="126"/>
      <c r="D157" s="108">
        <v>7.3</v>
      </c>
      <c r="E157" s="108"/>
      <c r="F157" s="127"/>
      <c r="G157" s="128"/>
      <c r="H157" s="421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429"/>
      <c r="P157" s="429"/>
      <c r="Q157" s="429"/>
      <c r="R157" s="429"/>
      <c r="S157" s="429"/>
      <c r="T157" s="429"/>
      <c r="U157" s="429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420" t="s">
        <v>241</v>
      </c>
      <c r="C158" s="126"/>
      <c r="D158" s="108">
        <f>78*120/1000</f>
        <v>9.36</v>
      </c>
      <c r="E158" s="108"/>
      <c r="F158" s="127"/>
      <c r="G158" s="128"/>
      <c r="H158" s="421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429"/>
      <c r="P158" s="429"/>
      <c r="Q158" s="429"/>
      <c r="R158" s="429"/>
      <c r="S158" s="429"/>
      <c r="T158" s="429"/>
      <c r="U158" s="429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420" t="s">
        <v>242</v>
      </c>
      <c r="C159" s="126"/>
      <c r="D159" s="108">
        <v>4.5</v>
      </c>
      <c r="E159" s="108"/>
      <c r="F159" s="127"/>
      <c r="G159" s="128"/>
      <c r="H159" s="421">
        <f t="shared" si="63"/>
        <v>0</v>
      </c>
      <c r="I159" s="129"/>
      <c r="J159" s="130"/>
      <c r="K159" s="131"/>
      <c r="L159" s="129"/>
      <c r="M159" s="109"/>
      <c r="N159" s="130"/>
      <c r="O159" s="429"/>
      <c r="P159" s="429"/>
      <c r="Q159" s="429"/>
      <c r="R159" s="429"/>
      <c r="S159" s="429"/>
      <c r="T159" s="429"/>
      <c r="U159" s="429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420" t="s">
        <v>243</v>
      </c>
      <c r="C160" s="126"/>
      <c r="D160" s="108">
        <v>4.5</v>
      </c>
      <c r="E160" s="108"/>
      <c r="F160" s="127"/>
      <c r="G160" s="128"/>
      <c r="H160" s="421">
        <f t="shared" si="63"/>
        <v>0</v>
      </c>
      <c r="I160" s="129"/>
      <c r="J160" s="130"/>
      <c r="K160" s="131"/>
      <c r="L160" s="129"/>
      <c r="M160" s="109"/>
      <c r="N160" s="130"/>
      <c r="O160" s="429"/>
      <c r="P160" s="429"/>
      <c r="Q160" s="429"/>
      <c r="R160" s="429"/>
      <c r="S160" s="429"/>
      <c r="T160" s="429"/>
      <c r="U160" s="429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421">
        <f t="shared" si="63"/>
        <v>0</v>
      </c>
      <c r="I161" s="129"/>
      <c r="J161" s="130"/>
      <c r="K161" s="131"/>
      <c r="L161" s="129"/>
      <c r="M161" s="109"/>
      <c r="N161" s="130"/>
      <c r="O161" s="429"/>
      <c r="P161" s="429"/>
      <c r="Q161" s="429"/>
      <c r="R161" s="429"/>
      <c r="S161" s="429"/>
      <c r="T161" s="429"/>
      <c r="U161" s="429"/>
      <c r="V161" s="132"/>
      <c r="W161" s="133"/>
      <c r="X161" s="132"/>
      <c r="Y161" s="132"/>
      <c r="Z161" s="132"/>
      <c r="AA161" s="132"/>
    </row>
    <row r="162" spans="1:27" ht="20.100000000000001" customHeight="1">
      <c r="A162" s="630" t="s">
        <v>244</v>
      </c>
      <c r="B162" s="631"/>
      <c r="C162" s="430" t="s">
        <v>202</v>
      </c>
      <c r="D162" s="143"/>
      <c r="E162" s="143"/>
      <c r="F162" s="144"/>
      <c r="G162" s="145">
        <f>SUM(G148:G160)</f>
        <v>84</v>
      </c>
      <c r="H162" s="146">
        <f>SUM(H148:H158)</f>
        <v>504</v>
      </c>
      <c r="I162" s="146">
        <f>SUM(I148:I160)</f>
        <v>6</v>
      </c>
      <c r="J162" s="130">
        <f t="array" ref="J162">IF(ISERROR(G162/I162),"",G162/I162)</f>
        <v>14</v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>
        <f>IF(ISERROR(V162/G162),"",V162/G162)</f>
        <v>0</v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32" t="s">
        <v>246</v>
      </c>
      <c r="B163" s="633"/>
      <c r="C163" s="633"/>
      <c r="D163" s="633"/>
      <c r="E163" s="633"/>
      <c r="F163" s="634"/>
      <c r="G163" s="154">
        <f>SUM(G28,G86,G121,G137,G147,G162)</f>
        <v>1517</v>
      </c>
      <c r="H163" s="154">
        <f>SUM(H28,H86,H121,H137,H147,H162)</f>
        <v>7750.67</v>
      </c>
      <c r="I163" s="154">
        <f>SUM(I28,I86,I121,I137,I147,I162)</f>
        <v>66.900000000000006</v>
      </c>
      <c r="J163" s="155">
        <f t="array" ref="J163">IF(ISERROR(G163/I163),"",G163/I163)</f>
        <v>22.675635276532134</v>
      </c>
      <c r="K163" s="154">
        <f>SUM(K28,K86,K121,K137,K147,K162)</f>
        <v>157.97849462365591</v>
      </c>
      <c r="L163" s="155">
        <f>IF(ISERROR(G163/K163),"",G163/K163)</f>
        <v>9.6025728287503416</v>
      </c>
      <c r="M163" s="154">
        <f t="shared" ref="M163:AA163" si="76">SUM(M28,M86,M121,M137,M147,M162)</f>
        <v>-97.078494623655899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635" t="s">
        <v>476</v>
      </c>
      <c r="B164" s="423" t="s">
        <v>247</v>
      </c>
      <c r="C164" s="638" t="s">
        <v>248</v>
      </c>
      <c r="D164" s="639"/>
      <c r="E164" s="640" t="s">
        <v>249</v>
      </c>
      <c r="F164" s="640"/>
      <c r="G164" s="643" t="s">
        <v>250</v>
      </c>
      <c r="H164" s="643"/>
      <c r="I164" s="640" t="s">
        <v>251</v>
      </c>
      <c r="J164" s="640"/>
      <c r="K164" s="640" t="s">
        <v>252</v>
      </c>
      <c r="L164" s="640"/>
      <c r="M164" s="640" t="s">
        <v>253</v>
      </c>
      <c r="N164" s="640"/>
      <c r="O164" s="640" t="s">
        <v>254</v>
      </c>
      <c r="P164" s="643" t="s">
        <v>255</v>
      </c>
      <c r="Q164" s="643"/>
      <c r="R164" s="643" t="s">
        <v>252</v>
      </c>
      <c r="S164" s="643"/>
      <c r="T164" s="643" t="s">
        <v>256</v>
      </c>
      <c r="U164" s="643"/>
      <c r="V164" s="643" t="s">
        <v>257</v>
      </c>
      <c r="W164" s="643"/>
      <c r="X164" s="643" t="s">
        <v>252</v>
      </c>
      <c r="Y164" s="643"/>
      <c r="Z164" s="643" t="s">
        <v>256</v>
      </c>
      <c r="AA164" s="643"/>
    </row>
    <row r="165" spans="1:27" ht="20.100000000000001" customHeight="1">
      <c r="A165" s="636"/>
      <c r="B165" s="423" t="s">
        <v>258</v>
      </c>
      <c r="C165" s="638">
        <v>1</v>
      </c>
      <c r="D165" s="639"/>
      <c r="E165" s="642">
        <f>C165*11</f>
        <v>11</v>
      </c>
      <c r="F165" s="642"/>
      <c r="G165" s="643">
        <v>1</v>
      </c>
      <c r="H165" s="643"/>
      <c r="I165" s="642">
        <f>G165*11</f>
        <v>11</v>
      </c>
      <c r="J165" s="642"/>
      <c r="K165" s="642">
        <f>E165-I165</f>
        <v>0</v>
      </c>
      <c r="L165" s="642"/>
      <c r="M165" s="644">
        <f>IF(ISERROR(K165/E165),"",K165/E165)</f>
        <v>0</v>
      </c>
      <c r="N165" s="644"/>
      <c r="O165" s="640"/>
      <c r="P165" s="643" t="s">
        <v>201</v>
      </c>
      <c r="Q165" s="643"/>
      <c r="R165" s="645">
        <f>SUM(O28:U28)</f>
        <v>0</v>
      </c>
      <c r="S165" s="645"/>
      <c r="T165" s="646" t="str">
        <f t="array" ref="T165">IF(ISERROR(R165/R172),"",R165/R172)</f>
        <v/>
      </c>
      <c r="U165" s="646"/>
      <c r="V165" s="643" t="s">
        <v>259</v>
      </c>
      <c r="W165" s="643"/>
      <c r="X165" s="647">
        <f>SUM(P27,P85,P120,P136,P146,P160)</f>
        <v>0</v>
      </c>
      <c r="Y165" s="647"/>
      <c r="Z165" s="646" t="str">
        <f t="array" ref="Z165">IF(ISERROR(X165/X172),"",X165/X172)</f>
        <v/>
      </c>
      <c r="AA165" s="646"/>
    </row>
    <row r="166" spans="1:27" ht="20.100000000000001" customHeight="1">
      <c r="A166" s="636"/>
      <c r="B166" s="423" t="s">
        <v>260</v>
      </c>
      <c r="C166" s="638">
        <v>1</v>
      </c>
      <c r="D166" s="639"/>
      <c r="E166" s="642">
        <f>C166*11</f>
        <v>11</v>
      </c>
      <c r="F166" s="642"/>
      <c r="G166" s="643">
        <v>1</v>
      </c>
      <c r="H166" s="643"/>
      <c r="I166" s="642">
        <f>G166*11</f>
        <v>11</v>
      </c>
      <c r="J166" s="642"/>
      <c r="K166" s="642">
        <f>E166-I166</f>
        <v>0</v>
      </c>
      <c r="L166" s="642"/>
      <c r="M166" s="644">
        <f>IF(ISERROR(K166/E166),"",K166/E166)</f>
        <v>0</v>
      </c>
      <c r="N166" s="644"/>
      <c r="O166" s="640"/>
      <c r="P166" s="643" t="s">
        <v>216</v>
      </c>
      <c r="Q166" s="643"/>
      <c r="R166" s="645">
        <f>SUM(O86:U86)</f>
        <v>0</v>
      </c>
      <c r="S166" s="645"/>
      <c r="T166" s="646" t="str">
        <f>IF(ISERROR(R166/R172),"",R166/R172)</f>
        <v/>
      </c>
      <c r="U166" s="646"/>
      <c r="V166" s="643" t="s">
        <v>261</v>
      </c>
      <c r="W166" s="643"/>
      <c r="X166" s="647">
        <f>SUM(P28,P86,P121,P137,P147,P162)</f>
        <v>0</v>
      </c>
      <c r="Y166" s="647"/>
      <c r="Z166" s="646" t="str">
        <f>IF(ISERROR(X166/X172),"",X166/X172)</f>
        <v/>
      </c>
      <c r="AA166" s="646"/>
    </row>
    <row r="167" spans="1:27" ht="20.100000000000001" customHeight="1">
      <c r="A167" s="636"/>
      <c r="B167" s="423" t="s">
        <v>262</v>
      </c>
      <c r="C167" s="638">
        <v>1</v>
      </c>
      <c r="D167" s="639"/>
      <c r="E167" s="642">
        <f>C167*8</f>
        <v>8</v>
      </c>
      <c r="F167" s="642"/>
      <c r="G167" s="643">
        <v>1</v>
      </c>
      <c r="H167" s="643"/>
      <c r="I167" s="642">
        <f>G167*8</f>
        <v>8</v>
      </c>
      <c r="J167" s="642"/>
      <c r="K167" s="642">
        <f>E167-I167</f>
        <v>0</v>
      </c>
      <c r="L167" s="642"/>
      <c r="M167" s="644">
        <f>IF(ISERROR(K167/E167),"",K167/E167)</f>
        <v>0</v>
      </c>
      <c r="N167" s="644"/>
      <c r="O167" s="640"/>
      <c r="P167" s="643" t="s">
        <v>224</v>
      </c>
      <c r="Q167" s="643"/>
      <c r="R167" s="645">
        <f>SUM(O121:U121)</f>
        <v>0</v>
      </c>
      <c r="S167" s="645"/>
      <c r="T167" s="646" t="str">
        <f>IF(ISERROR(R167/R172),"",R167/R172)</f>
        <v/>
      </c>
      <c r="U167" s="646"/>
      <c r="V167" s="643" t="s">
        <v>263</v>
      </c>
      <c r="W167" s="643"/>
      <c r="X167" s="647">
        <f>SUM(P29,P87,P122,P138,P148,P163)</f>
        <v>0</v>
      </c>
      <c r="Y167" s="647"/>
      <c r="Z167" s="646" t="str">
        <f>IF(ISERROR(X167/X172),"",X167/X172)</f>
        <v/>
      </c>
      <c r="AA167" s="646"/>
    </row>
    <row r="168" spans="1:27" ht="20.100000000000001" customHeight="1">
      <c r="A168" s="636"/>
      <c r="B168" s="423" t="s">
        <v>264</v>
      </c>
      <c r="C168" s="638">
        <v>1</v>
      </c>
      <c r="D168" s="639"/>
      <c r="E168" s="642">
        <f>C168*11</f>
        <v>11</v>
      </c>
      <c r="F168" s="642"/>
      <c r="G168" s="643">
        <v>1</v>
      </c>
      <c r="H168" s="643"/>
      <c r="I168" s="642">
        <f>G168*11</f>
        <v>11</v>
      </c>
      <c r="J168" s="642"/>
      <c r="K168" s="642">
        <f>E168-I168</f>
        <v>0</v>
      </c>
      <c r="L168" s="642"/>
      <c r="M168" s="644">
        <f>IF(ISERROR(K168/E168),"",K168/E168)</f>
        <v>0</v>
      </c>
      <c r="N168" s="644"/>
      <c r="O168" s="640"/>
      <c r="P168" s="643" t="s">
        <v>231</v>
      </c>
      <c r="Q168" s="643"/>
      <c r="R168" s="645">
        <f>SUM(O137:U137)</f>
        <v>0</v>
      </c>
      <c r="S168" s="645"/>
      <c r="T168" s="646" t="str">
        <f>IF(ISERROR(R168/R172),"",R168/R172)</f>
        <v/>
      </c>
      <c r="U168" s="646"/>
      <c r="V168" s="643" t="s">
        <v>265</v>
      </c>
      <c r="W168" s="643"/>
      <c r="X168" s="647">
        <f>SUM(P31,P88,P123,P139,P149,P164)</f>
        <v>0</v>
      </c>
      <c r="Y168" s="647"/>
      <c r="Z168" s="646" t="str">
        <f>IF(ISERROR(X168/X172),"",X168/X172)</f>
        <v/>
      </c>
      <c r="AA168" s="646"/>
    </row>
    <row r="169" spans="1:27" ht="20.100000000000001" customHeight="1">
      <c r="A169" s="637"/>
      <c r="B169" s="423" t="s">
        <v>266</v>
      </c>
      <c r="C169" s="648">
        <f>SUM(C165:D168)</f>
        <v>4</v>
      </c>
      <c r="D169" s="649"/>
      <c r="E169" s="642">
        <f>SUM(E165:F168)</f>
        <v>41</v>
      </c>
      <c r="F169" s="642"/>
      <c r="G169" s="643">
        <f>SUM(G165:H168)</f>
        <v>4</v>
      </c>
      <c r="H169" s="643"/>
      <c r="I169" s="642">
        <f>SUM(I165:J168)</f>
        <v>41</v>
      </c>
      <c r="J169" s="642"/>
      <c r="K169" s="642">
        <f>SUM(K165:L168)</f>
        <v>0</v>
      </c>
      <c r="L169" s="642"/>
      <c r="M169" s="644">
        <f>IF(ISERROR(K169/E169),"",K169/E169)</f>
        <v>0</v>
      </c>
      <c r="N169" s="644"/>
      <c r="O169" s="640"/>
      <c r="P169" s="643" t="s">
        <v>234</v>
      </c>
      <c r="Q169" s="643"/>
      <c r="R169" s="645">
        <f>SUM(O147:U147)</f>
        <v>0</v>
      </c>
      <c r="S169" s="645"/>
      <c r="T169" s="646" t="str">
        <f>IF(ISERROR(R169/R172),"",R169/R172)</f>
        <v/>
      </c>
      <c r="U169" s="646"/>
      <c r="V169" s="643" t="s">
        <v>267</v>
      </c>
      <c r="W169" s="643"/>
      <c r="X169" s="647">
        <f>SUM(P32,P89,P124,P140,P150,P165)</f>
        <v>0</v>
      </c>
      <c r="Y169" s="647"/>
      <c r="Z169" s="646" t="str">
        <f>IF(ISERROR(X169/X172),"",X169/X172)</f>
        <v/>
      </c>
      <c r="AA169" s="646"/>
    </row>
    <row r="170" spans="1:27" ht="20.100000000000001" customHeight="1">
      <c r="A170" s="307" t="s">
        <v>477</v>
      </c>
      <c r="B170" s="423">
        <f>G163</f>
        <v>1517</v>
      </c>
      <c r="C170" s="650" t="s">
        <v>269</v>
      </c>
      <c r="D170" s="651"/>
      <c r="E170" s="643">
        <f>H163</f>
        <v>7750.67</v>
      </c>
      <c r="F170" s="643"/>
      <c r="G170" s="643" t="s">
        <v>270</v>
      </c>
      <c r="H170" s="643"/>
      <c r="I170" s="652">
        <f>L163</f>
        <v>9.6025728287503416</v>
      </c>
      <c r="J170" s="652"/>
      <c r="K170" s="640" t="s">
        <v>271</v>
      </c>
      <c r="L170" s="640"/>
      <c r="M170" s="652">
        <f>J163</f>
        <v>22.675635276532134</v>
      </c>
      <c r="N170" s="652"/>
      <c r="O170" s="640"/>
      <c r="P170" s="643" t="s">
        <v>244</v>
      </c>
      <c r="Q170" s="643"/>
      <c r="R170" s="645">
        <f>SUM(O162:U162)</f>
        <v>0</v>
      </c>
      <c r="S170" s="645"/>
      <c r="T170" s="646" t="str">
        <f>IF(ISERROR(R170/R172),"",R170/R172)</f>
        <v/>
      </c>
      <c r="U170" s="646"/>
      <c r="V170" s="643" t="s">
        <v>272</v>
      </c>
      <c r="W170" s="643"/>
      <c r="X170" s="647">
        <f>SUM(P33,P90,P125,P141,P151,P166)</f>
        <v>0</v>
      </c>
      <c r="Y170" s="647"/>
      <c r="Z170" s="646" t="str">
        <f>IF(ISERROR(X170/X172),"",X170/X172)</f>
        <v/>
      </c>
      <c r="AA170" s="646"/>
    </row>
    <row r="171" spans="1:27" ht="20.100000000000001" customHeight="1">
      <c r="A171" s="308" t="s">
        <v>478</v>
      </c>
      <c r="B171" s="423">
        <f>I163+C169</f>
        <v>70.900000000000006</v>
      </c>
      <c r="C171" s="653" t="s">
        <v>251</v>
      </c>
      <c r="D171" s="654"/>
      <c r="E171" s="655">
        <f>K163+I169</f>
        <v>198.97849462365591</v>
      </c>
      <c r="F171" s="655"/>
      <c r="G171" s="643" t="s">
        <v>274</v>
      </c>
      <c r="H171" s="643"/>
      <c r="I171" s="652">
        <f>B171-E171</f>
        <v>-128.0784946236559</v>
      </c>
      <c r="J171" s="652"/>
      <c r="K171" s="640" t="s">
        <v>275</v>
      </c>
      <c r="L171" s="640"/>
      <c r="M171" s="644">
        <f>IF(ISERROR(I171/E171),"",I171/E171)</f>
        <v>-0.64368008646311803</v>
      </c>
      <c r="N171" s="644"/>
      <c r="O171" s="640"/>
      <c r="P171" s="643" t="s">
        <v>245</v>
      </c>
      <c r="Q171" s="643"/>
      <c r="R171" s="645"/>
      <c r="S171" s="645"/>
      <c r="T171" s="646" t="str">
        <f>IF(ISERROR(R171/R172),"",R171/R172)</f>
        <v/>
      </c>
      <c r="U171" s="646"/>
      <c r="V171" s="643" t="s">
        <v>264</v>
      </c>
      <c r="W171" s="643"/>
      <c r="X171" s="647"/>
      <c r="Y171" s="647"/>
      <c r="Z171" s="646" t="str">
        <f>IF(ISERROR(X171/X172),"",X171/X172)</f>
        <v/>
      </c>
      <c r="AA171" s="646"/>
    </row>
    <row r="172" spans="1:27" ht="20.100000000000001" customHeight="1">
      <c r="A172" s="308" t="s">
        <v>479</v>
      </c>
      <c r="B172" s="423">
        <f>N163</f>
        <v>0</v>
      </c>
      <c r="C172" s="653" t="s">
        <v>277</v>
      </c>
      <c r="D172" s="654"/>
      <c r="E172" s="646">
        <f>IF(ISERROR(B172/B171),"",B172/B171)</f>
        <v>0</v>
      </c>
      <c r="F172" s="646"/>
      <c r="G172" s="643" t="s">
        <v>278</v>
      </c>
      <c r="H172" s="643"/>
      <c r="I172" s="640">
        <f>V163</f>
        <v>0</v>
      </c>
      <c r="J172" s="640"/>
      <c r="K172" s="640" t="s">
        <v>279</v>
      </c>
      <c r="L172" s="640"/>
      <c r="M172" s="644">
        <f t="array" ref="M172">IF(ISERROR(I172/B170),"",I172/B170)</f>
        <v>0</v>
      </c>
      <c r="N172" s="644"/>
      <c r="O172" s="640"/>
      <c r="P172" s="643" t="s">
        <v>266</v>
      </c>
      <c r="Q172" s="643"/>
      <c r="R172" s="645">
        <f>SUM(R165:S171)</f>
        <v>0</v>
      </c>
      <c r="S172" s="645"/>
      <c r="T172" s="646"/>
      <c r="U172" s="646"/>
      <c r="V172" s="643" t="s">
        <v>266</v>
      </c>
      <c r="W172" s="643"/>
      <c r="X172" s="647">
        <f>SUM(X165:Y171)</f>
        <v>0</v>
      </c>
      <c r="Y172" s="647"/>
      <c r="Z172" s="646"/>
      <c r="AA172" s="646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56" t="s">
        <v>480</v>
      </c>
      <c r="B174" s="659" t="s">
        <v>280</v>
      </c>
      <c r="C174" s="659" t="s">
        <v>281</v>
      </c>
      <c r="D174" s="659" t="s">
        <v>282</v>
      </c>
      <c r="E174" s="662" t="s">
        <v>283</v>
      </c>
      <c r="F174" s="675" t="s">
        <v>284</v>
      </c>
      <c r="G174" s="640" t="s">
        <v>285</v>
      </c>
      <c r="H174" s="640"/>
      <c r="I174" s="659" t="s">
        <v>286</v>
      </c>
      <c r="J174" s="665" t="s">
        <v>271</v>
      </c>
      <c r="K174" s="668" t="s">
        <v>287</v>
      </c>
      <c r="L174" s="659" t="s">
        <v>270</v>
      </c>
      <c r="M174" s="671" t="s">
        <v>288</v>
      </c>
      <c r="N174" s="673" t="s">
        <v>252</v>
      </c>
      <c r="O174" s="640" t="s">
        <v>289</v>
      </c>
      <c r="P174" s="640"/>
      <c r="Q174" s="640"/>
      <c r="R174" s="640"/>
      <c r="S174" s="640"/>
      <c r="T174" s="640"/>
      <c r="U174" s="640"/>
      <c r="V174" s="640" t="s">
        <v>290</v>
      </c>
      <c r="W174" s="673" t="s">
        <v>291</v>
      </c>
      <c r="X174" s="640" t="s">
        <v>292</v>
      </c>
      <c r="Y174" s="640"/>
      <c r="Z174" s="640"/>
      <c r="AA174" s="640"/>
    </row>
    <row r="175" spans="1:27" ht="21.95" customHeight="1">
      <c r="A175" s="657"/>
      <c r="B175" s="660"/>
      <c r="C175" s="660"/>
      <c r="D175" s="660"/>
      <c r="E175" s="663"/>
      <c r="F175" s="676"/>
      <c r="G175" s="640"/>
      <c r="H175" s="640"/>
      <c r="I175" s="660"/>
      <c r="J175" s="666"/>
      <c r="K175" s="669"/>
      <c r="L175" s="660"/>
      <c r="M175" s="672"/>
      <c r="N175" s="673"/>
      <c r="O175" s="640" t="s">
        <v>259</v>
      </c>
      <c r="P175" s="640" t="s">
        <v>261</v>
      </c>
      <c r="Q175" s="640" t="s">
        <v>263</v>
      </c>
      <c r="R175" s="674" t="s">
        <v>265</v>
      </c>
      <c r="S175" s="643" t="s">
        <v>267</v>
      </c>
      <c r="T175" s="640" t="s">
        <v>272</v>
      </c>
      <c r="U175" s="640" t="s">
        <v>264</v>
      </c>
      <c r="V175" s="640"/>
      <c r="W175" s="673"/>
      <c r="X175" s="640" t="s">
        <v>293</v>
      </c>
      <c r="Y175" s="640" t="s">
        <v>294</v>
      </c>
      <c r="Z175" s="640" t="s">
        <v>295</v>
      </c>
      <c r="AA175" s="640" t="s">
        <v>264</v>
      </c>
    </row>
    <row r="176" spans="1:27" ht="21.95" customHeight="1">
      <c r="A176" s="658"/>
      <c r="B176" s="661"/>
      <c r="C176" s="661"/>
      <c r="D176" s="661"/>
      <c r="E176" s="664"/>
      <c r="F176" s="677"/>
      <c r="G176" s="348" t="s">
        <v>519</v>
      </c>
      <c r="H176" s="427" t="s">
        <v>297</v>
      </c>
      <c r="I176" s="661"/>
      <c r="J176" s="667"/>
      <c r="K176" s="670"/>
      <c r="L176" s="661"/>
      <c r="M176" s="672"/>
      <c r="N176" s="673"/>
      <c r="O176" s="640"/>
      <c r="P176" s="640"/>
      <c r="Q176" s="640"/>
      <c r="R176" s="674"/>
      <c r="S176" s="643"/>
      <c r="T176" s="640"/>
      <c r="U176" s="640"/>
      <c r="V176" s="640"/>
      <c r="W176" s="673"/>
      <c r="X176" s="640"/>
      <c r="Y176" s="640"/>
      <c r="Z176" s="640"/>
      <c r="AA176" s="640"/>
    </row>
    <row r="177" spans="1:27" ht="20.100000000000001" hidden="1" customHeight="1">
      <c r="A177" s="299">
        <v>30100030</v>
      </c>
      <c r="B177" s="420" t="s">
        <v>178</v>
      </c>
      <c r="C177" s="126" t="s">
        <v>179</v>
      </c>
      <c r="D177" s="108">
        <v>5.03</v>
      </c>
      <c r="E177" s="108"/>
      <c r="F177" s="127"/>
      <c r="G177" s="128"/>
      <c r="H177" s="421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429"/>
      <c r="P177" s="429"/>
      <c r="Q177" s="429"/>
      <c r="R177" s="429"/>
      <c r="S177" s="429"/>
      <c r="T177" s="429"/>
      <c r="U177" s="429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421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429"/>
      <c r="P178" s="429"/>
      <c r="Q178" s="429"/>
      <c r="R178" s="429"/>
      <c r="S178" s="429"/>
      <c r="T178" s="429"/>
      <c r="U178" s="429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421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429"/>
      <c r="P179" s="429"/>
      <c r="Q179" s="429"/>
      <c r="R179" s="429"/>
      <c r="S179" s="429"/>
      <c r="T179" s="429"/>
      <c r="U179" s="42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421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29"/>
      <c r="P180" s="429"/>
      <c r="Q180" s="429"/>
      <c r="R180" s="429"/>
      <c r="S180" s="429"/>
      <c r="T180" s="429"/>
      <c r="U180" s="42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421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429"/>
      <c r="P181" s="429"/>
      <c r="Q181" s="429"/>
      <c r="R181" s="429"/>
      <c r="S181" s="429"/>
      <c r="T181" s="429"/>
      <c r="U181" s="429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421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429"/>
      <c r="P182" s="429"/>
      <c r="Q182" s="429"/>
      <c r="R182" s="429"/>
      <c r="S182" s="429"/>
      <c r="T182" s="429"/>
      <c r="U182" s="429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421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429"/>
      <c r="P183" s="429"/>
      <c r="Q183" s="429"/>
      <c r="R183" s="429"/>
      <c r="S183" s="429"/>
      <c r="T183" s="429"/>
      <c r="U183" s="429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421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29"/>
      <c r="P184" s="429"/>
      <c r="Q184" s="429"/>
      <c r="R184" s="429"/>
      <c r="S184" s="429"/>
      <c r="T184" s="429"/>
      <c r="U184" s="429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421">
        <f t="shared" si="77"/>
        <v>0</v>
      </c>
      <c r="I185" s="421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429"/>
      <c r="P185" s="429"/>
      <c r="Q185" s="429"/>
      <c r="R185" s="429"/>
      <c r="S185" s="429"/>
      <c r="T185" s="429"/>
      <c r="U185" s="429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421">
        <f t="shared" si="77"/>
        <v>0</v>
      </c>
      <c r="I186" s="421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429"/>
      <c r="P186" s="429"/>
      <c r="Q186" s="429"/>
      <c r="R186" s="429"/>
      <c r="S186" s="429"/>
      <c r="T186" s="429"/>
      <c r="U186" s="42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421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429"/>
      <c r="P187" s="429"/>
      <c r="Q187" s="429"/>
      <c r="R187" s="429"/>
      <c r="S187" s="429"/>
      <c r="T187" s="429"/>
      <c r="U187" s="429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421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29"/>
      <c r="P188" s="429"/>
      <c r="Q188" s="429"/>
      <c r="R188" s="429"/>
      <c r="S188" s="429"/>
      <c r="T188" s="429"/>
      <c r="U188" s="429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421">
        <f t="shared" ref="H189:H197" si="82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3">IF(ISERROR(I189-K189),"",I189-K189)</f>
        <v>0</v>
      </c>
      <c r="N189" s="130">
        <f t="shared" ref="N189:N191" si="84">SUM(O189:U189)</f>
        <v>0</v>
      </c>
      <c r="O189" s="429"/>
      <c r="P189" s="429"/>
      <c r="Q189" s="429"/>
      <c r="R189" s="429"/>
      <c r="S189" s="429"/>
      <c r="T189" s="429"/>
      <c r="U189" s="429"/>
      <c r="V189" s="132">
        <f t="shared" ref="V189:V191" si="85">SUM(X189:AA189)</f>
        <v>0</v>
      </c>
      <c r="W189" s="133" t="str">
        <f t="shared" ref="W189:W191" si="86">IF(ISERROR(V189/G189),"",V189/G189)</f>
        <v/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421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429"/>
      <c r="P190" s="429"/>
      <c r="Q190" s="429"/>
      <c r="R190" s="429"/>
      <c r="S190" s="429"/>
      <c r="T190" s="429"/>
      <c r="U190" s="429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421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429"/>
      <c r="P191" s="429"/>
      <c r="Q191" s="429"/>
      <c r="R191" s="429"/>
      <c r="S191" s="429"/>
      <c r="T191" s="429"/>
      <c r="U191" s="429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427" t="s">
        <v>190</v>
      </c>
      <c r="D192" s="108">
        <v>4.8</v>
      </c>
      <c r="E192" s="108"/>
      <c r="F192" s="127"/>
      <c r="G192" s="128"/>
      <c r="H192" s="421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429"/>
      <c r="P192" s="429"/>
      <c r="Q192" s="429"/>
      <c r="R192" s="429"/>
      <c r="S192" s="429"/>
      <c r="T192" s="429"/>
      <c r="U192" s="429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427" t="s">
        <v>187</v>
      </c>
      <c r="D193" s="108">
        <v>4.8</v>
      </c>
      <c r="E193" s="108"/>
      <c r="F193" s="127"/>
      <c r="G193" s="128"/>
      <c r="H193" s="421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29"/>
      <c r="P193" s="429"/>
      <c r="Q193" s="429"/>
      <c r="R193" s="429"/>
      <c r="S193" s="429"/>
      <c r="T193" s="429"/>
      <c r="U193" s="429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427" t="s">
        <v>179</v>
      </c>
      <c r="D194" s="108">
        <v>4.8</v>
      </c>
      <c r="E194" s="108"/>
      <c r="F194" s="127"/>
      <c r="G194" s="128"/>
      <c r="H194" s="421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29"/>
      <c r="P194" s="429"/>
      <c r="Q194" s="429"/>
      <c r="R194" s="429"/>
      <c r="S194" s="429"/>
      <c r="T194" s="429"/>
      <c r="U194" s="429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427" t="s">
        <v>199</v>
      </c>
      <c r="D195" s="108">
        <v>4.8</v>
      </c>
      <c r="E195" s="108"/>
      <c r="F195" s="127"/>
      <c r="G195" s="128"/>
      <c r="H195" s="421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29"/>
      <c r="P195" s="429"/>
      <c r="Q195" s="429"/>
      <c r="R195" s="429"/>
      <c r="S195" s="429"/>
      <c r="T195" s="429"/>
      <c r="U195" s="429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421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429"/>
      <c r="P196" s="429"/>
      <c r="Q196" s="429"/>
      <c r="R196" s="429"/>
      <c r="S196" s="429"/>
      <c r="T196" s="429"/>
      <c r="U196" s="429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421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429"/>
      <c r="P197" s="429"/>
      <c r="Q197" s="429"/>
      <c r="R197" s="429"/>
      <c r="S197" s="429"/>
      <c r="T197" s="429"/>
      <c r="U197" s="429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hidden="1" customHeight="1">
      <c r="A198" s="630" t="s">
        <v>201</v>
      </c>
      <c r="B198" s="631"/>
      <c r="C198" s="430" t="s">
        <v>202</v>
      </c>
      <c r="D198" s="143"/>
      <c r="E198" s="143"/>
      <c r="F198" s="144"/>
      <c r="G198" s="145">
        <f>SUM(G177:G197)</f>
        <v>0</v>
      </c>
      <c r="H198" s="146">
        <f>SUM(H177:H197)</f>
        <v>0</v>
      </c>
      <c r="I198" s="146">
        <f>SUM(I177:I197)</f>
        <v>0</v>
      </c>
      <c r="J198" s="130" t="str">
        <f t="array" ref="J198">IF(ISERROR(G198/I198),"",G198/I198)</f>
        <v/>
      </c>
      <c r="K198" s="146">
        <f>SUM(K177:K197)</f>
        <v>0</v>
      </c>
      <c r="L198" s="147"/>
      <c r="M198" s="150">
        <f t="shared" ref="M198:AA198" si="90">SUM(M177:M197)</f>
        <v>0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420" t="s">
        <v>206</v>
      </c>
      <c r="C199" s="126" t="s">
        <v>199</v>
      </c>
      <c r="D199" s="108">
        <v>5.03</v>
      </c>
      <c r="E199" s="108"/>
      <c r="F199" s="127"/>
      <c r="G199" s="128"/>
      <c r="H199" s="421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425"/>
      <c r="P199" s="425"/>
      <c r="Q199" s="425"/>
      <c r="R199" s="425"/>
      <c r="S199" s="425"/>
      <c r="T199" s="425"/>
      <c r="U199" s="425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420" t="s">
        <v>425</v>
      </c>
      <c r="C200" s="187" t="s">
        <v>427</v>
      </c>
      <c r="D200" s="108">
        <v>5.03</v>
      </c>
      <c r="E200" s="108"/>
      <c r="F200" s="127"/>
      <c r="G200" s="128"/>
      <c r="H200" s="421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425"/>
      <c r="P200" s="425"/>
      <c r="Q200" s="425"/>
      <c r="R200" s="425"/>
      <c r="S200" s="425"/>
      <c r="T200" s="425"/>
      <c r="U200" s="425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420" t="s">
        <v>206</v>
      </c>
      <c r="C201" s="126" t="s">
        <v>186</v>
      </c>
      <c r="D201" s="108">
        <v>5.03</v>
      </c>
      <c r="E201" s="108"/>
      <c r="F201" s="127"/>
      <c r="G201" s="128"/>
      <c r="H201" s="421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425"/>
      <c r="P201" s="425"/>
      <c r="Q201" s="425"/>
      <c r="R201" s="425"/>
      <c r="S201" s="425"/>
      <c r="T201" s="425"/>
      <c r="U201" s="425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420" t="s">
        <v>206</v>
      </c>
      <c r="C202" s="126" t="s">
        <v>203</v>
      </c>
      <c r="D202" s="108">
        <v>5.03</v>
      </c>
      <c r="E202" s="108"/>
      <c r="F202" s="127"/>
      <c r="G202" s="128"/>
      <c r="H202" s="421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425"/>
      <c r="P202" s="425"/>
      <c r="Q202" s="425"/>
      <c r="R202" s="425"/>
      <c r="S202" s="425"/>
      <c r="T202" s="425"/>
      <c r="U202" s="425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420" t="s">
        <v>206</v>
      </c>
      <c r="C203" s="126" t="s">
        <v>207</v>
      </c>
      <c r="D203" s="108">
        <v>5.03</v>
      </c>
      <c r="E203" s="108"/>
      <c r="F203" s="127"/>
      <c r="G203" s="128"/>
      <c r="H203" s="421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0">IF(ISERROR(I203-K203),"",I203-K203)</f>
        <v>0</v>
      </c>
      <c r="N203" s="130">
        <f t="shared" si="97"/>
        <v>0</v>
      </c>
      <c r="O203" s="425"/>
      <c r="P203" s="425"/>
      <c r="Q203" s="425"/>
      <c r="R203" s="425"/>
      <c r="S203" s="425"/>
      <c r="T203" s="425"/>
      <c r="U203" s="425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420" t="s">
        <v>414</v>
      </c>
      <c r="C204" s="187" t="s">
        <v>415</v>
      </c>
      <c r="D204" s="108">
        <v>5.03</v>
      </c>
      <c r="E204" s="108"/>
      <c r="F204" s="127"/>
      <c r="G204" s="128"/>
      <c r="H204" s="421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425"/>
      <c r="P204" s="425"/>
      <c r="Q204" s="425"/>
      <c r="R204" s="425"/>
      <c r="S204" s="425"/>
      <c r="T204" s="425"/>
      <c r="U204" s="425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420" t="s">
        <v>414</v>
      </c>
      <c r="C205" s="187" t="s">
        <v>416</v>
      </c>
      <c r="D205" s="108">
        <v>5.03</v>
      </c>
      <c r="E205" s="108"/>
      <c r="F205" s="127"/>
      <c r="G205" s="128"/>
      <c r="H205" s="421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425"/>
      <c r="P205" s="425"/>
      <c r="Q205" s="425"/>
      <c r="R205" s="425"/>
      <c r="S205" s="425"/>
      <c r="T205" s="425"/>
      <c r="U205" s="425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420" t="s">
        <v>414</v>
      </c>
      <c r="C206" s="187" t="s">
        <v>61</v>
      </c>
      <c r="D206" s="108">
        <v>5.03</v>
      </c>
      <c r="E206" s="108"/>
      <c r="F206" s="127"/>
      <c r="G206" s="128"/>
      <c r="H206" s="421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425"/>
      <c r="P206" s="425"/>
      <c r="Q206" s="425"/>
      <c r="R206" s="425"/>
      <c r="S206" s="425"/>
      <c r="T206" s="425"/>
      <c r="U206" s="425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420" t="s">
        <v>208</v>
      </c>
      <c r="C207" s="126" t="s">
        <v>179</v>
      </c>
      <c r="D207" s="108">
        <v>5.08</v>
      </c>
      <c r="E207" s="108"/>
      <c r="F207" s="127"/>
      <c r="G207" s="128"/>
      <c r="H207" s="421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1">IF(ISERROR(I207-K207),"",I207-K207)</f>
        <v>0</v>
      </c>
      <c r="N207" s="130">
        <f t="shared" ref="N207:N236" si="102">SUM(O207:U207)</f>
        <v>0</v>
      </c>
      <c r="O207" s="425"/>
      <c r="P207" s="425"/>
      <c r="Q207" s="425"/>
      <c r="R207" s="425"/>
      <c r="S207" s="425"/>
      <c r="T207" s="425"/>
      <c r="U207" s="425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420" t="s">
        <v>208</v>
      </c>
      <c r="C208" s="126" t="s">
        <v>204</v>
      </c>
      <c r="D208" s="108">
        <v>5.08</v>
      </c>
      <c r="E208" s="108"/>
      <c r="F208" s="127"/>
      <c r="G208" s="128"/>
      <c r="H208" s="421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425"/>
      <c r="P208" s="425"/>
      <c r="Q208" s="425"/>
      <c r="R208" s="425"/>
      <c r="S208" s="425"/>
      <c r="T208" s="425"/>
      <c r="U208" s="425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420" t="s">
        <v>208</v>
      </c>
      <c r="C209" s="126" t="s">
        <v>205</v>
      </c>
      <c r="D209" s="108">
        <v>5.08</v>
      </c>
      <c r="E209" s="108"/>
      <c r="F209" s="127"/>
      <c r="G209" s="128"/>
      <c r="H209" s="421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25"/>
      <c r="P209" s="425"/>
      <c r="Q209" s="425"/>
      <c r="R209" s="425"/>
      <c r="S209" s="425"/>
      <c r="T209" s="425"/>
      <c r="U209" s="425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420" t="s">
        <v>208</v>
      </c>
      <c r="C210" s="126" t="s">
        <v>186</v>
      </c>
      <c r="D210" s="108">
        <v>5.08</v>
      </c>
      <c r="E210" s="108"/>
      <c r="F210" s="127"/>
      <c r="G210" s="128"/>
      <c r="H210" s="421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25"/>
      <c r="P210" s="425"/>
      <c r="Q210" s="425"/>
      <c r="R210" s="425"/>
      <c r="S210" s="425"/>
      <c r="T210" s="425"/>
      <c r="U210" s="425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420" t="s">
        <v>208</v>
      </c>
      <c r="C211" s="126" t="s">
        <v>203</v>
      </c>
      <c r="D211" s="108">
        <v>5.08</v>
      </c>
      <c r="E211" s="108"/>
      <c r="F211" s="127"/>
      <c r="G211" s="128"/>
      <c r="H211" s="421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25"/>
      <c r="P211" s="425"/>
      <c r="Q211" s="425"/>
      <c r="R211" s="425"/>
      <c r="S211" s="425"/>
      <c r="T211" s="425"/>
      <c r="U211" s="425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420" t="s">
        <v>208</v>
      </c>
      <c r="C212" s="126" t="s">
        <v>199</v>
      </c>
      <c r="D212" s="108">
        <v>5.08</v>
      </c>
      <c r="E212" s="108"/>
      <c r="F212" s="127"/>
      <c r="G212" s="128"/>
      <c r="H212" s="421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29"/>
      <c r="P212" s="429"/>
      <c r="Q212" s="429"/>
      <c r="R212" s="429"/>
      <c r="S212" s="429"/>
      <c r="T212" s="429"/>
      <c r="U212" s="429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420" t="s">
        <v>208</v>
      </c>
      <c r="C213" s="126" t="s">
        <v>187</v>
      </c>
      <c r="D213" s="108">
        <v>5.08</v>
      </c>
      <c r="E213" s="108"/>
      <c r="F213" s="127"/>
      <c r="G213" s="128"/>
      <c r="H213" s="421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425"/>
      <c r="P213" s="425"/>
      <c r="Q213" s="425"/>
      <c r="R213" s="425"/>
      <c r="S213" s="425"/>
      <c r="T213" s="425"/>
      <c r="U213" s="425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420" t="s">
        <v>208</v>
      </c>
      <c r="C214" s="126" t="s">
        <v>207</v>
      </c>
      <c r="D214" s="108">
        <v>5.08</v>
      </c>
      <c r="E214" s="108"/>
      <c r="F214" s="127"/>
      <c r="G214" s="128"/>
      <c r="H214" s="421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29"/>
      <c r="P214" s="429"/>
      <c r="Q214" s="429"/>
      <c r="R214" s="429"/>
      <c r="S214" s="429"/>
      <c r="T214" s="429"/>
      <c r="U214" s="429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420" t="s">
        <v>209</v>
      </c>
      <c r="C215" s="126" t="s">
        <v>194</v>
      </c>
      <c r="D215" s="108">
        <v>5.03</v>
      </c>
      <c r="E215" s="108"/>
      <c r="F215" s="127"/>
      <c r="G215" s="128"/>
      <c r="H215" s="421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425"/>
      <c r="P215" s="425"/>
      <c r="Q215" s="425"/>
      <c r="R215" s="425"/>
      <c r="S215" s="425"/>
      <c r="T215" s="425"/>
      <c r="U215" s="425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420" t="s">
        <v>209</v>
      </c>
      <c r="C216" s="126" t="s">
        <v>179</v>
      </c>
      <c r="D216" s="108">
        <v>5.03</v>
      </c>
      <c r="E216" s="108"/>
      <c r="F216" s="127"/>
      <c r="G216" s="128"/>
      <c r="H216" s="421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25"/>
      <c r="P216" s="425"/>
      <c r="Q216" s="425"/>
      <c r="R216" s="425"/>
      <c r="S216" s="425"/>
      <c r="T216" s="425"/>
      <c r="U216" s="425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420" t="s">
        <v>209</v>
      </c>
      <c r="C217" s="126" t="s">
        <v>195</v>
      </c>
      <c r="D217" s="108">
        <v>5.03</v>
      </c>
      <c r="E217" s="108"/>
      <c r="F217" s="127"/>
      <c r="G217" s="128"/>
      <c r="H217" s="421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425"/>
      <c r="P217" s="425"/>
      <c r="Q217" s="425"/>
      <c r="R217" s="425"/>
      <c r="S217" s="425"/>
      <c r="T217" s="425"/>
      <c r="U217" s="425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420" t="s">
        <v>209</v>
      </c>
      <c r="C218" s="126" t="s">
        <v>204</v>
      </c>
      <c r="D218" s="108">
        <v>5.03</v>
      </c>
      <c r="E218" s="108"/>
      <c r="F218" s="127"/>
      <c r="G218" s="128"/>
      <c r="H218" s="421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425"/>
      <c r="P218" s="425"/>
      <c r="Q218" s="425"/>
      <c r="R218" s="425"/>
      <c r="S218" s="425"/>
      <c r="T218" s="425"/>
      <c r="U218" s="425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420" t="s">
        <v>382</v>
      </c>
      <c r="C219" s="187" t="s">
        <v>383</v>
      </c>
      <c r="D219" s="108">
        <v>5.03</v>
      </c>
      <c r="E219" s="108"/>
      <c r="F219" s="127"/>
      <c r="G219" s="128"/>
      <c r="H219" s="421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425"/>
      <c r="P219" s="425"/>
      <c r="Q219" s="425"/>
      <c r="R219" s="425"/>
      <c r="S219" s="425"/>
      <c r="T219" s="425"/>
      <c r="U219" s="425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420" t="s">
        <v>382</v>
      </c>
      <c r="C220" s="187" t="s">
        <v>384</v>
      </c>
      <c r="D220" s="108">
        <v>5.03</v>
      </c>
      <c r="E220" s="108"/>
      <c r="F220" s="127"/>
      <c r="G220" s="128"/>
      <c r="H220" s="421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25"/>
      <c r="P220" s="425"/>
      <c r="Q220" s="425"/>
      <c r="R220" s="425"/>
      <c r="S220" s="425"/>
      <c r="T220" s="425"/>
      <c r="U220" s="425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420" t="s">
        <v>382</v>
      </c>
      <c r="C221" s="187" t="s">
        <v>389</v>
      </c>
      <c r="D221" s="108">
        <v>5.03</v>
      </c>
      <c r="E221" s="108"/>
      <c r="F221" s="127"/>
      <c r="G221" s="128"/>
      <c r="H221" s="421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25"/>
      <c r="P221" s="425"/>
      <c r="Q221" s="425"/>
      <c r="R221" s="425"/>
      <c r="S221" s="425"/>
      <c r="T221" s="425"/>
      <c r="U221" s="425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420" t="s">
        <v>382</v>
      </c>
      <c r="C222" s="187" t="s">
        <v>391</v>
      </c>
      <c r="D222" s="108">
        <v>5.03</v>
      </c>
      <c r="E222" s="108"/>
      <c r="F222" s="127"/>
      <c r="G222" s="128"/>
      <c r="H222" s="421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25"/>
      <c r="P222" s="425"/>
      <c r="Q222" s="425"/>
      <c r="R222" s="425"/>
      <c r="S222" s="425"/>
      <c r="T222" s="425"/>
      <c r="U222" s="425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420" t="s">
        <v>418</v>
      </c>
      <c r="C223" s="187" t="s">
        <v>364</v>
      </c>
      <c r="D223" s="108">
        <v>5.03</v>
      </c>
      <c r="E223" s="108"/>
      <c r="F223" s="127"/>
      <c r="G223" s="128"/>
      <c r="H223" s="421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425"/>
      <c r="P223" s="425"/>
      <c r="Q223" s="425"/>
      <c r="R223" s="425"/>
      <c r="S223" s="425"/>
      <c r="T223" s="425"/>
      <c r="U223" s="425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420" t="s">
        <v>418</v>
      </c>
      <c r="C224" s="187" t="s">
        <v>365</v>
      </c>
      <c r="D224" s="108">
        <v>5.03</v>
      </c>
      <c r="E224" s="108"/>
      <c r="F224" s="127"/>
      <c r="G224" s="128"/>
      <c r="H224" s="421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25"/>
      <c r="P224" s="425"/>
      <c r="Q224" s="425"/>
      <c r="R224" s="425"/>
      <c r="S224" s="425"/>
      <c r="T224" s="425"/>
      <c r="U224" s="425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420" t="s">
        <v>418</v>
      </c>
      <c r="C225" s="187" t="s">
        <v>366</v>
      </c>
      <c r="D225" s="108">
        <v>5.03</v>
      </c>
      <c r="E225" s="108"/>
      <c r="F225" s="127"/>
      <c r="G225" s="128"/>
      <c r="H225" s="421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25"/>
      <c r="P225" s="425"/>
      <c r="Q225" s="425"/>
      <c r="R225" s="425"/>
      <c r="S225" s="425"/>
      <c r="T225" s="425"/>
      <c r="U225" s="425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420" t="s">
        <v>418</v>
      </c>
      <c r="C226" s="187" t="s">
        <v>367</v>
      </c>
      <c r="D226" s="108">
        <v>5.03</v>
      </c>
      <c r="E226" s="108"/>
      <c r="F226" s="127"/>
      <c r="G226" s="128"/>
      <c r="H226" s="421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25"/>
      <c r="P226" s="425"/>
      <c r="Q226" s="425"/>
      <c r="R226" s="425"/>
      <c r="S226" s="425"/>
      <c r="T226" s="425"/>
      <c r="U226" s="425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421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429"/>
      <c r="P227" s="429"/>
      <c r="Q227" s="429"/>
      <c r="R227" s="429"/>
      <c r="S227" s="429"/>
      <c r="T227" s="429"/>
      <c r="U227" s="429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421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429"/>
      <c r="P228" s="429"/>
      <c r="Q228" s="429"/>
      <c r="R228" s="429"/>
      <c r="S228" s="429"/>
      <c r="T228" s="429"/>
      <c r="U228" s="429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421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429"/>
      <c r="P229" s="429"/>
      <c r="Q229" s="429"/>
      <c r="R229" s="429"/>
      <c r="S229" s="429"/>
      <c r="T229" s="429"/>
      <c r="U229" s="429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421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429"/>
      <c r="P230" s="429"/>
      <c r="Q230" s="429"/>
      <c r="R230" s="429"/>
      <c r="S230" s="429"/>
      <c r="T230" s="429"/>
      <c r="U230" s="429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421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29"/>
      <c r="P231" s="429"/>
      <c r="Q231" s="429"/>
      <c r="R231" s="429"/>
      <c r="S231" s="429"/>
      <c r="T231" s="429"/>
      <c r="U231" s="429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421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29"/>
      <c r="P232" s="429"/>
      <c r="Q232" s="429"/>
      <c r="R232" s="429"/>
      <c r="S232" s="429"/>
      <c r="T232" s="429"/>
      <c r="U232" s="429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421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29"/>
      <c r="P233" s="429"/>
      <c r="Q233" s="429"/>
      <c r="R233" s="429"/>
      <c r="S233" s="429"/>
      <c r="T233" s="429"/>
      <c r="U233" s="429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421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29"/>
      <c r="P234" s="429"/>
      <c r="Q234" s="429"/>
      <c r="R234" s="429"/>
      <c r="S234" s="429"/>
      <c r="T234" s="429"/>
      <c r="U234" s="429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421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29"/>
      <c r="P235" s="429"/>
      <c r="Q235" s="429"/>
      <c r="R235" s="429"/>
      <c r="S235" s="429"/>
      <c r="T235" s="429"/>
      <c r="U235" s="429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421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29"/>
      <c r="P236" s="429"/>
      <c r="Q236" s="429"/>
      <c r="R236" s="429"/>
      <c r="S236" s="429"/>
      <c r="T236" s="429"/>
      <c r="U236" s="429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421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429"/>
      <c r="P237" s="429"/>
      <c r="Q237" s="429"/>
      <c r="R237" s="429"/>
      <c r="S237" s="429"/>
      <c r="T237" s="429"/>
      <c r="U237" s="429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421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7">IF(ISERROR(I238-K238),"",I238-K238)</f>
        <v>0</v>
      </c>
      <c r="N238" s="130"/>
      <c r="O238" s="429"/>
      <c r="P238" s="429"/>
      <c r="Q238" s="429"/>
      <c r="R238" s="429"/>
      <c r="S238" s="429"/>
      <c r="T238" s="429"/>
      <c r="U238" s="429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421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7"/>
        <v>0</v>
      </c>
      <c r="N239" s="130">
        <f t="shared" ref="N239:N240" si="108">SUM(O239:U239)</f>
        <v>0</v>
      </c>
      <c r="O239" s="429"/>
      <c r="P239" s="429"/>
      <c r="Q239" s="429"/>
      <c r="R239" s="429"/>
      <c r="S239" s="429"/>
      <c r="T239" s="429"/>
      <c r="U239" s="429"/>
      <c r="V239" s="132">
        <f t="shared" ref="V239:V240" si="109">SUM(X239:AA239)</f>
        <v>0</v>
      </c>
      <c r="W239" s="133" t="str">
        <f t="shared" ref="W239:W240" si="110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421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429"/>
      <c r="P240" s="429"/>
      <c r="Q240" s="429"/>
      <c r="R240" s="429"/>
      <c r="S240" s="429"/>
      <c r="T240" s="429"/>
      <c r="U240" s="429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421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429"/>
      <c r="P241" s="429"/>
      <c r="Q241" s="429"/>
      <c r="R241" s="429"/>
      <c r="S241" s="429"/>
      <c r="T241" s="429"/>
      <c r="U241" s="429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421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429"/>
      <c r="P242" s="429"/>
      <c r="Q242" s="429"/>
      <c r="R242" s="429"/>
      <c r="S242" s="429"/>
      <c r="T242" s="429"/>
      <c r="U242" s="429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421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429"/>
      <c r="P243" s="429"/>
      <c r="Q243" s="429"/>
      <c r="R243" s="429"/>
      <c r="S243" s="429"/>
      <c r="T243" s="429"/>
      <c r="U243" s="429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421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29"/>
      <c r="P244" s="429"/>
      <c r="Q244" s="429"/>
      <c r="R244" s="429"/>
      <c r="S244" s="429"/>
      <c r="T244" s="429"/>
      <c r="U244" s="429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421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29"/>
      <c r="P245" s="429"/>
      <c r="Q245" s="429"/>
      <c r="R245" s="429"/>
      <c r="S245" s="429"/>
      <c r="T245" s="429"/>
      <c r="U245" s="429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421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429"/>
      <c r="P246" s="429"/>
      <c r="Q246" s="429"/>
      <c r="R246" s="429"/>
      <c r="S246" s="429"/>
      <c r="T246" s="429"/>
      <c r="U246" s="429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421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29"/>
      <c r="P247" s="429"/>
      <c r="Q247" s="429"/>
      <c r="R247" s="429"/>
      <c r="S247" s="429"/>
      <c r="T247" s="429"/>
      <c r="U247" s="429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421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29"/>
      <c r="P248" s="429"/>
      <c r="Q248" s="429"/>
      <c r="R248" s="429"/>
      <c r="S248" s="429"/>
      <c r="T248" s="429"/>
      <c r="U248" s="429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421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29"/>
      <c r="P249" s="429"/>
      <c r="Q249" s="429"/>
      <c r="R249" s="429"/>
      <c r="S249" s="429"/>
      <c r="T249" s="429"/>
      <c r="U249" s="429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421">
        <f t="shared" si="91"/>
        <v>0</v>
      </c>
      <c r="I250" s="129"/>
      <c r="J250" s="130"/>
      <c r="K250" s="131"/>
      <c r="L250" s="129">
        <v>4</v>
      </c>
      <c r="M250" s="109"/>
      <c r="N250" s="130"/>
      <c r="O250" s="429"/>
      <c r="P250" s="429"/>
      <c r="Q250" s="429"/>
      <c r="R250" s="429"/>
      <c r="S250" s="429"/>
      <c r="T250" s="429"/>
      <c r="U250" s="429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421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29"/>
      <c r="P251" s="429"/>
      <c r="Q251" s="429"/>
      <c r="R251" s="429"/>
      <c r="S251" s="429"/>
      <c r="T251" s="429"/>
      <c r="U251" s="429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421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29"/>
      <c r="P252" s="429"/>
      <c r="Q252" s="429"/>
      <c r="R252" s="429"/>
      <c r="S252" s="429"/>
      <c r="T252" s="429"/>
      <c r="U252" s="429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421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29"/>
      <c r="P253" s="429"/>
      <c r="Q253" s="429"/>
      <c r="R253" s="429"/>
      <c r="S253" s="429"/>
      <c r="T253" s="429"/>
      <c r="U253" s="429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421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29"/>
      <c r="P254" s="429"/>
      <c r="Q254" s="429"/>
      <c r="R254" s="429"/>
      <c r="S254" s="429"/>
      <c r="T254" s="429"/>
      <c r="U254" s="429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421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29"/>
      <c r="P255" s="429"/>
      <c r="Q255" s="429"/>
      <c r="R255" s="429"/>
      <c r="S255" s="429"/>
      <c r="T255" s="429"/>
      <c r="U255" s="429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641" t="s">
        <v>216</v>
      </c>
      <c r="B256" s="641"/>
      <c r="C256" s="430" t="s">
        <v>202</v>
      </c>
      <c r="D256" s="143"/>
      <c r="E256" s="143"/>
      <c r="F256" s="144"/>
      <c r="G256" s="145">
        <f>SUM(G199:G255)</f>
        <v>0</v>
      </c>
      <c r="H256" s="146">
        <f>SUM(H199:H255)</f>
        <v>0</v>
      </c>
      <c r="I256" s="146">
        <f>SUM(I199:I255)</f>
        <v>0</v>
      </c>
      <c r="J256" s="130" t="str">
        <f t="array" ref="J256">IF(ISERROR(G256/I256),"",G256/I256)</f>
        <v/>
      </c>
      <c r="K256" s="146">
        <f>SUM(K199:K255)</f>
        <v>0</v>
      </c>
      <c r="L256" s="147"/>
      <c r="M256" s="150">
        <f t="shared" ref="M256:V256" si="114">SUM(M199:M255)</f>
        <v>0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 t="str">
        <f t="shared" ref="W256:W263" si="115">IF(ISERROR(V256/G256),"",V256/G256)</f>
        <v/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420" t="s">
        <v>217</v>
      </c>
      <c r="C257" s="126" t="s">
        <v>179</v>
      </c>
      <c r="D257" s="108">
        <v>5.03</v>
      </c>
      <c r="E257" s="108"/>
      <c r="F257" s="127"/>
      <c r="G257" s="128"/>
      <c r="H257" s="421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429"/>
      <c r="P257" s="429"/>
      <c r="Q257" s="429"/>
      <c r="R257" s="429"/>
      <c r="S257" s="429"/>
      <c r="T257" s="429"/>
      <c r="U257" s="429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420" t="s">
        <v>217</v>
      </c>
      <c r="C258" s="126" t="s">
        <v>186</v>
      </c>
      <c r="D258" s="108">
        <v>5.03</v>
      </c>
      <c r="E258" s="108"/>
      <c r="F258" s="127"/>
      <c r="G258" s="128"/>
      <c r="H258" s="421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429"/>
      <c r="P258" s="429"/>
      <c r="Q258" s="429"/>
      <c r="R258" s="429"/>
      <c r="S258" s="429"/>
      <c r="T258" s="429"/>
      <c r="U258" s="429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420" t="s">
        <v>217</v>
      </c>
      <c r="C259" s="126" t="s">
        <v>204</v>
      </c>
      <c r="D259" s="108">
        <v>5.03</v>
      </c>
      <c r="E259" s="108"/>
      <c r="F259" s="127"/>
      <c r="G259" s="128"/>
      <c r="H259" s="421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29"/>
      <c r="P259" s="429"/>
      <c r="Q259" s="429"/>
      <c r="R259" s="429"/>
      <c r="S259" s="429"/>
      <c r="T259" s="429"/>
      <c r="U259" s="429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421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429"/>
      <c r="P260" s="429"/>
      <c r="Q260" s="429"/>
      <c r="R260" s="429"/>
      <c r="S260" s="429"/>
      <c r="T260" s="429"/>
      <c r="U260" s="429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421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29"/>
      <c r="P261" s="429"/>
      <c r="Q261" s="429"/>
      <c r="R261" s="429"/>
      <c r="S261" s="429"/>
      <c r="T261" s="429"/>
      <c r="U261" s="429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421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29"/>
      <c r="P262" s="429"/>
      <c r="Q262" s="429"/>
      <c r="R262" s="429"/>
      <c r="S262" s="429"/>
      <c r="T262" s="429"/>
      <c r="U262" s="429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421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29"/>
      <c r="P263" s="429"/>
      <c r="Q263" s="429"/>
      <c r="R263" s="429"/>
      <c r="S263" s="429"/>
      <c r="T263" s="429"/>
      <c r="U263" s="429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421">
        <f t="shared" si="116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29"/>
      <c r="P264" s="429"/>
      <c r="Q264" s="429"/>
      <c r="R264" s="429"/>
      <c r="S264" s="429"/>
      <c r="T264" s="429"/>
      <c r="U264" s="429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421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29"/>
      <c r="P265" s="429"/>
      <c r="Q265" s="429"/>
      <c r="R265" s="429"/>
      <c r="S265" s="429"/>
      <c r="T265" s="429"/>
      <c r="U265" s="429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421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29"/>
      <c r="P266" s="429"/>
      <c r="Q266" s="429"/>
      <c r="R266" s="429"/>
      <c r="S266" s="429"/>
      <c r="T266" s="429"/>
      <c r="U266" s="42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421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29"/>
      <c r="P267" s="429"/>
      <c r="Q267" s="429"/>
      <c r="R267" s="429"/>
      <c r="S267" s="429"/>
      <c r="T267" s="429"/>
      <c r="U267" s="42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421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29"/>
      <c r="P268" s="429"/>
      <c r="Q268" s="429"/>
      <c r="R268" s="429"/>
      <c r="S268" s="429"/>
      <c r="T268" s="429"/>
      <c r="U268" s="42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421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0">IF(ISERROR(I269-K269),"",I269-K269)</f>
        <v>0</v>
      </c>
      <c r="N269" s="130">
        <f t="shared" ref="N269:N284" si="121">SUM(O269:U269)</f>
        <v>0</v>
      </c>
      <c r="O269" s="429"/>
      <c r="P269" s="429"/>
      <c r="Q269" s="429"/>
      <c r="R269" s="429"/>
      <c r="S269" s="429"/>
      <c r="T269" s="429"/>
      <c r="U269" s="429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421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429"/>
      <c r="P270" s="429"/>
      <c r="Q270" s="429"/>
      <c r="R270" s="429"/>
      <c r="S270" s="429"/>
      <c r="T270" s="429"/>
      <c r="U270" s="429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421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29"/>
      <c r="P271" s="429"/>
      <c r="Q271" s="429"/>
      <c r="R271" s="429"/>
      <c r="S271" s="429"/>
      <c r="T271" s="429"/>
      <c r="U271" s="429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421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29"/>
      <c r="P272" s="429"/>
      <c r="Q272" s="429"/>
      <c r="R272" s="429"/>
      <c r="S272" s="429"/>
      <c r="T272" s="429"/>
      <c r="U272" s="429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420" t="s">
        <v>222</v>
      </c>
      <c r="C273" s="126" t="s">
        <v>181</v>
      </c>
      <c r="D273" s="108">
        <v>9.36</v>
      </c>
      <c r="E273" s="108"/>
      <c r="F273" s="127"/>
      <c r="G273" s="128"/>
      <c r="H273" s="421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429"/>
      <c r="P273" s="429"/>
      <c r="Q273" s="429"/>
      <c r="R273" s="429"/>
      <c r="S273" s="429"/>
      <c r="T273" s="429"/>
      <c r="U273" s="429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420" t="s">
        <v>222</v>
      </c>
      <c r="C274" s="126" t="s">
        <v>179</v>
      </c>
      <c r="D274" s="108">
        <v>9.36</v>
      </c>
      <c r="E274" s="108"/>
      <c r="F274" s="127"/>
      <c r="G274" s="128"/>
      <c r="H274" s="421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29"/>
      <c r="P274" s="429"/>
      <c r="Q274" s="429"/>
      <c r="R274" s="429"/>
      <c r="S274" s="429"/>
      <c r="T274" s="429"/>
      <c r="U274" s="429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420" t="s">
        <v>222</v>
      </c>
      <c r="C275" s="126" t="s">
        <v>221</v>
      </c>
      <c r="D275" s="108">
        <v>9.36</v>
      </c>
      <c r="E275" s="108"/>
      <c r="F275" s="127"/>
      <c r="G275" s="128"/>
      <c r="H275" s="421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29"/>
      <c r="P275" s="429"/>
      <c r="Q275" s="429"/>
      <c r="R275" s="429"/>
      <c r="S275" s="429"/>
      <c r="T275" s="429"/>
      <c r="U275" s="429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420" t="s">
        <v>222</v>
      </c>
      <c r="C276" s="126" t="s">
        <v>186</v>
      </c>
      <c r="D276" s="108">
        <v>9.36</v>
      </c>
      <c r="E276" s="108"/>
      <c r="F276" s="127"/>
      <c r="G276" s="128"/>
      <c r="H276" s="421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29"/>
      <c r="P276" s="429"/>
      <c r="Q276" s="429"/>
      <c r="R276" s="429"/>
      <c r="S276" s="429"/>
      <c r="T276" s="429"/>
      <c r="U276" s="429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420" t="s">
        <v>393</v>
      </c>
      <c r="C277" s="187" t="s">
        <v>395</v>
      </c>
      <c r="D277" s="108">
        <v>5</v>
      </c>
      <c r="E277" s="108"/>
      <c r="F277" s="127"/>
      <c r="G277" s="128"/>
      <c r="H277" s="421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429"/>
      <c r="P277" s="429"/>
      <c r="Q277" s="429"/>
      <c r="R277" s="429"/>
      <c r="S277" s="429"/>
      <c r="T277" s="429"/>
      <c r="U277" s="429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420" t="s">
        <v>393</v>
      </c>
      <c r="C278" s="187" t="s">
        <v>402</v>
      </c>
      <c r="D278" s="108">
        <v>5</v>
      </c>
      <c r="E278" s="108"/>
      <c r="F278" s="127"/>
      <c r="G278" s="128"/>
      <c r="H278" s="421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29"/>
      <c r="P278" s="429"/>
      <c r="Q278" s="429"/>
      <c r="R278" s="429"/>
      <c r="S278" s="429"/>
      <c r="T278" s="429"/>
      <c r="U278" s="429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420" t="s">
        <v>404</v>
      </c>
      <c r="C279" s="187" t="s">
        <v>405</v>
      </c>
      <c r="D279" s="108">
        <v>5</v>
      </c>
      <c r="E279" s="108"/>
      <c r="F279" s="127"/>
      <c r="G279" s="128"/>
      <c r="H279" s="421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29"/>
      <c r="P279" s="429"/>
      <c r="Q279" s="429"/>
      <c r="R279" s="429"/>
      <c r="S279" s="429"/>
      <c r="T279" s="429"/>
      <c r="U279" s="429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420" t="s">
        <v>342</v>
      </c>
      <c r="C280" s="187" t="s">
        <v>372</v>
      </c>
      <c r="D280" s="108">
        <v>5</v>
      </c>
      <c r="E280" s="108"/>
      <c r="F280" s="127"/>
      <c r="G280" s="128"/>
      <c r="H280" s="421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29"/>
      <c r="P280" s="429"/>
      <c r="Q280" s="429"/>
      <c r="R280" s="429"/>
      <c r="S280" s="429"/>
      <c r="T280" s="429"/>
      <c r="U280" s="429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420" t="s">
        <v>343</v>
      </c>
      <c r="C281" s="126" t="s">
        <v>345</v>
      </c>
      <c r="D281" s="108">
        <v>5</v>
      </c>
      <c r="E281" s="108"/>
      <c r="F281" s="127"/>
      <c r="G281" s="128"/>
      <c r="H281" s="421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29"/>
      <c r="P281" s="429"/>
      <c r="Q281" s="429"/>
      <c r="R281" s="429"/>
      <c r="S281" s="429"/>
      <c r="T281" s="429"/>
      <c r="U281" s="429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420" t="s">
        <v>343</v>
      </c>
      <c r="C282" s="126" t="s">
        <v>347</v>
      </c>
      <c r="D282" s="108">
        <v>5</v>
      </c>
      <c r="E282" s="108"/>
      <c r="F282" s="127"/>
      <c r="G282" s="128"/>
      <c r="H282" s="421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29"/>
      <c r="P282" s="429"/>
      <c r="Q282" s="429"/>
      <c r="R282" s="429"/>
      <c r="S282" s="429"/>
      <c r="T282" s="429"/>
      <c r="U282" s="429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421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429"/>
      <c r="P283" s="429"/>
      <c r="Q283" s="429"/>
      <c r="R283" s="429"/>
      <c r="S283" s="429"/>
      <c r="T283" s="429"/>
      <c r="U283" s="429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421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429"/>
      <c r="P284" s="429"/>
      <c r="Q284" s="429"/>
      <c r="R284" s="429"/>
      <c r="S284" s="429"/>
      <c r="T284" s="429"/>
      <c r="U284" s="429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420</v>
      </c>
      <c r="D285" s="108">
        <v>5.03</v>
      </c>
      <c r="E285" s="108"/>
      <c r="F285" s="127"/>
      <c r="G285" s="128"/>
      <c r="H285" s="421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429"/>
      <c r="P285" s="429"/>
      <c r="Q285" s="429"/>
      <c r="R285" s="429"/>
      <c r="S285" s="429"/>
      <c r="T285" s="429"/>
      <c r="U285" s="429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421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429"/>
      <c r="P286" s="429"/>
      <c r="Q286" s="429"/>
      <c r="R286" s="429"/>
      <c r="S286" s="429"/>
      <c r="T286" s="429"/>
      <c r="U286" s="429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421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29"/>
      <c r="P287" s="429"/>
      <c r="Q287" s="429"/>
      <c r="R287" s="429"/>
      <c r="S287" s="429"/>
      <c r="T287" s="429"/>
      <c r="U287" s="429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421">
        <f t="shared" si="116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7">IF(ISERROR(I288-K288),"",I288-K288)</f>
        <v>0</v>
      </c>
      <c r="N288" s="130">
        <f t="shared" ref="N288:N290" si="128">SUM(O288:U288)</f>
        <v>0</v>
      </c>
      <c r="O288" s="429"/>
      <c r="P288" s="429"/>
      <c r="Q288" s="429"/>
      <c r="R288" s="429"/>
      <c r="S288" s="429"/>
      <c r="T288" s="429"/>
      <c r="U288" s="429"/>
      <c r="V288" s="132">
        <f t="shared" ref="V288:V290" si="129">SUM(X288:AA288)</f>
        <v>0</v>
      </c>
      <c r="W288" s="133" t="str">
        <f t="shared" ref="W288:W312" si="130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421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429"/>
      <c r="P289" s="429"/>
      <c r="Q289" s="429"/>
      <c r="R289" s="429"/>
      <c r="S289" s="429"/>
      <c r="T289" s="429"/>
      <c r="U289" s="429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421">
        <f t="shared" si="116"/>
        <v>0</v>
      </c>
      <c r="I290" s="129"/>
      <c r="J290" s="130" t="str">
        <f t="array" ref="J290">IF(ISERROR(G290/I290),"",G290/I290)</f>
        <v/>
      </c>
      <c r="K290" s="42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29"/>
      <c r="P290" s="429"/>
      <c r="Q290" s="429"/>
      <c r="R290" s="429"/>
      <c r="S290" s="429"/>
      <c r="T290" s="429"/>
      <c r="U290" s="429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630" t="s">
        <v>224</v>
      </c>
      <c r="B291" s="631"/>
      <c r="C291" s="430" t="s">
        <v>202</v>
      </c>
      <c r="D291" s="143"/>
      <c r="E291" s="143"/>
      <c r="F291" s="144"/>
      <c r="G291" s="145">
        <f>SUM(G257:G290)</f>
        <v>0</v>
      </c>
      <c r="H291" s="146">
        <f>SUM(H257:H290)</f>
        <v>0</v>
      </c>
      <c r="I291" s="146">
        <f>SUM(I257:I290)</f>
        <v>0</v>
      </c>
      <c r="J291" s="130" t="str">
        <f t="array" ref="J291">IF(ISERROR(G291/I291),"",G291/I291)</f>
        <v/>
      </c>
      <c r="K291" s="146">
        <f>SUM(K257:K290)</f>
        <v>0</v>
      </c>
      <c r="L291" s="147"/>
      <c r="M291" s="150">
        <f t="shared" ref="M291:V291" si="131">SUM(M257:M290)</f>
        <v>0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 t="str">
        <f t="shared" si="130"/>
        <v/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421">
        <f t="shared" ref="H292:H306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3">IF(ISERROR(I292-K292),"",I292-K292)</f>
        <v>0</v>
      </c>
      <c r="N292" s="130">
        <f t="shared" ref="N292:N306" si="134">SUM(O292:U292)</f>
        <v>0</v>
      </c>
      <c r="O292" s="429"/>
      <c r="P292" s="429"/>
      <c r="Q292" s="429"/>
      <c r="R292" s="429"/>
      <c r="S292" s="429"/>
      <c r="T292" s="429"/>
      <c r="U292" s="429"/>
      <c r="V292" s="132">
        <f t="shared" ref="V292:V306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421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429"/>
      <c r="P293" s="429"/>
      <c r="Q293" s="429"/>
      <c r="R293" s="429"/>
      <c r="S293" s="429"/>
      <c r="T293" s="429"/>
      <c r="U293" s="429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421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3"/>
        <v>0</v>
      </c>
      <c r="N294" s="130">
        <f t="shared" si="134"/>
        <v>0</v>
      </c>
      <c r="O294" s="429"/>
      <c r="P294" s="429"/>
      <c r="Q294" s="429"/>
      <c r="R294" s="429"/>
      <c r="S294" s="429"/>
      <c r="T294" s="429"/>
      <c r="U294" s="42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421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429"/>
      <c r="P295" s="429"/>
      <c r="Q295" s="429"/>
      <c r="R295" s="429"/>
      <c r="S295" s="429"/>
      <c r="T295" s="429"/>
      <c r="U295" s="42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426" t="s">
        <v>203</v>
      </c>
      <c r="D296" s="108">
        <v>5.03</v>
      </c>
      <c r="E296" s="108"/>
      <c r="F296" s="127"/>
      <c r="G296" s="128"/>
      <c r="H296" s="421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29"/>
      <c r="P296" s="429"/>
      <c r="Q296" s="429"/>
      <c r="R296" s="429"/>
      <c r="S296" s="429"/>
      <c r="T296" s="429"/>
      <c r="U296" s="42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421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29"/>
      <c r="P297" s="429"/>
      <c r="Q297" s="429"/>
      <c r="R297" s="429"/>
      <c r="S297" s="429"/>
      <c r="T297" s="429"/>
      <c r="U297" s="42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421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29"/>
      <c r="P298" s="429"/>
      <c r="Q298" s="429"/>
      <c r="R298" s="429"/>
      <c r="S298" s="429"/>
      <c r="T298" s="429"/>
      <c r="U298" s="42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426" t="s">
        <v>228</v>
      </c>
      <c r="D299" s="108">
        <v>5.03</v>
      </c>
      <c r="E299" s="108"/>
      <c r="F299" s="127"/>
      <c r="G299" s="128"/>
      <c r="H299" s="421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29"/>
      <c r="P299" s="429"/>
      <c r="Q299" s="429"/>
      <c r="R299" s="429"/>
      <c r="S299" s="429"/>
      <c r="T299" s="429"/>
      <c r="U299" s="42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426" t="s">
        <v>212</v>
      </c>
      <c r="D300" s="108">
        <v>5.03</v>
      </c>
      <c r="E300" s="108"/>
      <c r="F300" s="127"/>
      <c r="G300" s="128"/>
      <c r="H300" s="421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429"/>
      <c r="P300" s="429"/>
      <c r="Q300" s="429"/>
      <c r="R300" s="429"/>
      <c r="S300" s="429"/>
      <c r="T300" s="429"/>
      <c r="U300" s="42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426" t="s">
        <v>203</v>
      </c>
      <c r="D301" s="108">
        <v>5.03</v>
      </c>
      <c r="E301" s="108"/>
      <c r="F301" s="127"/>
      <c r="G301" s="128"/>
      <c r="H301" s="421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29"/>
      <c r="P301" s="429"/>
      <c r="Q301" s="429"/>
      <c r="R301" s="429"/>
      <c r="S301" s="429"/>
      <c r="T301" s="429"/>
      <c r="U301" s="42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426" t="s">
        <v>186</v>
      </c>
      <c r="D302" s="108">
        <v>5.03</v>
      </c>
      <c r="E302" s="108"/>
      <c r="F302" s="127"/>
      <c r="G302" s="128"/>
      <c r="H302" s="421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29"/>
      <c r="P302" s="429"/>
      <c r="Q302" s="429"/>
      <c r="R302" s="429"/>
      <c r="S302" s="429"/>
      <c r="T302" s="429"/>
      <c r="U302" s="42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426" t="s">
        <v>228</v>
      </c>
      <c r="D303" s="108">
        <v>5.03</v>
      </c>
      <c r="E303" s="108"/>
      <c r="F303" s="127"/>
      <c r="G303" s="128"/>
      <c r="H303" s="421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29"/>
      <c r="P303" s="429"/>
      <c r="Q303" s="429"/>
      <c r="R303" s="429"/>
      <c r="S303" s="429"/>
      <c r="T303" s="429"/>
      <c r="U303" s="42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426" t="s">
        <v>199</v>
      </c>
      <c r="D304" s="108">
        <v>5.03</v>
      </c>
      <c r="E304" s="108"/>
      <c r="F304" s="127"/>
      <c r="G304" s="128"/>
      <c r="H304" s="421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29"/>
      <c r="P304" s="429"/>
      <c r="Q304" s="429"/>
      <c r="R304" s="429"/>
      <c r="S304" s="429"/>
      <c r="T304" s="429"/>
      <c r="U304" s="42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421">
        <f t="shared" si="132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3"/>
        <v>0</v>
      </c>
      <c r="N305" s="130">
        <f t="shared" si="134"/>
        <v>0</v>
      </c>
      <c r="O305" s="429"/>
      <c r="P305" s="429"/>
      <c r="Q305" s="429"/>
      <c r="R305" s="429"/>
      <c r="S305" s="429"/>
      <c r="T305" s="429"/>
      <c r="U305" s="429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421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429"/>
      <c r="P306" s="429"/>
      <c r="Q306" s="429"/>
      <c r="R306" s="429"/>
      <c r="S306" s="429"/>
      <c r="T306" s="429"/>
      <c r="U306" s="429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630" t="s">
        <v>231</v>
      </c>
      <c r="B307" s="631"/>
      <c r="C307" s="430" t="s">
        <v>202</v>
      </c>
      <c r="D307" s="143"/>
      <c r="E307" s="143"/>
      <c r="F307" s="144"/>
      <c r="G307" s="145">
        <f>SUM(G292:G306)</f>
        <v>0</v>
      </c>
      <c r="H307" s="146">
        <f>SUM(H292:H306)</f>
        <v>0</v>
      </c>
      <c r="I307" s="146">
        <f>SUM(I292:I306)</f>
        <v>0</v>
      </c>
      <c r="J307" s="130" t="str">
        <f t="array" ref="J307">IF(ISERROR(G307/I307),"",G307/I307)</f>
        <v/>
      </c>
      <c r="K307" s="146">
        <f>SUM(K292:K306)</f>
        <v>0</v>
      </c>
      <c r="L307" s="146"/>
      <c r="M307" s="150">
        <f>SUM(M292:M306)</f>
        <v>0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 t="str">
        <f t="shared" si="130"/>
        <v/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421">
        <f t="shared" ref="H308:H315" si="136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7">IF(ISERROR(I308-K308),"",I308-K308)</f>
        <v>0</v>
      </c>
      <c r="N308" s="130">
        <f t="shared" ref="N308:N312" si="138">SUM(O308:U308)</f>
        <v>0</v>
      </c>
      <c r="O308" s="429"/>
      <c r="P308" s="429"/>
      <c r="Q308" s="429"/>
      <c r="R308" s="429"/>
      <c r="S308" s="429"/>
      <c r="T308" s="429"/>
      <c r="U308" s="429"/>
      <c r="V308" s="132">
        <f t="shared" ref="V308:V312" si="139">SUM(X308:AA308)</f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421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429"/>
      <c r="P309" s="429"/>
      <c r="Q309" s="429"/>
      <c r="R309" s="429"/>
      <c r="S309" s="429"/>
      <c r="T309" s="429"/>
      <c r="U309" s="429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421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29"/>
      <c r="P310" s="429"/>
      <c r="Q310" s="429"/>
      <c r="R310" s="429"/>
      <c r="S310" s="429"/>
      <c r="T310" s="429"/>
      <c r="U310" s="429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421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29"/>
      <c r="P311" s="429"/>
      <c r="Q311" s="429"/>
      <c r="R311" s="429"/>
      <c r="S311" s="429"/>
      <c r="T311" s="429"/>
      <c r="U311" s="429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421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29"/>
      <c r="P312" s="429"/>
      <c r="Q312" s="429"/>
      <c r="R312" s="429"/>
      <c r="S312" s="429"/>
      <c r="T312" s="429"/>
      <c r="U312" s="429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79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429"/>
      <c r="P313" s="429"/>
      <c r="Q313" s="429"/>
      <c r="R313" s="429"/>
      <c r="S313" s="429"/>
      <c r="T313" s="429"/>
      <c r="U313" s="429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/>
      <c r="G314" s="128"/>
      <c r="H314" s="479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70"/>
      <c r="P314" s="470"/>
      <c r="Q314" s="470"/>
      <c r="R314" s="470"/>
      <c r="S314" s="470"/>
      <c r="T314" s="470"/>
      <c r="U314" s="470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421">
        <f t="shared" ref="H316" si="140">D316*G316</f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1">IF(ISERROR(I316-K316),"",I316-K316)</f>
        <v>0</v>
      </c>
      <c r="N316" s="130">
        <f t="shared" ref="N316" si="142">SUM(O316:U316)</f>
        <v>0</v>
      </c>
      <c r="O316" s="429"/>
      <c r="P316" s="429"/>
      <c r="Q316" s="429"/>
      <c r="R316" s="429"/>
      <c r="S316" s="429"/>
      <c r="T316" s="429"/>
      <c r="U316" s="429"/>
      <c r="V316" s="132">
        <f t="shared" ref="V316" si="143">SUM(X316:AA316)</f>
        <v>0</v>
      </c>
      <c r="W316" s="133" t="str">
        <f t="shared" ref="W316:W321" si="144">IF(ISERROR(V316/G316),"",V316/G316)</f>
        <v/>
      </c>
      <c r="X316" s="132"/>
      <c r="Y316" s="132"/>
      <c r="Z316" s="132"/>
      <c r="AA316" s="132"/>
    </row>
    <row r="317" spans="1:27" ht="20.100000000000001" hidden="1" customHeight="1">
      <c r="A317" s="630" t="s">
        <v>234</v>
      </c>
      <c r="B317" s="631"/>
      <c r="C317" s="430" t="s">
        <v>202</v>
      </c>
      <c r="D317" s="143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4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427"/>
      <c r="D318" s="108">
        <v>3.65</v>
      </c>
      <c r="E318" s="108"/>
      <c r="F318" s="153"/>
      <c r="G318" s="128"/>
      <c r="H318" s="421">
        <f t="shared" ref="H318:H331" si="145">D318*G318</f>
        <v>0</v>
      </c>
      <c r="I318" s="129"/>
      <c r="J318" s="130" t="str">
        <f t="array" ref="J318">IF(ISERROR(G318/I318),"",G318/I318)</f>
        <v/>
      </c>
      <c r="K318" s="421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429"/>
      <c r="P318" s="429"/>
      <c r="Q318" s="429"/>
      <c r="R318" s="429"/>
      <c r="S318" s="429"/>
      <c r="T318" s="429"/>
      <c r="U318" s="429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427"/>
      <c r="D319" s="108">
        <v>6.58</v>
      </c>
      <c r="E319" s="108"/>
      <c r="F319" s="127"/>
      <c r="G319" s="128"/>
      <c r="H319" s="421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429"/>
      <c r="P319" s="429"/>
      <c r="Q319" s="429"/>
      <c r="R319" s="429"/>
      <c r="S319" s="429"/>
      <c r="T319" s="429"/>
      <c r="U319" s="429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427"/>
      <c r="D320" s="108">
        <v>7.8</v>
      </c>
      <c r="E320" s="108"/>
      <c r="F320" s="127"/>
      <c r="G320" s="128"/>
      <c r="H320" s="421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429"/>
      <c r="P320" s="429"/>
      <c r="Q320" s="429"/>
      <c r="R320" s="429"/>
      <c r="S320" s="429"/>
      <c r="T320" s="429"/>
      <c r="U320" s="429"/>
      <c r="V320" s="132">
        <f t="shared" si="148"/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427"/>
      <c r="D321" s="108">
        <v>4.4000000000000004</v>
      </c>
      <c r="E321" s="108"/>
      <c r="F321" s="127"/>
      <c r="G321" s="128"/>
      <c r="H321" s="421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429"/>
      <c r="P321" s="429"/>
      <c r="Q321" s="429"/>
      <c r="R321" s="429"/>
      <c r="S321" s="429"/>
      <c r="T321" s="429"/>
      <c r="U321" s="429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427"/>
      <c r="D322" s="108"/>
      <c r="E322" s="108"/>
      <c r="F322" s="127"/>
      <c r="G322" s="128"/>
      <c r="H322" s="421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429"/>
      <c r="P322" s="429"/>
      <c r="Q322" s="429"/>
      <c r="R322" s="429"/>
      <c r="S322" s="429"/>
      <c r="T322" s="429"/>
      <c r="U322" s="429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427" t="s">
        <v>239</v>
      </c>
      <c r="C323" s="427" t="s">
        <v>179</v>
      </c>
      <c r="D323" s="108">
        <v>6.04</v>
      </c>
      <c r="E323" s="108"/>
      <c r="F323" s="127"/>
      <c r="G323" s="128"/>
      <c r="H323" s="421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429"/>
      <c r="P323" s="429"/>
      <c r="Q323" s="429"/>
      <c r="R323" s="429"/>
      <c r="S323" s="429"/>
      <c r="T323" s="429"/>
      <c r="U323" s="429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427" t="s">
        <v>239</v>
      </c>
      <c r="C324" s="427" t="s">
        <v>186</v>
      </c>
      <c r="D324" s="108">
        <v>6.04</v>
      </c>
      <c r="E324" s="108"/>
      <c r="F324" s="127"/>
      <c r="G324" s="128"/>
      <c r="H324" s="421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429"/>
      <c r="P324" s="429"/>
      <c r="Q324" s="429"/>
      <c r="R324" s="429"/>
      <c r="S324" s="429"/>
      <c r="T324" s="429"/>
      <c r="U324" s="429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427" t="s">
        <v>443</v>
      </c>
      <c r="C325" s="427" t="s">
        <v>179</v>
      </c>
      <c r="D325" s="108">
        <v>6</v>
      </c>
      <c r="E325" s="108"/>
      <c r="F325" s="127"/>
      <c r="G325" s="128"/>
      <c r="H325" s="421">
        <f t="shared" si="145"/>
        <v>0</v>
      </c>
      <c r="I325" s="129"/>
      <c r="J325" s="130"/>
      <c r="K325" s="131"/>
      <c r="L325" s="129"/>
      <c r="M325" s="109"/>
      <c r="N325" s="130"/>
      <c r="O325" s="429"/>
      <c r="P325" s="429"/>
      <c r="Q325" s="429"/>
      <c r="R325" s="429"/>
      <c r="S325" s="429"/>
      <c r="T325" s="429"/>
      <c r="U325" s="429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427" t="s">
        <v>443</v>
      </c>
      <c r="C326" s="427" t="s">
        <v>421</v>
      </c>
      <c r="D326" s="108">
        <v>6</v>
      </c>
      <c r="E326" s="108"/>
      <c r="F326" s="127"/>
      <c r="G326" s="128"/>
      <c r="H326" s="421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429"/>
      <c r="P326" s="429"/>
      <c r="Q326" s="429"/>
      <c r="R326" s="429"/>
      <c r="S326" s="429"/>
      <c r="T326" s="429"/>
      <c r="U326" s="429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420" t="s">
        <v>240</v>
      </c>
      <c r="C327" s="126"/>
      <c r="D327" s="108">
        <v>7.3</v>
      </c>
      <c r="E327" s="108"/>
      <c r="F327" s="127"/>
      <c r="G327" s="128"/>
      <c r="H327" s="421">
        <f t="shared" si="145"/>
        <v>0</v>
      </c>
      <c r="I327" s="129"/>
      <c r="J327" s="130"/>
      <c r="K327" s="131"/>
      <c r="L327" s="129"/>
      <c r="M327" s="109"/>
      <c r="N327" s="130"/>
      <c r="O327" s="429"/>
      <c r="P327" s="429"/>
      <c r="Q327" s="429"/>
      <c r="R327" s="429"/>
      <c r="S327" s="429"/>
      <c r="T327" s="429"/>
      <c r="U327" s="429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420" t="s">
        <v>241</v>
      </c>
      <c r="C328" s="126"/>
      <c r="D328" s="108">
        <f>78*120/1000</f>
        <v>9.36</v>
      </c>
      <c r="E328" s="108"/>
      <c r="F328" s="127"/>
      <c r="G328" s="128"/>
      <c r="H328" s="421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429"/>
      <c r="P328" s="429"/>
      <c r="Q328" s="429"/>
      <c r="R328" s="429"/>
      <c r="S328" s="429"/>
      <c r="T328" s="429"/>
      <c r="U328" s="429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420" t="s">
        <v>242</v>
      </c>
      <c r="C329" s="126"/>
      <c r="D329" s="108">
        <v>4.5</v>
      </c>
      <c r="E329" s="108"/>
      <c r="F329" s="127"/>
      <c r="G329" s="128"/>
      <c r="H329" s="421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429"/>
      <c r="P329" s="429"/>
      <c r="Q329" s="429"/>
      <c r="R329" s="429"/>
      <c r="S329" s="429"/>
      <c r="T329" s="429"/>
      <c r="U329" s="429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420" t="s">
        <v>243</v>
      </c>
      <c r="C330" s="126"/>
      <c r="D330" s="108">
        <v>4.5</v>
      </c>
      <c r="E330" s="108"/>
      <c r="F330" s="127"/>
      <c r="G330" s="128"/>
      <c r="H330" s="421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429"/>
      <c r="P330" s="429"/>
      <c r="Q330" s="429"/>
      <c r="R330" s="429"/>
      <c r="S330" s="429"/>
      <c r="T330" s="429"/>
      <c r="U330" s="429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421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29"/>
      <c r="P331" s="429"/>
      <c r="Q331" s="429"/>
      <c r="R331" s="429"/>
      <c r="S331" s="429"/>
      <c r="T331" s="429"/>
      <c r="U331" s="429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630" t="s">
        <v>244</v>
      </c>
      <c r="B332" s="631"/>
      <c r="C332" s="430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6">SUM(M318:M328)</f>
        <v>0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632" t="s">
        <v>246</v>
      </c>
      <c r="B333" s="633"/>
      <c r="C333" s="633"/>
      <c r="D333" s="633"/>
      <c r="E333" s="633"/>
      <c r="F333" s="634"/>
      <c r="G333" s="154">
        <f>SUM(G198,G256,G291,G307,G317,G332)</f>
        <v>0</v>
      </c>
      <c r="H333" s="154">
        <f>SUM(H198,H256,H291,H307,H317,H332)</f>
        <v>0</v>
      </c>
      <c r="I333" s="154">
        <f>SUM(I198,I256,I291,I307,I317,I332)</f>
        <v>0</v>
      </c>
      <c r="J333" s="155" t="str">
        <f t="array" ref="J333">IF(ISERROR(G333/I333),"",G333/I333)</f>
        <v/>
      </c>
      <c r="K333" s="154">
        <f>SUM(K198,K256,K291,K307,K317,K332)</f>
        <v>0</v>
      </c>
      <c r="L333" s="155" t="str">
        <f>IF(ISERROR(G333/K333),"",G333/K333)</f>
        <v/>
      </c>
      <c r="M333" s="154">
        <f t="shared" ref="M333:AA333" si="157">SUM(M198,M256,M291,M307,M317,M332)</f>
        <v>0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635" t="s">
        <v>476</v>
      </c>
      <c r="B334" s="423" t="s">
        <v>247</v>
      </c>
      <c r="C334" s="638" t="s">
        <v>248</v>
      </c>
      <c r="D334" s="639"/>
      <c r="E334" s="640" t="s">
        <v>249</v>
      </c>
      <c r="F334" s="640"/>
      <c r="G334" s="643" t="s">
        <v>250</v>
      </c>
      <c r="H334" s="643"/>
      <c r="I334" s="640" t="s">
        <v>251</v>
      </c>
      <c r="J334" s="640"/>
      <c r="K334" s="640" t="s">
        <v>252</v>
      </c>
      <c r="L334" s="640"/>
      <c r="M334" s="640" t="s">
        <v>253</v>
      </c>
      <c r="N334" s="640"/>
      <c r="O334" s="640" t="s">
        <v>254</v>
      </c>
      <c r="P334" s="643" t="s">
        <v>255</v>
      </c>
      <c r="Q334" s="643"/>
      <c r="R334" s="643" t="s">
        <v>252</v>
      </c>
      <c r="S334" s="643"/>
      <c r="T334" s="643" t="s">
        <v>256</v>
      </c>
      <c r="U334" s="643"/>
      <c r="V334" s="643" t="s">
        <v>257</v>
      </c>
      <c r="W334" s="643"/>
      <c r="X334" s="643" t="s">
        <v>252</v>
      </c>
      <c r="Y334" s="643"/>
      <c r="Z334" s="643" t="s">
        <v>256</v>
      </c>
      <c r="AA334" s="643"/>
    </row>
    <row r="335" spans="1:27" ht="20.100000000000001" customHeight="1">
      <c r="A335" s="636"/>
      <c r="B335" s="423" t="s">
        <v>258</v>
      </c>
      <c r="C335" s="678">
        <v>1</v>
      </c>
      <c r="D335" s="679"/>
      <c r="E335" s="642">
        <f>C335*11</f>
        <v>11</v>
      </c>
      <c r="F335" s="642"/>
      <c r="G335" s="643">
        <v>1</v>
      </c>
      <c r="H335" s="643"/>
      <c r="I335" s="642">
        <f>G335*11</f>
        <v>11</v>
      </c>
      <c r="J335" s="642"/>
      <c r="K335" s="642">
        <f>E335-I335</f>
        <v>0</v>
      </c>
      <c r="L335" s="642"/>
      <c r="M335" s="644">
        <f>IF(ISERROR(K335/E335),"",K335/E335)</f>
        <v>0</v>
      </c>
      <c r="N335" s="644"/>
      <c r="O335" s="640"/>
      <c r="P335" s="643" t="s">
        <v>201</v>
      </c>
      <c r="Q335" s="643"/>
      <c r="R335" s="645">
        <f>SUM(O198:U198)</f>
        <v>0</v>
      </c>
      <c r="S335" s="645"/>
      <c r="T335" s="646" t="str">
        <f t="array" ref="T335">IF(ISERROR(R335/R342),"",R335/R342)</f>
        <v/>
      </c>
      <c r="U335" s="646"/>
      <c r="V335" s="643" t="s">
        <v>259</v>
      </c>
      <c r="W335" s="643"/>
      <c r="X335" s="680">
        <f>SUM(P197,P255,P290,P306,P316,P331)</f>
        <v>0</v>
      </c>
      <c r="Y335" s="681"/>
      <c r="Z335" s="646" t="str">
        <f t="array" ref="Z335">IF(ISERROR(X335/X342),"",X335/X342)</f>
        <v/>
      </c>
      <c r="AA335" s="646"/>
    </row>
    <row r="336" spans="1:27" ht="20.100000000000001" customHeight="1">
      <c r="A336" s="636"/>
      <c r="B336" s="423" t="s">
        <v>260</v>
      </c>
      <c r="C336" s="638">
        <v>0</v>
      </c>
      <c r="D336" s="639"/>
      <c r="E336" s="642">
        <f>C336*11</f>
        <v>0</v>
      </c>
      <c r="F336" s="642"/>
      <c r="G336" s="643">
        <v>0</v>
      </c>
      <c r="H336" s="643"/>
      <c r="I336" s="642">
        <f>G336*11</f>
        <v>0</v>
      </c>
      <c r="J336" s="642"/>
      <c r="K336" s="642">
        <f>E336-I336</f>
        <v>0</v>
      </c>
      <c r="L336" s="642"/>
      <c r="M336" s="644" t="str">
        <f>IF(ISERROR(K336/E336),"",K336/E336)</f>
        <v/>
      </c>
      <c r="N336" s="644"/>
      <c r="O336" s="640"/>
      <c r="P336" s="643" t="s">
        <v>216</v>
      </c>
      <c r="Q336" s="643"/>
      <c r="R336" s="645">
        <f>SUM(O256:U256)</f>
        <v>0</v>
      </c>
      <c r="S336" s="645"/>
      <c r="T336" s="646" t="str">
        <f>IF(ISERROR(R336/R342),"",R336/R342)</f>
        <v/>
      </c>
      <c r="U336" s="646"/>
      <c r="V336" s="643" t="s">
        <v>261</v>
      </c>
      <c r="W336" s="643"/>
      <c r="X336" s="680">
        <f>SUM(P198,P256,P291,P307,P317,P332)</f>
        <v>0</v>
      </c>
      <c r="Y336" s="681"/>
      <c r="Z336" s="646" t="str">
        <f>IF(ISERROR(X336/X342),"",X336/X342)</f>
        <v/>
      </c>
      <c r="AA336" s="646"/>
    </row>
    <row r="337" spans="1:27" ht="20.100000000000001" customHeight="1">
      <c r="A337" s="636"/>
      <c r="B337" s="423" t="s">
        <v>262</v>
      </c>
      <c r="C337" s="638">
        <v>0</v>
      </c>
      <c r="D337" s="639"/>
      <c r="E337" s="642">
        <f>C337*8</f>
        <v>0</v>
      </c>
      <c r="F337" s="642"/>
      <c r="G337" s="643">
        <v>1</v>
      </c>
      <c r="H337" s="643"/>
      <c r="I337" s="642">
        <f>G337*8</f>
        <v>8</v>
      </c>
      <c r="J337" s="642"/>
      <c r="K337" s="642">
        <f>E337-I337</f>
        <v>-8</v>
      </c>
      <c r="L337" s="642"/>
      <c r="M337" s="644" t="str">
        <f>IF(ISERROR(K337/E337),"",K337/E337)</f>
        <v/>
      </c>
      <c r="N337" s="644"/>
      <c r="O337" s="640"/>
      <c r="P337" s="643" t="s">
        <v>224</v>
      </c>
      <c r="Q337" s="643"/>
      <c r="R337" s="645">
        <f>SUM(O291:U291)</f>
        <v>0</v>
      </c>
      <c r="S337" s="645"/>
      <c r="T337" s="646" t="str">
        <f>IF(ISERROR(R337/R342),"",R337/R342)</f>
        <v/>
      </c>
      <c r="U337" s="646"/>
      <c r="V337" s="643" t="s">
        <v>263</v>
      </c>
      <c r="W337" s="643"/>
      <c r="X337" s="680">
        <f>SUM(P199,P257,P292,P308,P318,P333)</f>
        <v>0</v>
      </c>
      <c r="Y337" s="681"/>
      <c r="Z337" s="646" t="str">
        <f>IF(ISERROR(X337/X342),"",X337/X342)</f>
        <v/>
      </c>
      <c r="AA337" s="646"/>
    </row>
    <row r="338" spans="1:27" ht="20.100000000000001" customHeight="1">
      <c r="A338" s="636"/>
      <c r="B338" s="423" t="s">
        <v>264</v>
      </c>
      <c r="C338" s="638">
        <v>1</v>
      </c>
      <c r="D338" s="639"/>
      <c r="E338" s="642">
        <f>C338*11</f>
        <v>11</v>
      </c>
      <c r="F338" s="642"/>
      <c r="G338" s="643">
        <v>1</v>
      </c>
      <c r="H338" s="643"/>
      <c r="I338" s="642">
        <f>G338*11</f>
        <v>11</v>
      </c>
      <c r="J338" s="642"/>
      <c r="K338" s="642">
        <f>E338-I338</f>
        <v>0</v>
      </c>
      <c r="L338" s="642"/>
      <c r="M338" s="644">
        <f>IF(ISERROR(K338/E338),"",K338/E338)</f>
        <v>0</v>
      </c>
      <c r="N338" s="644"/>
      <c r="O338" s="640"/>
      <c r="P338" s="643" t="s">
        <v>231</v>
      </c>
      <c r="Q338" s="643"/>
      <c r="R338" s="645">
        <f>SUM(O307:U307)</f>
        <v>0</v>
      </c>
      <c r="S338" s="645"/>
      <c r="T338" s="646" t="str">
        <f>IF(ISERROR(R338/R342),"",R338/R342)</f>
        <v/>
      </c>
      <c r="U338" s="646"/>
      <c r="V338" s="643" t="s">
        <v>265</v>
      </c>
      <c r="W338" s="643"/>
      <c r="X338" s="680">
        <f>SUM(P201,P258,P293,P309,P319,P334)</f>
        <v>0</v>
      </c>
      <c r="Y338" s="681"/>
      <c r="Z338" s="646" t="str">
        <f>IF(ISERROR(X338/X342),"",X338/X342)</f>
        <v/>
      </c>
      <c r="AA338" s="646"/>
    </row>
    <row r="339" spans="1:27" ht="20.100000000000001" customHeight="1">
      <c r="A339" s="637"/>
      <c r="B339" s="423" t="s">
        <v>266</v>
      </c>
      <c r="C339" s="648">
        <f>SUM(C335:D338)</f>
        <v>2</v>
      </c>
      <c r="D339" s="649"/>
      <c r="E339" s="642">
        <f>SUM(E335:F338)</f>
        <v>22</v>
      </c>
      <c r="F339" s="642"/>
      <c r="G339" s="643">
        <f>SUM(G335:H338)</f>
        <v>3</v>
      </c>
      <c r="H339" s="643"/>
      <c r="I339" s="642">
        <f>SUM(I335:J338)</f>
        <v>30</v>
      </c>
      <c r="J339" s="642"/>
      <c r="K339" s="642">
        <f>SUM(K335:L338)</f>
        <v>-8</v>
      </c>
      <c r="L339" s="642"/>
      <c r="M339" s="644">
        <f>IF(ISERROR(K339/E339),"",K339/E339)</f>
        <v>-0.36363636363636365</v>
      </c>
      <c r="N339" s="644"/>
      <c r="O339" s="640"/>
      <c r="P339" s="643" t="s">
        <v>234</v>
      </c>
      <c r="Q339" s="643"/>
      <c r="R339" s="645">
        <f>SUM(O317:U317)</f>
        <v>0</v>
      </c>
      <c r="S339" s="645"/>
      <c r="T339" s="646" t="str">
        <f>IF(ISERROR(R339/R342),"",R339/R342)</f>
        <v/>
      </c>
      <c r="U339" s="646"/>
      <c r="V339" s="643" t="s">
        <v>267</v>
      </c>
      <c r="W339" s="643"/>
      <c r="X339" s="680">
        <f>SUM(P202,P259,P294,P310,P320,P335)</f>
        <v>0</v>
      </c>
      <c r="Y339" s="681"/>
      <c r="Z339" s="646" t="str">
        <f>IF(ISERROR(X339/X342),"",X339/X342)</f>
        <v/>
      </c>
      <c r="AA339" s="646"/>
    </row>
    <row r="340" spans="1:27" ht="20.100000000000001" customHeight="1">
      <c r="A340" s="309" t="s">
        <v>477</v>
      </c>
      <c r="B340" s="423">
        <f>G333</f>
        <v>0</v>
      </c>
      <c r="C340" s="650" t="s">
        <v>269</v>
      </c>
      <c r="D340" s="651"/>
      <c r="E340" s="643">
        <f>H333</f>
        <v>0</v>
      </c>
      <c r="F340" s="643"/>
      <c r="G340" s="643" t="s">
        <v>270</v>
      </c>
      <c r="H340" s="643"/>
      <c r="I340" s="652" t="str">
        <f>L333</f>
        <v/>
      </c>
      <c r="J340" s="652"/>
      <c r="K340" s="640" t="s">
        <v>271</v>
      </c>
      <c r="L340" s="640"/>
      <c r="M340" s="652" t="str">
        <f>J333</f>
        <v/>
      </c>
      <c r="N340" s="652"/>
      <c r="O340" s="640"/>
      <c r="P340" s="643" t="s">
        <v>244</v>
      </c>
      <c r="Q340" s="643"/>
      <c r="R340" s="645">
        <f>SUM(O332:U332)</f>
        <v>0</v>
      </c>
      <c r="S340" s="645"/>
      <c r="T340" s="646" t="str">
        <f>IF(ISERROR(R340/R342),"",R340/R342)</f>
        <v/>
      </c>
      <c r="U340" s="646"/>
      <c r="V340" s="643" t="s">
        <v>272</v>
      </c>
      <c r="W340" s="643"/>
      <c r="X340" s="680">
        <f>SUM(P203,P260,P295,P311,P321,P336)</f>
        <v>0</v>
      </c>
      <c r="Y340" s="681"/>
      <c r="Z340" s="646" t="str">
        <f>IF(ISERROR(X340/X342),"",X340/X342)</f>
        <v/>
      </c>
      <c r="AA340" s="646"/>
    </row>
    <row r="341" spans="1:27" ht="20.100000000000001" customHeight="1">
      <c r="A341" s="310" t="s">
        <v>478</v>
      </c>
      <c r="B341" s="423">
        <f>I333+C339</f>
        <v>2</v>
      </c>
      <c r="C341" s="653" t="s">
        <v>251</v>
      </c>
      <c r="D341" s="654"/>
      <c r="E341" s="655">
        <f>K333+I339</f>
        <v>30</v>
      </c>
      <c r="F341" s="655"/>
      <c r="G341" s="643" t="s">
        <v>274</v>
      </c>
      <c r="H341" s="643"/>
      <c r="I341" s="652">
        <f>B341-E341</f>
        <v>-28</v>
      </c>
      <c r="J341" s="652"/>
      <c r="K341" s="640" t="s">
        <v>275</v>
      </c>
      <c r="L341" s="640"/>
      <c r="M341" s="644">
        <f>IF(ISERROR(I341/E341),"",I341/E341)</f>
        <v>-0.93333333333333335</v>
      </c>
      <c r="N341" s="644"/>
      <c r="O341" s="640"/>
      <c r="P341" s="643" t="s">
        <v>245</v>
      </c>
      <c r="Q341" s="643"/>
      <c r="R341" s="645"/>
      <c r="S341" s="645"/>
      <c r="T341" s="646" t="str">
        <f>IF(ISERROR(R341/R342),"",R341/R342)</f>
        <v/>
      </c>
      <c r="U341" s="646"/>
      <c r="V341" s="643" t="s">
        <v>264</v>
      </c>
      <c r="W341" s="643"/>
      <c r="X341" s="680">
        <f>SUM(P204,P261,P296,P312,P322,P337)</f>
        <v>0</v>
      </c>
      <c r="Y341" s="681"/>
      <c r="Z341" s="646" t="str">
        <f>IF(ISERROR(X341/X342),"",X341/X342)</f>
        <v/>
      </c>
      <c r="AA341" s="646"/>
    </row>
    <row r="342" spans="1:27" ht="20.100000000000001" customHeight="1">
      <c r="A342" s="310" t="s">
        <v>479</v>
      </c>
      <c r="B342" s="423">
        <f>N333</f>
        <v>0</v>
      </c>
      <c r="C342" s="653" t="s">
        <v>277</v>
      </c>
      <c r="D342" s="654"/>
      <c r="E342" s="646">
        <f>IF(ISERROR(B342/B341),"",B342/B341)</f>
        <v>0</v>
      </c>
      <c r="F342" s="646"/>
      <c r="G342" s="643" t="s">
        <v>278</v>
      </c>
      <c r="H342" s="643"/>
      <c r="I342" s="640">
        <f>V333</f>
        <v>0</v>
      </c>
      <c r="J342" s="640"/>
      <c r="K342" s="640" t="s">
        <v>279</v>
      </c>
      <c r="L342" s="640"/>
      <c r="M342" s="644" t="str">
        <f t="array" ref="M342">IF(ISERROR(I342/B340),"",I342/B340)</f>
        <v/>
      </c>
      <c r="N342" s="644"/>
      <c r="O342" s="640"/>
      <c r="P342" s="643" t="s">
        <v>266</v>
      </c>
      <c r="Q342" s="643"/>
      <c r="R342" s="645">
        <f>SUM(R335:S341)</f>
        <v>0</v>
      </c>
      <c r="S342" s="645"/>
      <c r="T342" s="646"/>
      <c r="U342" s="646"/>
      <c r="V342" s="643" t="s">
        <v>266</v>
      </c>
      <c r="W342" s="643"/>
      <c r="X342" s="647">
        <f>SUM(X335:Y341)</f>
        <v>0</v>
      </c>
      <c r="Y342" s="647"/>
      <c r="Z342" s="646"/>
      <c r="AA342" s="646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56" t="s">
        <v>480</v>
      </c>
      <c r="B344" s="659" t="s">
        <v>280</v>
      </c>
      <c r="C344" s="659" t="s">
        <v>281</v>
      </c>
      <c r="D344" s="659" t="s">
        <v>282</v>
      </c>
      <c r="E344" s="662" t="s">
        <v>283</v>
      </c>
      <c r="F344" s="675" t="s">
        <v>284</v>
      </c>
      <c r="G344" s="640" t="s">
        <v>285</v>
      </c>
      <c r="H344" s="640"/>
      <c r="I344" s="659" t="s">
        <v>286</v>
      </c>
      <c r="J344" s="665" t="s">
        <v>271</v>
      </c>
      <c r="K344" s="668" t="s">
        <v>287</v>
      </c>
      <c r="L344" s="659" t="s">
        <v>270</v>
      </c>
      <c r="M344" s="671" t="s">
        <v>288</v>
      </c>
      <c r="N344" s="673" t="s">
        <v>252</v>
      </c>
      <c r="O344" s="640" t="s">
        <v>289</v>
      </c>
      <c r="P344" s="640"/>
      <c r="Q344" s="640"/>
      <c r="R344" s="640"/>
      <c r="S344" s="640"/>
      <c r="T344" s="640"/>
      <c r="U344" s="640"/>
      <c r="V344" s="640" t="s">
        <v>290</v>
      </c>
      <c r="W344" s="673" t="s">
        <v>291</v>
      </c>
      <c r="X344" s="640" t="s">
        <v>292</v>
      </c>
      <c r="Y344" s="640"/>
      <c r="Z344" s="640"/>
      <c r="AA344" s="640"/>
    </row>
    <row r="345" spans="1:27" ht="21.95" customHeight="1">
      <c r="A345" s="657"/>
      <c r="B345" s="660"/>
      <c r="C345" s="660"/>
      <c r="D345" s="660"/>
      <c r="E345" s="663"/>
      <c r="F345" s="676"/>
      <c r="G345" s="640"/>
      <c r="H345" s="640"/>
      <c r="I345" s="660"/>
      <c r="J345" s="666"/>
      <c r="K345" s="669"/>
      <c r="L345" s="660"/>
      <c r="M345" s="672"/>
      <c r="N345" s="673"/>
      <c r="O345" s="640" t="s">
        <v>259</v>
      </c>
      <c r="P345" s="640" t="s">
        <v>261</v>
      </c>
      <c r="Q345" s="640" t="s">
        <v>263</v>
      </c>
      <c r="R345" s="674" t="s">
        <v>265</v>
      </c>
      <c r="S345" s="643" t="s">
        <v>267</v>
      </c>
      <c r="T345" s="640" t="s">
        <v>272</v>
      </c>
      <c r="U345" s="640" t="s">
        <v>264</v>
      </c>
      <c r="V345" s="640"/>
      <c r="W345" s="673"/>
      <c r="X345" s="640" t="s">
        <v>293</v>
      </c>
      <c r="Y345" s="640" t="s">
        <v>294</v>
      </c>
      <c r="Z345" s="640" t="s">
        <v>295</v>
      </c>
      <c r="AA345" s="640" t="s">
        <v>264</v>
      </c>
    </row>
    <row r="346" spans="1:27" ht="21.95" customHeight="1">
      <c r="A346" s="658"/>
      <c r="B346" s="661"/>
      <c r="C346" s="661"/>
      <c r="D346" s="661"/>
      <c r="E346" s="664"/>
      <c r="F346" s="677"/>
      <c r="G346" s="348" t="s">
        <v>296</v>
      </c>
      <c r="H346" s="427" t="s">
        <v>297</v>
      </c>
      <c r="I346" s="661"/>
      <c r="J346" s="667"/>
      <c r="K346" s="670"/>
      <c r="L346" s="661"/>
      <c r="M346" s="672"/>
      <c r="N346" s="673"/>
      <c r="O346" s="640"/>
      <c r="P346" s="640"/>
      <c r="Q346" s="640"/>
      <c r="R346" s="674"/>
      <c r="S346" s="643"/>
      <c r="T346" s="640"/>
      <c r="U346" s="640"/>
      <c r="V346" s="640"/>
      <c r="W346" s="673"/>
      <c r="X346" s="640"/>
      <c r="Y346" s="640"/>
      <c r="Z346" s="640"/>
      <c r="AA346" s="640"/>
    </row>
    <row r="347" spans="1:27" ht="20.100000000000001" hidden="1" customHeight="1">
      <c r="A347" s="299">
        <v>30100030</v>
      </c>
      <c r="B347" s="420" t="s">
        <v>178</v>
      </c>
      <c r="C347" s="126" t="s">
        <v>179</v>
      </c>
      <c r="D347" s="108">
        <v>5.03</v>
      </c>
      <c r="E347" s="108"/>
      <c r="F347" s="127"/>
      <c r="G347" s="128"/>
      <c r="H347" s="421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429"/>
      <c r="P347" s="429"/>
      <c r="Q347" s="429"/>
      <c r="R347" s="429"/>
      <c r="S347" s="429"/>
      <c r="T347" s="429"/>
      <c r="U347" s="429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421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429"/>
      <c r="P348" s="429"/>
      <c r="Q348" s="429"/>
      <c r="R348" s="429"/>
      <c r="S348" s="429"/>
      <c r="T348" s="429"/>
      <c r="U348" s="429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421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429"/>
      <c r="P349" s="429"/>
      <c r="Q349" s="429"/>
      <c r="R349" s="429"/>
      <c r="S349" s="429"/>
      <c r="T349" s="429"/>
      <c r="U349" s="429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421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429"/>
      <c r="P350" s="429"/>
      <c r="Q350" s="429"/>
      <c r="R350" s="429"/>
      <c r="S350" s="429"/>
      <c r="T350" s="429"/>
      <c r="U350" s="429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421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429"/>
      <c r="P351" s="429"/>
      <c r="Q351" s="429"/>
      <c r="R351" s="429"/>
      <c r="S351" s="429"/>
      <c r="T351" s="429"/>
      <c r="U351" s="429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421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429"/>
      <c r="P352" s="429"/>
      <c r="Q352" s="429"/>
      <c r="R352" s="429"/>
      <c r="S352" s="429"/>
      <c r="T352" s="429"/>
      <c r="U352" s="429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421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429"/>
      <c r="P353" s="429"/>
      <c r="Q353" s="429"/>
      <c r="R353" s="429"/>
      <c r="S353" s="429"/>
      <c r="T353" s="429"/>
      <c r="U353" s="429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421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429"/>
      <c r="P354" s="429"/>
      <c r="Q354" s="429"/>
      <c r="R354" s="429"/>
      <c r="S354" s="429"/>
      <c r="T354" s="429"/>
      <c r="U354" s="429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421">
        <f t="shared" si="158"/>
        <v>0</v>
      </c>
      <c r="I355" s="421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429"/>
      <c r="P355" s="429"/>
      <c r="Q355" s="429"/>
      <c r="R355" s="429"/>
      <c r="S355" s="429"/>
      <c r="T355" s="429"/>
      <c r="U355" s="429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421">
        <f t="shared" si="158"/>
        <v>0</v>
      </c>
      <c r="I356" s="421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429"/>
      <c r="P356" s="429"/>
      <c r="Q356" s="429"/>
      <c r="R356" s="429"/>
      <c r="S356" s="429"/>
      <c r="T356" s="429"/>
      <c r="U356" s="429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421">
        <f t="shared" si="158"/>
        <v>0</v>
      </c>
      <c r="I357" s="421"/>
      <c r="J357" s="130"/>
      <c r="K357" s="131"/>
      <c r="L357" s="129"/>
      <c r="M357" s="109"/>
      <c r="N357" s="130"/>
      <c r="O357" s="429"/>
      <c r="P357" s="429"/>
      <c r="Q357" s="429"/>
      <c r="R357" s="429"/>
      <c r="S357" s="429"/>
      <c r="T357" s="429"/>
      <c r="U357" s="429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421">
        <f t="shared" si="158"/>
        <v>0</v>
      </c>
      <c r="I358" s="421"/>
      <c r="J358" s="130"/>
      <c r="K358" s="131"/>
      <c r="L358" s="129"/>
      <c r="M358" s="109"/>
      <c r="N358" s="130"/>
      <c r="O358" s="429"/>
      <c r="P358" s="429"/>
      <c r="Q358" s="429"/>
      <c r="R358" s="429"/>
      <c r="S358" s="429"/>
      <c r="T358" s="429"/>
      <c r="U358" s="429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421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429"/>
      <c r="P359" s="429"/>
      <c r="Q359" s="429"/>
      <c r="R359" s="429"/>
      <c r="S359" s="429"/>
      <c r="T359" s="429"/>
      <c r="U359" s="429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421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429"/>
      <c r="P360" s="429"/>
      <c r="Q360" s="429"/>
      <c r="R360" s="429"/>
      <c r="S360" s="429"/>
      <c r="T360" s="429"/>
      <c r="U360" s="429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421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429"/>
      <c r="P361" s="429"/>
      <c r="Q361" s="429"/>
      <c r="R361" s="429"/>
      <c r="S361" s="429"/>
      <c r="T361" s="429"/>
      <c r="U361" s="429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427" t="s">
        <v>190</v>
      </c>
      <c r="D362" s="108">
        <v>4.8</v>
      </c>
      <c r="E362" s="108"/>
      <c r="F362" s="127"/>
      <c r="G362" s="128"/>
      <c r="H362" s="421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429"/>
      <c r="P362" s="429"/>
      <c r="Q362" s="429"/>
      <c r="R362" s="429"/>
      <c r="S362" s="429"/>
      <c r="T362" s="429"/>
      <c r="U362" s="429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427" t="s">
        <v>187</v>
      </c>
      <c r="D363" s="108">
        <v>4.8</v>
      </c>
      <c r="E363" s="108"/>
      <c r="F363" s="127"/>
      <c r="G363" s="128"/>
      <c r="H363" s="421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429"/>
      <c r="P363" s="429"/>
      <c r="Q363" s="429"/>
      <c r="R363" s="429"/>
      <c r="S363" s="429"/>
      <c r="T363" s="429"/>
      <c r="U363" s="429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427" t="s">
        <v>179</v>
      </c>
      <c r="D364" s="108">
        <v>4.8</v>
      </c>
      <c r="E364" s="108"/>
      <c r="F364" s="127"/>
      <c r="G364" s="128"/>
      <c r="H364" s="421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429"/>
      <c r="P364" s="429"/>
      <c r="Q364" s="429"/>
      <c r="R364" s="429"/>
      <c r="S364" s="429"/>
      <c r="T364" s="429"/>
      <c r="U364" s="429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427" t="s">
        <v>199</v>
      </c>
      <c r="D365" s="108">
        <v>4.8</v>
      </c>
      <c r="E365" s="108"/>
      <c r="F365" s="127"/>
      <c r="G365" s="128"/>
      <c r="H365" s="421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429"/>
      <c r="P365" s="429"/>
      <c r="Q365" s="429"/>
      <c r="R365" s="429"/>
      <c r="S365" s="429"/>
      <c r="T365" s="429"/>
      <c r="U365" s="429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421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429"/>
      <c r="P366" s="429"/>
      <c r="Q366" s="429"/>
      <c r="R366" s="429"/>
      <c r="S366" s="429"/>
      <c r="T366" s="429"/>
      <c r="U366" s="429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421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429"/>
      <c r="P367" s="429"/>
      <c r="Q367" s="429"/>
      <c r="R367" s="429"/>
      <c r="S367" s="429"/>
      <c r="T367" s="429"/>
      <c r="U367" s="429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630" t="s">
        <v>201</v>
      </c>
      <c r="B368" s="631"/>
      <c r="C368" s="430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420" t="s">
        <v>206</v>
      </c>
      <c r="C369" s="126" t="s">
        <v>199</v>
      </c>
      <c r="D369" s="108">
        <v>5.03</v>
      </c>
      <c r="E369" s="108"/>
      <c r="F369" s="127"/>
      <c r="G369" s="128"/>
      <c r="H369" s="421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425"/>
      <c r="P369" s="425"/>
      <c r="Q369" s="425"/>
      <c r="R369" s="425"/>
      <c r="S369" s="425"/>
      <c r="T369" s="425"/>
      <c r="U369" s="425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420" t="s">
        <v>425</v>
      </c>
      <c r="C370" s="187" t="s">
        <v>427</v>
      </c>
      <c r="D370" s="108">
        <v>5.03</v>
      </c>
      <c r="E370" s="108"/>
      <c r="F370" s="127"/>
      <c r="G370" s="128"/>
      <c r="H370" s="421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425"/>
      <c r="P370" s="425"/>
      <c r="Q370" s="425"/>
      <c r="R370" s="425"/>
      <c r="S370" s="425"/>
      <c r="T370" s="425"/>
      <c r="U370" s="425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420" t="s">
        <v>206</v>
      </c>
      <c r="C371" s="126" t="s">
        <v>186</v>
      </c>
      <c r="D371" s="108">
        <v>5.03</v>
      </c>
      <c r="E371" s="108"/>
      <c r="F371" s="127"/>
      <c r="G371" s="128"/>
      <c r="H371" s="421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425"/>
      <c r="P371" s="425"/>
      <c r="Q371" s="425"/>
      <c r="R371" s="425"/>
      <c r="S371" s="425"/>
      <c r="T371" s="425"/>
      <c r="U371" s="425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420" t="s">
        <v>206</v>
      </c>
      <c r="C372" s="126" t="s">
        <v>203</v>
      </c>
      <c r="D372" s="108">
        <v>5.03</v>
      </c>
      <c r="E372" s="108"/>
      <c r="F372" s="127"/>
      <c r="G372" s="128"/>
      <c r="H372" s="421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425"/>
      <c r="P372" s="425"/>
      <c r="Q372" s="425"/>
      <c r="R372" s="425"/>
      <c r="S372" s="425"/>
      <c r="T372" s="425"/>
      <c r="U372" s="425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420" t="s">
        <v>206</v>
      </c>
      <c r="C373" s="126" t="s">
        <v>207</v>
      </c>
      <c r="D373" s="108">
        <v>5.03</v>
      </c>
      <c r="E373" s="108"/>
      <c r="F373" s="127"/>
      <c r="G373" s="128"/>
      <c r="H373" s="421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425"/>
      <c r="P373" s="425"/>
      <c r="Q373" s="425"/>
      <c r="R373" s="425"/>
      <c r="S373" s="425"/>
      <c r="T373" s="425"/>
      <c r="U373" s="425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420" t="s">
        <v>414</v>
      </c>
      <c r="C374" s="187" t="s">
        <v>415</v>
      </c>
      <c r="D374" s="108"/>
      <c r="E374" s="108"/>
      <c r="F374" s="127"/>
      <c r="G374" s="128"/>
      <c r="H374" s="421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425"/>
      <c r="P374" s="425"/>
      <c r="Q374" s="425"/>
      <c r="R374" s="425"/>
      <c r="S374" s="425"/>
      <c r="T374" s="425"/>
      <c r="U374" s="425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420" t="s">
        <v>414</v>
      </c>
      <c r="C375" s="187" t="s">
        <v>416</v>
      </c>
      <c r="D375" s="108"/>
      <c r="E375" s="108"/>
      <c r="F375" s="127"/>
      <c r="G375" s="128"/>
      <c r="H375" s="421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425"/>
      <c r="P375" s="425"/>
      <c r="Q375" s="425"/>
      <c r="R375" s="425"/>
      <c r="S375" s="425"/>
      <c r="T375" s="425"/>
      <c r="U375" s="425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420" t="s">
        <v>414</v>
      </c>
      <c r="C376" s="187" t="s">
        <v>61</v>
      </c>
      <c r="D376" s="108"/>
      <c r="E376" s="108"/>
      <c r="F376" s="127"/>
      <c r="G376" s="128"/>
      <c r="H376" s="421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425"/>
      <c r="P376" s="425"/>
      <c r="Q376" s="425"/>
      <c r="R376" s="425"/>
      <c r="S376" s="425"/>
      <c r="T376" s="425"/>
      <c r="U376" s="425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420" t="s">
        <v>208</v>
      </c>
      <c r="C377" s="126" t="s">
        <v>179</v>
      </c>
      <c r="D377" s="108">
        <v>5.08</v>
      </c>
      <c r="E377" s="108"/>
      <c r="F377" s="127"/>
      <c r="G377" s="128"/>
      <c r="H377" s="421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425"/>
      <c r="P377" s="425"/>
      <c r="Q377" s="425"/>
      <c r="R377" s="425"/>
      <c r="S377" s="425"/>
      <c r="T377" s="425"/>
      <c r="U377" s="425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420" t="s">
        <v>208</v>
      </c>
      <c r="C378" s="126" t="s">
        <v>204</v>
      </c>
      <c r="D378" s="108">
        <v>5.08</v>
      </c>
      <c r="E378" s="108"/>
      <c r="F378" s="127"/>
      <c r="G378" s="128"/>
      <c r="H378" s="421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425"/>
      <c r="P378" s="425"/>
      <c r="Q378" s="425"/>
      <c r="R378" s="425"/>
      <c r="S378" s="425"/>
      <c r="T378" s="425"/>
      <c r="U378" s="425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420" t="s">
        <v>208</v>
      </c>
      <c r="C379" s="126" t="s">
        <v>205</v>
      </c>
      <c r="D379" s="108">
        <v>5.08</v>
      </c>
      <c r="E379" s="108"/>
      <c r="F379" s="127"/>
      <c r="G379" s="128"/>
      <c r="H379" s="421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425"/>
      <c r="P379" s="425"/>
      <c r="Q379" s="425"/>
      <c r="R379" s="425"/>
      <c r="S379" s="425"/>
      <c r="T379" s="425"/>
      <c r="U379" s="425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420" t="s">
        <v>208</v>
      </c>
      <c r="C380" s="126" t="s">
        <v>186</v>
      </c>
      <c r="D380" s="108">
        <v>5.08</v>
      </c>
      <c r="E380" s="108"/>
      <c r="F380" s="127"/>
      <c r="G380" s="128"/>
      <c r="H380" s="421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425"/>
      <c r="P380" s="425"/>
      <c r="Q380" s="425"/>
      <c r="R380" s="425"/>
      <c r="S380" s="425"/>
      <c r="T380" s="425"/>
      <c r="U380" s="425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420" t="s">
        <v>208</v>
      </c>
      <c r="C381" s="126" t="s">
        <v>203</v>
      </c>
      <c r="D381" s="108">
        <v>5.08</v>
      </c>
      <c r="E381" s="108"/>
      <c r="F381" s="127"/>
      <c r="G381" s="128"/>
      <c r="H381" s="421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425"/>
      <c r="P381" s="425"/>
      <c r="Q381" s="425"/>
      <c r="R381" s="425"/>
      <c r="S381" s="425"/>
      <c r="T381" s="425"/>
      <c r="U381" s="425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420" t="s">
        <v>208</v>
      </c>
      <c r="C382" s="126" t="s">
        <v>199</v>
      </c>
      <c r="D382" s="108">
        <v>5.08</v>
      </c>
      <c r="E382" s="108"/>
      <c r="F382" s="127"/>
      <c r="G382" s="128"/>
      <c r="H382" s="421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429"/>
      <c r="P382" s="429"/>
      <c r="Q382" s="429"/>
      <c r="R382" s="429"/>
      <c r="S382" s="429"/>
      <c r="T382" s="429"/>
      <c r="U382" s="429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420" t="s">
        <v>208</v>
      </c>
      <c r="C383" s="126" t="s">
        <v>187</v>
      </c>
      <c r="D383" s="108">
        <v>5.08</v>
      </c>
      <c r="E383" s="108"/>
      <c r="F383" s="127"/>
      <c r="G383" s="128"/>
      <c r="H383" s="421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425"/>
      <c r="P383" s="425"/>
      <c r="Q383" s="425"/>
      <c r="R383" s="425"/>
      <c r="S383" s="425"/>
      <c r="T383" s="425"/>
      <c r="U383" s="425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420" t="s">
        <v>208</v>
      </c>
      <c r="C384" s="126" t="s">
        <v>207</v>
      </c>
      <c r="D384" s="108">
        <v>5.08</v>
      </c>
      <c r="E384" s="108"/>
      <c r="F384" s="127"/>
      <c r="G384" s="128"/>
      <c r="H384" s="421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429"/>
      <c r="P384" s="429"/>
      <c r="Q384" s="429"/>
      <c r="R384" s="429"/>
      <c r="S384" s="429"/>
      <c r="T384" s="429"/>
      <c r="U384" s="429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420" t="s">
        <v>209</v>
      </c>
      <c r="C385" s="126" t="s">
        <v>194</v>
      </c>
      <c r="D385" s="108">
        <v>5.03</v>
      </c>
      <c r="E385" s="108"/>
      <c r="F385" s="127"/>
      <c r="G385" s="128"/>
      <c r="H385" s="421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425"/>
      <c r="P385" s="425"/>
      <c r="Q385" s="425"/>
      <c r="R385" s="425"/>
      <c r="S385" s="425"/>
      <c r="T385" s="425"/>
      <c r="U385" s="425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420" t="s">
        <v>209</v>
      </c>
      <c r="C386" s="126" t="s">
        <v>179</v>
      </c>
      <c r="D386" s="108">
        <v>5.03</v>
      </c>
      <c r="E386" s="108"/>
      <c r="F386" s="127"/>
      <c r="G386" s="128"/>
      <c r="H386" s="421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425"/>
      <c r="P386" s="425"/>
      <c r="Q386" s="425"/>
      <c r="R386" s="425"/>
      <c r="S386" s="425"/>
      <c r="T386" s="425"/>
      <c r="U386" s="425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420" t="s">
        <v>209</v>
      </c>
      <c r="C387" s="126" t="s">
        <v>195</v>
      </c>
      <c r="D387" s="108">
        <v>5.03</v>
      </c>
      <c r="E387" s="108"/>
      <c r="F387" s="127"/>
      <c r="G387" s="128"/>
      <c r="H387" s="421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425"/>
      <c r="P387" s="425"/>
      <c r="Q387" s="425"/>
      <c r="R387" s="425"/>
      <c r="S387" s="425"/>
      <c r="T387" s="425"/>
      <c r="U387" s="425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420" t="s">
        <v>209</v>
      </c>
      <c r="C388" s="126" t="s">
        <v>204</v>
      </c>
      <c r="D388" s="108">
        <v>5.03</v>
      </c>
      <c r="E388" s="108"/>
      <c r="F388" s="127"/>
      <c r="G388" s="128"/>
      <c r="H388" s="421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425"/>
      <c r="P388" s="425"/>
      <c r="Q388" s="425"/>
      <c r="R388" s="425"/>
      <c r="S388" s="425"/>
      <c r="T388" s="425"/>
      <c r="U388" s="425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420" t="s">
        <v>382</v>
      </c>
      <c r="C389" s="187" t="s">
        <v>383</v>
      </c>
      <c r="D389" s="108">
        <v>5.03</v>
      </c>
      <c r="E389" s="108"/>
      <c r="F389" s="127"/>
      <c r="G389" s="128"/>
      <c r="H389" s="421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425"/>
      <c r="P389" s="425"/>
      <c r="Q389" s="425"/>
      <c r="R389" s="425"/>
      <c r="S389" s="425"/>
      <c r="T389" s="425"/>
      <c r="U389" s="425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420" t="s">
        <v>382</v>
      </c>
      <c r="C390" s="187" t="s">
        <v>384</v>
      </c>
      <c r="D390" s="108">
        <v>5.03</v>
      </c>
      <c r="E390" s="108"/>
      <c r="F390" s="127"/>
      <c r="G390" s="128"/>
      <c r="H390" s="421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425"/>
      <c r="P390" s="425"/>
      <c r="Q390" s="425"/>
      <c r="R390" s="425"/>
      <c r="S390" s="425"/>
      <c r="T390" s="425"/>
      <c r="U390" s="425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420" t="s">
        <v>382</v>
      </c>
      <c r="C391" s="187" t="s">
        <v>389</v>
      </c>
      <c r="D391" s="108">
        <v>5.03</v>
      </c>
      <c r="E391" s="108"/>
      <c r="F391" s="127"/>
      <c r="G391" s="128"/>
      <c r="H391" s="421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425"/>
      <c r="P391" s="425"/>
      <c r="Q391" s="425"/>
      <c r="R391" s="425"/>
      <c r="S391" s="425"/>
      <c r="T391" s="425"/>
      <c r="U391" s="425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420" t="s">
        <v>382</v>
      </c>
      <c r="C392" s="187" t="s">
        <v>391</v>
      </c>
      <c r="D392" s="108">
        <v>5.03</v>
      </c>
      <c r="E392" s="108"/>
      <c r="F392" s="127"/>
      <c r="G392" s="128"/>
      <c r="H392" s="421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425"/>
      <c r="P392" s="425"/>
      <c r="Q392" s="425"/>
      <c r="R392" s="425"/>
      <c r="S392" s="425"/>
      <c r="T392" s="425"/>
      <c r="U392" s="425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420" t="s">
        <v>418</v>
      </c>
      <c r="C393" s="187" t="s">
        <v>364</v>
      </c>
      <c r="D393" s="108">
        <v>5.03</v>
      </c>
      <c r="E393" s="108"/>
      <c r="F393" s="127"/>
      <c r="G393" s="128"/>
      <c r="H393" s="421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425"/>
      <c r="P393" s="425"/>
      <c r="Q393" s="425"/>
      <c r="R393" s="425"/>
      <c r="S393" s="425"/>
      <c r="T393" s="425"/>
      <c r="U393" s="425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420" t="s">
        <v>418</v>
      </c>
      <c r="C394" s="187" t="s">
        <v>365</v>
      </c>
      <c r="D394" s="108">
        <v>5.03</v>
      </c>
      <c r="E394" s="108"/>
      <c r="F394" s="127"/>
      <c r="G394" s="128"/>
      <c r="H394" s="421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425"/>
      <c r="P394" s="425"/>
      <c r="Q394" s="425"/>
      <c r="R394" s="425"/>
      <c r="S394" s="425"/>
      <c r="T394" s="425"/>
      <c r="U394" s="425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420" t="s">
        <v>418</v>
      </c>
      <c r="C395" s="187" t="s">
        <v>366</v>
      </c>
      <c r="D395" s="108">
        <v>5.03</v>
      </c>
      <c r="E395" s="108"/>
      <c r="F395" s="127"/>
      <c r="G395" s="128"/>
      <c r="H395" s="421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425"/>
      <c r="P395" s="425"/>
      <c r="Q395" s="425"/>
      <c r="R395" s="425"/>
      <c r="S395" s="425"/>
      <c r="T395" s="425"/>
      <c r="U395" s="425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420" t="s">
        <v>418</v>
      </c>
      <c r="C396" s="187" t="s">
        <v>367</v>
      </c>
      <c r="D396" s="108">
        <v>5.03</v>
      </c>
      <c r="E396" s="108"/>
      <c r="F396" s="127"/>
      <c r="G396" s="128"/>
      <c r="H396" s="421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425"/>
      <c r="P396" s="425"/>
      <c r="Q396" s="425"/>
      <c r="R396" s="425"/>
      <c r="S396" s="425"/>
      <c r="T396" s="425"/>
      <c r="U396" s="425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421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429"/>
      <c r="P397" s="429"/>
      <c r="Q397" s="429"/>
      <c r="R397" s="429"/>
      <c r="S397" s="429"/>
      <c r="T397" s="429"/>
      <c r="U397" s="429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421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429"/>
      <c r="P398" s="429"/>
      <c r="Q398" s="429"/>
      <c r="R398" s="429"/>
      <c r="S398" s="429"/>
      <c r="T398" s="429"/>
      <c r="U398" s="429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421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429"/>
      <c r="P399" s="429"/>
      <c r="Q399" s="429"/>
      <c r="R399" s="429"/>
      <c r="S399" s="429"/>
      <c r="T399" s="429"/>
      <c r="U399" s="429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421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429"/>
      <c r="P400" s="429"/>
      <c r="Q400" s="429"/>
      <c r="R400" s="429"/>
      <c r="S400" s="429"/>
      <c r="T400" s="429"/>
      <c r="U400" s="429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421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429"/>
      <c r="P401" s="429"/>
      <c r="Q401" s="429"/>
      <c r="R401" s="429"/>
      <c r="S401" s="429"/>
      <c r="T401" s="429"/>
      <c r="U401" s="429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421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429"/>
      <c r="P402" s="429"/>
      <c r="Q402" s="429"/>
      <c r="R402" s="429"/>
      <c r="S402" s="429"/>
      <c r="T402" s="429"/>
      <c r="U402" s="429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421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429"/>
      <c r="P403" s="429"/>
      <c r="Q403" s="429"/>
      <c r="R403" s="429"/>
      <c r="S403" s="429"/>
      <c r="T403" s="429"/>
      <c r="U403" s="429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421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429"/>
      <c r="P404" s="429"/>
      <c r="Q404" s="429"/>
      <c r="R404" s="429"/>
      <c r="S404" s="429"/>
      <c r="T404" s="429"/>
      <c r="U404" s="429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421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429"/>
      <c r="P405" s="429"/>
      <c r="Q405" s="429"/>
      <c r="R405" s="429"/>
      <c r="S405" s="429"/>
      <c r="T405" s="429"/>
      <c r="U405" s="429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421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429"/>
      <c r="P406" s="429"/>
      <c r="Q406" s="429"/>
      <c r="R406" s="429"/>
      <c r="S406" s="429"/>
      <c r="T406" s="429"/>
      <c r="U406" s="429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421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429"/>
      <c r="P407" s="429"/>
      <c r="Q407" s="429"/>
      <c r="R407" s="429"/>
      <c r="S407" s="429"/>
      <c r="T407" s="429"/>
      <c r="U407" s="429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421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429"/>
      <c r="P408" s="429"/>
      <c r="Q408" s="429"/>
      <c r="R408" s="429"/>
      <c r="S408" s="429"/>
      <c r="T408" s="429"/>
      <c r="U408" s="429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421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429"/>
      <c r="P409" s="429"/>
      <c r="Q409" s="429"/>
      <c r="R409" s="429"/>
      <c r="S409" s="429"/>
      <c r="T409" s="429"/>
      <c r="U409" s="429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421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429"/>
      <c r="P410" s="429"/>
      <c r="Q410" s="429"/>
      <c r="R410" s="429"/>
      <c r="S410" s="429"/>
      <c r="T410" s="429"/>
      <c r="U410" s="429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421">
        <f t="shared" si="171"/>
        <v>0</v>
      </c>
      <c r="I411" s="129"/>
      <c r="J411" s="130"/>
      <c r="K411" s="131"/>
      <c r="L411" s="129"/>
      <c r="M411" s="109"/>
      <c r="N411" s="130"/>
      <c r="O411" s="429"/>
      <c r="P411" s="429"/>
      <c r="Q411" s="429"/>
      <c r="R411" s="429"/>
      <c r="S411" s="429"/>
      <c r="T411" s="429"/>
      <c r="U411" s="429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421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429"/>
      <c r="P412" s="429"/>
      <c r="Q412" s="429"/>
      <c r="R412" s="429"/>
      <c r="S412" s="429"/>
      <c r="T412" s="429"/>
      <c r="U412" s="429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421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429"/>
      <c r="P413" s="429"/>
      <c r="Q413" s="429"/>
      <c r="R413" s="429"/>
      <c r="S413" s="429"/>
      <c r="T413" s="429"/>
      <c r="U413" s="429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421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429"/>
      <c r="P414" s="429"/>
      <c r="Q414" s="429"/>
      <c r="R414" s="429"/>
      <c r="S414" s="429"/>
      <c r="T414" s="429"/>
      <c r="U414" s="429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421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429"/>
      <c r="P415" s="429"/>
      <c r="Q415" s="429"/>
      <c r="R415" s="429"/>
      <c r="S415" s="429"/>
      <c r="T415" s="429"/>
      <c r="U415" s="429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421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429"/>
      <c r="P416" s="429"/>
      <c r="Q416" s="429"/>
      <c r="R416" s="429"/>
      <c r="S416" s="429"/>
      <c r="T416" s="429"/>
      <c r="U416" s="429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421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429"/>
      <c r="P417" s="429"/>
      <c r="Q417" s="429"/>
      <c r="R417" s="429"/>
      <c r="S417" s="429"/>
      <c r="T417" s="429"/>
      <c r="U417" s="429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421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429"/>
      <c r="P418" s="429"/>
      <c r="Q418" s="429"/>
      <c r="R418" s="429"/>
      <c r="S418" s="429"/>
      <c r="T418" s="429"/>
      <c r="U418" s="429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421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429"/>
      <c r="P419" s="429"/>
      <c r="Q419" s="429"/>
      <c r="R419" s="429"/>
      <c r="S419" s="429"/>
      <c r="T419" s="429"/>
      <c r="U419" s="429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421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429"/>
      <c r="P420" s="429"/>
      <c r="Q420" s="429"/>
      <c r="R420" s="429"/>
      <c r="S420" s="429"/>
      <c r="T420" s="429"/>
      <c r="U420" s="429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421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429"/>
      <c r="P421" s="429"/>
      <c r="Q421" s="429"/>
      <c r="R421" s="429"/>
      <c r="S421" s="429"/>
      <c r="T421" s="429"/>
      <c r="U421" s="429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421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429"/>
      <c r="P422" s="429"/>
      <c r="Q422" s="429"/>
      <c r="R422" s="429"/>
      <c r="S422" s="429"/>
      <c r="T422" s="429"/>
      <c r="U422" s="429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421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429"/>
      <c r="P423" s="429"/>
      <c r="Q423" s="429"/>
      <c r="R423" s="429"/>
      <c r="S423" s="429"/>
      <c r="T423" s="429"/>
      <c r="U423" s="429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421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429"/>
      <c r="P424" s="429"/>
      <c r="Q424" s="429"/>
      <c r="R424" s="429"/>
      <c r="S424" s="429"/>
      <c r="T424" s="429"/>
      <c r="U424" s="429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421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429"/>
      <c r="P425" s="429"/>
      <c r="Q425" s="429"/>
      <c r="R425" s="429"/>
      <c r="S425" s="429"/>
      <c r="T425" s="429"/>
      <c r="U425" s="429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41" t="s">
        <v>216</v>
      </c>
      <c r="B426" s="641"/>
      <c r="C426" s="430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420" t="s">
        <v>217</v>
      </c>
      <c r="C427" s="126" t="s">
        <v>179</v>
      </c>
      <c r="D427" s="108">
        <v>5.03</v>
      </c>
      <c r="E427" s="108"/>
      <c r="F427" s="127"/>
      <c r="G427" s="128"/>
      <c r="H427" s="421">
        <f t="shared" ref="H427:H460" si="196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7">IF(ISERROR(I427-K427),"",I427-K427)</f>
        <v>0</v>
      </c>
      <c r="N427" s="130">
        <f t="shared" ref="N427:N434" si="198">SUM(O427:U427)</f>
        <v>0</v>
      </c>
      <c r="O427" s="429"/>
      <c r="P427" s="429"/>
      <c r="Q427" s="429"/>
      <c r="R427" s="429"/>
      <c r="S427" s="429"/>
      <c r="T427" s="429"/>
      <c r="U427" s="429"/>
      <c r="V427" s="132">
        <f t="shared" ref="V427:V433" si="199">SUM(X427:AA427)</f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420" t="s">
        <v>217</v>
      </c>
      <c r="C428" s="126" t="s">
        <v>186</v>
      </c>
      <c r="D428" s="108">
        <v>5.03</v>
      </c>
      <c r="E428" s="108"/>
      <c r="F428" s="127"/>
      <c r="G428" s="128"/>
      <c r="H428" s="421">
        <f t="shared" si="196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7"/>
        <v>0</v>
      </c>
      <c r="N428" s="130">
        <f t="shared" si="198"/>
        <v>0</v>
      </c>
      <c r="O428" s="429"/>
      <c r="P428" s="429"/>
      <c r="Q428" s="429"/>
      <c r="R428" s="429"/>
      <c r="S428" s="429"/>
      <c r="T428" s="429"/>
      <c r="U428" s="429"/>
      <c r="V428" s="132">
        <f t="shared" si="199"/>
        <v>0</v>
      </c>
      <c r="W428" s="133" t="str">
        <f t="shared" si="195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420" t="s">
        <v>217</v>
      </c>
      <c r="C429" s="126" t="s">
        <v>204</v>
      </c>
      <c r="D429" s="108">
        <v>5.03</v>
      </c>
      <c r="E429" s="108"/>
      <c r="F429" s="127"/>
      <c r="G429" s="128"/>
      <c r="H429" s="421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7"/>
        <v>0</v>
      </c>
      <c r="N429" s="130">
        <f t="shared" si="198"/>
        <v>0</v>
      </c>
      <c r="O429" s="429"/>
      <c r="P429" s="429"/>
      <c r="Q429" s="429"/>
      <c r="R429" s="429"/>
      <c r="S429" s="429"/>
      <c r="T429" s="429"/>
      <c r="U429" s="429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>
        <v>42707</v>
      </c>
      <c r="G430" s="128">
        <f>108+108+29+82</f>
        <v>327</v>
      </c>
      <c r="H430" s="421">
        <f t="shared" si="196"/>
        <v>1644.8100000000002</v>
      </c>
      <c r="I430" s="129">
        <f>8+8+9</f>
        <v>25</v>
      </c>
      <c r="J430" s="130">
        <f t="array" ref="J430">IF(ISERROR(G430/I430),"",G430/I430)</f>
        <v>13.08</v>
      </c>
      <c r="K430" s="131">
        <f t="array" ref="K430">IF(ISERROR(G430/L430),"",G430/L430)</f>
        <v>35.161290322580641</v>
      </c>
      <c r="L430" s="129">
        <v>9.3000000000000007</v>
      </c>
      <c r="M430" s="109">
        <f t="shared" si="197"/>
        <v>-10.161290322580641</v>
      </c>
      <c r="N430" s="130">
        <f t="shared" si="198"/>
        <v>0</v>
      </c>
      <c r="O430" s="429"/>
      <c r="P430" s="429"/>
      <c r="Q430" s="429"/>
      <c r="R430" s="429"/>
      <c r="S430" s="429"/>
      <c r="T430" s="429"/>
      <c r="U430" s="429"/>
      <c r="V430" s="132">
        <f t="shared" si="199"/>
        <v>0</v>
      </c>
      <c r="W430" s="133">
        <f t="shared" si="195"/>
        <v>0</v>
      </c>
      <c r="X430" s="132"/>
      <c r="Y430" s="132"/>
      <c r="Z430" s="132"/>
      <c r="AA430" s="132"/>
    </row>
    <row r="431" spans="1:27" ht="20.10000000000000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>
        <v>42707</v>
      </c>
      <c r="G431" s="128">
        <f>83+15+14+108*2+108</f>
        <v>436</v>
      </c>
      <c r="H431" s="421">
        <f t="shared" si="196"/>
        <v>2193.08</v>
      </c>
      <c r="I431" s="129">
        <f>8+8.5+9.5+9.5</f>
        <v>35.5</v>
      </c>
      <c r="J431" s="130">
        <f t="array" ref="J431">IF(ISERROR(G431/I431),"",G431/I431)</f>
        <v>12.28169014084507</v>
      </c>
      <c r="K431" s="131">
        <f t="array" ref="K431">IF(ISERROR(G431/L431),"",G431/L431)</f>
        <v>46.881720430107521</v>
      </c>
      <c r="L431" s="129">
        <v>9.3000000000000007</v>
      </c>
      <c r="M431" s="109">
        <f t="shared" si="197"/>
        <v>-11.381720430107521</v>
      </c>
      <c r="N431" s="130">
        <f t="shared" si="198"/>
        <v>0</v>
      </c>
      <c r="O431" s="429"/>
      <c r="P431" s="429"/>
      <c r="Q431" s="429"/>
      <c r="R431" s="429"/>
      <c r="S431" s="429"/>
      <c r="T431" s="429"/>
      <c r="U431" s="429"/>
      <c r="V431" s="132">
        <f t="shared" si="199"/>
        <v>0</v>
      </c>
      <c r="W431" s="133">
        <f t="shared" si="195"/>
        <v>0</v>
      </c>
      <c r="X431" s="132"/>
      <c r="Y431" s="132"/>
      <c r="Z431" s="132"/>
      <c r="AA431" s="132"/>
    </row>
    <row r="432" spans="1:27" ht="20.10000000000000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>
        <v>42711</v>
      </c>
      <c r="G432" s="128">
        <f>108+20+30+53</f>
        <v>211</v>
      </c>
      <c r="H432" s="421">
        <f t="shared" si="196"/>
        <v>1061.3300000000002</v>
      </c>
      <c r="I432" s="129">
        <f>9*2</f>
        <v>18</v>
      </c>
      <c r="J432" s="130">
        <f t="array" ref="J432">IF(ISERROR(G432/I432),"",G432/I432)</f>
        <v>11.722222222222221</v>
      </c>
      <c r="K432" s="131">
        <f t="array" ref="K432">IF(ISERROR(G432/L432),"",G432/L432)</f>
        <v>22.688172043010752</v>
      </c>
      <c r="L432" s="129">
        <v>9.3000000000000007</v>
      </c>
      <c r="M432" s="109">
        <f t="shared" si="197"/>
        <v>-4.6881720430107521</v>
      </c>
      <c r="N432" s="130">
        <f t="shared" si="198"/>
        <v>0</v>
      </c>
      <c r="O432" s="429"/>
      <c r="P432" s="429"/>
      <c r="Q432" s="429"/>
      <c r="R432" s="429"/>
      <c r="S432" s="429"/>
      <c r="T432" s="429"/>
      <c r="U432" s="429"/>
      <c r="V432" s="132">
        <f t="shared" si="199"/>
        <v>0</v>
      </c>
      <c r="W432" s="133">
        <f t="shared" si="195"/>
        <v>0</v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421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429"/>
      <c r="P433" s="429"/>
      <c r="Q433" s="429"/>
      <c r="R433" s="429"/>
      <c r="S433" s="429"/>
      <c r="T433" s="429"/>
      <c r="U433" s="429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421">
        <f t="shared" si="196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429"/>
      <c r="P434" s="429"/>
      <c r="Q434" s="429"/>
      <c r="R434" s="429"/>
      <c r="S434" s="429"/>
      <c r="T434" s="429"/>
      <c r="U434" s="429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421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429"/>
      <c r="P435" s="429"/>
      <c r="Q435" s="429"/>
      <c r="R435" s="429"/>
      <c r="S435" s="429"/>
      <c r="T435" s="429"/>
      <c r="U435" s="429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421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429"/>
      <c r="P436" s="429"/>
      <c r="Q436" s="429"/>
      <c r="R436" s="429"/>
      <c r="S436" s="429"/>
      <c r="T436" s="429"/>
      <c r="U436" s="429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421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29"/>
      <c r="P437" s="429"/>
      <c r="Q437" s="429"/>
      <c r="R437" s="429"/>
      <c r="S437" s="429"/>
      <c r="T437" s="429"/>
      <c r="U437" s="42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421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29"/>
      <c r="P438" s="429"/>
      <c r="Q438" s="429"/>
      <c r="R438" s="429"/>
      <c r="S438" s="429"/>
      <c r="T438" s="429"/>
      <c r="U438" s="42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421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429"/>
      <c r="P439" s="429"/>
      <c r="Q439" s="429"/>
      <c r="R439" s="429"/>
      <c r="S439" s="429"/>
      <c r="T439" s="429"/>
      <c r="U439" s="429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421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429"/>
      <c r="P440" s="429"/>
      <c r="Q440" s="429"/>
      <c r="R440" s="429"/>
      <c r="S440" s="429"/>
      <c r="T440" s="429"/>
      <c r="U440" s="429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421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429"/>
      <c r="P441" s="429"/>
      <c r="Q441" s="429"/>
      <c r="R441" s="429"/>
      <c r="S441" s="429"/>
      <c r="T441" s="429"/>
      <c r="U441" s="429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421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429"/>
      <c r="P442" s="429"/>
      <c r="Q442" s="429"/>
      <c r="R442" s="429"/>
      <c r="S442" s="429"/>
      <c r="T442" s="429"/>
      <c r="U442" s="429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420" t="s">
        <v>222</v>
      </c>
      <c r="C443" s="126" t="s">
        <v>181</v>
      </c>
      <c r="D443" s="108">
        <v>9.36</v>
      </c>
      <c r="E443" s="108"/>
      <c r="F443" s="127"/>
      <c r="G443" s="128"/>
      <c r="H443" s="421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429"/>
      <c r="P443" s="429"/>
      <c r="Q443" s="429"/>
      <c r="R443" s="429"/>
      <c r="S443" s="429"/>
      <c r="T443" s="429"/>
      <c r="U443" s="429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420" t="s">
        <v>222</v>
      </c>
      <c r="C444" s="126" t="s">
        <v>179</v>
      </c>
      <c r="D444" s="108">
        <v>9.36</v>
      </c>
      <c r="E444" s="108"/>
      <c r="F444" s="127"/>
      <c r="G444" s="128"/>
      <c r="H444" s="421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429"/>
      <c r="P444" s="429"/>
      <c r="Q444" s="429"/>
      <c r="R444" s="429"/>
      <c r="S444" s="429"/>
      <c r="T444" s="429"/>
      <c r="U444" s="429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420" t="s">
        <v>222</v>
      </c>
      <c r="C445" s="126" t="s">
        <v>221</v>
      </c>
      <c r="D445" s="108">
        <v>9.36</v>
      </c>
      <c r="E445" s="108"/>
      <c r="F445" s="127"/>
      <c r="G445" s="128"/>
      <c r="H445" s="421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429"/>
      <c r="P445" s="429"/>
      <c r="Q445" s="429"/>
      <c r="R445" s="429"/>
      <c r="S445" s="429"/>
      <c r="T445" s="429"/>
      <c r="U445" s="429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420" t="s">
        <v>222</v>
      </c>
      <c r="C446" s="126" t="s">
        <v>186</v>
      </c>
      <c r="D446" s="108">
        <v>9.36</v>
      </c>
      <c r="E446" s="108"/>
      <c r="F446" s="127"/>
      <c r="G446" s="128"/>
      <c r="H446" s="421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429"/>
      <c r="P446" s="429"/>
      <c r="Q446" s="429"/>
      <c r="R446" s="429"/>
      <c r="S446" s="429"/>
      <c r="T446" s="429"/>
      <c r="U446" s="429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420" t="s">
        <v>393</v>
      </c>
      <c r="C447" s="187" t="s">
        <v>395</v>
      </c>
      <c r="D447" s="108">
        <v>5</v>
      </c>
      <c r="E447" s="108"/>
      <c r="F447" s="127"/>
      <c r="G447" s="128"/>
      <c r="H447" s="421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429"/>
      <c r="P447" s="429"/>
      <c r="Q447" s="429"/>
      <c r="R447" s="429"/>
      <c r="S447" s="429"/>
      <c r="T447" s="429"/>
      <c r="U447" s="429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420" t="s">
        <v>393</v>
      </c>
      <c r="C448" s="187" t="s">
        <v>402</v>
      </c>
      <c r="D448" s="108">
        <v>5</v>
      </c>
      <c r="E448" s="108"/>
      <c r="F448" s="127"/>
      <c r="G448" s="128"/>
      <c r="H448" s="421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429"/>
      <c r="P448" s="429"/>
      <c r="Q448" s="429"/>
      <c r="R448" s="429"/>
      <c r="S448" s="429"/>
      <c r="T448" s="429"/>
      <c r="U448" s="429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420" t="s">
        <v>404</v>
      </c>
      <c r="C449" s="187" t="s">
        <v>405</v>
      </c>
      <c r="D449" s="108">
        <v>5</v>
      </c>
      <c r="E449" s="108"/>
      <c r="F449" s="127"/>
      <c r="G449" s="128"/>
      <c r="H449" s="421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429"/>
      <c r="P449" s="429"/>
      <c r="Q449" s="429"/>
      <c r="R449" s="429"/>
      <c r="S449" s="429"/>
      <c r="T449" s="429"/>
      <c r="U449" s="429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420" t="s">
        <v>342</v>
      </c>
      <c r="C450" s="187" t="s">
        <v>372</v>
      </c>
      <c r="D450" s="108">
        <v>5</v>
      </c>
      <c r="E450" s="108"/>
      <c r="F450" s="127"/>
      <c r="G450" s="128"/>
      <c r="H450" s="421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429"/>
      <c r="P450" s="429"/>
      <c r="Q450" s="429"/>
      <c r="R450" s="429"/>
      <c r="S450" s="429"/>
      <c r="T450" s="429"/>
      <c r="U450" s="429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420" t="s">
        <v>343</v>
      </c>
      <c r="C451" s="126" t="s">
        <v>345</v>
      </c>
      <c r="D451" s="108">
        <v>5</v>
      </c>
      <c r="E451" s="108"/>
      <c r="F451" s="127"/>
      <c r="G451" s="128"/>
      <c r="H451" s="421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429"/>
      <c r="P451" s="429"/>
      <c r="Q451" s="429"/>
      <c r="R451" s="429"/>
      <c r="S451" s="429"/>
      <c r="T451" s="429"/>
      <c r="U451" s="429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420" t="s">
        <v>343</v>
      </c>
      <c r="C452" s="126" t="s">
        <v>347</v>
      </c>
      <c r="D452" s="108">
        <v>5</v>
      </c>
      <c r="E452" s="108"/>
      <c r="F452" s="127"/>
      <c r="G452" s="128"/>
      <c r="H452" s="421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429"/>
      <c r="P452" s="429"/>
      <c r="Q452" s="429"/>
      <c r="R452" s="429"/>
      <c r="S452" s="429"/>
      <c r="T452" s="429"/>
      <c r="U452" s="429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421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429"/>
      <c r="P453" s="429"/>
      <c r="Q453" s="429"/>
      <c r="R453" s="429"/>
      <c r="S453" s="429"/>
      <c r="T453" s="429"/>
      <c r="U453" s="429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421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429"/>
      <c r="P454" s="429"/>
      <c r="Q454" s="429"/>
      <c r="R454" s="429"/>
      <c r="S454" s="429"/>
      <c r="T454" s="429"/>
      <c r="U454" s="429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420</v>
      </c>
      <c r="D455" s="108"/>
      <c r="E455" s="108"/>
      <c r="F455" s="127"/>
      <c r="G455" s="128"/>
      <c r="H455" s="421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429"/>
      <c r="P455" s="429"/>
      <c r="Q455" s="429"/>
      <c r="R455" s="429"/>
      <c r="S455" s="429"/>
      <c r="T455" s="429"/>
      <c r="U455" s="429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421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429"/>
      <c r="P456" s="429"/>
      <c r="Q456" s="429"/>
      <c r="R456" s="429"/>
      <c r="S456" s="429"/>
      <c r="T456" s="429"/>
      <c r="U456" s="429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421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429"/>
      <c r="P457" s="429"/>
      <c r="Q457" s="429"/>
      <c r="R457" s="429"/>
      <c r="S457" s="429"/>
      <c r="T457" s="429"/>
      <c r="U457" s="429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421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429"/>
      <c r="P458" s="429"/>
      <c r="Q458" s="429"/>
      <c r="R458" s="429"/>
      <c r="S458" s="429"/>
      <c r="T458" s="429"/>
      <c r="U458" s="429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421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429"/>
      <c r="P459" s="429"/>
      <c r="Q459" s="429"/>
      <c r="R459" s="429"/>
      <c r="S459" s="429"/>
      <c r="T459" s="429"/>
      <c r="U459" s="429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421">
        <f t="shared" si="196"/>
        <v>0</v>
      </c>
      <c r="I460" s="129"/>
      <c r="J460" s="130" t="str">
        <f t="array" ref="J460">IF(ISERROR(G460/I460),"",G460/I460)</f>
        <v/>
      </c>
      <c r="K460" s="421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429"/>
      <c r="P460" s="429"/>
      <c r="Q460" s="429"/>
      <c r="R460" s="429"/>
      <c r="S460" s="429"/>
      <c r="T460" s="429"/>
      <c r="U460" s="429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customHeight="1">
      <c r="A461" s="630" t="s">
        <v>224</v>
      </c>
      <c r="B461" s="631"/>
      <c r="C461" s="430" t="s">
        <v>202</v>
      </c>
      <c r="D461" s="143"/>
      <c r="E461" s="143"/>
      <c r="F461" s="144"/>
      <c r="G461" s="145">
        <f>SUM(G427:G460)</f>
        <v>974</v>
      </c>
      <c r="H461" s="146">
        <f>SUM(H427:H460)</f>
        <v>4899.22</v>
      </c>
      <c r="I461" s="146">
        <f>SUM(I427:I460)</f>
        <v>78.5</v>
      </c>
      <c r="J461" s="130">
        <f t="array" ref="J461">IF(ISERROR(G461/I461),"",G461/I461)</f>
        <v>12.407643312101911</v>
      </c>
      <c r="K461" s="146">
        <f>SUM(K427:K460)</f>
        <v>104.73118279569891</v>
      </c>
      <c r="L461" s="147"/>
      <c r="M461" s="150">
        <f t="shared" ref="M461:V461" si="210">SUM(M427:M460)</f>
        <v>-26.231182795698913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>
        <f t="shared" si="209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421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429"/>
      <c r="P462" s="429"/>
      <c r="Q462" s="429"/>
      <c r="R462" s="429"/>
      <c r="S462" s="429"/>
      <c r="T462" s="429"/>
      <c r="U462" s="429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421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429"/>
      <c r="P463" s="429"/>
      <c r="Q463" s="429"/>
      <c r="R463" s="429"/>
      <c r="S463" s="429"/>
      <c r="T463" s="429"/>
      <c r="U463" s="429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421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429"/>
      <c r="P464" s="429"/>
      <c r="Q464" s="429"/>
      <c r="R464" s="429"/>
      <c r="S464" s="429"/>
      <c r="T464" s="429"/>
      <c r="U464" s="429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421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429"/>
      <c r="P465" s="429"/>
      <c r="Q465" s="429"/>
      <c r="R465" s="429"/>
      <c r="S465" s="429"/>
      <c r="T465" s="429"/>
      <c r="U465" s="429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426" t="s">
        <v>203</v>
      </c>
      <c r="D466" s="108">
        <v>5.03</v>
      </c>
      <c r="E466" s="108"/>
      <c r="F466" s="127"/>
      <c r="G466" s="128"/>
      <c r="H466" s="421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429"/>
      <c r="P466" s="429"/>
      <c r="Q466" s="429"/>
      <c r="R466" s="429"/>
      <c r="S466" s="429"/>
      <c r="T466" s="429"/>
      <c r="U466" s="429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421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429"/>
      <c r="P467" s="429"/>
      <c r="Q467" s="429"/>
      <c r="R467" s="429"/>
      <c r="S467" s="429"/>
      <c r="T467" s="429"/>
      <c r="U467" s="429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421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429"/>
      <c r="P468" s="429"/>
      <c r="Q468" s="429"/>
      <c r="R468" s="429"/>
      <c r="S468" s="429"/>
      <c r="T468" s="429"/>
      <c r="U468" s="429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426" t="s">
        <v>228</v>
      </c>
      <c r="D469" s="108">
        <v>5.03</v>
      </c>
      <c r="E469" s="108"/>
      <c r="F469" s="127"/>
      <c r="G469" s="128"/>
      <c r="H469" s="421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429"/>
      <c r="P469" s="429"/>
      <c r="Q469" s="429"/>
      <c r="R469" s="429"/>
      <c r="S469" s="429"/>
      <c r="T469" s="429"/>
      <c r="U469" s="429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426" t="s">
        <v>212</v>
      </c>
      <c r="D470" s="108">
        <v>5.03</v>
      </c>
      <c r="E470" s="108"/>
      <c r="F470" s="127"/>
      <c r="G470" s="128"/>
      <c r="H470" s="421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429"/>
      <c r="P470" s="429"/>
      <c r="Q470" s="429"/>
      <c r="R470" s="429"/>
      <c r="S470" s="429"/>
      <c r="T470" s="429"/>
      <c r="U470" s="429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426" t="s">
        <v>203</v>
      </c>
      <c r="D471" s="108">
        <v>5.03</v>
      </c>
      <c r="E471" s="108"/>
      <c r="F471" s="127"/>
      <c r="G471" s="128"/>
      <c r="H471" s="421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429"/>
      <c r="P471" s="429"/>
      <c r="Q471" s="429"/>
      <c r="R471" s="429"/>
      <c r="S471" s="429"/>
      <c r="T471" s="429"/>
      <c r="U471" s="429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426" t="s">
        <v>186</v>
      </c>
      <c r="D472" s="108">
        <v>5.03</v>
      </c>
      <c r="E472" s="108"/>
      <c r="F472" s="127"/>
      <c r="G472" s="128"/>
      <c r="H472" s="421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429"/>
      <c r="P472" s="429"/>
      <c r="Q472" s="429"/>
      <c r="R472" s="429"/>
      <c r="S472" s="429"/>
      <c r="T472" s="429"/>
      <c r="U472" s="429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426" t="s">
        <v>228</v>
      </c>
      <c r="D473" s="108">
        <v>5.03</v>
      </c>
      <c r="E473" s="108"/>
      <c r="F473" s="127"/>
      <c r="G473" s="128"/>
      <c r="H473" s="421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429"/>
      <c r="P473" s="429"/>
      <c r="Q473" s="429"/>
      <c r="R473" s="429"/>
      <c r="S473" s="429"/>
      <c r="T473" s="429"/>
      <c r="U473" s="429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426" t="s">
        <v>199</v>
      </c>
      <c r="D474" s="108">
        <v>5.03</v>
      </c>
      <c r="E474" s="108"/>
      <c r="F474" s="127"/>
      <c r="G474" s="128"/>
      <c r="H474" s="421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429"/>
      <c r="P474" s="429"/>
      <c r="Q474" s="429"/>
      <c r="R474" s="429"/>
      <c r="S474" s="429"/>
      <c r="T474" s="429"/>
      <c r="U474" s="429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421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429"/>
      <c r="P475" s="429"/>
      <c r="Q475" s="429"/>
      <c r="R475" s="429"/>
      <c r="S475" s="429"/>
      <c r="T475" s="429"/>
      <c r="U475" s="429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421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429"/>
      <c r="P476" s="429"/>
      <c r="Q476" s="429"/>
      <c r="R476" s="429"/>
      <c r="S476" s="429"/>
      <c r="T476" s="429"/>
      <c r="U476" s="429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630" t="s">
        <v>231</v>
      </c>
      <c r="B477" s="631"/>
      <c r="C477" s="430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421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429"/>
      <c r="P478" s="429"/>
      <c r="Q478" s="429"/>
      <c r="R478" s="429"/>
      <c r="S478" s="429"/>
      <c r="T478" s="429"/>
      <c r="U478" s="429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421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429"/>
      <c r="P479" s="429"/>
      <c r="Q479" s="429"/>
      <c r="R479" s="429"/>
      <c r="S479" s="429"/>
      <c r="T479" s="429"/>
      <c r="U479" s="429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421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429"/>
      <c r="P480" s="429"/>
      <c r="Q480" s="429"/>
      <c r="R480" s="429"/>
      <c r="S480" s="429"/>
      <c r="T480" s="429"/>
      <c r="U480" s="429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421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429"/>
      <c r="P481" s="429"/>
      <c r="Q481" s="429"/>
      <c r="R481" s="429"/>
      <c r="S481" s="429"/>
      <c r="T481" s="429"/>
      <c r="U481" s="429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421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429"/>
      <c r="P482" s="429"/>
      <c r="Q482" s="429"/>
      <c r="R482" s="429"/>
      <c r="S482" s="429"/>
      <c r="T482" s="429"/>
      <c r="U482" s="429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421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429"/>
      <c r="P483" s="429"/>
      <c r="Q483" s="429"/>
      <c r="R483" s="429"/>
      <c r="S483" s="429"/>
      <c r="T483" s="429"/>
      <c r="U483" s="429"/>
      <c r="V483" s="132"/>
      <c r="W483" s="133"/>
      <c r="X483" s="132"/>
      <c r="Y483" s="132"/>
      <c r="Z483" s="132"/>
      <c r="AA483" s="132"/>
    </row>
    <row r="484" spans="1:27" ht="20.10000000000000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470"/>
      <c r="P484" s="470"/>
      <c r="Q484" s="470"/>
      <c r="R484" s="470"/>
      <c r="S484" s="470"/>
      <c r="T484" s="470"/>
      <c r="U484" s="470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421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429"/>
      <c r="P486" s="429"/>
      <c r="Q486" s="429"/>
      <c r="R486" s="429"/>
      <c r="S486" s="429"/>
      <c r="T486" s="429"/>
      <c r="U486" s="429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30" t="s">
        <v>234</v>
      </c>
      <c r="B487" s="631"/>
      <c r="C487" s="430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427"/>
      <c r="D488" s="108">
        <v>3.65</v>
      </c>
      <c r="E488" s="108"/>
      <c r="F488" s="153"/>
      <c r="G488" s="128"/>
      <c r="H488" s="421">
        <f t="shared" ref="H488:H502" si="223">D488*G488</f>
        <v>0</v>
      </c>
      <c r="I488" s="129"/>
      <c r="J488" s="130" t="str">
        <f t="array" ref="J488">IF(ISERROR(G488/I488),"",G488/I488)</f>
        <v/>
      </c>
      <c r="K488" s="421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429"/>
      <c r="P488" s="429"/>
      <c r="Q488" s="429"/>
      <c r="R488" s="429"/>
      <c r="S488" s="429"/>
      <c r="T488" s="429"/>
      <c r="U488" s="429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427"/>
      <c r="D489" s="108">
        <v>6.58</v>
      </c>
      <c r="E489" s="108"/>
      <c r="F489" s="127"/>
      <c r="G489" s="128"/>
      <c r="H489" s="421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429"/>
      <c r="P489" s="429"/>
      <c r="Q489" s="429"/>
      <c r="R489" s="429"/>
      <c r="S489" s="429"/>
      <c r="T489" s="429"/>
      <c r="U489" s="429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427"/>
      <c r="D490" s="108">
        <v>7.8</v>
      </c>
      <c r="E490" s="108"/>
      <c r="F490" s="127"/>
      <c r="G490" s="128"/>
      <c r="H490" s="421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429"/>
      <c r="P490" s="429"/>
      <c r="Q490" s="429"/>
      <c r="R490" s="429"/>
      <c r="S490" s="429"/>
      <c r="T490" s="429"/>
      <c r="U490" s="429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427"/>
      <c r="D491" s="108">
        <v>4.4000000000000004</v>
      </c>
      <c r="E491" s="108"/>
      <c r="F491" s="127"/>
      <c r="G491" s="128"/>
      <c r="H491" s="421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429"/>
      <c r="P491" s="429"/>
      <c r="Q491" s="429"/>
      <c r="R491" s="429"/>
      <c r="S491" s="429"/>
      <c r="T491" s="429"/>
      <c r="U491" s="429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421">
        <f t="shared" si="223"/>
        <v>0</v>
      </c>
      <c r="I492" s="129"/>
      <c r="J492" s="130"/>
      <c r="K492" s="131"/>
      <c r="L492" s="129"/>
      <c r="M492" s="109"/>
      <c r="N492" s="130"/>
      <c r="O492" s="429"/>
      <c r="P492" s="429"/>
      <c r="Q492" s="429"/>
      <c r="R492" s="429"/>
      <c r="S492" s="429"/>
      <c r="T492" s="429"/>
      <c r="U492" s="429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427"/>
      <c r="D493" s="108"/>
      <c r="E493" s="108"/>
      <c r="F493" s="127"/>
      <c r="G493" s="128"/>
      <c r="H493" s="421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429"/>
      <c r="P493" s="429"/>
      <c r="Q493" s="429"/>
      <c r="R493" s="429"/>
      <c r="S493" s="429"/>
      <c r="T493" s="429"/>
      <c r="U493" s="429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427" t="s">
        <v>239</v>
      </c>
      <c r="C494" s="427" t="s">
        <v>179</v>
      </c>
      <c r="D494" s="108">
        <v>6.04</v>
      </c>
      <c r="E494" s="108"/>
      <c r="F494" s="127"/>
      <c r="G494" s="128"/>
      <c r="H494" s="421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429"/>
      <c r="P494" s="429"/>
      <c r="Q494" s="429"/>
      <c r="R494" s="429"/>
      <c r="S494" s="429"/>
      <c r="T494" s="429"/>
      <c r="U494" s="429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427" t="s">
        <v>239</v>
      </c>
      <c r="C495" s="427" t="s">
        <v>186</v>
      </c>
      <c r="D495" s="108">
        <v>6.04</v>
      </c>
      <c r="E495" s="108"/>
      <c r="F495" s="127"/>
      <c r="G495" s="128"/>
      <c r="H495" s="421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429"/>
      <c r="P495" s="429"/>
      <c r="Q495" s="429"/>
      <c r="R495" s="429"/>
      <c r="S495" s="429"/>
      <c r="T495" s="429"/>
      <c r="U495" s="429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427" t="s">
        <v>443</v>
      </c>
      <c r="C496" s="427" t="s">
        <v>179</v>
      </c>
      <c r="D496" s="108"/>
      <c r="E496" s="108"/>
      <c r="F496" s="127"/>
      <c r="G496" s="128"/>
      <c r="H496" s="421">
        <f t="shared" si="223"/>
        <v>0</v>
      </c>
      <c r="I496" s="129"/>
      <c r="J496" s="130"/>
      <c r="K496" s="131"/>
      <c r="L496" s="129"/>
      <c r="M496" s="109"/>
      <c r="N496" s="130"/>
      <c r="O496" s="429"/>
      <c r="P496" s="429"/>
      <c r="Q496" s="429"/>
      <c r="R496" s="429"/>
      <c r="S496" s="429"/>
      <c r="T496" s="429"/>
      <c r="U496" s="429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427" t="s">
        <v>443</v>
      </c>
      <c r="C497" s="427" t="s">
        <v>186</v>
      </c>
      <c r="D497" s="108"/>
      <c r="E497" s="108"/>
      <c r="F497" s="127"/>
      <c r="G497" s="128"/>
      <c r="H497" s="421">
        <f t="shared" si="223"/>
        <v>0</v>
      </c>
      <c r="I497" s="129"/>
      <c r="J497" s="130"/>
      <c r="K497" s="131"/>
      <c r="L497" s="129"/>
      <c r="M497" s="109"/>
      <c r="N497" s="130"/>
      <c r="O497" s="429"/>
      <c r="P497" s="429"/>
      <c r="Q497" s="429"/>
      <c r="R497" s="429"/>
      <c r="S497" s="429"/>
      <c r="T497" s="429"/>
      <c r="U497" s="429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420" t="s">
        <v>240</v>
      </c>
      <c r="C498" s="126"/>
      <c r="D498" s="108">
        <v>7.3</v>
      </c>
      <c r="E498" s="108"/>
      <c r="F498" s="127"/>
      <c r="G498" s="128"/>
      <c r="H498" s="421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429"/>
      <c r="P498" s="429"/>
      <c r="Q498" s="429"/>
      <c r="R498" s="429"/>
      <c r="S498" s="429"/>
      <c r="T498" s="429"/>
      <c r="U498" s="429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420" t="s">
        <v>241</v>
      </c>
      <c r="C499" s="126"/>
      <c r="D499" s="108">
        <f>78*120/1000</f>
        <v>9.36</v>
      </c>
      <c r="E499" s="108"/>
      <c r="F499" s="127"/>
      <c r="G499" s="128"/>
      <c r="H499" s="421">
        <f t="shared" si="223"/>
        <v>0</v>
      </c>
      <c r="I499" s="129"/>
      <c r="J499" s="130"/>
      <c r="K499" s="131"/>
      <c r="L499" s="129"/>
      <c r="M499" s="109"/>
      <c r="N499" s="130"/>
      <c r="O499" s="429"/>
      <c r="P499" s="429"/>
      <c r="Q499" s="429"/>
      <c r="R499" s="429"/>
      <c r="S499" s="429"/>
      <c r="T499" s="429"/>
      <c r="U499" s="429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420" t="s">
        <v>242</v>
      </c>
      <c r="C500" s="126"/>
      <c r="D500" s="108">
        <v>4.5</v>
      </c>
      <c r="E500" s="108"/>
      <c r="F500" s="127"/>
      <c r="G500" s="128"/>
      <c r="H500" s="421">
        <f t="shared" si="223"/>
        <v>0</v>
      </c>
      <c r="I500" s="129"/>
      <c r="J500" s="130"/>
      <c r="K500" s="131"/>
      <c r="L500" s="129"/>
      <c r="M500" s="109"/>
      <c r="N500" s="130"/>
      <c r="O500" s="429"/>
      <c r="P500" s="429"/>
      <c r="Q500" s="429"/>
      <c r="R500" s="429"/>
      <c r="S500" s="429"/>
      <c r="T500" s="429"/>
      <c r="U500" s="429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420" t="s">
        <v>243</v>
      </c>
      <c r="C501" s="126"/>
      <c r="D501" s="108">
        <v>4.5</v>
      </c>
      <c r="E501" s="108"/>
      <c r="F501" s="127"/>
      <c r="G501" s="128"/>
      <c r="H501" s="421">
        <f t="shared" si="223"/>
        <v>0</v>
      </c>
      <c r="I501" s="129"/>
      <c r="J501" s="130"/>
      <c r="K501" s="131"/>
      <c r="L501" s="129"/>
      <c r="M501" s="109"/>
      <c r="N501" s="130"/>
      <c r="O501" s="429"/>
      <c r="P501" s="429"/>
      <c r="Q501" s="429"/>
      <c r="R501" s="429"/>
      <c r="S501" s="429"/>
      <c r="T501" s="429"/>
      <c r="U501" s="429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420"/>
      <c r="C502" s="126"/>
      <c r="D502" s="108"/>
      <c r="E502" s="108"/>
      <c r="F502" s="127"/>
      <c r="G502" s="128"/>
      <c r="H502" s="421">
        <f t="shared" si="223"/>
        <v>0</v>
      </c>
      <c r="I502" s="129"/>
      <c r="J502" s="130"/>
      <c r="K502" s="131"/>
      <c r="L502" s="129"/>
      <c r="M502" s="109"/>
      <c r="N502" s="130"/>
      <c r="O502" s="429"/>
      <c r="P502" s="429"/>
      <c r="Q502" s="429"/>
      <c r="R502" s="429"/>
      <c r="S502" s="429"/>
      <c r="T502" s="429"/>
      <c r="U502" s="429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30" t="s">
        <v>244</v>
      </c>
      <c r="B503" s="631"/>
      <c r="C503" s="430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632" t="s">
        <v>246</v>
      </c>
      <c r="B504" s="633"/>
      <c r="C504" s="633"/>
      <c r="D504" s="633"/>
      <c r="E504" s="633"/>
      <c r="F504" s="634"/>
      <c r="G504" s="154">
        <f>SUM(G368,G426,G461,G477,G487,G503)</f>
        <v>974</v>
      </c>
      <c r="H504" s="154">
        <f>SUM(H368,H426,H461,H477,H487,H503)</f>
        <v>4899.22</v>
      </c>
      <c r="I504" s="154">
        <f>SUM(I368,I426,I461,I477,I487,I503)</f>
        <v>78.5</v>
      </c>
      <c r="J504" s="155">
        <f t="array" ref="J504">IF(ISERROR(G504/I504),"",G504/I504)</f>
        <v>12.407643312101911</v>
      </c>
      <c r="K504" s="154">
        <f>SUM(K368,K426,K461,K477,K487,K503)</f>
        <v>104.73118279569891</v>
      </c>
      <c r="L504" s="155">
        <f>IF(ISERROR(G504/K504),"",G504/K504)</f>
        <v>9.3000000000000007</v>
      </c>
      <c r="M504" s="154">
        <f t="shared" ref="M504:V504" si="236">SUM(M368,M426,M461,M477,M487,M503)</f>
        <v>-26.231182795698913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>
        <f t="shared" ref="W504" si="237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35" t="s">
        <v>476</v>
      </c>
      <c r="B505" s="423" t="s">
        <v>247</v>
      </c>
      <c r="C505" s="638" t="s">
        <v>248</v>
      </c>
      <c r="D505" s="639"/>
      <c r="E505" s="640" t="s">
        <v>249</v>
      </c>
      <c r="F505" s="640"/>
      <c r="G505" s="643" t="s">
        <v>250</v>
      </c>
      <c r="H505" s="643"/>
      <c r="I505" s="640" t="s">
        <v>251</v>
      </c>
      <c r="J505" s="640"/>
      <c r="K505" s="640" t="s">
        <v>252</v>
      </c>
      <c r="L505" s="640"/>
      <c r="M505" s="640" t="s">
        <v>253</v>
      </c>
      <c r="N505" s="640"/>
      <c r="O505" s="640" t="s">
        <v>254</v>
      </c>
      <c r="P505" s="643" t="s">
        <v>255</v>
      </c>
      <c r="Q505" s="643"/>
      <c r="R505" s="643" t="s">
        <v>252</v>
      </c>
      <c r="S505" s="643"/>
      <c r="T505" s="643" t="s">
        <v>256</v>
      </c>
      <c r="U505" s="643"/>
      <c r="V505" s="643" t="s">
        <v>257</v>
      </c>
      <c r="W505" s="643"/>
      <c r="X505" s="643" t="s">
        <v>252</v>
      </c>
      <c r="Y505" s="643"/>
      <c r="Z505" s="643" t="s">
        <v>256</v>
      </c>
      <c r="AA505" s="643"/>
    </row>
    <row r="506" spans="1:27" ht="20.100000000000001" customHeight="1">
      <c r="A506" s="636"/>
      <c r="B506" s="423" t="s">
        <v>258</v>
      </c>
      <c r="C506" s="638">
        <v>0</v>
      </c>
      <c r="D506" s="639"/>
      <c r="E506" s="642">
        <f>C506*11</f>
        <v>0</v>
      </c>
      <c r="F506" s="642"/>
      <c r="G506" s="643">
        <v>0</v>
      </c>
      <c r="H506" s="643"/>
      <c r="I506" s="642">
        <f>G506*11</f>
        <v>0</v>
      </c>
      <c r="J506" s="642"/>
      <c r="K506" s="642">
        <f>E506-I506</f>
        <v>0</v>
      </c>
      <c r="L506" s="642"/>
      <c r="M506" s="644" t="str">
        <f>IF(ISERROR(K506/E506),"",K506/E506)</f>
        <v/>
      </c>
      <c r="N506" s="644"/>
      <c r="O506" s="640"/>
      <c r="P506" s="643" t="s">
        <v>201</v>
      </c>
      <c r="Q506" s="643"/>
      <c r="R506" s="645">
        <f>SUM(O368:U368)</f>
        <v>0</v>
      </c>
      <c r="S506" s="645"/>
      <c r="T506" s="646" t="str">
        <f t="array" ref="T506">IF(ISERROR(R506/R513),"",R506/R513)</f>
        <v/>
      </c>
      <c r="U506" s="646"/>
      <c r="V506" s="643" t="s">
        <v>259</v>
      </c>
      <c r="W506" s="643"/>
      <c r="X506" s="647">
        <f>SUM(O368,O426,O461,O477,O487,O503)</f>
        <v>0</v>
      </c>
      <c r="Y506" s="647"/>
      <c r="Z506" s="646" t="str">
        <f t="array" ref="Z506">IF(ISERROR(X506/X513),"",X506/X513)</f>
        <v/>
      </c>
      <c r="AA506" s="646"/>
    </row>
    <row r="507" spans="1:27" ht="20.100000000000001" customHeight="1">
      <c r="A507" s="636"/>
      <c r="B507" s="423" t="s">
        <v>260</v>
      </c>
      <c r="C507" s="638">
        <v>0</v>
      </c>
      <c r="D507" s="639"/>
      <c r="E507" s="642">
        <f>C507*11</f>
        <v>0</v>
      </c>
      <c r="F507" s="642"/>
      <c r="G507" s="643">
        <v>0</v>
      </c>
      <c r="H507" s="643"/>
      <c r="I507" s="642">
        <f>G507*11</f>
        <v>0</v>
      </c>
      <c r="J507" s="642"/>
      <c r="K507" s="642">
        <f>E507-I507</f>
        <v>0</v>
      </c>
      <c r="L507" s="642"/>
      <c r="M507" s="644" t="str">
        <f>IF(ISERROR(K507/E507),"",K507/E507)</f>
        <v/>
      </c>
      <c r="N507" s="644"/>
      <c r="O507" s="640"/>
      <c r="P507" s="643" t="s">
        <v>216</v>
      </c>
      <c r="Q507" s="643"/>
      <c r="R507" s="645">
        <f>SUM(O426:U426)</f>
        <v>0</v>
      </c>
      <c r="S507" s="645"/>
      <c r="T507" s="646" t="str">
        <f>IF(ISERROR(R507/R513),"",R507/R513)</f>
        <v/>
      </c>
      <c r="U507" s="646"/>
      <c r="V507" s="643" t="s">
        <v>261</v>
      </c>
      <c r="W507" s="643"/>
      <c r="X507" s="647">
        <f>SUM(O369,O427,O462,O478,O488,O504)</f>
        <v>0</v>
      </c>
      <c r="Y507" s="647"/>
      <c r="Z507" s="646" t="str">
        <f>IF(ISERROR(X507/X513),"",X507/X513)</f>
        <v/>
      </c>
      <c r="AA507" s="646"/>
    </row>
    <row r="508" spans="1:27" ht="20.100000000000001" customHeight="1">
      <c r="A508" s="636"/>
      <c r="B508" s="423" t="s">
        <v>262</v>
      </c>
      <c r="C508" s="638">
        <v>0</v>
      </c>
      <c r="D508" s="639"/>
      <c r="E508" s="642">
        <f>C508*11</f>
        <v>0</v>
      </c>
      <c r="F508" s="642"/>
      <c r="G508" s="643">
        <v>0</v>
      </c>
      <c r="H508" s="643"/>
      <c r="I508" s="642">
        <f>G508*11</f>
        <v>0</v>
      </c>
      <c r="J508" s="642"/>
      <c r="K508" s="642">
        <f>E508-I508</f>
        <v>0</v>
      </c>
      <c r="L508" s="642"/>
      <c r="M508" s="644" t="str">
        <f>IF(ISERROR(K508/E508),"",K508/E508)</f>
        <v/>
      </c>
      <c r="N508" s="644"/>
      <c r="O508" s="640"/>
      <c r="P508" s="643" t="s">
        <v>224</v>
      </c>
      <c r="Q508" s="643"/>
      <c r="R508" s="645">
        <f>SUM(O461:U461)</f>
        <v>0</v>
      </c>
      <c r="S508" s="645"/>
      <c r="T508" s="646" t="str">
        <f>IF(ISERROR(R508/R513),"",R508/R513)</f>
        <v/>
      </c>
      <c r="U508" s="646"/>
      <c r="V508" s="643" t="s">
        <v>263</v>
      </c>
      <c r="W508" s="643"/>
      <c r="X508" s="647">
        <f>SUM(O371,O428,O463,O479,O489,O505)</f>
        <v>0</v>
      </c>
      <c r="Y508" s="647"/>
      <c r="Z508" s="646" t="str">
        <f>IF(ISERROR(X508/X513),"",X508/X513)</f>
        <v/>
      </c>
      <c r="AA508" s="646"/>
    </row>
    <row r="509" spans="1:27" ht="20.100000000000001" customHeight="1">
      <c r="A509" s="636"/>
      <c r="B509" s="423" t="s">
        <v>264</v>
      </c>
      <c r="C509" s="638">
        <v>1</v>
      </c>
      <c r="D509" s="639"/>
      <c r="E509" s="642">
        <f>C509*11</f>
        <v>11</v>
      </c>
      <c r="F509" s="642"/>
      <c r="G509" s="643">
        <v>1</v>
      </c>
      <c r="H509" s="643"/>
      <c r="I509" s="642">
        <f>G509*11</f>
        <v>11</v>
      </c>
      <c r="J509" s="642"/>
      <c r="K509" s="642">
        <f>E509-I509</f>
        <v>0</v>
      </c>
      <c r="L509" s="642"/>
      <c r="M509" s="644">
        <f>IF(ISERROR(K509/E509),"",K509/E509)</f>
        <v>0</v>
      </c>
      <c r="N509" s="644"/>
      <c r="O509" s="640"/>
      <c r="P509" s="643" t="s">
        <v>231</v>
      </c>
      <c r="Q509" s="643"/>
      <c r="R509" s="645">
        <f>SUM(O477:U477)</f>
        <v>0</v>
      </c>
      <c r="S509" s="645"/>
      <c r="T509" s="646" t="str">
        <f>IF(ISERROR(R509/R513),"",R509/R513)</f>
        <v/>
      </c>
      <c r="U509" s="646"/>
      <c r="V509" s="643" t="s">
        <v>265</v>
      </c>
      <c r="W509" s="643"/>
      <c r="X509" s="647">
        <f>SUM(O372,O429,O464,O480,O490,O506)</f>
        <v>0</v>
      </c>
      <c r="Y509" s="647"/>
      <c r="Z509" s="646" t="str">
        <f>IF(ISERROR(X509/X513),"",X509/X513)</f>
        <v/>
      </c>
      <c r="AA509" s="646"/>
    </row>
    <row r="510" spans="1:27" ht="20.100000000000001" customHeight="1">
      <c r="A510" s="637"/>
      <c r="B510" s="423" t="s">
        <v>266</v>
      </c>
      <c r="C510" s="648">
        <f>SUM(C506:D509)</f>
        <v>1</v>
      </c>
      <c r="D510" s="649"/>
      <c r="E510" s="642">
        <f>SUM(E506:F509)</f>
        <v>11</v>
      </c>
      <c r="F510" s="642"/>
      <c r="G510" s="643">
        <f>SUM(G506:H509)</f>
        <v>1</v>
      </c>
      <c r="H510" s="643"/>
      <c r="I510" s="642">
        <f>SUM(I506:J509)</f>
        <v>11</v>
      </c>
      <c r="J510" s="642"/>
      <c r="K510" s="642">
        <f>SUM(K506:L509)</f>
        <v>0</v>
      </c>
      <c r="L510" s="642"/>
      <c r="M510" s="644">
        <f>IF(ISERROR(K510/E510),"",K510/E510)</f>
        <v>0</v>
      </c>
      <c r="N510" s="644"/>
      <c r="O510" s="640"/>
      <c r="P510" s="643" t="s">
        <v>234</v>
      </c>
      <c r="Q510" s="643"/>
      <c r="R510" s="645">
        <f>SUM(O487:U487)</f>
        <v>0</v>
      </c>
      <c r="S510" s="645"/>
      <c r="T510" s="646" t="str">
        <f>IF(ISERROR(R510/R513),"",R510/R513)</f>
        <v/>
      </c>
      <c r="U510" s="646"/>
      <c r="V510" s="643" t="s">
        <v>267</v>
      </c>
      <c r="W510" s="643"/>
      <c r="X510" s="647">
        <f>SUM(O373,O430,O465,O481,O491,O507)</f>
        <v>0</v>
      </c>
      <c r="Y510" s="647"/>
      <c r="Z510" s="646" t="str">
        <f>IF(ISERROR(X510/X513),"",X510/X513)</f>
        <v/>
      </c>
      <c r="AA510" s="646"/>
    </row>
    <row r="511" spans="1:27" ht="20.100000000000001" customHeight="1">
      <c r="A511" s="307" t="s">
        <v>477</v>
      </c>
      <c r="B511" s="423">
        <f>G504</f>
        <v>974</v>
      </c>
      <c r="C511" s="650" t="s">
        <v>269</v>
      </c>
      <c r="D511" s="651"/>
      <c r="E511" s="643">
        <f>H504</f>
        <v>4899.22</v>
      </c>
      <c r="F511" s="643"/>
      <c r="G511" s="643" t="s">
        <v>270</v>
      </c>
      <c r="H511" s="643"/>
      <c r="I511" s="652">
        <f>L504</f>
        <v>9.3000000000000007</v>
      </c>
      <c r="J511" s="652"/>
      <c r="K511" s="640" t="s">
        <v>271</v>
      </c>
      <c r="L511" s="640"/>
      <c r="M511" s="652">
        <f>J504</f>
        <v>12.407643312101911</v>
      </c>
      <c r="N511" s="652"/>
      <c r="O511" s="640"/>
      <c r="P511" s="643" t="s">
        <v>244</v>
      </c>
      <c r="Q511" s="643"/>
      <c r="R511" s="645">
        <f>SUM(O503:U503)</f>
        <v>0</v>
      </c>
      <c r="S511" s="645"/>
      <c r="T511" s="646" t="str">
        <f>IF(ISERROR(R511/R513),"",R511/R513)</f>
        <v/>
      </c>
      <c r="U511" s="646"/>
      <c r="V511" s="643" t="s">
        <v>272</v>
      </c>
      <c r="W511" s="643"/>
      <c r="X511" s="647">
        <f>SUM(O374,O431,O466,O482,O492,O508)</f>
        <v>0</v>
      </c>
      <c r="Y511" s="647"/>
      <c r="Z511" s="646" t="str">
        <f>IF(ISERROR(X511/X513),"",X511/X513)</f>
        <v/>
      </c>
      <c r="AA511" s="646"/>
    </row>
    <row r="512" spans="1:27" ht="20.100000000000001" customHeight="1">
      <c r="A512" s="308" t="s">
        <v>478</v>
      </c>
      <c r="B512" s="423">
        <f>I504+C510</f>
        <v>79.5</v>
      </c>
      <c r="C512" s="653" t="s">
        <v>251</v>
      </c>
      <c r="D512" s="654"/>
      <c r="E512" s="655">
        <f>K504+I510</f>
        <v>115.73118279569891</v>
      </c>
      <c r="F512" s="655"/>
      <c r="G512" s="643" t="s">
        <v>274</v>
      </c>
      <c r="H512" s="643"/>
      <c r="I512" s="652">
        <f>B512-E512</f>
        <v>-36.231182795698913</v>
      </c>
      <c r="J512" s="652"/>
      <c r="K512" s="640" t="s">
        <v>275</v>
      </c>
      <c r="L512" s="640"/>
      <c r="M512" s="644">
        <f>IF(ISERROR(I512/E512),"",I512/E512)</f>
        <v>-0.31306327232184328</v>
      </c>
      <c r="N512" s="644"/>
      <c r="O512" s="640"/>
      <c r="P512" s="643" t="s">
        <v>245</v>
      </c>
      <c r="Q512" s="643"/>
      <c r="R512" s="645"/>
      <c r="S512" s="645"/>
      <c r="T512" s="646" t="str">
        <f>IF(ISERROR(R512/R513),"",R512/R513)</f>
        <v/>
      </c>
      <c r="U512" s="646"/>
      <c r="V512" s="643" t="s">
        <v>264</v>
      </c>
      <c r="W512" s="643"/>
      <c r="X512" s="647">
        <f>SUM(O375,O432,O467,O486,O493,O509)</f>
        <v>0</v>
      </c>
      <c r="Y512" s="647"/>
      <c r="Z512" s="646" t="str">
        <f>IF(ISERROR(X512/X513),"",X512/X513)</f>
        <v/>
      </c>
      <c r="AA512" s="646"/>
    </row>
    <row r="513" spans="1:27" ht="20.100000000000001" customHeight="1">
      <c r="A513" s="308" t="s">
        <v>479</v>
      </c>
      <c r="B513" s="423">
        <f>N504</f>
        <v>0</v>
      </c>
      <c r="C513" s="653" t="s">
        <v>277</v>
      </c>
      <c r="D513" s="654"/>
      <c r="E513" s="646">
        <f>IF(ISERROR(B513/B512),"",B513/B512)</f>
        <v>0</v>
      </c>
      <c r="F513" s="646"/>
      <c r="G513" s="643" t="s">
        <v>278</v>
      </c>
      <c r="H513" s="643"/>
      <c r="I513" s="640">
        <f>V504</f>
        <v>0</v>
      </c>
      <c r="J513" s="640"/>
      <c r="K513" s="640" t="s">
        <v>279</v>
      </c>
      <c r="L513" s="640"/>
      <c r="M513" s="644">
        <f t="array" ref="M513">IF(ISERROR(I513/B511),"",I513/B511)</f>
        <v>0</v>
      </c>
      <c r="N513" s="644"/>
      <c r="O513" s="640"/>
      <c r="P513" s="643" t="s">
        <v>266</v>
      </c>
      <c r="Q513" s="643"/>
      <c r="R513" s="645">
        <f>SUM(R506:S512)</f>
        <v>0</v>
      </c>
      <c r="S513" s="645"/>
      <c r="T513" s="646"/>
      <c r="U513" s="646"/>
      <c r="V513" s="643" t="s">
        <v>266</v>
      </c>
      <c r="W513" s="643"/>
      <c r="X513" s="647">
        <f>SUM(X506:Y512)</f>
        <v>0</v>
      </c>
      <c r="Y513" s="647"/>
      <c r="Z513" s="646"/>
      <c r="AA513" s="646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682" t="str">
        <f>IF(ISERROR(#REF!/#REF!),"",#REF!/#REF!)</f>
        <v/>
      </c>
      <c r="H514" s="682"/>
      <c r="I514" s="682"/>
      <c r="J514" s="125"/>
      <c r="K514" s="160"/>
      <c r="L514" s="122"/>
      <c r="M514" s="122"/>
      <c r="N514" s="682" t="str">
        <f>IF(ISERROR(G514/#REF!),"",G514/#REF!)</f>
        <v/>
      </c>
      <c r="O514" s="682"/>
      <c r="P514" s="682"/>
      <c r="Q514" s="682"/>
      <c r="R514" s="682"/>
      <c r="S514" s="424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685" t="s">
        <v>268</v>
      </c>
      <c r="B516" s="685"/>
      <c r="C516" s="638">
        <f>SUM(B170,B340,B511)</f>
        <v>2491</v>
      </c>
      <c r="D516" s="639"/>
      <c r="E516" s="685" t="s">
        <v>269</v>
      </c>
      <c r="F516" s="685"/>
      <c r="G516" s="655">
        <f>SUM(E170,E340,E511)</f>
        <v>12649.89</v>
      </c>
      <c r="H516" s="655"/>
      <c r="I516" s="643" t="s">
        <v>270</v>
      </c>
      <c r="J516" s="685"/>
      <c r="K516" s="638">
        <f>IF(ISERROR(C516/G517),"",C516/G517)</f>
        <v>7.2263709526483257</v>
      </c>
      <c r="L516" s="639"/>
      <c r="M516" s="643" t="s">
        <v>271</v>
      </c>
      <c r="N516" s="643"/>
      <c r="O516" s="680">
        <f t="array" ref="O516">IF(ISERROR(C516/C517),"",C516/C517)</f>
        <v>16.34514435695538</v>
      </c>
      <c r="P516" s="681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643" t="s">
        <v>273</v>
      </c>
      <c r="B517" s="643"/>
      <c r="C517" s="638">
        <f>SUM(B171,B341,B512)</f>
        <v>152.4</v>
      </c>
      <c r="D517" s="639"/>
      <c r="E517" s="643" t="s">
        <v>251</v>
      </c>
      <c r="F517" s="643"/>
      <c r="G517" s="655">
        <f>SUM(E171,E341,E512)</f>
        <v>344.70967741935482</v>
      </c>
      <c r="H517" s="655"/>
      <c r="I517" s="653" t="s">
        <v>274</v>
      </c>
      <c r="J517" s="654"/>
      <c r="K517" s="650">
        <f>C517-G517</f>
        <v>-192.30967741935481</v>
      </c>
      <c r="L517" s="651"/>
      <c r="M517" s="650" t="s">
        <v>275</v>
      </c>
      <c r="N517" s="651"/>
      <c r="O517" s="683">
        <f>IF(ISERROR(K517/C517),"",K517/C517)</f>
        <v>-1.2618745237490472</v>
      </c>
      <c r="P517" s="684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653" t="s">
        <v>276</v>
      </c>
      <c r="B518" s="654"/>
      <c r="C518" s="638">
        <f>SUM(B172,B342,B513)</f>
        <v>0</v>
      </c>
      <c r="D518" s="639"/>
      <c r="E518" s="653" t="s">
        <v>277</v>
      </c>
      <c r="F518" s="654"/>
      <c r="G518" s="646">
        <f>IF(ISERROR(C518/C517),"",C518/C517)</f>
        <v>0</v>
      </c>
      <c r="H518" s="646"/>
      <c r="I518" s="643" t="s">
        <v>278</v>
      </c>
      <c r="J518" s="685"/>
      <c r="K518" s="655">
        <f>SUM(I172,I342,I513)</f>
        <v>0</v>
      </c>
      <c r="L518" s="655"/>
      <c r="M518" s="685" t="s">
        <v>279</v>
      </c>
      <c r="N518" s="685"/>
      <c r="O518" s="683">
        <f t="array" ref="O518">IF(ISERROR(K518/C516),"",K518/C516)</f>
        <v>0</v>
      </c>
      <c r="P518" s="684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424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653" t="s">
        <v>298</v>
      </c>
      <c r="B520" s="654"/>
      <c r="C520" s="653" t="s">
        <v>299</v>
      </c>
      <c r="D520" s="654"/>
      <c r="E520" s="653" t="s">
        <v>256</v>
      </c>
      <c r="F520" s="654"/>
      <c r="G520" s="686" t="s">
        <v>254</v>
      </c>
      <c r="H520" s="687"/>
      <c r="I520" s="653" t="s">
        <v>255</v>
      </c>
      <c r="J520" s="651"/>
      <c r="K520" s="653" t="s">
        <v>300</v>
      </c>
      <c r="L520" s="654"/>
      <c r="M520" s="653" t="s">
        <v>256</v>
      </c>
      <c r="N520" s="654"/>
      <c r="O520" s="643" t="s">
        <v>257</v>
      </c>
      <c r="P520" s="643"/>
      <c r="Q520" s="653" t="s">
        <v>300</v>
      </c>
      <c r="R520" s="654"/>
      <c r="S520" s="653" t="s">
        <v>256</v>
      </c>
      <c r="T520" s="654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692" t="s">
        <v>201</v>
      </c>
      <c r="B521" s="654"/>
      <c r="C521" s="653">
        <f>SUM(G28,G198,G368)</f>
        <v>0</v>
      </c>
      <c r="D521" s="654"/>
      <c r="E521" s="693">
        <f>IF(ISERROR(C521/C527),"",C521/C527)</f>
        <v>0</v>
      </c>
      <c r="F521" s="694"/>
      <c r="G521" s="688"/>
      <c r="H521" s="689"/>
      <c r="I521" s="695" t="s">
        <v>301</v>
      </c>
      <c r="J521" s="696"/>
      <c r="K521" s="650">
        <f t="shared" ref="K521:K526" si="238">SUM(R165,U335,U506)</f>
        <v>0</v>
      </c>
      <c r="L521" s="651"/>
      <c r="M521" s="693" t="str">
        <f t="array" ref="M521">IF(ISERROR(K521/K527),"",K521/K527)</f>
        <v/>
      </c>
      <c r="N521" s="694"/>
      <c r="O521" s="643" t="s">
        <v>259</v>
      </c>
      <c r="P521" s="643"/>
      <c r="Q521" s="680">
        <f t="shared" ref="Q521:Q526" si="239">SUM(X165,AA335,AA506)</f>
        <v>0</v>
      </c>
      <c r="R521" s="681"/>
      <c r="S521" s="693" t="str">
        <f t="array" ref="S521">IF(ISERROR(Q521/Q527),"",Q521/Q527)</f>
        <v/>
      </c>
      <c r="T521" s="694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692" t="s">
        <v>216</v>
      </c>
      <c r="B522" s="654"/>
      <c r="C522" s="653">
        <f>SUM(G86,G256,G426)</f>
        <v>0</v>
      </c>
      <c r="D522" s="654"/>
      <c r="E522" s="693">
        <f>IF(ISERROR(C522/C527),"",C522/C527)</f>
        <v>0</v>
      </c>
      <c r="F522" s="694"/>
      <c r="G522" s="688"/>
      <c r="H522" s="689"/>
      <c r="I522" s="695" t="s">
        <v>302</v>
      </c>
      <c r="J522" s="696"/>
      <c r="K522" s="650">
        <f t="shared" si="238"/>
        <v>0</v>
      </c>
      <c r="L522" s="651"/>
      <c r="M522" s="693" t="str">
        <f>IF(ISERROR(K522/K527),"",K522/K527)</f>
        <v/>
      </c>
      <c r="N522" s="694"/>
      <c r="O522" s="643" t="s">
        <v>261</v>
      </c>
      <c r="P522" s="643"/>
      <c r="Q522" s="680">
        <f t="shared" si="239"/>
        <v>0</v>
      </c>
      <c r="R522" s="681"/>
      <c r="S522" s="693" t="str">
        <f>IF(ISERROR(Q522/Q527),"",Q522/Q527)</f>
        <v/>
      </c>
      <c r="T522" s="694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692" t="s">
        <v>224</v>
      </c>
      <c r="B523" s="654"/>
      <c r="C523" s="653">
        <f>SUM(G121,G291,G461)</f>
        <v>2407</v>
      </c>
      <c r="D523" s="654"/>
      <c r="E523" s="693">
        <f>IF(ISERROR(C523/C527),"",C523/C527)</f>
        <v>0.96627860297069446</v>
      </c>
      <c r="F523" s="694"/>
      <c r="G523" s="688"/>
      <c r="H523" s="689"/>
      <c r="I523" s="695" t="s">
        <v>303</v>
      </c>
      <c r="J523" s="696"/>
      <c r="K523" s="650">
        <f t="shared" si="238"/>
        <v>0</v>
      </c>
      <c r="L523" s="651"/>
      <c r="M523" s="693" t="str">
        <f>IF(ISERROR(K523/K527),"",K523/K527)</f>
        <v/>
      </c>
      <c r="N523" s="694"/>
      <c r="O523" s="643" t="s">
        <v>263</v>
      </c>
      <c r="P523" s="643"/>
      <c r="Q523" s="680">
        <f t="shared" si="239"/>
        <v>0</v>
      </c>
      <c r="R523" s="681"/>
      <c r="S523" s="693" t="str">
        <f>IF(ISERROR(Q523/Q527),"",Q523/Q527)</f>
        <v/>
      </c>
      <c r="T523" s="694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692" t="s">
        <v>231</v>
      </c>
      <c r="B524" s="654"/>
      <c r="C524" s="653">
        <f>SUM(G137,G307,G477)</f>
        <v>0</v>
      </c>
      <c r="D524" s="654"/>
      <c r="E524" s="693">
        <f>IF(ISERROR(C524/C527),"",C524/C527)</f>
        <v>0</v>
      </c>
      <c r="F524" s="694"/>
      <c r="G524" s="688"/>
      <c r="H524" s="689"/>
      <c r="I524" s="695" t="s">
        <v>304</v>
      </c>
      <c r="J524" s="696"/>
      <c r="K524" s="650">
        <f t="shared" si="238"/>
        <v>0</v>
      </c>
      <c r="L524" s="651"/>
      <c r="M524" s="693" t="str">
        <f>IF(ISERROR(K524/K527),"",K524/K527)</f>
        <v/>
      </c>
      <c r="N524" s="694"/>
      <c r="O524" s="643" t="s">
        <v>305</v>
      </c>
      <c r="P524" s="643"/>
      <c r="Q524" s="680">
        <f t="shared" si="239"/>
        <v>0</v>
      </c>
      <c r="R524" s="681"/>
      <c r="S524" s="693" t="str">
        <f>IF(ISERROR(Q524/Q527),"",Q524/Q527)</f>
        <v/>
      </c>
      <c r="T524" s="694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92" t="s">
        <v>234</v>
      </c>
      <c r="B525" s="654"/>
      <c r="C525" s="653">
        <f>SUM(G147,G317,G487)</f>
        <v>0</v>
      </c>
      <c r="D525" s="654"/>
      <c r="E525" s="693">
        <f>IF(ISERROR(C525/C527),"",C525/C527)</f>
        <v>0</v>
      </c>
      <c r="F525" s="694"/>
      <c r="G525" s="688"/>
      <c r="H525" s="689"/>
      <c r="I525" s="695" t="s">
        <v>306</v>
      </c>
      <c r="J525" s="696"/>
      <c r="K525" s="650">
        <f t="shared" si="238"/>
        <v>0</v>
      </c>
      <c r="L525" s="651"/>
      <c r="M525" s="693" t="str">
        <f>IF(ISERROR(K525/K527),"",K525/K527)</f>
        <v/>
      </c>
      <c r="N525" s="694"/>
      <c r="O525" s="643" t="s">
        <v>267</v>
      </c>
      <c r="P525" s="643"/>
      <c r="Q525" s="680">
        <f t="shared" si="239"/>
        <v>0</v>
      </c>
      <c r="R525" s="681"/>
      <c r="S525" s="693" t="str">
        <f>IF(ISERROR(Q525/Q527),"",Q525/Q527)</f>
        <v/>
      </c>
      <c r="T525" s="694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92" t="s">
        <v>244</v>
      </c>
      <c r="B526" s="654"/>
      <c r="C526" s="653">
        <f>SUM(G162,G332,G503)</f>
        <v>84</v>
      </c>
      <c r="D526" s="654"/>
      <c r="E526" s="693">
        <f>IF(ISERROR(C526/C527),"",C526/C527)</f>
        <v>3.3721397029305503E-2</v>
      </c>
      <c r="F526" s="694"/>
      <c r="G526" s="688"/>
      <c r="H526" s="689"/>
      <c r="I526" s="695" t="s">
        <v>307</v>
      </c>
      <c r="J526" s="696"/>
      <c r="K526" s="650">
        <f t="shared" si="238"/>
        <v>0</v>
      </c>
      <c r="L526" s="651"/>
      <c r="M526" s="693" t="str">
        <f>IF(ISERROR(K526/K527),"",K526/K527)</f>
        <v/>
      </c>
      <c r="N526" s="694"/>
      <c r="O526" s="643" t="s">
        <v>272</v>
      </c>
      <c r="P526" s="643"/>
      <c r="Q526" s="680">
        <f t="shared" si="239"/>
        <v>0</v>
      </c>
      <c r="R526" s="681"/>
      <c r="S526" s="693" t="str">
        <f>IF(ISERROR(Q526/Q527),"",Q526/Q527)</f>
        <v/>
      </c>
      <c r="T526" s="694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53" t="s">
        <v>266</v>
      </c>
      <c r="B527" s="654"/>
      <c r="C527" s="653">
        <f>SUM(C521:C526)</f>
        <v>2491</v>
      </c>
      <c r="D527" s="654"/>
      <c r="E527" s="693">
        <f>SUM(E521:F526)</f>
        <v>1</v>
      </c>
      <c r="F527" s="694"/>
      <c r="G527" s="690"/>
      <c r="H527" s="691"/>
      <c r="I527" s="653" t="s">
        <v>266</v>
      </c>
      <c r="J527" s="651"/>
      <c r="K527" s="650">
        <f>SUM(R172,U342,U513)</f>
        <v>0</v>
      </c>
      <c r="L527" s="651"/>
      <c r="M527" s="693"/>
      <c r="N527" s="694"/>
      <c r="O527" s="643" t="s">
        <v>266</v>
      </c>
      <c r="P527" s="643"/>
      <c r="Q527" s="680">
        <f>SUM(Q521:R526)</f>
        <v>0</v>
      </c>
      <c r="R527" s="681"/>
      <c r="S527" s="693">
        <f>SUM(S521:T526)</f>
        <v>0</v>
      </c>
      <c r="T527" s="694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695" t="s">
        <v>308</v>
      </c>
      <c r="B529" s="649"/>
      <c r="C529" s="427" t="s">
        <v>309</v>
      </c>
      <c r="D529" s="427" t="s">
        <v>310</v>
      </c>
      <c r="E529" s="427" t="s">
        <v>311</v>
      </c>
      <c r="F529" s="427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429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421" t="s">
        <v>322</v>
      </c>
      <c r="Q529" s="129" t="s">
        <v>323</v>
      </c>
      <c r="R529" s="109" t="s">
        <v>324</v>
      </c>
      <c r="S529" s="427" t="s">
        <v>325</v>
      </c>
      <c r="T529" s="427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697" t="s">
        <v>327</v>
      </c>
      <c r="B530" s="698"/>
      <c r="C530" s="106">
        <f>D530+E530+F530-G530-O530-P530</f>
        <v>33</v>
      </c>
      <c r="D530" s="106">
        <f>+'7'!C530</f>
        <v>33</v>
      </c>
      <c r="E530" s="106"/>
      <c r="F530" s="106"/>
      <c r="G530" s="107"/>
      <c r="H530" s="106"/>
      <c r="I530" s="106"/>
      <c r="J530" s="106">
        <f>C530-H530-I530</f>
        <v>33</v>
      </c>
      <c r="K530" s="106"/>
      <c r="L530" s="106"/>
      <c r="M530" s="106"/>
      <c r="N530" s="106"/>
      <c r="O530" s="106"/>
      <c r="P530" s="108"/>
      <c r="Q530" s="106">
        <f>J530-K530-L530</f>
        <v>33</v>
      </c>
      <c r="R530" s="109">
        <f>Q530*11-M530-N530</f>
        <v>363</v>
      </c>
      <c r="S530" s="428">
        <f t="array" ref="S530">IF(ISERROR(Q530/J530),"",Q530/J530)</f>
        <v>1</v>
      </c>
      <c r="T530" s="428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697" t="s">
        <v>328</v>
      </c>
      <c r="B531" s="698"/>
      <c r="C531" s="106">
        <f>D531+E531+F531-G531-O531-P531</f>
        <v>30</v>
      </c>
      <c r="D531" s="106">
        <f>+'7'!C531</f>
        <v>30</v>
      </c>
      <c r="E531" s="110"/>
      <c r="F531" s="110"/>
      <c r="G531" s="107"/>
      <c r="H531" s="106"/>
      <c r="I531" s="106"/>
      <c r="J531" s="106">
        <f>C531-H531-I531</f>
        <v>30</v>
      </c>
      <c r="K531" s="106"/>
      <c r="L531" s="106"/>
      <c r="M531" s="106"/>
      <c r="N531" s="106"/>
      <c r="O531" s="110"/>
      <c r="P531" s="111"/>
      <c r="Q531" s="106">
        <f>J531-K531-L531</f>
        <v>30</v>
      </c>
      <c r="R531" s="109">
        <f>Q531*11-M531-N531</f>
        <v>330</v>
      </c>
      <c r="S531" s="428">
        <f t="array" ref="S531">IF(ISERROR(Q531/J531),"",Q531/J531)</f>
        <v>1</v>
      </c>
      <c r="T531" s="428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697" t="s">
        <v>329</v>
      </c>
      <c r="B532" s="698"/>
      <c r="C532" s="106">
        <f>D532+E532+F532-G532-O532-P532</f>
        <v>10</v>
      </c>
      <c r="D532" s="106">
        <f>+'7'!C532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428">
        <f t="array" ref="S532">IF(ISERROR(Q532/J532),"",Q532/J532)</f>
        <v>1</v>
      </c>
      <c r="T532" s="428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699" t="s">
        <v>330</v>
      </c>
      <c r="B533" s="700"/>
      <c r="C533" s="112">
        <f>SUM(C530:C532)</f>
        <v>73</v>
      </c>
      <c r="D533" s="112">
        <f t="shared" ref="D533:N533" si="240">SUM(D530:D532)</f>
        <v>73</v>
      </c>
      <c r="E533" s="112">
        <f t="shared" si="240"/>
        <v>0</v>
      </c>
      <c r="F533" s="112">
        <f t="shared" si="240"/>
        <v>0</v>
      </c>
      <c r="G533" s="113">
        <f t="shared" si="240"/>
        <v>0</v>
      </c>
      <c r="H533" s="112">
        <f t="shared" si="240"/>
        <v>0</v>
      </c>
      <c r="I533" s="112">
        <f t="shared" si="240"/>
        <v>0</v>
      </c>
      <c r="J533" s="112">
        <f t="shared" si="240"/>
        <v>73</v>
      </c>
      <c r="K533" s="112">
        <f t="shared" si="240"/>
        <v>0</v>
      </c>
      <c r="L533" s="112">
        <f t="shared" si="240"/>
        <v>0</v>
      </c>
      <c r="M533" s="112">
        <f t="shared" si="240"/>
        <v>0</v>
      </c>
      <c r="N533" s="112">
        <f t="shared" si="240"/>
        <v>0</v>
      </c>
      <c r="O533" s="112">
        <f>SUM(O530:O532)</f>
        <v>0</v>
      </c>
      <c r="P533" s="112">
        <f>SUM(P530:P532)</f>
        <v>0</v>
      </c>
      <c r="Q533" s="112">
        <f>SUM(Q530:Q532)</f>
        <v>73</v>
      </c>
      <c r="R533" s="114">
        <f>SUM(R530:R532)</f>
        <v>803</v>
      </c>
      <c r="S533" s="115">
        <f t="array" ref="S533">IF(ISERROR(Q533/J533),"",Q533/J533)</f>
        <v>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7" activePane="bottomRight" state="frozen"/>
      <selection activeCell="F484" sqref="F484"/>
      <selection pane="topRight" activeCell="F484" sqref="F484"/>
      <selection pane="bottomLeft" activeCell="F484" sqref="F484"/>
      <selection pane="bottomRight" activeCell="F484" sqref="F48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07" t="s">
        <v>413</v>
      </c>
      <c r="B1" s="607"/>
      <c r="C1" s="607"/>
      <c r="D1" s="607"/>
      <c r="E1" s="607"/>
      <c r="F1" s="607"/>
      <c r="G1" s="607"/>
      <c r="H1" s="607"/>
      <c r="I1" s="607"/>
      <c r="J1" s="607"/>
      <c r="K1" s="607"/>
      <c r="L1" s="607"/>
      <c r="M1" s="607"/>
      <c r="N1" s="607"/>
      <c r="O1" s="607"/>
      <c r="P1" s="607"/>
      <c r="Q1" s="607"/>
      <c r="R1" s="607"/>
      <c r="S1" s="607"/>
      <c r="T1" s="607"/>
      <c r="U1" s="607"/>
      <c r="V1" s="607"/>
      <c r="W1" s="607"/>
      <c r="X1" s="607"/>
      <c r="Y1" s="607"/>
      <c r="Z1" s="607"/>
      <c r="AA1" s="607"/>
    </row>
    <row r="2" spans="1:27" ht="18.75">
      <c r="A2" s="608"/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09" t="s">
        <v>12</v>
      </c>
      <c r="B4" s="609" t="s">
        <v>25</v>
      </c>
      <c r="C4" s="609" t="s">
        <v>26</v>
      </c>
      <c r="D4" s="609" t="s">
        <v>27</v>
      </c>
      <c r="E4" s="612" t="s">
        <v>28</v>
      </c>
      <c r="F4" s="615" t="s">
        <v>29</v>
      </c>
      <c r="G4" s="618" t="s">
        <v>30</v>
      </c>
      <c r="H4" s="618"/>
      <c r="I4" s="609" t="s">
        <v>31</v>
      </c>
      <c r="J4" s="621" t="s">
        <v>32</v>
      </c>
      <c r="K4" s="624" t="s">
        <v>33</v>
      </c>
      <c r="L4" s="609" t="s">
        <v>34</v>
      </c>
      <c r="M4" s="627" t="s">
        <v>35</v>
      </c>
      <c r="N4" s="629" t="s">
        <v>36</v>
      </c>
      <c r="O4" s="618" t="s">
        <v>37</v>
      </c>
      <c r="P4" s="618"/>
      <c r="Q4" s="618"/>
      <c r="R4" s="618"/>
      <c r="S4" s="618"/>
      <c r="T4" s="618"/>
      <c r="U4" s="618"/>
      <c r="V4" s="618" t="s">
        <v>38</v>
      </c>
      <c r="W4" s="629" t="s">
        <v>39</v>
      </c>
      <c r="X4" s="618" t="s">
        <v>40</v>
      </c>
      <c r="Y4" s="618"/>
      <c r="Z4" s="618"/>
      <c r="AA4" s="618"/>
    </row>
    <row r="5" spans="1:27" s="104" customFormat="1" ht="15" customHeight="1">
      <c r="A5" s="610"/>
      <c r="B5" s="610"/>
      <c r="C5" s="610"/>
      <c r="D5" s="610"/>
      <c r="E5" s="613"/>
      <c r="F5" s="616"/>
      <c r="G5" s="618"/>
      <c r="H5" s="618"/>
      <c r="I5" s="610"/>
      <c r="J5" s="622"/>
      <c r="K5" s="625"/>
      <c r="L5" s="610"/>
      <c r="M5" s="628"/>
      <c r="N5" s="629"/>
      <c r="O5" s="618" t="s">
        <v>41</v>
      </c>
      <c r="P5" s="618" t="s">
        <v>42</v>
      </c>
      <c r="Q5" s="618" t="s">
        <v>43</v>
      </c>
      <c r="R5" s="619" t="s">
        <v>44</v>
      </c>
      <c r="S5" s="620" t="s">
        <v>45</v>
      </c>
      <c r="T5" s="618" t="s">
        <v>46</v>
      </c>
      <c r="U5" s="618" t="s">
        <v>47</v>
      </c>
      <c r="V5" s="618"/>
      <c r="W5" s="629"/>
      <c r="X5" s="618" t="s">
        <v>13</v>
      </c>
      <c r="Y5" s="618" t="s">
        <v>48</v>
      </c>
      <c r="Z5" s="618" t="s">
        <v>49</v>
      </c>
      <c r="AA5" s="618" t="s">
        <v>47</v>
      </c>
    </row>
    <row r="6" spans="1:27" s="104" customFormat="1" ht="27.75" customHeight="1">
      <c r="A6" s="611"/>
      <c r="B6" s="611"/>
      <c r="C6" s="611"/>
      <c r="D6" s="611"/>
      <c r="E6" s="614"/>
      <c r="F6" s="617"/>
      <c r="G6" s="350" t="s">
        <v>50</v>
      </c>
      <c r="H6" s="432" t="s">
        <v>51</v>
      </c>
      <c r="I6" s="611"/>
      <c r="J6" s="623"/>
      <c r="K6" s="626"/>
      <c r="L6" s="611"/>
      <c r="M6" s="628"/>
      <c r="N6" s="629"/>
      <c r="O6" s="618"/>
      <c r="P6" s="618"/>
      <c r="Q6" s="618"/>
      <c r="R6" s="619"/>
      <c r="S6" s="620"/>
      <c r="T6" s="618"/>
      <c r="U6" s="618"/>
      <c r="V6" s="618"/>
      <c r="W6" s="629"/>
      <c r="X6" s="618"/>
      <c r="Y6" s="618"/>
      <c r="Z6" s="618"/>
      <c r="AA6" s="618"/>
    </row>
    <row r="7" spans="1:27" ht="20.100000000000001" hidden="1" customHeight="1">
      <c r="A7" s="299">
        <v>30100030</v>
      </c>
      <c r="B7" s="435" t="s">
        <v>178</v>
      </c>
      <c r="C7" s="126" t="s">
        <v>179</v>
      </c>
      <c r="D7" s="108">
        <v>5.03</v>
      </c>
      <c r="E7" s="108"/>
      <c r="F7" s="127"/>
      <c r="G7" s="128"/>
      <c r="H7" s="443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34"/>
      <c r="P7" s="434"/>
      <c r="Q7" s="434"/>
      <c r="R7" s="434"/>
      <c r="S7" s="434"/>
      <c r="T7" s="434"/>
      <c r="U7" s="434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43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34"/>
      <c r="Q8" s="434"/>
      <c r="R8" s="434"/>
      <c r="S8" s="434"/>
      <c r="T8" s="434"/>
      <c r="U8" s="434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43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34"/>
      <c r="P9" s="434"/>
      <c r="Q9" s="434"/>
      <c r="R9" s="434"/>
      <c r="S9" s="434"/>
      <c r="T9" s="434"/>
      <c r="U9" s="434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43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34"/>
      <c r="P10" s="434"/>
      <c r="Q10" s="434"/>
      <c r="R10" s="434"/>
      <c r="S10" s="434"/>
      <c r="T10" s="434"/>
      <c r="U10" s="434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43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34"/>
      <c r="P11" s="434"/>
      <c r="Q11" s="434"/>
      <c r="R11" s="434"/>
      <c r="S11" s="434"/>
      <c r="T11" s="434"/>
      <c r="U11" s="434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43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34"/>
      <c r="P12" s="434"/>
      <c r="Q12" s="434"/>
      <c r="R12" s="434"/>
      <c r="S12" s="434"/>
      <c r="T12" s="434"/>
      <c r="U12" s="434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43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34"/>
      <c r="P13" s="434"/>
      <c r="Q13" s="434"/>
      <c r="R13" s="434"/>
      <c r="S13" s="434"/>
      <c r="T13" s="434"/>
      <c r="U13" s="434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43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34"/>
      <c r="P14" s="434"/>
      <c r="Q14" s="434"/>
      <c r="R14" s="434"/>
      <c r="S14" s="434"/>
      <c r="T14" s="434"/>
      <c r="U14" s="434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43">
        <f t="shared" si="0"/>
        <v>0</v>
      </c>
      <c r="I15" s="443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34"/>
      <c r="P15" s="434"/>
      <c r="Q15" s="434"/>
      <c r="R15" s="434"/>
      <c r="S15" s="434"/>
      <c r="T15" s="434"/>
      <c r="U15" s="434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43">
        <f t="shared" si="0"/>
        <v>0</v>
      </c>
      <c r="I16" s="443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34"/>
      <c r="P16" s="434"/>
      <c r="Q16" s="434"/>
      <c r="R16" s="434"/>
      <c r="S16" s="434"/>
      <c r="T16" s="434"/>
      <c r="U16" s="434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43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34"/>
      <c r="P17" s="434"/>
      <c r="Q17" s="434"/>
      <c r="R17" s="434"/>
      <c r="S17" s="434"/>
      <c r="T17" s="434"/>
      <c r="U17" s="434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43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34"/>
      <c r="P18" s="434"/>
      <c r="Q18" s="434"/>
      <c r="R18" s="434"/>
      <c r="S18" s="434"/>
      <c r="T18" s="434"/>
      <c r="U18" s="434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43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34"/>
      <c r="P19" s="434"/>
      <c r="Q19" s="434"/>
      <c r="R19" s="434"/>
      <c r="S19" s="434"/>
      <c r="T19" s="434"/>
      <c r="U19" s="434"/>
      <c r="V19" s="132">
        <f t="shared" ref="V19:V21" si="5">SUM(X19:AA19)</f>
        <v>0</v>
      </c>
      <c r="W19" s="437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43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34"/>
      <c r="P20" s="434"/>
      <c r="Q20" s="434"/>
      <c r="R20" s="434"/>
      <c r="S20" s="434"/>
      <c r="T20" s="434"/>
      <c r="U20" s="434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43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34"/>
      <c r="P21" s="434"/>
      <c r="Q21" s="434"/>
      <c r="R21" s="434"/>
      <c r="S21" s="434"/>
      <c r="T21" s="434"/>
      <c r="U21" s="434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33" t="s">
        <v>190</v>
      </c>
      <c r="D22" s="108">
        <v>4.8</v>
      </c>
      <c r="E22" s="108"/>
      <c r="F22" s="127"/>
      <c r="G22" s="128"/>
      <c r="H22" s="443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34"/>
      <c r="P22" s="434"/>
      <c r="Q22" s="434"/>
      <c r="R22" s="434"/>
      <c r="S22" s="434"/>
      <c r="T22" s="434"/>
      <c r="U22" s="434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33" t="s">
        <v>187</v>
      </c>
      <c r="D23" s="108">
        <v>4.8</v>
      </c>
      <c r="E23" s="108"/>
      <c r="F23" s="127"/>
      <c r="G23" s="128"/>
      <c r="H23" s="443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34"/>
      <c r="P23" s="434"/>
      <c r="Q23" s="434"/>
      <c r="R23" s="434"/>
      <c r="S23" s="434"/>
      <c r="T23" s="434"/>
      <c r="U23" s="434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33" t="s">
        <v>179</v>
      </c>
      <c r="D24" s="108">
        <v>4.8</v>
      </c>
      <c r="E24" s="108"/>
      <c r="F24" s="127"/>
      <c r="G24" s="128"/>
      <c r="H24" s="443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34"/>
      <c r="P24" s="434"/>
      <c r="Q24" s="434"/>
      <c r="R24" s="434"/>
      <c r="S24" s="434"/>
      <c r="T24" s="434"/>
      <c r="U24" s="434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33" t="s">
        <v>199</v>
      </c>
      <c r="D25" s="108">
        <v>4.8</v>
      </c>
      <c r="E25" s="108"/>
      <c r="F25" s="127"/>
      <c r="G25" s="128"/>
      <c r="H25" s="443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34"/>
      <c r="P25" s="434"/>
      <c r="Q25" s="434"/>
      <c r="R25" s="434"/>
      <c r="S25" s="434"/>
      <c r="T25" s="434"/>
      <c r="U25" s="434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43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34"/>
      <c r="P26" s="434"/>
      <c r="Q26" s="434"/>
      <c r="R26" s="434"/>
      <c r="S26" s="434"/>
      <c r="T26" s="434"/>
      <c r="U26" s="434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43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34"/>
      <c r="P27" s="434"/>
      <c r="Q27" s="434"/>
      <c r="R27" s="434"/>
      <c r="S27" s="434"/>
      <c r="T27" s="434"/>
      <c r="U27" s="434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hidden="1" customHeight="1">
      <c r="A28" s="630" t="s">
        <v>201</v>
      </c>
      <c r="B28" s="631"/>
      <c r="C28" s="441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si="9"/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35" t="s">
        <v>206</v>
      </c>
      <c r="C29" s="126" t="s">
        <v>199</v>
      </c>
      <c r="D29" s="108">
        <v>5.03</v>
      </c>
      <c r="E29" s="108"/>
      <c r="F29" s="127"/>
      <c r="G29" s="128"/>
      <c r="H29" s="443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38"/>
      <c r="P29" s="438"/>
      <c r="Q29" s="438"/>
      <c r="R29" s="438"/>
      <c r="S29" s="438"/>
      <c r="T29" s="438"/>
      <c r="U29" s="438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35" t="s">
        <v>425</v>
      </c>
      <c r="C30" s="187" t="s">
        <v>427</v>
      </c>
      <c r="D30" s="108">
        <v>5.03</v>
      </c>
      <c r="E30" s="108"/>
      <c r="F30" s="127"/>
      <c r="G30" s="128"/>
      <c r="H30" s="443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38"/>
      <c r="P30" s="438"/>
      <c r="Q30" s="438"/>
      <c r="R30" s="438"/>
      <c r="S30" s="438"/>
      <c r="T30" s="438"/>
      <c r="U30" s="438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35" t="s">
        <v>206</v>
      </c>
      <c r="C31" s="126" t="s">
        <v>186</v>
      </c>
      <c r="D31" s="108">
        <v>5.03</v>
      </c>
      <c r="E31" s="108"/>
      <c r="F31" s="127"/>
      <c r="G31" s="128"/>
      <c r="H31" s="443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38"/>
      <c r="P31" s="438"/>
      <c r="Q31" s="438"/>
      <c r="R31" s="438"/>
      <c r="S31" s="438"/>
      <c r="T31" s="438"/>
      <c r="U31" s="438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35" t="s">
        <v>206</v>
      </c>
      <c r="C32" s="126" t="s">
        <v>203</v>
      </c>
      <c r="D32" s="108">
        <v>5.03</v>
      </c>
      <c r="E32" s="108"/>
      <c r="F32" s="127"/>
      <c r="G32" s="128"/>
      <c r="H32" s="443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38"/>
      <c r="P32" s="438"/>
      <c r="Q32" s="438"/>
      <c r="R32" s="438"/>
      <c r="S32" s="438"/>
      <c r="T32" s="438"/>
      <c r="U32" s="438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35" t="s">
        <v>206</v>
      </c>
      <c r="C33" s="126" t="s">
        <v>207</v>
      </c>
      <c r="D33" s="108">
        <v>5.03</v>
      </c>
      <c r="E33" s="108"/>
      <c r="F33" s="127"/>
      <c r="G33" s="128"/>
      <c r="H33" s="443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38"/>
      <c r="P33" s="438"/>
      <c r="Q33" s="438"/>
      <c r="R33" s="438"/>
      <c r="S33" s="438"/>
      <c r="T33" s="438"/>
      <c r="U33" s="438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35" t="s">
        <v>414</v>
      </c>
      <c r="C34" s="187" t="s">
        <v>415</v>
      </c>
      <c r="D34" s="108">
        <v>5.03</v>
      </c>
      <c r="E34" s="108"/>
      <c r="F34" s="127"/>
      <c r="G34" s="128"/>
      <c r="H34" s="443">
        <f t="shared" si="11"/>
        <v>0</v>
      </c>
      <c r="I34" s="129"/>
      <c r="J34" s="130"/>
      <c r="K34" s="131"/>
      <c r="L34" s="129">
        <v>52</v>
      </c>
      <c r="M34" s="109"/>
      <c r="N34" s="130"/>
      <c r="O34" s="438"/>
      <c r="P34" s="438"/>
      <c r="Q34" s="438"/>
      <c r="R34" s="438"/>
      <c r="S34" s="438"/>
      <c r="T34" s="438"/>
      <c r="U34" s="438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35" t="s">
        <v>414</v>
      </c>
      <c r="C35" s="187" t="s">
        <v>416</v>
      </c>
      <c r="D35" s="108">
        <v>5.03</v>
      </c>
      <c r="E35" s="108"/>
      <c r="F35" s="127"/>
      <c r="G35" s="128"/>
      <c r="H35" s="443">
        <f t="shared" si="11"/>
        <v>0</v>
      </c>
      <c r="I35" s="129"/>
      <c r="J35" s="130"/>
      <c r="K35" s="131"/>
      <c r="L35" s="129">
        <v>52</v>
      </c>
      <c r="M35" s="109"/>
      <c r="N35" s="130"/>
      <c r="O35" s="438"/>
      <c r="P35" s="438"/>
      <c r="Q35" s="438"/>
      <c r="R35" s="438"/>
      <c r="S35" s="438"/>
      <c r="T35" s="438"/>
      <c r="U35" s="438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35" t="s">
        <v>414</v>
      </c>
      <c r="C36" s="187" t="s">
        <v>61</v>
      </c>
      <c r="D36" s="108">
        <v>5.03</v>
      </c>
      <c r="E36" s="108"/>
      <c r="F36" s="127"/>
      <c r="G36" s="128"/>
      <c r="H36" s="443">
        <f t="shared" si="11"/>
        <v>0</v>
      </c>
      <c r="I36" s="129"/>
      <c r="J36" s="130"/>
      <c r="K36" s="131"/>
      <c r="L36" s="129">
        <v>52</v>
      </c>
      <c r="M36" s="109"/>
      <c r="N36" s="130"/>
      <c r="O36" s="438"/>
      <c r="P36" s="438"/>
      <c r="Q36" s="438"/>
      <c r="R36" s="438"/>
      <c r="S36" s="438"/>
      <c r="T36" s="438"/>
      <c r="U36" s="438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35" t="s">
        <v>208</v>
      </c>
      <c r="C37" s="126" t="s">
        <v>179</v>
      </c>
      <c r="D37" s="108">
        <v>5.08</v>
      </c>
      <c r="E37" s="108"/>
      <c r="F37" s="127"/>
      <c r="G37" s="128"/>
      <c r="H37" s="443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38"/>
      <c r="P37" s="438"/>
      <c r="Q37" s="438"/>
      <c r="R37" s="438"/>
      <c r="S37" s="438"/>
      <c r="T37" s="438"/>
      <c r="U37" s="438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35" t="s">
        <v>208</v>
      </c>
      <c r="C38" s="126" t="s">
        <v>204</v>
      </c>
      <c r="D38" s="108">
        <v>5.08</v>
      </c>
      <c r="E38" s="108"/>
      <c r="F38" s="127"/>
      <c r="G38" s="128"/>
      <c r="H38" s="443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38"/>
      <c r="P38" s="438"/>
      <c r="Q38" s="438"/>
      <c r="R38" s="438"/>
      <c r="S38" s="438"/>
      <c r="T38" s="438"/>
      <c r="U38" s="438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35" t="s">
        <v>208</v>
      </c>
      <c r="C39" s="126" t="s">
        <v>205</v>
      </c>
      <c r="D39" s="108">
        <v>5.08</v>
      </c>
      <c r="E39" s="108"/>
      <c r="F39" s="127"/>
      <c r="G39" s="128"/>
      <c r="H39" s="443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38"/>
      <c r="P39" s="438"/>
      <c r="Q39" s="438"/>
      <c r="R39" s="438"/>
      <c r="S39" s="438"/>
      <c r="T39" s="438"/>
      <c r="U39" s="438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35" t="s">
        <v>208</v>
      </c>
      <c r="C40" s="126" t="s">
        <v>186</v>
      </c>
      <c r="D40" s="108">
        <v>5.08</v>
      </c>
      <c r="E40" s="108"/>
      <c r="F40" s="127"/>
      <c r="G40" s="128"/>
      <c r="H40" s="443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38"/>
      <c r="P40" s="438"/>
      <c r="Q40" s="438"/>
      <c r="R40" s="438"/>
      <c r="S40" s="438"/>
      <c r="T40" s="438"/>
      <c r="U40" s="438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35" t="s">
        <v>208</v>
      </c>
      <c r="C41" s="126" t="s">
        <v>203</v>
      </c>
      <c r="D41" s="108">
        <v>5.08</v>
      </c>
      <c r="E41" s="108"/>
      <c r="F41" s="127"/>
      <c r="G41" s="128"/>
      <c r="H41" s="443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38"/>
      <c r="P41" s="438"/>
      <c r="Q41" s="438"/>
      <c r="R41" s="438"/>
      <c r="S41" s="438"/>
      <c r="T41" s="438"/>
      <c r="U41" s="438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35" t="s">
        <v>208</v>
      </c>
      <c r="C42" s="126" t="s">
        <v>199</v>
      </c>
      <c r="D42" s="108">
        <v>5.08</v>
      </c>
      <c r="E42" s="108"/>
      <c r="F42" s="127"/>
      <c r="G42" s="128"/>
      <c r="H42" s="443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34"/>
      <c r="P42" s="434"/>
      <c r="Q42" s="434"/>
      <c r="R42" s="434"/>
      <c r="S42" s="434"/>
      <c r="T42" s="434"/>
      <c r="U42" s="434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35" t="s">
        <v>208</v>
      </c>
      <c r="C43" s="126" t="s">
        <v>187</v>
      </c>
      <c r="D43" s="108">
        <v>5.08</v>
      </c>
      <c r="E43" s="108"/>
      <c r="F43" s="127"/>
      <c r="G43" s="128"/>
      <c r="H43" s="443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38"/>
      <c r="P43" s="438"/>
      <c r="Q43" s="438"/>
      <c r="R43" s="438"/>
      <c r="S43" s="438"/>
      <c r="T43" s="438"/>
      <c r="U43" s="438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35" t="s">
        <v>208</v>
      </c>
      <c r="C44" s="126" t="s">
        <v>207</v>
      </c>
      <c r="D44" s="108">
        <v>5.08</v>
      </c>
      <c r="E44" s="108"/>
      <c r="F44" s="127"/>
      <c r="G44" s="128"/>
      <c r="H44" s="443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34"/>
      <c r="P44" s="434"/>
      <c r="Q44" s="434"/>
      <c r="R44" s="434"/>
      <c r="S44" s="434"/>
      <c r="T44" s="434"/>
      <c r="U44" s="434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35" t="s">
        <v>209</v>
      </c>
      <c r="C45" s="126" t="s">
        <v>194</v>
      </c>
      <c r="D45" s="108">
        <v>5.03</v>
      </c>
      <c r="E45" s="108"/>
      <c r="F45" s="127"/>
      <c r="G45" s="128"/>
      <c r="H45" s="443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38"/>
      <c r="P45" s="438"/>
      <c r="Q45" s="438"/>
      <c r="R45" s="438"/>
      <c r="S45" s="438"/>
      <c r="T45" s="438"/>
      <c r="U45" s="438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35" t="s">
        <v>209</v>
      </c>
      <c r="C46" s="126" t="s">
        <v>179</v>
      </c>
      <c r="D46" s="108">
        <v>5.03</v>
      </c>
      <c r="E46" s="108"/>
      <c r="F46" s="127"/>
      <c r="G46" s="128"/>
      <c r="H46" s="443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38"/>
      <c r="P46" s="438"/>
      <c r="Q46" s="438"/>
      <c r="R46" s="438"/>
      <c r="S46" s="438"/>
      <c r="T46" s="438"/>
      <c r="U46" s="438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35" t="s">
        <v>209</v>
      </c>
      <c r="C47" s="126" t="s">
        <v>195</v>
      </c>
      <c r="D47" s="108">
        <v>5.03</v>
      </c>
      <c r="E47" s="108"/>
      <c r="F47" s="127"/>
      <c r="G47" s="128"/>
      <c r="H47" s="443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38"/>
      <c r="P47" s="438"/>
      <c r="Q47" s="438"/>
      <c r="R47" s="438"/>
      <c r="S47" s="438"/>
      <c r="T47" s="438"/>
      <c r="U47" s="438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35" t="s">
        <v>209</v>
      </c>
      <c r="C48" s="126" t="s">
        <v>204</v>
      </c>
      <c r="D48" s="108">
        <v>5.03</v>
      </c>
      <c r="E48" s="108"/>
      <c r="F48" s="127"/>
      <c r="G48" s="128"/>
      <c r="H48" s="443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38"/>
      <c r="P48" s="438"/>
      <c r="Q48" s="438"/>
      <c r="R48" s="438"/>
      <c r="S48" s="438"/>
      <c r="T48" s="438"/>
      <c r="U48" s="438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35" t="s">
        <v>382</v>
      </c>
      <c r="C49" s="187" t="s">
        <v>383</v>
      </c>
      <c r="D49" s="108">
        <v>5.03</v>
      </c>
      <c r="E49" s="108"/>
      <c r="F49" s="127"/>
      <c r="G49" s="128"/>
      <c r="H49" s="443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38"/>
      <c r="P49" s="438"/>
      <c r="Q49" s="438"/>
      <c r="R49" s="438"/>
      <c r="S49" s="438"/>
      <c r="T49" s="438"/>
      <c r="U49" s="438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35" t="s">
        <v>382</v>
      </c>
      <c r="C50" s="187" t="s">
        <v>384</v>
      </c>
      <c r="D50" s="108">
        <v>5.03</v>
      </c>
      <c r="E50" s="108"/>
      <c r="F50" s="127"/>
      <c r="G50" s="128"/>
      <c r="H50" s="443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38"/>
      <c r="P50" s="438"/>
      <c r="Q50" s="438"/>
      <c r="R50" s="438"/>
      <c r="S50" s="438"/>
      <c r="T50" s="438"/>
      <c r="U50" s="438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35" t="s">
        <v>382</v>
      </c>
      <c r="C51" s="187" t="s">
        <v>389</v>
      </c>
      <c r="D51" s="108">
        <v>5.03</v>
      </c>
      <c r="E51" s="108"/>
      <c r="F51" s="127"/>
      <c r="G51" s="128"/>
      <c r="H51" s="443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38"/>
      <c r="P51" s="438"/>
      <c r="Q51" s="438"/>
      <c r="R51" s="438"/>
      <c r="S51" s="438"/>
      <c r="T51" s="438"/>
      <c r="U51" s="438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35" t="s">
        <v>382</v>
      </c>
      <c r="C52" s="187" t="s">
        <v>391</v>
      </c>
      <c r="D52" s="108">
        <v>5.03</v>
      </c>
      <c r="E52" s="108"/>
      <c r="F52" s="127"/>
      <c r="G52" s="128"/>
      <c r="H52" s="443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38"/>
      <c r="P52" s="438"/>
      <c r="Q52" s="438"/>
      <c r="R52" s="438"/>
      <c r="S52" s="438"/>
      <c r="T52" s="438"/>
      <c r="U52" s="438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35" t="s">
        <v>418</v>
      </c>
      <c r="C53" s="187" t="s">
        <v>364</v>
      </c>
      <c r="D53" s="108">
        <v>5.03</v>
      </c>
      <c r="E53" s="108"/>
      <c r="F53" s="127"/>
      <c r="G53" s="128"/>
      <c r="H53" s="443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38"/>
      <c r="P53" s="438"/>
      <c r="Q53" s="438"/>
      <c r="R53" s="438"/>
      <c r="S53" s="438"/>
      <c r="T53" s="438"/>
      <c r="U53" s="438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35" t="s">
        <v>418</v>
      </c>
      <c r="C54" s="187" t="s">
        <v>365</v>
      </c>
      <c r="D54" s="108">
        <v>5.03</v>
      </c>
      <c r="E54" s="108"/>
      <c r="F54" s="127"/>
      <c r="G54" s="128"/>
      <c r="H54" s="443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38"/>
      <c r="P54" s="438"/>
      <c r="Q54" s="438"/>
      <c r="R54" s="438"/>
      <c r="S54" s="438"/>
      <c r="T54" s="438"/>
      <c r="U54" s="438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35" t="s">
        <v>418</v>
      </c>
      <c r="C55" s="187" t="s">
        <v>366</v>
      </c>
      <c r="D55" s="108">
        <v>5.03</v>
      </c>
      <c r="E55" s="108"/>
      <c r="F55" s="127"/>
      <c r="G55" s="128"/>
      <c r="H55" s="443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38"/>
      <c r="P55" s="438"/>
      <c r="Q55" s="438"/>
      <c r="R55" s="438"/>
      <c r="S55" s="438"/>
      <c r="T55" s="438"/>
      <c r="U55" s="438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35" t="s">
        <v>418</v>
      </c>
      <c r="C56" s="187" t="s">
        <v>367</v>
      </c>
      <c r="D56" s="108">
        <v>5.03</v>
      </c>
      <c r="E56" s="108"/>
      <c r="F56" s="127"/>
      <c r="G56" s="128"/>
      <c r="H56" s="443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38"/>
      <c r="P56" s="438"/>
      <c r="Q56" s="438"/>
      <c r="R56" s="438"/>
      <c r="S56" s="438"/>
      <c r="T56" s="438"/>
      <c r="U56" s="438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43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34"/>
      <c r="P57" s="434"/>
      <c r="Q57" s="434"/>
      <c r="R57" s="434"/>
      <c r="S57" s="434"/>
      <c r="T57" s="434"/>
      <c r="U57" s="434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43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34"/>
      <c r="P58" s="434"/>
      <c r="Q58" s="434"/>
      <c r="R58" s="434"/>
      <c r="S58" s="434"/>
      <c r="T58" s="434"/>
      <c r="U58" s="434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43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34"/>
      <c r="P59" s="434"/>
      <c r="Q59" s="434"/>
      <c r="R59" s="434"/>
      <c r="S59" s="434"/>
      <c r="T59" s="434"/>
      <c r="U59" s="434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43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34"/>
      <c r="P60" s="434"/>
      <c r="Q60" s="434"/>
      <c r="R60" s="434"/>
      <c r="S60" s="434"/>
      <c r="T60" s="434"/>
      <c r="U60" s="434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43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34"/>
      <c r="P61" s="434"/>
      <c r="Q61" s="434"/>
      <c r="R61" s="434"/>
      <c r="S61" s="434"/>
      <c r="T61" s="434"/>
      <c r="U61" s="434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43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34"/>
      <c r="P62" s="434"/>
      <c r="Q62" s="434"/>
      <c r="R62" s="434"/>
      <c r="S62" s="434"/>
      <c r="T62" s="434"/>
      <c r="U62" s="434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43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34"/>
      <c r="P63" s="434"/>
      <c r="Q63" s="434"/>
      <c r="R63" s="434"/>
      <c r="S63" s="434"/>
      <c r="T63" s="434"/>
      <c r="U63" s="434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43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34"/>
      <c r="P64" s="434"/>
      <c r="Q64" s="434"/>
      <c r="R64" s="434"/>
      <c r="S64" s="434"/>
      <c r="T64" s="434"/>
      <c r="U64" s="434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43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34"/>
      <c r="P65" s="434"/>
      <c r="Q65" s="434"/>
      <c r="R65" s="434"/>
      <c r="S65" s="434"/>
      <c r="T65" s="434"/>
      <c r="U65" s="434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43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34"/>
      <c r="P66" s="434"/>
      <c r="Q66" s="434"/>
      <c r="R66" s="434"/>
      <c r="S66" s="434"/>
      <c r="T66" s="434"/>
      <c r="U66" s="434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43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34"/>
      <c r="P67" s="434"/>
      <c r="Q67" s="434"/>
      <c r="R67" s="434"/>
      <c r="S67" s="434"/>
      <c r="T67" s="434"/>
      <c r="U67" s="434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43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34"/>
      <c r="P68" s="434"/>
      <c r="Q68" s="434"/>
      <c r="R68" s="434"/>
      <c r="S68" s="434"/>
      <c r="T68" s="434"/>
      <c r="U68" s="434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43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34"/>
      <c r="P69" s="434"/>
      <c r="Q69" s="434"/>
      <c r="R69" s="434"/>
      <c r="S69" s="434"/>
      <c r="T69" s="434"/>
      <c r="U69" s="434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43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34"/>
      <c r="P70" s="434"/>
      <c r="Q70" s="434"/>
      <c r="R70" s="434"/>
      <c r="S70" s="434"/>
      <c r="T70" s="434"/>
      <c r="U70" s="434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43">
        <f t="shared" si="11"/>
        <v>0</v>
      </c>
      <c r="I71" s="129"/>
      <c r="J71" s="130"/>
      <c r="K71" s="131"/>
      <c r="L71" s="129"/>
      <c r="M71" s="109"/>
      <c r="N71" s="130"/>
      <c r="O71" s="434"/>
      <c r="P71" s="434"/>
      <c r="Q71" s="434"/>
      <c r="R71" s="434"/>
      <c r="S71" s="434"/>
      <c r="T71" s="434"/>
      <c r="U71" s="434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43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34"/>
      <c r="P72" s="434"/>
      <c r="Q72" s="434"/>
      <c r="R72" s="434"/>
      <c r="S72" s="434"/>
      <c r="T72" s="434"/>
      <c r="U72" s="434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43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34"/>
      <c r="P73" s="434"/>
      <c r="Q73" s="434"/>
      <c r="R73" s="434"/>
      <c r="S73" s="434"/>
      <c r="T73" s="434"/>
      <c r="U73" s="434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43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34"/>
      <c r="P74" s="434"/>
      <c r="Q74" s="434"/>
      <c r="R74" s="434"/>
      <c r="S74" s="434"/>
      <c r="T74" s="434"/>
      <c r="U74" s="434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43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34"/>
      <c r="P75" s="434"/>
      <c r="Q75" s="434"/>
      <c r="R75" s="434"/>
      <c r="S75" s="434"/>
      <c r="T75" s="434"/>
      <c r="U75" s="434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43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34"/>
      <c r="P76" s="434"/>
      <c r="Q76" s="434"/>
      <c r="R76" s="434"/>
      <c r="S76" s="434"/>
      <c r="T76" s="434"/>
      <c r="U76" s="434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43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34"/>
      <c r="P77" s="434"/>
      <c r="Q77" s="434"/>
      <c r="R77" s="434"/>
      <c r="S77" s="434"/>
      <c r="T77" s="434"/>
      <c r="U77" s="434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43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34"/>
      <c r="P78" s="434"/>
      <c r="Q78" s="434"/>
      <c r="R78" s="434"/>
      <c r="S78" s="434"/>
      <c r="T78" s="434"/>
      <c r="U78" s="434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43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34"/>
      <c r="P79" s="434"/>
      <c r="Q79" s="434"/>
      <c r="R79" s="434"/>
      <c r="S79" s="434"/>
      <c r="T79" s="434"/>
      <c r="U79" s="434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43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34"/>
      <c r="P80" s="434"/>
      <c r="Q80" s="434"/>
      <c r="R80" s="434"/>
      <c r="S80" s="434"/>
      <c r="T80" s="434"/>
      <c r="U80" s="434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43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34"/>
      <c r="P81" s="434"/>
      <c r="Q81" s="434"/>
      <c r="R81" s="434"/>
      <c r="S81" s="434"/>
      <c r="T81" s="434"/>
      <c r="U81" s="434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43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34"/>
      <c r="P82" s="434"/>
      <c r="Q82" s="434"/>
      <c r="R82" s="434"/>
      <c r="S82" s="434"/>
      <c r="T82" s="434"/>
      <c r="U82" s="434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43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34"/>
      <c r="P83" s="434"/>
      <c r="Q83" s="434"/>
      <c r="R83" s="434"/>
      <c r="S83" s="434"/>
      <c r="T83" s="434"/>
      <c r="U83" s="434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43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34"/>
      <c r="P84" s="434"/>
      <c r="Q84" s="434"/>
      <c r="R84" s="434"/>
      <c r="S84" s="434"/>
      <c r="T84" s="434"/>
      <c r="U84" s="434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43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34"/>
      <c r="P85" s="434"/>
      <c r="Q85" s="434"/>
      <c r="R85" s="434"/>
      <c r="S85" s="434"/>
      <c r="T85" s="434"/>
      <c r="U85" s="434"/>
      <c r="V85" s="132"/>
      <c r="W85" s="133"/>
      <c r="X85" s="132"/>
      <c r="Y85" s="132"/>
      <c r="Z85" s="132"/>
      <c r="AA85" s="132"/>
    </row>
    <row r="86" spans="1:27" ht="20.100000000000001" hidden="1" customHeight="1">
      <c r="A86" s="641" t="s">
        <v>216</v>
      </c>
      <c r="B86" s="641"/>
      <c r="C86" s="441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4">SUM(M29:M85)</f>
        <v>0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 t="str">
        <f t="shared" ref="W86:W93" si="35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35" t="s">
        <v>217</v>
      </c>
      <c r="C87" s="126" t="s">
        <v>179</v>
      </c>
      <c r="D87" s="108">
        <v>5.03</v>
      </c>
      <c r="E87" s="108"/>
      <c r="F87" s="127"/>
      <c r="G87" s="128"/>
      <c r="H87" s="443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34"/>
      <c r="P87" s="434"/>
      <c r="Q87" s="434"/>
      <c r="R87" s="434"/>
      <c r="S87" s="434"/>
      <c r="T87" s="434"/>
      <c r="U87" s="434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35" t="s">
        <v>217</v>
      </c>
      <c r="C88" s="126" t="s">
        <v>186</v>
      </c>
      <c r="D88" s="108">
        <v>5.03</v>
      </c>
      <c r="E88" s="108"/>
      <c r="F88" s="127"/>
      <c r="G88" s="128"/>
      <c r="H88" s="443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34"/>
      <c r="P88" s="434"/>
      <c r="Q88" s="434"/>
      <c r="R88" s="434"/>
      <c r="S88" s="434"/>
      <c r="T88" s="434"/>
      <c r="U88" s="434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35" t="s">
        <v>217</v>
      </c>
      <c r="C89" s="126" t="s">
        <v>204</v>
      </c>
      <c r="D89" s="108">
        <v>5.03</v>
      </c>
      <c r="E89" s="108"/>
      <c r="F89" s="127"/>
      <c r="G89" s="128"/>
      <c r="H89" s="443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34"/>
      <c r="P89" s="434"/>
      <c r="Q89" s="434"/>
      <c r="R89" s="434"/>
      <c r="S89" s="434"/>
      <c r="T89" s="434"/>
      <c r="U89" s="434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>
        <v>42707</v>
      </c>
      <c r="G90" s="128">
        <f>61+11</f>
        <v>72</v>
      </c>
      <c r="H90" s="443">
        <f t="shared" si="36"/>
        <v>362.16</v>
      </c>
      <c r="I90" s="129">
        <v>5.5</v>
      </c>
      <c r="J90" s="130">
        <f t="array" ref="J90">IF(ISERROR(G90/I90),"",G90/I90)</f>
        <v>13.090909090909092</v>
      </c>
      <c r="K90" s="131">
        <f t="array" ref="K90">IF(ISERROR(G90/L90),"",G90/L90)</f>
        <v>7.7419354838709671</v>
      </c>
      <c r="L90" s="129">
        <v>9.3000000000000007</v>
      </c>
      <c r="M90" s="109">
        <f t="shared" si="37"/>
        <v>-2.2419354838709671</v>
      </c>
      <c r="N90" s="130">
        <f t="shared" si="38"/>
        <v>0</v>
      </c>
      <c r="O90" s="434"/>
      <c r="P90" s="434"/>
      <c r="Q90" s="434"/>
      <c r="R90" s="434"/>
      <c r="S90" s="434"/>
      <c r="T90" s="434"/>
      <c r="U90" s="434"/>
      <c r="V90" s="132">
        <f t="shared" si="39"/>
        <v>0</v>
      </c>
      <c r="W90" s="133">
        <f t="shared" si="35"/>
        <v>0</v>
      </c>
      <c r="X90" s="132"/>
      <c r="Y90" s="132"/>
      <c r="Z90" s="132"/>
      <c r="AA90" s="132"/>
    </row>
    <row r="91" spans="1:27" ht="20.10000000000000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>
        <v>42707</v>
      </c>
      <c r="G91" s="128">
        <v>45</v>
      </c>
      <c r="H91" s="443">
        <f t="shared" si="36"/>
        <v>226.35000000000002</v>
      </c>
      <c r="I91" s="129">
        <v>5.5</v>
      </c>
      <c r="J91" s="130">
        <f t="array" ref="J91">IF(ISERROR(G91/I91),"",G91/I91)</f>
        <v>8.1818181818181817</v>
      </c>
      <c r="K91" s="131">
        <f t="array" ref="K91">IF(ISERROR(G91/L91),"",G91/L91)</f>
        <v>4.8387096774193541</v>
      </c>
      <c r="L91" s="129">
        <v>9.3000000000000007</v>
      </c>
      <c r="M91" s="109">
        <f t="shared" si="37"/>
        <v>0.66129032258064591</v>
      </c>
      <c r="N91" s="130">
        <f t="shared" si="38"/>
        <v>0</v>
      </c>
      <c r="O91" s="434"/>
      <c r="P91" s="434"/>
      <c r="Q91" s="434"/>
      <c r="R91" s="434"/>
      <c r="S91" s="434"/>
      <c r="T91" s="434"/>
      <c r="U91" s="434"/>
      <c r="V91" s="132">
        <f t="shared" si="39"/>
        <v>0</v>
      </c>
      <c r="W91" s="133">
        <f t="shared" si="35"/>
        <v>0</v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43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34"/>
      <c r="P92" s="434"/>
      <c r="Q92" s="434"/>
      <c r="R92" s="434"/>
      <c r="S92" s="434"/>
      <c r="T92" s="434"/>
      <c r="U92" s="434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>
        <v>42708</v>
      </c>
      <c r="G93" s="128">
        <v>52</v>
      </c>
      <c r="H93" s="443">
        <f t="shared" si="36"/>
        <v>261.56</v>
      </c>
      <c r="I93" s="129">
        <v>5.5</v>
      </c>
      <c r="J93" s="130">
        <f t="array" ref="J93">IF(ISERROR(G93/I93),"",G93/I93)</f>
        <v>9.454545454545455</v>
      </c>
      <c r="K93" s="131">
        <f t="array" ref="K93">IF(ISERROR(G93/L93),"",G93/L93)</f>
        <v>5.5913978494623651</v>
      </c>
      <c r="L93" s="129">
        <v>9.3000000000000007</v>
      </c>
      <c r="M93" s="109">
        <f t="shared" si="37"/>
        <v>-9.1397849462365066E-2</v>
      </c>
      <c r="N93" s="130">
        <f t="shared" si="38"/>
        <v>0</v>
      </c>
      <c r="O93" s="434"/>
      <c r="P93" s="434"/>
      <c r="Q93" s="434"/>
      <c r="R93" s="434"/>
      <c r="S93" s="434"/>
      <c r="T93" s="434"/>
      <c r="U93" s="434"/>
      <c r="V93" s="132">
        <f t="shared" si="39"/>
        <v>0</v>
      </c>
      <c r="W93" s="133">
        <f t="shared" si="35"/>
        <v>0</v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43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34"/>
      <c r="P94" s="434"/>
      <c r="Q94" s="434"/>
      <c r="R94" s="434"/>
      <c r="S94" s="434"/>
      <c r="T94" s="434"/>
      <c r="U94" s="434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43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34"/>
      <c r="P95" s="434"/>
      <c r="Q95" s="434"/>
      <c r="R95" s="434"/>
      <c r="S95" s="434"/>
      <c r="T95" s="434"/>
      <c r="U95" s="434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43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34"/>
      <c r="P96" s="434"/>
      <c r="Q96" s="434"/>
      <c r="R96" s="434"/>
      <c r="S96" s="434"/>
      <c r="T96" s="434"/>
      <c r="U96" s="434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43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34"/>
      <c r="P97" s="434"/>
      <c r="Q97" s="434"/>
      <c r="R97" s="434"/>
      <c r="S97" s="434"/>
      <c r="T97" s="434"/>
      <c r="U97" s="434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43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34"/>
      <c r="P98" s="434"/>
      <c r="Q98" s="434"/>
      <c r="R98" s="434"/>
      <c r="S98" s="434"/>
      <c r="T98" s="434"/>
      <c r="U98" s="434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43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34"/>
      <c r="P99" s="434"/>
      <c r="Q99" s="434"/>
      <c r="R99" s="434"/>
      <c r="S99" s="434"/>
      <c r="T99" s="434"/>
      <c r="U99" s="434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43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34"/>
      <c r="P100" s="434"/>
      <c r="Q100" s="434"/>
      <c r="R100" s="434"/>
      <c r="S100" s="434"/>
      <c r="T100" s="434"/>
      <c r="U100" s="434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43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34"/>
      <c r="P101" s="434"/>
      <c r="Q101" s="434"/>
      <c r="R101" s="434"/>
      <c r="S101" s="434"/>
      <c r="T101" s="434"/>
      <c r="U101" s="434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43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34"/>
      <c r="P102" s="434"/>
      <c r="Q102" s="434"/>
      <c r="R102" s="434"/>
      <c r="S102" s="434"/>
      <c r="T102" s="434"/>
      <c r="U102" s="434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35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43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34"/>
      <c r="P103" s="434"/>
      <c r="Q103" s="434"/>
      <c r="R103" s="434"/>
      <c r="S103" s="434"/>
      <c r="T103" s="434"/>
      <c r="U103" s="434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35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43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34"/>
      <c r="P104" s="434"/>
      <c r="Q104" s="434"/>
      <c r="R104" s="434"/>
      <c r="S104" s="434"/>
      <c r="T104" s="434"/>
      <c r="U104" s="434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35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43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34"/>
      <c r="P105" s="434"/>
      <c r="Q105" s="434"/>
      <c r="R105" s="434"/>
      <c r="S105" s="434"/>
      <c r="T105" s="434"/>
      <c r="U105" s="434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35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43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34"/>
      <c r="P106" s="434"/>
      <c r="Q106" s="434"/>
      <c r="R106" s="434"/>
      <c r="S106" s="434"/>
      <c r="T106" s="434"/>
      <c r="U106" s="434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35" t="s">
        <v>393</v>
      </c>
      <c r="C107" s="187" t="s">
        <v>395</v>
      </c>
      <c r="D107" s="108">
        <v>5</v>
      </c>
      <c r="E107" s="108"/>
      <c r="F107" s="127"/>
      <c r="G107" s="128"/>
      <c r="H107" s="443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34"/>
      <c r="P107" s="434"/>
      <c r="Q107" s="434"/>
      <c r="R107" s="434"/>
      <c r="S107" s="434"/>
      <c r="T107" s="434"/>
      <c r="U107" s="434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35" t="s">
        <v>393</v>
      </c>
      <c r="C108" s="187" t="s">
        <v>402</v>
      </c>
      <c r="D108" s="108">
        <v>5</v>
      </c>
      <c r="E108" s="108"/>
      <c r="F108" s="127"/>
      <c r="G108" s="128"/>
      <c r="H108" s="443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34"/>
      <c r="P108" s="434"/>
      <c r="Q108" s="434"/>
      <c r="R108" s="434"/>
      <c r="S108" s="434"/>
      <c r="T108" s="434"/>
      <c r="U108" s="434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35" t="s">
        <v>404</v>
      </c>
      <c r="C109" s="187" t="s">
        <v>405</v>
      </c>
      <c r="D109" s="108">
        <v>5</v>
      </c>
      <c r="E109" s="108"/>
      <c r="F109" s="127"/>
      <c r="G109" s="128"/>
      <c r="H109" s="443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34"/>
      <c r="P109" s="434"/>
      <c r="Q109" s="434"/>
      <c r="R109" s="434"/>
      <c r="S109" s="434"/>
      <c r="T109" s="434"/>
      <c r="U109" s="434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35" t="s">
        <v>492</v>
      </c>
      <c r="C110" s="187" t="s">
        <v>372</v>
      </c>
      <c r="D110" s="108">
        <v>5</v>
      </c>
      <c r="E110" s="108"/>
      <c r="F110" s="127"/>
      <c r="G110" s="128"/>
      <c r="H110" s="443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34"/>
      <c r="P110" s="434"/>
      <c r="Q110" s="434"/>
      <c r="R110" s="434"/>
      <c r="S110" s="434"/>
      <c r="T110" s="434"/>
      <c r="U110" s="434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35" t="s">
        <v>343</v>
      </c>
      <c r="C111" s="126" t="s">
        <v>345</v>
      </c>
      <c r="D111" s="108">
        <v>5</v>
      </c>
      <c r="E111" s="108"/>
      <c r="F111" s="127"/>
      <c r="G111" s="128"/>
      <c r="H111" s="443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34"/>
      <c r="P111" s="434"/>
      <c r="Q111" s="434"/>
      <c r="R111" s="434"/>
      <c r="S111" s="434"/>
      <c r="T111" s="434"/>
      <c r="U111" s="434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35" t="s">
        <v>343</v>
      </c>
      <c r="C112" s="126" t="s">
        <v>347</v>
      </c>
      <c r="D112" s="108">
        <v>5</v>
      </c>
      <c r="E112" s="108"/>
      <c r="F112" s="127"/>
      <c r="G112" s="128"/>
      <c r="H112" s="443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34"/>
      <c r="P112" s="434"/>
      <c r="Q112" s="434"/>
      <c r="R112" s="434"/>
      <c r="S112" s="434"/>
      <c r="T112" s="434"/>
      <c r="U112" s="434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43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34"/>
      <c r="P113" s="434"/>
      <c r="Q113" s="434"/>
      <c r="R113" s="434"/>
      <c r="S113" s="434"/>
      <c r="T113" s="434"/>
      <c r="U113" s="434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43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34"/>
      <c r="P114" s="434"/>
      <c r="Q114" s="434"/>
      <c r="R114" s="434"/>
      <c r="S114" s="434"/>
      <c r="T114" s="434"/>
      <c r="U114" s="434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43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34"/>
      <c r="P115" s="434"/>
      <c r="Q115" s="434"/>
      <c r="R115" s="434"/>
      <c r="S115" s="434"/>
      <c r="T115" s="434"/>
      <c r="U115" s="434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43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34"/>
      <c r="P116" s="434"/>
      <c r="Q116" s="434"/>
      <c r="R116" s="434"/>
      <c r="S116" s="434"/>
      <c r="T116" s="434"/>
      <c r="U116" s="434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43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34"/>
      <c r="P117" s="434"/>
      <c r="Q117" s="434"/>
      <c r="R117" s="434"/>
      <c r="S117" s="434"/>
      <c r="T117" s="434"/>
      <c r="U117" s="434"/>
      <c r="V117" s="132"/>
      <c r="W117" s="133"/>
      <c r="X117" s="132"/>
      <c r="Y117" s="132"/>
      <c r="Z117" s="132"/>
      <c r="AA117" s="132"/>
    </row>
    <row r="118" spans="1:27" ht="20.10000000000000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>
        <v>42711</v>
      </c>
      <c r="G118" s="128">
        <f>100*2+87+76+58+60</f>
        <v>481</v>
      </c>
      <c r="H118" s="443">
        <f t="shared" si="36"/>
        <v>2438.67</v>
      </c>
      <c r="I118" s="129">
        <f>4.5*6+1*4</f>
        <v>31</v>
      </c>
      <c r="J118" s="130">
        <f t="array" ref="J118">IF(ISERROR(G118/I118),"",G118/I118)</f>
        <v>15.516129032258064</v>
      </c>
      <c r="K118" s="131">
        <f t="array" ref="K118">IF(ISERROR(G118/L118),"",G118/L118)</f>
        <v>53.444444444444443</v>
      </c>
      <c r="L118" s="129">
        <v>9</v>
      </c>
      <c r="M118" s="109">
        <f t="shared" ref="M118:M120" si="46">IF(ISERROR(I118-K118),"",I118-K118)</f>
        <v>-22.444444444444443</v>
      </c>
      <c r="N118" s="130">
        <f t="shared" ref="N118:N120" si="47">SUM(O118:U118)</f>
        <v>0</v>
      </c>
      <c r="O118" s="434"/>
      <c r="P118" s="434"/>
      <c r="Q118" s="434"/>
      <c r="R118" s="434"/>
      <c r="S118" s="434"/>
      <c r="T118" s="434"/>
      <c r="U118" s="434"/>
      <c r="V118" s="132">
        <f t="shared" ref="V118:V120" si="48">SUM(X118:AA118)</f>
        <v>0</v>
      </c>
      <c r="W118" s="133">
        <f t="shared" ref="W118:W142" si="49">IF(ISERROR(V118/G118),"",V118/G118)</f>
        <v>0</v>
      </c>
      <c r="X118" s="132"/>
      <c r="Y118" s="132"/>
      <c r="Z118" s="132"/>
      <c r="AA118" s="132"/>
    </row>
    <row r="119" spans="1:27" ht="20.10000000000000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>
        <v>42710</v>
      </c>
      <c r="G119" s="128">
        <f>100*2+78+100+74</f>
        <v>452</v>
      </c>
      <c r="H119" s="443">
        <f t="shared" si="36"/>
        <v>2291.6400000000003</v>
      </c>
      <c r="I119" s="129">
        <f>3*3</f>
        <v>9</v>
      </c>
      <c r="J119" s="130">
        <f t="array" ref="J119">IF(ISERROR(G119/I119),"",G119/I119)</f>
        <v>50.222222222222221</v>
      </c>
      <c r="K119" s="131">
        <f t="array" ref="K119">IF(ISERROR(G119/L119),"",G119/L119)</f>
        <v>50.222222222222221</v>
      </c>
      <c r="L119" s="129">
        <v>9</v>
      </c>
      <c r="M119" s="109">
        <f t="shared" si="46"/>
        <v>-41.222222222222221</v>
      </c>
      <c r="N119" s="130">
        <f t="shared" si="47"/>
        <v>0</v>
      </c>
      <c r="O119" s="434"/>
      <c r="P119" s="434"/>
      <c r="Q119" s="434"/>
      <c r="R119" s="434"/>
      <c r="S119" s="434"/>
      <c r="T119" s="434"/>
      <c r="U119" s="434"/>
      <c r="V119" s="132">
        <f t="shared" si="48"/>
        <v>0</v>
      </c>
      <c r="W119" s="133">
        <f t="shared" si="49"/>
        <v>0</v>
      </c>
      <c r="X119" s="132"/>
      <c r="Y119" s="132"/>
      <c r="Z119" s="132"/>
      <c r="AA119" s="132"/>
    </row>
    <row r="120" spans="1:27" ht="20.10000000000000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>
        <v>42710</v>
      </c>
      <c r="G120" s="128">
        <f>33+27+100</f>
        <v>160</v>
      </c>
      <c r="H120" s="443">
        <f t="shared" si="36"/>
        <v>809.59999999999991</v>
      </c>
      <c r="I120" s="129">
        <f>6*1+1.5*3</f>
        <v>10.5</v>
      </c>
      <c r="J120" s="130">
        <f t="array" ref="J120">IF(ISERROR(G120/I120),"",G120/I120)</f>
        <v>15.238095238095237</v>
      </c>
      <c r="K120" s="443">
        <f t="array" ref="K120">IF(ISERROR(G120/L120),"",G120/L120)</f>
        <v>17.777777777777779</v>
      </c>
      <c r="L120" s="129">
        <v>9</v>
      </c>
      <c r="M120" s="109">
        <f t="shared" si="46"/>
        <v>-7.2777777777777786</v>
      </c>
      <c r="N120" s="130">
        <f t="shared" si="47"/>
        <v>0</v>
      </c>
      <c r="O120" s="434"/>
      <c r="P120" s="434"/>
      <c r="Q120" s="434"/>
      <c r="R120" s="434"/>
      <c r="S120" s="434"/>
      <c r="T120" s="434"/>
      <c r="U120" s="434"/>
      <c r="V120" s="132">
        <f t="shared" si="48"/>
        <v>0</v>
      </c>
      <c r="W120" s="133">
        <f t="shared" si="49"/>
        <v>0</v>
      </c>
      <c r="X120" s="132"/>
      <c r="Y120" s="132"/>
      <c r="Z120" s="132"/>
      <c r="AA120" s="132"/>
    </row>
    <row r="121" spans="1:27" ht="20.100000000000001" customHeight="1">
      <c r="A121" s="630" t="s">
        <v>224</v>
      </c>
      <c r="B121" s="631"/>
      <c r="C121" s="441" t="s">
        <v>202</v>
      </c>
      <c r="D121" s="143"/>
      <c r="E121" s="143"/>
      <c r="F121" s="144"/>
      <c r="G121" s="145">
        <f>SUM(G87:G120)</f>
        <v>1262</v>
      </c>
      <c r="H121" s="146">
        <f>SUM(H87:H120)</f>
        <v>6389.98</v>
      </c>
      <c r="I121" s="146">
        <f>SUM(I87:I120)</f>
        <v>67</v>
      </c>
      <c r="J121" s="130">
        <f t="array" ref="J121">IF(ISERROR(G121/I121),"",G121/I121)</f>
        <v>18.835820895522389</v>
      </c>
      <c r="K121" s="146">
        <f>SUM(K87:K120)</f>
        <v>139.61648745519713</v>
      </c>
      <c r="L121" s="147"/>
      <c r="M121" s="150">
        <f t="shared" ref="M121:V121" si="50">SUM(M87:M120)</f>
        <v>-72.616487455197131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43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34"/>
      <c r="P122" s="434"/>
      <c r="Q122" s="434"/>
      <c r="R122" s="434"/>
      <c r="S122" s="434"/>
      <c r="T122" s="434"/>
      <c r="U122" s="434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43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34"/>
      <c r="P123" s="434"/>
      <c r="Q123" s="434"/>
      <c r="R123" s="434"/>
      <c r="S123" s="434"/>
      <c r="T123" s="434"/>
      <c r="U123" s="434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43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34"/>
      <c r="P124" s="434"/>
      <c r="Q124" s="434"/>
      <c r="R124" s="434"/>
      <c r="S124" s="434"/>
      <c r="T124" s="434"/>
      <c r="U124" s="434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43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34"/>
      <c r="P125" s="434"/>
      <c r="Q125" s="434"/>
      <c r="R125" s="434"/>
      <c r="S125" s="434"/>
      <c r="T125" s="434"/>
      <c r="U125" s="434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39" t="s">
        <v>203</v>
      </c>
      <c r="D126" s="108">
        <v>5.03</v>
      </c>
      <c r="E126" s="108"/>
      <c r="F126" s="127"/>
      <c r="G126" s="128"/>
      <c r="H126" s="443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34"/>
      <c r="P126" s="434"/>
      <c r="Q126" s="434"/>
      <c r="R126" s="434"/>
      <c r="S126" s="434"/>
      <c r="T126" s="434"/>
      <c r="U126" s="434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43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34"/>
      <c r="P127" s="434"/>
      <c r="Q127" s="434"/>
      <c r="R127" s="434"/>
      <c r="S127" s="434"/>
      <c r="T127" s="434"/>
      <c r="U127" s="434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43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34"/>
      <c r="P128" s="434"/>
      <c r="Q128" s="434"/>
      <c r="R128" s="434"/>
      <c r="S128" s="434"/>
      <c r="T128" s="434"/>
      <c r="U128" s="434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39" t="s">
        <v>228</v>
      </c>
      <c r="D129" s="108">
        <v>5.03</v>
      </c>
      <c r="E129" s="108"/>
      <c r="F129" s="127"/>
      <c r="G129" s="128"/>
      <c r="H129" s="443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34"/>
      <c r="P129" s="434"/>
      <c r="Q129" s="434"/>
      <c r="R129" s="434"/>
      <c r="S129" s="434"/>
      <c r="T129" s="434"/>
      <c r="U129" s="434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39" t="s">
        <v>212</v>
      </c>
      <c r="D130" s="108">
        <v>5.03</v>
      </c>
      <c r="E130" s="108"/>
      <c r="F130" s="127"/>
      <c r="G130" s="128"/>
      <c r="H130" s="443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34"/>
      <c r="P130" s="434"/>
      <c r="Q130" s="434"/>
      <c r="R130" s="434"/>
      <c r="S130" s="434"/>
      <c r="T130" s="434"/>
      <c r="U130" s="434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39" t="s">
        <v>203</v>
      </c>
      <c r="D131" s="108">
        <v>5.03</v>
      </c>
      <c r="E131" s="108"/>
      <c r="F131" s="127"/>
      <c r="G131" s="128"/>
      <c r="H131" s="443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34"/>
      <c r="P131" s="434"/>
      <c r="Q131" s="434"/>
      <c r="R131" s="434"/>
      <c r="S131" s="434"/>
      <c r="T131" s="434"/>
      <c r="U131" s="434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39" t="s">
        <v>186</v>
      </c>
      <c r="D132" s="108">
        <v>5.03</v>
      </c>
      <c r="E132" s="108"/>
      <c r="F132" s="127"/>
      <c r="G132" s="128"/>
      <c r="H132" s="443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34"/>
      <c r="P132" s="434"/>
      <c r="Q132" s="434"/>
      <c r="R132" s="434"/>
      <c r="S132" s="434"/>
      <c r="T132" s="434"/>
      <c r="U132" s="434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39" t="s">
        <v>228</v>
      </c>
      <c r="D133" s="108">
        <v>5.03</v>
      </c>
      <c r="E133" s="108"/>
      <c r="F133" s="127"/>
      <c r="G133" s="128"/>
      <c r="H133" s="443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34"/>
      <c r="P133" s="434"/>
      <c r="Q133" s="434"/>
      <c r="R133" s="434"/>
      <c r="S133" s="434"/>
      <c r="T133" s="434"/>
      <c r="U133" s="434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39" t="s">
        <v>199</v>
      </c>
      <c r="D134" s="108">
        <v>5.03</v>
      </c>
      <c r="E134" s="108"/>
      <c r="F134" s="127"/>
      <c r="G134" s="128"/>
      <c r="H134" s="443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34"/>
      <c r="P134" s="434"/>
      <c r="Q134" s="434"/>
      <c r="R134" s="434"/>
      <c r="S134" s="434"/>
      <c r="T134" s="434"/>
      <c r="U134" s="434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43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34"/>
      <c r="P135" s="434"/>
      <c r="Q135" s="434"/>
      <c r="R135" s="434"/>
      <c r="S135" s="434"/>
      <c r="T135" s="434"/>
      <c r="U135" s="434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43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34"/>
      <c r="P136" s="434"/>
      <c r="Q136" s="434"/>
      <c r="R136" s="434"/>
      <c r="S136" s="434"/>
      <c r="T136" s="434"/>
      <c r="U136" s="434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630" t="s">
        <v>231</v>
      </c>
      <c r="B137" s="631"/>
      <c r="C137" s="441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43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34"/>
      <c r="P138" s="434"/>
      <c r="Q138" s="434"/>
      <c r="R138" s="434"/>
      <c r="S138" s="434"/>
      <c r="T138" s="434"/>
      <c r="U138" s="434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43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34"/>
      <c r="P139" s="434"/>
      <c r="Q139" s="434"/>
      <c r="R139" s="434"/>
      <c r="S139" s="434"/>
      <c r="T139" s="434"/>
      <c r="U139" s="434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43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34"/>
      <c r="P140" s="434"/>
      <c r="Q140" s="434"/>
      <c r="R140" s="434"/>
      <c r="S140" s="434"/>
      <c r="T140" s="434"/>
      <c r="U140" s="434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43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34"/>
      <c r="P141" s="434"/>
      <c r="Q141" s="434"/>
      <c r="R141" s="434"/>
      <c r="S141" s="434"/>
      <c r="T141" s="434"/>
      <c r="U141" s="434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43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34"/>
      <c r="P142" s="434"/>
      <c r="Q142" s="434"/>
      <c r="R142" s="434"/>
      <c r="S142" s="434"/>
      <c r="T142" s="434"/>
      <c r="U142" s="434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43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34"/>
      <c r="P143" s="434"/>
      <c r="Q143" s="434"/>
      <c r="R143" s="434"/>
      <c r="S143" s="434"/>
      <c r="T143" s="434"/>
      <c r="U143" s="434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/>
      <c r="G144" s="128"/>
      <c r="H144" s="479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0"/>
      <c r="P144" s="470"/>
      <c r="Q144" s="470"/>
      <c r="R144" s="470"/>
      <c r="S144" s="470"/>
      <c r="T144" s="470"/>
      <c r="U144" s="470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443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434"/>
      <c r="P146" s="434"/>
      <c r="Q146" s="434"/>
      <c r="R146" s="434"/>
      <c r="S146" s="434"/>
      <c r="T146" s="434"/>
      <c r="U146" s="434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hidden="1" customHeight="1">
      <c r="A147" s="630" t="s">
        <v>234</v>
      </c>
      <c r="B147" s="631"/>
      <c r="C147" s="441" t="s">
        <v>202</v>
      </c>
      <c r="D147" s="143"/>
      <c r="E147" s="143"/>
      <c r="F147" s="144"/>
      <c r="G147" s="145">
        <f>SUM(G138:G146)</f>
        <v>0</v>
      </c>
      <c r="H147" s="146">
        <f>SUM(H138:H146)</f>
        <v>0</v>
      </c>
      <c r="I147" s="146">
        <f>SUM(I138:I146)</f>
        <v>0</v>
      </c>
      <c r="J147" s="130" t="str">
        <f t="array" ref="J147">IF(ISERROR(G147/I147),"",G147/I147)</f>
        <v/>
      </c>
      <c r="K147" s="146">
        <f>SUM(K138:K146)</f>
        <v>0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 t="str">
        <f t="shared" si="62"/>
        <v/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433"/>
      <c r="D148" s="108">
        <v>3.65</v>
      </c>
      <c r="E148" s="108"/>
      <c r="F148" s="153"/>
      <c r="G148" s="128"/>
      <c r="H148" s="443">
        <f t="shared" ref="H148:H161" si="63">D148*G148</f>
        <v>0</v>
      </c>
      <c r="I148" s="129"/>
      <c r="J148" s="130" t="str">
        <f t="array" ref="J148">IF(ISERROR(G148/I148),"",G148/I148)</f>
        <v/>
      </c>
      <c r="K148" s="443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434"/>
      <c r="P148" s="434"/>
      <c r="Q148" s="434"/>
      <c r="R148" s="434"/>
      <c r="S148" s="434"/>
      <c r="T148" s="434"/>
      <c r="U148" s="434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433"/>
      <c r="D149" s="108">
        <v>6.58</v>
      </c>
      <c r="E149" s="108"/>
      <c r="F149" s="127"/>
      <c r="G149" s="128"/>
      <c r="H149" s="443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434"/>
      <c r="P149" s="434"/>
      <c r="Q149" s="434"/>
      <c r="R149" s="434"/>
      <c r="S149" s="434"/>
      <c r="T149" s="434"/>
      <c r="U149" s="434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433"/>
      <c r="D150" s="108">
        <v>7.8</v>
      </c>
      <c r="E150" s="108"/>
      <c r="F150" s="127"/>
      <c r="G150" s="128"/>
      <c r="H150" s="443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434"/>
      <c r="P150" s="434"/>
      <c r="Q150" s="434"/>
      <c r="R150" s="434"/>
      <c r="S150" s="434"/>
      <c r="T150" s="434"/>
      <c r="U150" s="434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433"/>
      <c r="D151" s="108">
        <v>4.4000000000000004</v>
      </c>
      <c r="E151" s="108"/>
      <c r="F151" s="127"/>
      <c r="G151" s="128"/>
      <c r="H151" s="443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434"/>
      <c r="P151" s="434"/>
      <c r="Q151" s="434"/>
      <c r="R151" s="434"/>
      <c r="S151" s="434"/>
      <c r="T151" s="434"/>
      <c r="U151" s="434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443">
        <f t="shared" si="63"/>
        <v>0</v>
      </c>
      <c r="I152" s="129"/>
      <c r="J152" s="130"/>
      <c r="K152" s="131"/>
      <c r="L152" s="129">
        <v>6</v>
      </c>
      <c r="M152" s="109"/>
      <c r="N152" s="130"/>
      <c r="O152" s="434"/>
      <c r="P152" s="434"/>
      <c r="Q152" s="434"/>
      <c r="R152" s="434"/>
      <c r="S152" s="434"/>
      <c r="T152" s="434"/>
      <c r="U152" s="434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433" t="s">
        <v>239</v>
      </c>
      <c r="C153" s="433" t="s">
        <v>179</v>
      </c>
      <c r="D153" s="108">
        <v>6.04</v>
      </c>
      <c r="E153" s="108"/>
      <c r="F153" s="127"/>
      <c r="G153" s="128"/>
      <c r="H153" s="443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434"/>
      <c r="P153" s="434"/>
      <c r="Q153" s="434"/>
      <c r="R153" s="434"/>
      <c r="S153" s="434"/>
      <c r="T153" s="434"/>
      <c r="U153" s="434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433" t="s">
        <v>239</v>
      </c>
      <c r="C154" s="433" t="s">
        <v>186</v>
      </c>
      <c r="D154" s="108">
        <v>6.04</v>
      </c>
      <c r="E154" s="108"/>
      <c r="F154" s="127"/>
      <c r="G154" s="128"/>
      <c r="H154" s="443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434"/>
      <c r="P154" s="434"/>
      <c r="Q154" s="434"/>
      <c r="R154" s="434"/>
      <c r="S154" s="434"/>
      <c r="T154" s="434"/>
      <c r="U154" s="434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433" t="s">
        <v>443</v>
      </c>
      <c r="C155" s="433" t="s">
        <v>179</v>
      </c>
      <c r="D155" s="108">
        <v>6</v>
      </c>
      <c r="E155" s="108"/>
      <c r="F155" s="127"/>
      <c r="G155" s="128"/>
      <c r="H155" s="443">
        <f t="shared" si="63"/>
        <v>0</v>
      </c>
      <c r="I155" s="129"/>
      <c r="J155" s="130"/>
      <c r="K155" s="131"/>
      <c r="L155" s="129"/>
      <c r="M155" s="109"/>
      <c r="N155" s="130"/>
      <c r="O155" s="434"/>
      <c r="P155" s="434"/>
      <c r="Q155" s="434"/>
      <c r="R155" s="434"/>
      <c r="S155" s="434"/>
      <c r="T155" s="434"/>
      <c r="U155" s="434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433" t="s">
        <v>443</v>
      </c>
      <c r="C156" s="433" t="s">
        <v>60</v>
      </c>
      <c r="D156" s="108">
        <v>6</v>
      </c>
      <c r="E156" s="108"/>
      <c r="F156" s="127"/>
      <c r="G156" s="128"/>
      <c r="H156" s="443">
        <f t="shared" si="63"/>
        <v>0</v>
      </c>
      <c r="I156" s="129"/>
      <c r="J156" s="130"/>
      <c r="K156" s="131"/>
      <c r="L156" s="129">
        <v>6</v>
      </c>
      <c r="M156" s="109"/>
      <c r="N156" s="130"/>
      <c r="O156" s="434"/>
      <c r="P156" s="434"/>
      <c r="Q156" s="434"/>
      <c r="R156" s="434"/>
      <c r="S156" s="434"/>
      <c r="T156" s="434"/>
      <c r="U156" s="434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435" t="s">
        <v>240</v>
      </c>
      <c r="C157" s="126"/>
      <c r="D157" s="108">
        <v>7.3</v>
      </c>
      <c r="E157" s="108"/>
      <c r="F157" s="127"/>
      <c r="G157" s="128"/>
      <c r="H157" s="443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434"/>
      <c r="P157" s="434"/>
      <c r="Q157" s="434"/>
      <c r="R157" s="434"/>
      <c r="S157" s="434"/>
      <c r="T157" s="434"/>
      <c r="U157" s="434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435" t="s">
        <v>241</v>
      </c>
      <c r="C158" s="126"/>
      <c r="D158" s="108">
        <f>78*120/1000</f>
        <v>9.36</v>
      </c>
      <c r="E158" s="108"/>
      <c r="F158" s="127"/>
      <c r="G158" s="128"/>
      <c r="H158" s="443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434"/>
      <c r="P158" s="434"/>
      <c r="Q158" s="434"/>
      <c r="R158" s="434"/>
      <c r="S158" s="434"/>
      <c r="T158" s="434"/>
      <c r="U158" s="434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435" t="s">
        <v>242</v>
      </c>
      <c r="C159" s="126"/>
      <c r="D159" s="108">
        <v>4.5</v>
      </c>
      <c r="E159" s="108"/>
      <c r="F159" s="127"/>
      <c r="G159" s="128"/>
      <c r="H159" s="443">
        <f t="shared" si="63"/>
        <v>0</v>
      </c>
      <c r="I159" s="129"/>
      <c r="J159" s="130"/>
      <c r="K159" s="131"/>
      <c r="L159" s="129"/>
      <c r="M159" s="109"/>
      <c r="N159" s="130"/>
      <c r="O159" s="434"/>
      <c r="P159" s="434"/>
      <c r="Q159" s="434"/>
      <c r="R159" s="434"/>
      <c r="S159" s="434"/>
      <c r="T159" s="434"/>
      <c r="U159" s="434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435" t="s">
        <v>243</v>
      </c>
      <c r="C160" s="126"/>
      <c r="D160" s="108">
        <v>4.5</v>
      </c>
      <c r="E160" s="108"/>
      <c r="F160" s="127"/>
      <c r="G160" s="128"/>
      <c r="H160" s="443">
        <f t="shared" si="63"/>
        <v>0</v>
      </c>
      <c r="I160" s="129"/>
      <c r="J160" s="130"/>
      <c r="K160" s="131"/>
      <c r="L160" s="129"/>
      <c r="M160" s="109"/>
      <c r="N160" s="130"/>
      <c r="O160" s="434"/>
      <c r="P160" s="434"/>
      <c r="Q160" s="434"/>
      <c r="R160" s="434"/>
      <c r="S160" s="434"/>
      <c r="T160" s="434"/>
      <c r="U160" s="434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443">
        <f t="shared" si="63"/>
        <v>0</v>
      </c>
      <c r="I161" s="129"/>
      <c r="J161" s="130"/>
      <c r="K161" s="131"/>
      <c r="L161" s="129"/>
      <c r="M161" s="109"/>
      <c r="N161" s="130"/>
      <c r="O161" s="434"/>
      <c r="P161" s="434"/>
      <c r="Q161" s="434"/>
      <c r="R161" s="434"/>
      <c r="S161" s="434"/>
      <c r="T161" s="434"/>
      <c r="U161" s="434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630" t="s">
        <v>244</v>
      </c>
      <c r="B162" s="631"/>
      <c r="C162" s="441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32" t="s">
        <v>246</v>
      </c>
      <c r="B163" s="633"/>
      <c r="C163" s="633"/>
      <c r="D163" s="633"/>
      <c r="E163" s="633"/>
      <c r="F163" s="634"/>
      <c r="G163" s="154">
        <f>SUM(G28,G86,G121,G137,G147,G162)</f>
        <v>1262</v>
      </c>
      <c r="H163" s="154">
        <f>SUM(H28,H86,H121,H137,H147,H162)</f>
        <v>6389.98</v>
      </c>
      <c r="I163" s="154">
        <f>SUM(I28,I86,I121,I137,I147,I162)</f>
        <v>67</v>
      </c>
      <c r="J163" s="155">
        <f t="array" ref="J163">IF(ISERROR(G163/I163),"",G163/I163)</f>
        <v>18.835820895522389</v>
      </c>
      <c r="K163" s="154">
        <f>SUM(K28,K86,K121,K137,K147,K162)</f>
        <v>139.61648745519713</v>
      </c>
      <c r="L163" s="155">
        <f>IF(ISERROR(G163/K163),"",G163/K163)</f>
        <v>9.0390470567093679</v>
      </c>
      <c r="M163" s="154">
        <f t="shared" ref="M163:AA163" si="76">SUM(M28,M86,M121,M137,M147,M162)</f>
        <v>-72.616487455197131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635" t="s">
        <v>476</v>
      </c>
      <c r="B164" s="440" t="s">
        <v>247</v>
      </c>
      <c r="C164" s="638" t="s">
        <v>248</v>
      </c>
      <c r="D164" s="639"/>
      <c r="E164" s="640" t="s">
        <v>249</v>
      </c>
      <c r="F164" s="640"/>
      <c r="G164" s="643" t="s">
        <v>250</v>
      </c>
      <c r="H164" s="643"/>
      <c r="I164" s="640" t="s">
        <v>251</v>
      </c>
      <c r="J164" s="640"/>
      <c r="K164" s="640" t="s">
        <v>252</v>
      </c>
      <c r="L164" s="640"/>
      <c r="M164" s="640" t="s">
        <v>253</v>
      </c>
      <c r="N164" s="640"/>
      <c r="O164" s="640" t="s">
        <v>254</v>
      </c>
      <c r="P164" s="643" t="s">
        <v>255</v>
      </c>
      <c r="Q164" s="643"/>
      <c r="R164" s="643" t="s">
        <v>252</v>
      </c>
      <c r="S164" s="643"/>
      <c r="T164" s="643" t="s">
        <v>256</v>
      </c>
      <c r="U164" s="643"/>
      <c r="V164" s="643" t="s">
        <v>257</v>
      </c>
      <c r="W164" s="643"/>
      <c r="X164" s="643" t="s">
        <v>252</v>
      </c>
      <c r="Y164" s="643"/>
      <c r="Z164" s="643" t="s">
        <v>256</v>
      </c>
      <c r="AA164" s="643"/>
    </row>
    <row r="165" spans="1:27" ht="20.100000000000001" customHeight="1">
      <c r="A165" s="636"/>
      <c r="B165" s="440" t="s">
        <v>258</v>
      </c>
      <c r="C165" s="638">
        <v>1</v>
      </c>
      <c r="D165" s="639"/>
      <c r="E165" s="642">
        <f>C165*11</f>
        <v>11</v>
      </c>
      <c r="F165" s="642"/>
      <c r="G165" s="643">
        <v>1</v>
      </c>
      <c r="H165" s="643"/>
      <c r="I165" s="642">
        <f>G165*11</f>
        <v>11</v>
      </c>
      <c r="J165" s="642"/>
      <c r="K165" s="642">
        <f>E165-I165</f>
        <v>0</v>
      </c>
      <c r="L165" s="642"/>
      <c r="M165" s="644">
        <f>IF(ISERROR(K165/E165),"",K165/E165)</f>
        <v>0</v>
      </c>
      <c r="N165" s="644"/>
      <c r="O165" s="640"/>
      <c r="P165" s="643" t="s">
        <v>201</v>
      </c>
      <c r="Q165" s="643"/>
      <c r="R165" s="645">
        <f>SUM(O28:U28)</f>
        <v>0</v>
      </c>
      <c r="S165" s="645"/>
      <c r="T165" s="646" t="str">
        <f t="array" ref="T165">IF(ISERROR(R165/R172),"",R165/R172)</f>
        <v/>
      </c>
      <c r="U165" s="646"/>
      <c r="V165" s="643" t="s">
        <v>259</v>
      </c>
      <c r="W165" s="643"/>
      <c r="X165" s="647">
        <f>SUM(P27,P85,P120,P136,P146,P160)</f>
        <v>0</v>
      </c>
      <c r="Y165" s="647"/>
      <c r="Z165" s="646" t="str">
        <f t="array" ref="Z165">IF(ISERROR(X165/X172),"",X165/X172)</f>
        <v/>
      </c>
      <c r="AA165" s="646"/>
    </row>
    <row r="166" spans="1:27" ht="20.100000000000001" customHeight="1">
      <c r="A166" s="636"/>
      <c r="B166" s="440" t="s">
        <v>260</v>
      </c>
      <c r="C166" s="638">
        <v>1</v>
      </c>
      <c r="D166" s="639"/>
      <c r="E166" s="642">
        <f>C166*11</f>
        <v>11</v>
      </c>
      <c r="F166" s="642"/>
      <c r="G166" s="643">
        <v>1</v>
      </c>
      <c r="H166" s="643"/>
      <c r="I166" s="642">
        <f>G166*11</f>
        <v>11</v>
      </c>
      <c r="J166" s="642"/>
      <c r="K166" s="642">
        <f>E166-I166</f>
        <v>0</v>
      </c>
      <c r="L166" s="642"/>
      <c r="M166" s="644">
        <f>IF(ISERROR(K166/E166),"",K166/E166)</f>
        <v>0</v>
      </c>
      <c r="N166" s="644"/>
      <c r="O166" s="640"/>
      <c r="P166" s="643" t="s">
        <v>216</v>
      </c>
      <c r="Q166" s="643"/>
      <c r="R166" s="645">
        <f>SUM(O86:U86)</f>
        <v>0</v>
      </c>
      <c r="S166" s="645"/>
      <c r="T166" s="646" t="str">
        <f>IF(ISERROR(R166/R172),"",R166/R172)</f>
        <v/>
      </c>
      <c r="U166" s="646"/>
      <c r="V166" s="643" t="s">
        <v>261</v>
      </c>
      <c r="W166" s="643"/>
      <c r="X166" s="647">
        <f>SUM(P28,P86,P121,P137,P147,P162)</f>
        <v>0</v>
      </c>
      <c r="Y166" s="647"/>
      <c r="Z166" s="646" t="str">
        <f>IF(ISERROR(X166/X172),"",X166/X172)</f>
        <v/>
      </c>
      <c r="AA166" s="646"/>
    </row>
    <row r="167" spans="1:27" ht="20.100000000000001" customHeight="1">
      <c r="A167" s="636"/>
      <c r="B167" s="440" t="s">
        <v>262</v>
      </c>
      <c r="C167" s="638">
        <v>1</v>
      </c>
      <c r="D167" s="639"/>
      <c r="E167" s="642">
        <f>C167*8</f>
        <v>8</v>
      </c>
      <c r="F167" s="642"/>
      <c r="G167" s="643">
        <v>1</v>
      </c>
      <c r="H167" s="643"/>
      <c r="I167" s="642">
        <f>G167*8</f>
        <v>8</v>
      </c>
      <c r="J167" s="642"/>
      <c r="K167" s="642">
        <f>E167-I167</f>
        <v>0</v>
      </c>
      <c r="L167" s="642"/>
      <c r="M167" s="644">
        <f>IF(ISERROR(K167/E167),"",K167/E167)</f>
        <v>0</v>
      </c>
      <c r="N167" s="644"/>
      <c r="O167" s="640"/>
      <c r="P167" s="643" t="s">
        <v>224</v>
      </c>
      <c r="Q167" s="643"/>
      <c r="R167" s="645">
        <f>SUM(O121:U121)</f>
        <v>0</v>
      </c>
      <c r="S167" s="645"/>
      <c r="T167" s="646" t="str">
        <f>IF(ISERROR(R167/R172),"",R167/R172)</f>
        <v/>
      </c>
      <c r="U167" s="646"/>
      <c r="V167" s="643" t="s">
        <v>263</v>
      </c>
      <c r="W167" s="643"/>
      <c r="X167" s="647">
        <f>SUM(P29,P87,P122,P138,P148,P163)</f>
        <v>0</v>
      </c>
      <c r="Y167" s="647"/>
      <c r="Z167" s="646" t="str">
        <f>IF(ISERROR(X167/X172),"",X167/X172)</f>
        <v/>
      </c>
      <c r="AA167" s="646"/>
    </row>
    <row r="168" spans="1:27" ht="20.100000000000001" customHeight="1">
      <c r="A168" s="636"/>
      <c r="B168" s="440" t="s">
        <v>264</v>
      </c>
      <c r="C168" s="638">
        <v>1</v>
      </c>
      <c r="D168" s="639"/>
      <c r="E168" s="642">
        <f>C168*11</f>
        <v>11</v>
      </c>
      <c r="F168" s="642"/>
      <c r="G168" s="643">
        <v>1</v>
      </c>
      <c r="H168" s="643"/>
      <c r="I168" s="642">
        <f>G168*11</f>
        <v>11</v>
      </c>
      <c r="J168" s="642"/>
      <c r="K168" s="642">
        <f>E168-I168</f>
        <v>0</v>
      </c>
      <c r="L168" s="642"/>
      <c r="M168" s="644">
        <f>IF(ISERROR(K168/E168),"",K168/E168)</f>
        <v>0</v>
      </c>
      <c r="N168" s="644"/>
      <c r="O168" s="640"/>
      <c r="P168" s="643" t="s">
        <v>231</v>
      </c>
      <c r="Q168" s="643"/>
      <c r="R168" s="645">
        <f>SUM(O137:U137)</f>
        <v>0</v>
      </c>
      <c r="S168" s="645"/>
      <c r="T168" s="646" t="str">
        <f>IF(ISERROR(R168/R172),"",R168/R172)</f>
        <v/>
      </c>
      <c r="U168" s="646"/>
      <c r="V168" s="643" t="s">
        <v>265</v>
      </c>
      <c r="W168" s="643"/>
      <c r="X168" s="647">
        <f>SUM(P31,P88,P123,P139,P149,P164)</f>
        <v>0</v>
      </c>
      <c r="Y168" s="647"/>
      <c r="Z168" s="646" t="str">
        <f>IF(ISERROR(X168/X172),"",X168/X172)</f>
        <v/>
      </c>
      <c r="AA168" s="646"/>
    </row>
    <row r="169" spans="1:27" ht="20.100000000000001" customHeight="1">
      <c r="A169" s="637"/>
      <c r="B169" s="440" t="s">
        <v>266</v>
      </c>
      <c r="C169" s="648">
        <f>SUM(C165:D168)</f>
        <v>4</v>
      </c>
      <c r="D169" s="649"/>
      <c r="E169" s="642">
        <f>SUM(E165:F168)</f>
        <v>41</v>
      </c>
      <c r="F169" s="642"/>
      <c r="G169" s="643">
        <f>SUM(G165:H168)</f>
        <v>4</v>
      </c>
      <c r="H169" s="643"/>
      <c r="I169" s="642">
        <f>SUM(I165:J168)</f>
        <v>41</v>
      </c>
      <c r="J169" s="642"/>
      <c r="K169" s="642">
        <f>SUM(K165:L168)</f>
        <v>0</v>
      </c>
      <c r="L169" s="642"/>
      <c r="M169" s="644">
        <f>IF(ISERROR(K169/E169),"",K169/E169)</f>
        <v>0</v>
      </c>
      <c r="N169" s="644"/>
      <c r="O169" s="640"/>
      <c r="P169" s="643" t="s">
        <v>234</v>
      </c>
      <c r="Q169" s="643"/>
      <c r="R169" s="645">
        <f>SUM(O147:U147)</f>
        <v>0</v>
      </c>
      <c r="S169" s="645"/>
      <c r="T169" s="646" t="str">
        <f>IF(ISERROR(R169/R172),"",R169/R172)</f>
        <v/>
      </c>
      <c r="U169" s="646"/>
      <c r="V169" s="643" t="s">
        <v>267</v>
      </c>
      <c r="W169" s="643"/>
      <c r="X169" s="647">
        <f>SUM(P32,P89,P124,P140,P150,P165)</f>
        <v>0</v>
      </c>
      <c r="Y169" s="647"/>
      <c r="Z169" s="646" t="str">
        <f>IF(ISERROR(X169/X172),"",X169/X172)</f>
        <v/>
      </c>
      <c r="AA169" s="646"/>
    </row>
    <row r="170" spans="1:27" ht="20.100000000000001" customHeight="1">
      <c r="A170" s="307" t="s">
        <v>477</v>
      </c>
      <c r="B170" s="440">
        <f>G163</f>
        <v>1262</v>
      </c>
      <c r="C170" s="650" t="s">
        <v>269</v>
      </c>
      <c r="D170" s="651"/>
      <c r="E170" s="643">
        <f>H163</f>
        <v>6389.98</v>
      </c>
      <c r="F170" s="643"/>
      <c r="G170" s="643" t="s">
        <v>270</v>
      </c>
      <c r="H170" s="643"/>
      <c r="I170" s="652">
        <f>L163</f>
        <v>9.0390470567093679</v>
      </c>
      <c r="J170" s="652"/>
      <c r="K170" s="640" t="s">
        <v>271</v>
      </c>
      <c r="L170" s="640"/>
      <c r="M170" s="652">
        <f>J163</f>
        <v>18.835820895522389</v>
      </c>
      <c r="N170" s="652"/>
      <c r="O170" s="640"/>
      <c r="P170" s="643" t="s">
        <v>244</v>
      </c>
      <c r="Q170" s="643"/>
      <c r="R170" s="645">
        <f>SUM(O162:U162)</f>
        <v>0</v>
      </c>
      <c r="S170" s="645"/>
      <c r="T170" s="646" t="str">
        <f>IF(ISERROR(R170/R172),"",R170/R172)</f>
        <v/>
      </c>
      <c r="U170" s="646"/>
      <c r="V170" s="643" t="s">
        <v>272</v>
      </c>
      <c r="W170" s="643"/>
      <c r="X170" s="647">
        <f>SUM(P33,P90,P125,P141,P151,P166)</f>
        <v>0</v>
      </c>
      <c r="Y170" s="647"/>
      <c r="Z170" s="646" t="str">
        <f>IF(ISERROR(X170/X172),"",X170/X172)</f>
        <v/>
      </c>
      <c r="AA170" s="646"/>
    </row>
    <row r="171" spans="1:27" ht="20.100000000000001" customHeight="1">
      <c r="A171" s="308" t="s">
        <v>478</v>
      </c>
      <c r="B171" s="440">
        <f>I163+C169</f>
        <v>71</v>
      </c>
      <c r="C171" s="653" t="s">
        <v>251</v>
      </c>
      <c r="D171" s="654"/>
      <c r="E171" s="655">
        <f>K163+I169</f>
        <v>180.61648745519713</v>
      </c>
      <c r="F171" s="655"/>
      <c r="G171" s="643" t="s">
        <v>274</v>
      </c>
      <c r="H171" s="643"/>
      <c r="I171" s="652">
        <f>B171-E171</f>
        <v>-109.61648745519713</v>
      </c>
      <c r="J171" s="652"/>
      <c r="K171" s="640" t="s">
        <v>275</v>
      </c>
      <c r="L171" s="640"/>
      <c r="M171" s="644">
        <f>IF(ISERROR(I171/E171),"",I171/E171)</f>
        <v>-0.60690188918876009</v>
      </c>
      <c r="N171" s="644"/>
      <c r="O171" s="640"/>
      <c r="P171" s="643" t="s">
        <v>245</v>
      </c>
      <c r="Q171" s="643"/>
      <c r="R171" s="645"/>
      <c r="S171" s="645"/>
      <c r="T171" s="646" t="str">
        <f>IF(ISERROR(R171/R172),"",R171/R172)</f>
        <v/>
      </c>
      <c r="U171" s="646"/>
      <c r="V171" s="643" t="s">
        <v>264</v>
      </c>
      <c r="W171" s="643"/>
      <c r="X171" s="647"/>
      <c r="Y171" s="647"/>
      <c r="Z171" s="646" t="str">
        <f>IF(ISERROR(X171/X172),"",X171/X172)</f>
        <v/>
      </c>
      <c r="AA171" s="646"/>
    </row>
    <row r="172" spans="1:27" ht="20.100000000000001" customHeight="1">
      <c r="A172" s="308" t="s">
        <v>479</v>
      </c>
      <c r="B172" s="440">
        <f>N163</f>
        <v>0</v>
      </c>
      <c r="C172" s="653" t="s">
        <v>277</v>
      </c>
      <c r="D172" s="654"/>
      <c r="E172" s="646">
        <f>IF(ISERROR(B172/B171),"",B172/B171)</f>
        <v>0</v>
      </c>
      <c r="F172" s="646"/>
      <c r="G172" s="643" t="s">
        <v>278</v>
      </c>
      <c r="H172" s="643"/>
      <c r="I172" s="640">
        <f>V163</f>
        <v>0</v>
      </c>
      <c r="J172" s="640"/>
      <c r="K172" s="640" t="s">
        <v>279</v>
      </c>
      <c r="L172" s="640"/>
      <c r="M172" s="644">
        <f t="array" ref="M172">IF(ISERROR(I172/B170),"",I172/B170)</f>
        <v>0</v>
      </c>
      <c r="N172" s="644"/>
      <c r="O172" s="640"/>
      <c r="P172" s="643" t="s">
        <v>266</v>
      </c>
      <c r="Q172" s="643"/>
      <c r="R172" s="645">
        <f>SUM(R165:S171)</f>
        <v>0</v>
      </c>
      <c r="S172" s="645"/>
      <c r="T172" s="646"/>
      <c r="U172" s="646"/>
      <c r="V172" s="643" t="s">
        <v>266</v>
      </c>
      <c r="W172" s="643"/>
      <c r="X172" s="647">
        <f>SUM(X165:Y171)</f>
        <v>0</v>
      </c>
      <c r="Y172" s="647"/>
      <c r="Z172" s="646"/>
      <c r="AA172" s="646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56" t="s">
        <v>480</v>
      </c>
      <c r="B174" s="659" t="s">
        <v>280</v>
      </c>
      <c r="C174" s="659" t="s">
        <v>281</v>
      </c>
      <c r="D174" s="659" t="s">
        <v>282</v>
      </c>
      <c r="E174" s="662" t="s">
        <v>283</v>
      </c>
      <c r="F174" s="675" t="s">
        <v>284</v>
      </c>
      <c r="G174" s="640" t="s">
        <v>285</v>
      </c>
      <c r="H174" s="640"/>
      <c r="I174" s="659" t="s">
        <v>286</v>
      </c>
      <c r="J174" s="665" t="s">
        <v>271</v>
      </c>
      <c r="K174" s="668" t="s">
        <v>287</v>
      </c>
      <c r="L174" s="659" t="s">
        <v>270</v>
      </c>
      <c r="M174" s="671" t="s">
        <v>288</v>
      </c>
      <c r="N174" s="673" t="s">
        <v>252</v>
      </c>
      <c r="O174" s="640" t="s">
        <v>289</v>
      </c>
      <c r="P174" s="640"/>
      <c r="Q174" s="640"/>
      <c r="R174" s="640"/>
      <c r="S174" s="640"/>
      <c r="T174" s="640"/>
      <c r="U174" s="640"/>
      <c r="V174" s="640" t="s">
        <v>290</v>
      </c>
      <c r="W174" s="673" t="s">
        <v>291</v>
      </c>
      <c r="X174" s="640" t="s">
        <v>292</v>
      </c>
      <c r="Y174" s="640"/>
      <c r="Z174" s="640"/>
      <c r="AA174" s="640"/>
    </row>
    <row r="175" spans="1:27" ht="21.95" customHeight="1">
      <c r="A175" s="657"/>
      <c r="B175" s="660"/>
      <c r="C175" s="660"/>
      <c r="D175" s="660"/>
      <c r="E175" s="663"/>
      <c r="F175" s="676"/>
      <c r="G175" s="640"/>
      <c r="H175" s="640"/>
      <c r="I175" s="660"/>
      <c r="J175" s="666"/>
      <c r="K175" s="669"/>
      <c r="L175" s="660"/>
      <c r="M175" s="672"/>
      <c r="N175" s="673"/>
      <c r="O175" s="640" t="s">
        <v>259</v>
      </c>
      <c r="P175" s="640" t="s">
        <v>261</v>
      </c>
      <c r="Q175" s="640" t="s">
        <v>263</v>
      </c>
      <c r="R175" s="674" t="s">
        <v>265</v>
      </c>
      <c r="S175" s="643" t="s">
        <v>267</v>
      </c>
      <c r="T175" s="640" t="s">
        <v>272</v>
      </c>
      <c r="U175" s="640" t="s">
        <v>264</v>
      </c>
      <c r="V175" s="640"/>
      <c r="W175" s="673"/>
      <c r="X175" s="640" t="s">
        <v>293</v>
      </c>
      <c r="Y175" s="640" t="s">
        <v>294</v>
      </c>
      <c r="Z175" s="640" t="s">
        <v>295</v>
      </c>
      <c r="AA175" s="640" t="s">
        <v>264</v>
      </c>
    </row>
    <row r="176" spans="1:27" ht="21.95" customHeight="1">
      <c r="A176" s="658"/>
      <c r="B176" s="661"/>
      <c r="C176" s="661"/>
      <c r="D176" s="661"/>
      <c r="E176" s="664"/>
      <c r="F176" s="677"/>
      <c r="G176" s="348" t="s">
        <v>520</v>
      </c>
      <c r="H176" s="433" t="s">
        <v>297</v>
      </c>
      <c r="I176" s="661"/>
      <c r="J176" s="667"/>
      <c r="K176" s="670"/>
      <c r="L176" s="661"/>
      <c r="M176" s="672"/>
      <c r="N176" s="673"/>
      <c r="O176" s="640"/>
      <c r="P176" s="640"/>
      <c r="Q176" s="640"/>
      <c r="R176" s="674"/>
      <c r="S176" s="643"/>
      <c r="T176" s="640"/>
      <c r="U176" s="640"/>
      <c r="V176" s="640"/>
      <c r="W176" s="673"/>
      <c r="X176" s="640"/>
      <c r="Y176" s="640"/>
      <c r="Z176" s="640"/>
      <c r="AA176" s="640"/>
    </row>
    <row r="177" spans="1:27" ht="20.100000000000001" hidden="1" customHeight="1">
      <c r="A177" s="299">
        <v>30100030</v>
      </c>
      <c r="B177" s="435" t="s">
        <v>178</v>
      </c>
      <c r="C177" s="126" t="s">
        <v>179</v>
      </c>
      <c r="D177" s="108">
        <v>5.03</v>
      </c>
      <c r="E177" s="108"/>
      <c r="F177" s="127"/>
      <c r="G177" s="128"/>
      <c r="H177" s="443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434"/>
      <c r="P177" s="434"/>
      <c r="Q177" s="434"/>
      <c r="R177" s="434"/>
      <c r="S177" s="434"/>
      <c r="T177" s="434"/>
      <c r="U177" s="434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443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434"/>
      <c r="P178" s="434"/>
      <c r="Q178" s="434"/>
      <c r="R178" s="434"/>
      <c r="S178" s="434"/>
      <c r="T178" s="434"/>
      <c r="U178" s="434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443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434"/>
      <c r="P179" s="434"/>
      <c r="Q179" s="434"/>
      <c r="R179" s="434"/>
      <c r="S179" s="434"/>
      <c r="T179" s="434"/>
      <c r="U179" s="434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443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34"/>
      <c r="P180" s="434"/>
      <c r="Q180" s="434"/>
      <c r="R180" s="434"/>
      <c r="S180" s="434"/>
      <c r="T180" s="434"/>
      <c r="U180" s="434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443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434"/>
      <c r="P181" s="434"/>
      <c r="Q181" s="434"/>
      <c r="R181" s="434"/>
      <c r="S181" s="434"/>
      <c r="T181" s="434"/>
      <c r="U181" s="434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443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434"/>
      <c r="P182" s="434"/>
      <c r="Q182" s="434"/>
      <c r="R182" s="434"/>
      <c r="S182" s="434"/>
      <c r="T182" s="434"/>
      <c r="U182" s="434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443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434"/>
      <c r="P183" s="434"/>
      <c r="Q183" s="434"/>
      <c r="R183" s="434"/>
      <c r="S183" s="434"/>
      <c r="T183" s="434"/>
      <c r="U183" s="434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443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34"/>
      <c r="P184" s="434"/>
      <c r="Q184" s="434"/>
      <c r="R184" s="434"/>
      <c r="S184" s="434"/>
      <c r="T184" s="434"/>
      <c r="U184" s="434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443">
        <f t="shared" si="77"/>
        <v>0</v>
      </c>
      <c r="I185" s="443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434"/>
      <c r="P185" s="434"/>
      <c r="Q185" s="434"/>
      <c r="R185" s="434"/>
      <c r="S185" s="434"/>
      <c r="T185" s="434"/>
      <c r="U185" s="434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443">
        <f t="shared" si="77"/>
        <v>0</v>
      </c>
      <c r="I186" s="443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434"/>
      <c r="P186" s="434"/>
      <c r="Q186" s="434"/>
      <c r="R186" s="434"/>
      <c r="S186" s="434"/>
      <c r="T186" s="434"/>
      <c r="U186" s="434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443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434"/>
      <c r="P187" s="434"/>
      <c r="Q187" s="434"/>
      <c r="R187" s="434"/>
      <c r="S187" s="434"/>
      <c r="T187" s="434"/>
      <c r="U187" s="434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443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34"/>
      <c r="P188" s="434"/>
      <c r="Q188" s="434"/>
      <c r="R188" s="434"/>
      <c r="S188" s="434"/>
      <c r="T188" s="434"/>
      <c r="U188" s="434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443">
        <f t="shared" ref="H189:H197" si="82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3">IF(ISERROR(I189-K189),"",I189-K189)</f>
        <v>0</v>
      </c>
      <c r="N189" s="130">
        <f t="shared" ref="N189:N191" si="84">SUM(O189:U189)</f>
        <v>0</v>
      </c>
      <c r="O189" s="434"/>
      <c r="P189" s="434"/>
      <c r="Q189" s="434"/>
      <c r="R189" s="434"/>
      <c r="S189" s="434"/>
      <c r="T189" s="434"/>
      <c r="U189" s="434"/>
      <c r="V189" s="132">
        <f t="shared" ref="V189:V191" si="85">SUM(X189:AA189)</f>
        <v>0</v>
      </c>
      <c r="W189" s="133" t="str">
        <f t="shared" ref="W189:W191" si="86">IF(ISERROR(V189/G189),"",V189/G189)</f>
        <v/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443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434"/>
      <c r="P190" s="434"/>
      <c r="Q190" s="434"/>
      <c r="R190" s="434"/>
      <c r="S190" s="434"/>
      <c r="T190" s="434"/>
      <c r="U190" s="434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443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434"/>
      <c r="P191" s="434"/>
      <c r="Q191" s="434"/>
      <c r="R191" s="434"/>
      <c r="S191" s="434"/>
      <c r="T191" s="434"/>
      <c r="U191" s="434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433" t="s">
        <v>190</v>
      </c>
      <c r="D192" s="108">
        <v>4.8</v>
      </c>
      <c r="E192" s="108"/>
      <c r="F192" s="127"/>
      <c r="G192" s="128"/>
      <c r="H192" s="443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434"/>
      <c r="P192" s="434"/>
      <c r="Q192" s="434"/>
      <c r="R192" s="434"/>
      <c r="S192" s="434"/>
      <c r="T192" s="434"/>
      <c r="U192" s="434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433" t="s">
        <v>187</v>
      </c>
      <c r="D193" s="108">
        <v>4.8</v>
      </c>
      <c r="E193" s="108"/>
      <c r="F193" s="127"/>
      <c r="G193" s="128"/>
      <c r="H193" s="443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34"/>
      <c r="P193" s="434"/>
      <c r="Q193" s="434"/>
      <c r="R193" s="434"/>
      <c r="S193" s="434"/>
      <c r="T193" s="434"/>
      <c r="U193" s="434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433" t="s">
        <v>179</v>
      </c>
      <c r="D194" s="108">
        <v>4.8</v>
      </c>
      <c r="E194" s="108"/>
      <c r="F194" s="127"/>
      <c r="G194" s="128"/>
      <c r="H194" s="443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34"/>
      <c r="P194" s="434"/>
      <c r="Q194" s="434"/>
      <c r="R194" s="434"/>
      <c r="S194" s="434"/>
      <c r="T194" s="434"/>
      <c r="U194" s="434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433" t="s">
        <v>199</v>
      </c>
      <c r="D195" s="108">
        <v>4.8</v>
      </c>
      <c r="E195" s="108"/>
      <c r="F195" s="127"/>
      <c r="G195" s="128"/>
      <c r="H195" s="443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34"/>
      <c r="P195" s="434"/>
      <c r="Q195" s="434"/>
      <c r="R195" s="434"/>
      <c r="S195" s="434"/>
      <c r="T195" s="434"/>
      <c r="U195" s="434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443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434"/>
      <c r="P196" s="434"/>
      <c r="Q196" s="434"/>
      <c r="R196" s="434"/>
      <c r="S196" s="434"/>
      <c r="T196" s="434"/>
      <c r="U196" s="434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443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434"/>
      <c r="P197" s="434"/>
      <c r="Q197" s="434"/>
      <c r="R197" s="434"/>
      <c r="S197" s="434"/>
      <c r="T197" s="434"/>
      <c r="U197" s="434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hidden="1" customHeight="1">
      <c r="A198" s="630" t="s">
        <v>201</v>
      </c>
      <c r="B198" s="631"/>
      <c r="C198" s="441" t="s">
        <v>202</v>
      </c>
      <c r="D198" s="143"/>
      <c r="E198" s="143"/>
      <c r="F198" s="144"/>
      <c r="G198" s="145">
        <f>SUM(G177:G197)</f>
        <v>0</v>
      </c>
      <c r="H198" s="146">
        <f>SUM(H177:H197)</f>
        <v>0</v>
      </c>
      <c r="I198" s="146">
        <f>SUM(I177:I197)</f>
        <v>0</v>
      </c>
      <c r="J198" s="130" t="str">
        <f t="array" ref="J198">IF(ISERROR(G198/I198),"",G198/I198)</f>
        <v/>
      </c>
      <c r="K198" s="146">
        <f>SUM(K177:K197)</f>
        <v>0</v>
      </c>
      <c r="L198" s="147"/>
      <c r="M198" s="150">
        <f t="shared" ref="M198:AA198" si="90">SUM(M177:M197)</f>
        <v>0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435" t="s">
        <v>206</v>
      </c>
      <c r="C199" s="126" t="s">
        <v>199</v>
      </c>
      <c r="D199" s="108">
        <v>5.03</v>
      </c>
      <c r="E199" s="108"/>
      <c r="F199" s="127"/>
      <c r="G199" s="128"/>
      <c r="H199" s="443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438"/>
      <c r="P199" s="438"/>
      <c r="Q199" s="438"/>
      <c r="R199" s="438"/>
      <c r="S199" s="438"/>
      <c r="T199" s="438"/>
      <c r="U199" s="438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435" t="s">
        <v>425</v>
      </c>
      <c r="C200" s="187" t="s">
        <v>427</v>
      </c>
      <c r="D200" s="108">
        <v>5.03</v>
      </c>
      <c r="E200" s="108"/>
      <c r="F200" s="127"/>
      <c r="G200" s="128"/>
      <c r="H200" s="443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438"/>
      <c r="P200" s="438"/>
      <c r="Q200" s="438"/>
      <c r="R200" s="438"/>
      <c r="S200" s="438"/>
      <c r="T200" s="438"/>
      <c r="U200" s="438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435" t="s">
        <v>206</v>
      </c>
      <c r="C201" s="126" t="s">
        <v>186</v>
      </c>
      <c r="D201" s="108">
        <v>5.03</v>
      </c>
      <c r="E201" s="108"/>
      <c r="F201" s="127"/>
      <c r="G201" s="128"/>
      <c r="H201" s="443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438"/>
      <c r="P201" s="438"/>
      <c r="Q201" s="438"/>
      <c r="R201" s="438"/>
      <c r="S201" s="438"/>
      <c r="T201" s="438"/>
      <c r="U201" s="438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435" t="s">
        <v>206</v>
      </c>
      <c r="C202" s="126" t="s">
        <v>203</v>
      </c>
      <c r="D202" s="108">
        <v>5.03</v>
      </c>
      <c r="E202" s="108"/>
      <c r="F202" s="127"/>
      <c r="G202" s="128"/>
      <c r="H202" s="443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438"/>
      <c r="P202" s="438"/>
      <c r="Q202" s="438"/>
      <c r="R202" s="438"/>
      <c r="S202" s="438"/>
      <c r="T202" s="438"/>
      <c r="U202" s="438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435" t="s">
        <v>206</v>
      </c>
      <c r="C203" s="126" t="s">
        <v>207</v>
      </c>
      <c r="D203" s="108">
        <v>5.03</v>
      </c>
      <c r="E203" s="108"/>
      <c r="F203" s="127"/>
      <c r="G203" s="128"/>
      <c r="H203" s="443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0">IF(ISERROR(I203-K203),"",I203-K203)</f>
        <v>0</v>
      </c>
      <c r="N203" s="130">
        <f t="shared" si="97"/>
        <v>0</v>
      </c>
      <c r="O203" s="438"/>
      <c r="P203" s="438"/>
      <c r="Q203" s="438"/>
      <c r="R203" s="438"/>
      <c r="S203" s="438"/>
      <c r="T203" s="438"/>
      <c r="U203" s="438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435" t="s">
        <v>414</v>
      </c>
      <c r="C204" s="187" t="s">
        <v>415</v>
      </c>
      <c r="D204" s="108">
        <v>5.03</v>
      </c>
      <c r="E204" s="108"/>
      <c r="F204" s="127"/>
      <c r="G204" s="128"/>
      <c r="H204" s="443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438"/>
      <c r="P204" s="438"/>
      <c r="Q204" s="438"/>
      <c r="R204" s="438"/>
      <c r="S204" s="438"/>
      <c r="T204" s="438"/>
      <c r="U204" s="438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435" t="s">
        <v>414</v>
      </c>
      <c r="C205" s="187" t="s">
        <v>416</v>
      </c>
      <c r="D205" s="108">
        <v>5.03</v>
      </c>
      <c r="E205" s="108"/>
      <c r="F205" s="127"/>
      <c r="G205" s="128"/>
      <c r="H205" s="443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438"/>
      <c r="P205" s="438"/>
      <c r="Q205" s="438"/>
      <c r="R205" s="438"/>
      <c r="S205" s="438"/>
      <c r="T205" s="438"/>
      <c r="U205" s="438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435" t="s">
        <v>414</v>
      </c>
      <c r="C206" s="187" t="s">
        <v>61</v>
      </c>
      <c r="D206" s="108">
        <v>5.03</v>
      </c>
      <c r="E206" s="108"/>
      <c r="F206" s="127"/>
      <c r="G206" s="128"/>
      <c r="H206" s="443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438"/>
      <c r="P206" s="438"/>
      <c r="Q206" s="438"/>
      <c r="R206" s="438"/>
      <c r="S206" s="438"/>
      <c r="T206" s="438"/>
      <c r="U206" s="438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435" t="s">
        <v>208</v>
      </c>
      <c r="C207" s="126" t="s">
        <v>179</v>
      </c>
      <c r="D207" s="108">
        <v>5.08</v>
      </c>
      <c r="E207" s="108"/>
      <c r="F207" s="127"/>
      <c r="G207" s="128"/>
      <c r="H207" s="443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1">IF(ISERROR(I207-K207),"",I207-K207)</f>
        <v>0</v>
      </c>
      <c r="N207" s="130">
        <f t="shared" ref="N207:N236" si="102">SUM(O207:U207)</f>
        <v>0</v>
      </c>
      <c r="O207" s="438"/>
      <c r="P207" s="438"/>
      <c r="Q207" s="438"/>
      <c r="R207" s="438"/>
      <c r="S207" s="438"/>
      <c r="T207" s="438"/>
      <c r="U207" s="438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435" t="s">
        <v>208</v>
      </c>
      <c r="C208" s="126" t="s">
        <v>204</v>
      </c>
      <c r="D208" s="108">
        <v>5.08</v>
      </c>
      <c r="E208" s="108"/>
      <c r="F208" s="127"/>
      <c r="G208" s="128"/>
      <c r="H208" s="443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438"/>
      <c r="P208" s="438"/>
      <c r="Q208" s="438"/>
      <c r="R208" s="438"/>
      <c r="S208" s="438"/>
      <c r="T208" s="438"/>
      <c r="U208" s="438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435" t="s">
        <v>208</v>
      </c>
      <c r="C209" s="126" t="s">
        <v>205</v>
      </c>
      <c r="D209" s="108">
        <v>5.08</v>
      </c>
      <c r="E209" s="108"/>
      <c r="F209" s="127"/>
      <c r="G209" s="128"/>
      <c r="H209" s="443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38"/>
      <c r="P209" s="438"/>
      <c r="Q209" s="438"/>
      <c r="R209" s="438"/>
      <c r="S209" s="438"/>
      <c r="T209" s="438"/>
      <c r="U209" s="438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435" t="s">
        <v>208</v>
      </c>
      <c r="C210" s="126" t="s">
        <v>186</v>
      </c>
      <c r="D210" s="108">
        <v>5.08</v>
      </c>
      <c r="E210" s="108"/>
      <c r="F210" s="127"/>
      <c r="G210" s="128"/>
      <c r="H210" s="443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38"/>
      <c r="P210" s="438"/>
      <c r="Q210" s="438"/>
      <c r="R210" s="438"/>
      <c r="S210" s="438"/>
      <c r="T210" s="438"/>
      <c r="U210" s="438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435" t="s">
        <v>208</v>
      </c>
      <c r="C211" s="126" t="s">
        <v>203</v>
      </c>
      <c r="D211" s="108">
        <v>5.08</v>
      </c>
      <c r="E211" s="108"/>
      <c r="F211" s="127"/>
      <c r="G211" s="128"/>
      <c r="H211" s="443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38"/>
      <c r="P211" s="438"/>
      <c r="Q211" s="438"/>
      <c r="R211" s="438"/>
      <c r="S211" s="438"/>
      <c r="T211" s="438"/>
      <c r="U211" s="438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435" t="s">
        <v>208</v>
      </c>
      <c r="C212" s="126" t="s">
        <v>199</v>
      </c>
      <c r="D212" s="108">
        <v>5.08</v>
      </c>
      <c r="E212" s="108"/>
      <c r="F212" s="127"/>
      <c r="G212" s="128"/>
      <c r="H212" s="443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34"/>
      <c r="P212" s="434"/>
      <c r="Q212" s="434"/>
      <c r="R212" s="434"/>
      <c r="S212" s="434"/>
      <c r="T212" s="434"/>
      <c r="U212" s="434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435" t="s">
        <v>208</v>
      </c>
      <c r="C213" s="126" t="s">
        <v>187</v>
      </c>
      <c r="D213" s="108">
        <v>5.08</v>
      </c>
      <c r="E213" s="108"/>
      <c r="F213" s="127"/>
      <c r="G213" s="128"/>
      <c r="H213" s="443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438"/>
      <c r="P213" s="438"/>
      <c r="Q213" s="438"/>
      <c r="R213" s="438"/>
      <c r="S213" s="438"/>
      <c r="T213" s="438"/>
      <c r="U213" s="438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435" t="s">
        <v>208</v>
      </c>
      <c r="C214" s="126" t="s">
        <v>207</v>
      </c>
      <c r="D214" s="108">
        <v>5.08</v>
      </c>
      <c r="E214" s="108"/>
      <c r="F214" s="127"/>
      <c r="G214" s="128"/>
      <c r="H214" s="443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34"/>
      <c r="P214" s="434"/>
      <c r="Q214" s="434"/>
      <c r="R214" s="434"/>
      <c r="S214" s="434"/>
      <c r="T214" s="434"/>
      <c r="U214" s="434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435" t="s">
        <v>209</v>
      </c>
      <c r="C215" s="126" t="s">
        <v>194</v>
      </c>
      <c r="D215" s="108">
        <v>5.03</v>
      </c>
      <c r="E215" s="108"/>
      <c r="F215" s="127"/>
      <c r="G215" s="128"/>
      <c r="H215" s="443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438"/>
      <c r="P215" s="438"/>
      <c r="Q215" s="438"/>
      <c r="R215" s="438"/>
      <c r="S215" s="438"/>
      <c r="T215" s="438"/>
      <c r="U215" s="438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435" t="s">
        <v>209</v>
      </c>
      <c r="C216" s="126" t="s">
        <v>179</v>
      </c>
      <c r="D216" s="108">
        <v>5.03</v>
      </c>
      <c r="E216" s="108"/>
      <c r="F216" s="127"/>
      <c r="G216" s="128"/>
      <c r="H216" s="443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38"/>
      <c r="P216" s="438"/>
      <c r="Q216" s="438"/>
      <c r="R216" s="438"/>
      <c r="S216" s="438"/>
      <c r="T216" s="438"/>
      <c r="U216" s="438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435" t="s">
        <v>209</v>
      </c>
      <c r="C217" s="126" t="s">
        <v>195</v>
      </c>
      <c r="D217" s="108">
        <v>5.03</v>
      </c>
      <c r="E217" s="108"/>
      <c r="F217" s="127"/>
      <c r="G217" s="128"/>
      <c r="H217" s="443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438"/>
      <c r="P217" s="438"/>
      <c r="Q217" s="438"/>
      <c r="R217" s="438"/>
      <c r="S217" s="438"/>
      <c r="T217" s="438"/>
      <c r="U217" s="438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435" t="s">
        <v>209</v>
      </c>
      <c r="C218" s="126" t="s">
        <v>204</v>
      </c>
      <c r="D218" s="108">
        <v>5.03</v>
      </c>
      <c r="E218" s="108"/>
      <c r="F218" s="127"/>
      <c r="G218" s="128"/>
      <c r="H218" s="443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438"/>
      <c r="P218" s="438"/>
      <c r="Q218" s="438"/>
      <c r="R218" s="438"/>
      <c r="S218" s="438"/>
      <c r="T218" s="438"/>
      <c r="U218" s="438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435" t="s">
        <v>382</v>
      </c>
      <c r="C219" s="187" t="s">
        <v>383</v>
      </c>
      <c r="D219" s="108">
        <v>5.03</v>
      </c>
      <c r="E219" s="108"/>
      <c r="F219" s="127"/>
      <c r="G219" s="128"/>
      <c r="H219" s="443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438"/>
      <c r="P219" s="438"/>
      <c r="Q219" s="438"/>
      <c r="R219" s="438"/>
      <c r="S219" s="438"/>
      <c r="T219" s="438"/>
      <c r="U219" s="438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435" t="s">
        <v>382</v>
      </c>
      <c r="C220" s="187" t="s">
        <v>384</v>
      </c>
      <c r="D220" s="108">
        <v>5.03</v>
      </c>
      <c r="E220" s="108"/>
      <c r="F220" s="127"/>
      <c r="G220" s="128"/>
      <c r="H220" s="443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38"/>
      <c r="P220" s="438"/>
      <c r="Q220" s="438"/>
      <c r="R220" s="438"/>
      <c r="S220" s="438"/>
      <c r="T220" s="438"/>
      <c r="U220" s="438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435" t="s">
        <v>382</v>
      </c>
      <c r="C221" s="187" t="s">
        <v>389</v>
      </c>
      <c r="D221" s="108">
        <v>5.03</v>
      </c>
      <c r="E221" s="108"/>
      <c r="F221" s="127"/>
      <c r="G221" s="128"/>
      <c r="H221" s="443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38"/>
      <c r="P221" s="438"/>
      <c r="Q221" s="438"/>
      <c r="R221" s="438"/>
      <c r="S221" s="438"/>
      <c r="T221" s="438"/>
      <c r="U221" s="438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435" t="s">
        <v>382</v>
      </c>
      <c r="C222" s="187" t="s">
        <v>391</v>
      </c>
      <c r="D222" s="108">
        <v>5.03</v>
      </c>
      <c r="E222" s="108"/>
      <c r="F222" s="127"/>
      <c r="G222" s="128"/>
      <c r="H222" s="443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38"/>
      <c r="P222" s="438"/>
      <c r="Q222" s="438"/>
      <c r="R222" s="438"/>
      <c r="S222" s="438"/>
      <c r="T222" s="438"/>
      <c r="U222" s="438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435" t="s">
        <v>418</v>
      </c>
      <c r="C223" s="187" t="s">
        <v>364</v>
      </c>
      <c r="D223" s="108">
        <v>5.03</v>
      </c>
      <c r="E223" s="108"/>
      <c r="F223" s="127"/>
      <c r="G223" s="128"/>
      <c r="H223" s="443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438"/>
      <c r="P223" s="438"/>
      <c r="Q223" s="438"/>
      <c r="R223" s="438"/>
      <c r="S223" s="438"/>
      <c r="T223" s="438"/>
      <c r="U223" s="438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435" t="s">
        <v>418</v>
      </c>
      <c r="C224" s="187" t="s">
        <v>365</v>
      </c>
      <c r="D224" s="108">
        <v>5.03</v>
      </c>
      <c r="E224" s="108"/>
      <c r="F224" s="127"/>
      <c r="G224" s="128"/>
      <c r="H224" s="443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38"/>
      <c r="P224" s="438"/>
      <c r="Q224" s="438"/>
      <c r="R224" s="438"/>
      <c r="S224" s="438"/>
      <c r="T224" s="438"/>
      <c r="U224" s="438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435" t="s">
        <v>418</v>
      </c>
      <c r="C225" s="187" t="s">
        <v>366</v>
      </c>
      <c r="D225" s="108">
        <v>5.03</v>
      </c>
      <c r="E225" s="108"/>
      <c r="F225" s="127"/>
      <c r="G225" s="128"/>
      <c r="H225" s="443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38"/>
      <c r="P225" s="438"/>
      <c r="Q225" s="438"/>
      <c r="R225" s="438"/>
      <c r="S225" s="438"/>
      <c r="T225" s="438"/>
      <c r="U225" s="438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435" t="s">
        <v>418</v>
      </c>
      <c r="C226" s="187" t="s">
        <v>367</v>
      </c>
      <c r="D226" s="108">
        <v>5.03</v>
      </c>
      <c r="E226" s="108"/>
      <c r="F226" s="127"/>
      <c r="G226" s="128"/>
      <c r="H226" s="443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38"/>
      <c r="P226" s="438"/>
      <c r="Q226" s="438"/>
      <c r="R226" s="438"/>
      <c r="S226" s="438"/>
      <c r="T226" s="438"/>
      <c r="U226" s="438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443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434"/>
      <c r="P227" s="434"/>
      <c r="Q227" s="434"/>
      <c r="R227" s="434"/>
      <c r="S227" s="434"/>
      <c r="T227" s="434"/>
      <c r="U227" s="434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443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434"/>
      <c r="P228" s="434"/>
      <c r="Q228" s="434"/>
      <c r="R228" s="434"/>
      <c r="S228" s="434"/>
      <c r="T228" s="434"/>
      <c r="U228" s="434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443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434"/>
      <c r="P229" s="434"/>
      <c r="Q229" s="434"/>
      <c r="R229" s="434"/>
      <c r="S229" s="434"/>
      <c r="T229" s="434"/>
      <c r="U229" s="434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443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434"/>
      <c r="P230" s="434"/>
      <c r="Q230" s="434"/>
      <c r="R230" s="434"/>
      <c r="S230" s="434"/>
      <c r="T230" s="434"/>
      <c r="U230" s="434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443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34"/>
      <c r="P231" s="434"/>
      <c r="Q231" s="434"/>
      <c r="R231" s="434"/>
      <c r="S231" s="434"/>
      <c r="T231" s="434"/>
      <c r="U231" s="434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443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34"/>
      <c r="P232" s="434"/>
      <c r="Q232" s="434"/>
      <c r="R232" s="434"/>
      <c r="S232" s="434"/>
      <c r="T232" s="434"/>
      <c r="U232" s="434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443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34"/>
      <c r="P233" s="434"/>
      <c r="Q233" s="434"/>
      <c r="R233" s="434"/>
      <c r="S233" s="434"/>
      <c r="T233" s="434"/>
      <c r="U233" s="434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443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34"/>
      <c r="P234" s="434"/>
      <c r="Q234" s="434"/>
      <c r="R234" s="434"/>
      <c r="S234" s="434"/>
      <c r="T234" s="434"/>
      <c r="U234" s="434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443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34"/>
      <c r="P235" s="434"/>
      <c r="Q235" s="434"/>
      <c r="R235" s="434"/>
      <c r="S235" s="434"/>
      <c r="T235" s="434"/>
      <c r="U235" s="434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443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34"/>
      <c r="P236" s="434"/>
      <c r="Q236" s="434"/>
      <c r="R236" s="434"/>
      <c r="S236" s="434"/>
      <c r="T236" s="434"/>
      <c r="U236" s="434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443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434"/>
      <c r="P237" s="434"/>
      <c r="Q237" s="434"/>
      <c r="R237" s="434"/>
      <c r="S237" s="434"/>
      <c r="T237" s="434"/>
      <c r="U237" s="434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443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7">IF(ISERROR(I238-K238),"",I238-K238)</f>
        <v>0</v>
      </c>
      <c r="N238" s="130"/>
      <c r="O238" s="434"/>
      <c r="P238" s="434"/>
      <c r="Q238" s="434"/>
      <c r="R238" s="434"/>
      <c r="S238" s="434"/>
      <c r="T238" s="434"/>
      <c r="U238" s="434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443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7"/>
        <v>0</v>
      </c>
      <c r="N239" s="130">
        <f t="shared" ref="N239:N240" si="108">SUM(O239:U239)</f>
        <v>0</v>
      </c>
      <c r="O239" s="434"/>
      <c r="P239" s="434"/>
      <c r="Q239" s="434"/>
      <c r="R239" s="434"/>
      <c r="S239" s="434"/>
      <c r="T239" s="434"/>
      <c r="U239" s="434"/>
      <c r="V239" s="132">
        <f t="shared" ref="V239:V240" si="109">SUM(X239:AA239)</f>
        <v>0</v>
      </c>
      <c r="W239" s="133" t="str">
        <f t="shared" ref="W239:W240" si="110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443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434"/>
      <c r="P240" s="434"/>
      <c r="Q240" s="434"/>
      <c r="R240" s="434"/>
      <c r="S240" s="434"/>
      <c r="T240" s="434"/>
      <c r="U240" s="434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443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434"/>
      <c r="P241" s="434"/>
      <c r="Q241" s="434"/>
      <c r="R241" s="434"/>
      <c r="S241" s="434"/>
      <c r="T241" s="434"/>
      <c r="U241" s="434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443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434"/>
      <c r="P242" s="434"/>
      <c r="Q242" s="434"/>
      <c r="R242" s="434"/>
      <c r="S242" s="434"/>
      <c r="T242" s="434"/>
      <c r="U242" s="434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443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434"/>
      <c r="P243" s="434"/>
      <c r="Q243" s="434"/>
      <c r="R243" s="434"/>
      <c r="S243" s="434"/>
      <c r="T243" s="434"/>
      <c r="U243" s="434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443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34"/>
      <c r="P244" s="434"/>
      <c r="Q244" s="434"/>
      <c r="R244" s="434"/>
      <c r="S244" s="434"/>
      <c r="T244" s="434"/>
      <c r="U244" s="434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443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34"/>
      <c r="P245" s="434"/>
      <c r="Q245" s="434"/>
      <c r="R245" s="434"/>
      <c r="S245" s="434"/>
      <c r="T245" s="434"/>
      <c r="U245" s="434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443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434"/>
      <c r="P246" s="434"/>
      <c r="Q246" s="434"/>
      <c r="R246" s="434"/>
      <c r="S246" s="434"/>
      <c r="T246" s="434"/>
      <c r="U246" s="434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443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34"/>
      <c r="P247" s="434"/>
      <c r="Q247" s="434"/>
      <c r="R247" s="434"/>
      <c r="S247" s="434"/>
      <c r="T247" s="434"/>
      <c r="U247" s="434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443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34"/>
      <c r="P248" s="434"/>
      <c r="Q248" s="434"/>
      <c r="R248" s="434"/>
      <c r="S248" s="434"/>
      <c r="T248" s="434"/>
      <c r="U248" s="434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443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34"/>
      <c r="P249" s="434"/>
      <c r="Q249" s="434"/>
      <c r="R249" s="434"/>
      <c r="S249" s="434"/>
      <c r="T249" s="434"/>
      <c r="U249" s="434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443">
        <f t="shared" si="91"/>
        <v>0</v>
      </c>
      <c r="I250" s="129"/>
      <c r="J250" s="130"/>
      <c r="K250" s="131"/>
      <c r="L250" s="129">
        <v>4</v>
      </c>
      <c r="M250" s="109"/>
      <c r="N250" s="130"/>
      <c r="O250" s="434"/>
      <c r="P250" s="434"/>
      <c r="Q250" s="434"/>
      <c r="R250" s="434"/>
      <c r="S250" s="434"/>
      <c r="T250" s="434"/>
      <c r="U250" s="434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443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34"/>
      <c r="P251" s="434"/>
      <c r="Q251" s="434"/>
      <c r="R251" s="434"/>
      <c r="S251" s="434"/>
      <c r="T251" s="434"/>
      <c r="U251" s="434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443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34"/>
      <c r="P252" s="434"/>
      <c r="Q252" s="434"/>
      <c r="R252" s="434"/>
      <c r="S252" s="434"/>
      <c r="T252" s="434"/>
      <c r="U252" s="434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443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34"/>
      <c r="P253" s="434"/>
      <c r="Q253" s="434"/>
      <c r="R253" s="434"/>
      <c r="S253" s="434"/>
      <c r="T253" s="434"/>
      <c r="U253" s="434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443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34"/>
      <c r="P254" s="434"/>
      <c r="Q254" s="434"/>
      <c r="R254" s="434"/>
      <c r="S254" s="434"/>
      <c r="T254" s="434"/>
      <c r="U254" s="434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443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34"/>
      <c r="P255" s="434"/>
      <c r="Q255" s="434"/>
      <c r="R255" s="434"/>
      <c r="S255" s="434"/>
      <c r="T255" s="434"/>
      <c r="U255" s="434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641" t="s">
        <v>216</v>
      </c>
      <c r="B256" s="641"/>
      <c r="C256" s="441" t="s">
        <v>202</v>
      </c>
      <c r="D256" s="143"/>
      <c r="E256" s="143"/>
      <c r="F256" s="144"/>
      <c r="G256" s="145">
        <f>SUM(G199:G255)</f>
        <v>0</v>
      </c>
      <c r="H256" s="146">
        <f>SUM(H199:H255)</f>
        <v>0</v>
      </c>
      <c r="I256" s="146">
        <f>SUM(I199:I255)</f>
        <v>0</v>
      </c>
      <c r="J256" s="130" t="str">
        <f t="array" ref="J256">IF(ISERROR(G256/I256),"",G256/I256)</f>
        <v/>
      </c>
      <c r="K256" s="146">
        <f>SUM(K199:K255)</f>
        <v>0</v>
      </c>
      <c r="L256" s="147"/>
      <c r="M256" s="150">
        <f t="shared" ref="M256:V256" si="114">SUM(M199:M255)</f>
        <v>0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 t="str">
        <f t="shared" ref="W256:W263" si="115">IF(ISERROR(V256/G256),"",V256/G256)</f>
        <v/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435" t="s">
        <v>217</v>
      </c>
      <c r="C257" s="126" t="s">
        <v>179</v>
      </c>
      <c r="D257" s="108">
        <v>5.03</v>
      </c>
      <c r="E257" s="108"/>
      <c r="F257" s="127"/>
      <c r="G257" s="128"/>
      <c r="H257" s="443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434"/>
      <c r="P257" s="434"/>
      <c r="Q257" s="434"/>
      <c r="R257" s="434"/>
      <c r="S257" s="434"/>
      <c r="T257" s="434"/>
      <c r="U257" s="434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435" t="s">
        <v>217</v>
      </c>
      <c r="C258" s="126" t="s">
        <v>186</v>
      </c>
      <c r="D258" s="108">
        <v>5.03</v>
      </c>
      <c r="E258" s="108"/>
      <c r="F258" s="127"/>
      <c r="G258" s="128"/>
      <c r="H258" s="443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434"/>
      <c r="P258" s="434"/>
      <c r="Q258" s="434"/>
      <c r="R258" s="434"/>
      <c r="S258" s="434"/>
      <c r="T258" s="434"/>
      <c r="U258" s="434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435" t="s">
        <v>217</v>
      </c>
      <c r="C259" s="126" t="s">
        <v>204</v>
      </c>
      <c r="D259" s="108">
        <v>5.03</v>
      </c>
      <c r="E259" s="108"/>
      <c r="F259" s="127"/>
      <c r="G259" s="128"/>
      <c r="H259" s="443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34"/>
      <c r="P259" s="434"/>
      <c r="Q259" s="434"/>
      <c r="R259" s="434"/>
      <c r="S259" s="434"/>
      <c r="T259" s="434"/>
      <c r="U259" s="434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>
        <v>42707</v>
      </c>
      <c r="G260" s="128">
        <f>18</f>
        <v>18</v>
      </c>
      <c r="H260" s="443">
        <f t="shared" si="116"/>
        <v>90.54</v>
      </c>
      <c r="I260" s="129">
        <v>2.5</v>
      </c>
      <c r="J260" s="130">
        <f t="array" ref="J260">IF(ISERROR(G260/I260),"",G260/I260)</f>
        <v>7.2</v>
      </c>
      <c r="K260" s="131">
        <f t="array" ref="K260">IF(ISERROR(G260/L260),"",G260/L260)</f>
        <v>1.9354838709677418</v>
      </c>
      <c r="L260" s="129">
        <v>9.3000000000000007</v>
      </c>
      <c r="M260" s="109">
        <f t="shared" si="117"/>
        <v>0.56451612903225823</v>
      </c>
      <c r="N260" s="130">
        <f t="shared" si="118"/>
        <v>0</v>
      </c>
      <c r="O260" s="434"/>
      <c r="P260" s="434"/>
      <c r="Q260" s="434"/>
      <c r="R260" s="434"/>
      <c r="S260" s="434"/>
      <c r="T260" s="434"/>
      <c r="U260" s="434"/>
      <c r="V260" s="132">
        <f t="shared" si="119"/>
        <v>0</v>
      </c>
      <c r="W260" s="133">
        <f t="shared" si="115"/>
        <v>0</v>
      </c>
      <c r="X260" s="132"/>
      <c r="Y260" s="132"/>
      <c r="Z260" s="132"/>
      <c r="AA260" s="132"/>
    </row>
    <row r="261" spans="1:27" ht="20.10000000000000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>
        <v>42707</v>
      </c>
      <c r="G261" s="128">
        <v>18</v>
      </c>
      <c r="H261" s="443">
        <f t="shared" si="116"/>
        <v>90.54</v>
      </c>
      <c r="I261" s="129">
        <f>2.5*2</f>
        <v>5</v>
      </c>
      <c r="J261" s="130">
        <f t="array" ref="J261">IF(ISERROR(G261/I261),"",G261/I261)</f>
        <v>3.6</v>
      </c>
      <c r="K261" s="131">
        <f t="array" ref="K261">IF(ISERROR(G261/L261),"",G261/L261)</f>
        <v>1.9354838709677418</v>
      </c>
      <c r="L261" s="129">
        <v>9.3000000000000007</v>
      </c>
      <c r="M261" s="109">
        <f t="shared" si="117"/>
        <v>3.064516129032258</v>
      </c>
      <c r="N261" s="130">
        <f t="shared" si="118"/>
        <v>0</v>
      </c>
      <c r="O261" s="434"/>
      <c r="P261" s="434"/>
      <c r="Q261" s="434"/>
      <c r="R261" s="434"/>
      <c r="S261" s="434"/>
      <c r="T261" s="434"/>
      <c r="U261" s="434"/>
      <c r="V261" s="132">
        <f t="shared" si="119"/>
        <v>0</v>
      </c>
      <c r="W261" s="133">
        <f t="shared" si="115"/>
        <v>0</v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443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34"/>
      <c r="P262" s="434"/>
      <c r="Q262" s="434"/>
      <c r="R262" s="434"/>
      <c r="S262" s="434"/>
      <c r="T262" s="434"/>
      <c r="U262" s="434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443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34"/>
      <c r="P263" s="434"/>
      <c r="Q263" s="434"/>
      <c r="R263" s="434"/>
      <c r="S263" s="434"/>
      <c r="T263" s="434"/>
      <c r="U263" s="434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443">
        <f t="shared" si="116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34"/>
      <c r="P264" s="434"/>
      <c r="Q264" s="434"/>
      <c r="R264" s="434"/>
      <c r="S264" s="434"/>
      <c r="T264" s="434"/>
      <c r="U264" s="434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443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34"/>
      <c r="P265" s="434"/>
      <c r="Q265" s="434"/>
      <c r="R265" s="434"/>
      <c r="S265" s="434"/>
      <c r="T265" s="434"/>
      <c r="U265" s="434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443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34"/>
      <c r="P266" s="434"/>
      <c r="Q266" s="434"/>
      <c r="R266" s="434"/>
      <c r="S266" s="434"/>
      <c r="T266" s="434"/>
      <c r="U266" s="434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443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34"/>
      <c r="P267" s="434"/>
      <c r="Q267" s="434"/>
      <c r="R267" s="434"/>
      <c r="S267" s="434"/>
      <c r="T267" s="434"/>
      <c r="U267" s="434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443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34"/>
      <c r="P268" s="434"/>
      <c r="Q268" s="434"/>
      <c r="R268" s="434"/>
      <c r="S268" s="434"/>
      <c r="T268" s="434"/>
      <c r="U268" s="434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443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0">IF(ISERROR(I269-K269),"",I269-K269)</f>
        <v>0</v>
      </c>
      <c r="N269" s="130">
        <f t="shared" ref="N269:N284" si="121">SUM(O269:U269)</f>
        <v>0</v>
      </c>
      <c r="O269" s="434"/>
      <c r="P269" s="434"/>
      <c r="Q269" s="434"/>
      <c r="R269" s="434"/>
      <c r="S269" s="434"/>
      <c r="T269" s="434"/>
      <c r="U269" s="434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443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434"/>
      <c r="P270" s="434"/>
      <c r="Q270" s="434"/>
      <c r="R270" s="434"/>
      <c r="S270" s="434"/>
      <c r="T270" s="434"/>
      <c r="U270" s="434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443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34"/>
      <c r="P271" s="434"/>
      <c r="Q271" s="434"/>
      <c r="R271" s="434"/>
      <c r="S271" s="434"/>
      <c r="T271" s="434"/>
      <c r="U271" s="434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443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34"/>
      <c r="P272" s="434"/>
      <c r="Q272" s="434"/>
      <c r="R272" s="434"/>
      <c r="S272" s="434"/>
      <c r="T272" s="434"/>
      <c r="U272" s="434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435" t="s">
        <v>222</v>
      </c>
      <c r="C273" s="126" t="s">
        <v>181</v>
      </c>
      <c r="D273" s="108">
        <v>9.36</v>
      </c>
      <c r="E273" s="108"/>
      <c r="F273" s="127"/>
      <c r="G273" s="128"/>
      <c r="H273" s="443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434"/>
      <c r="P273" s="434"/>
      <c r="Q273" s="434"/>
      <c r="R273" s="434"/>
      <c r="S273" s="434"/>
      <c r="T273" s="434"/>
      <c r="U273" s="434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435" t="s">
        <v>222</v>
      </c>
      <c r="C274" s="126" t="s">
        <v>179</v>
      </c>
      <c r="D274" s="108">
        <v>9.36</v>
      </c>
      <c r="E274" s="108"/>
      <c r="F274" s="127"/>
      <c r="G274" s="128"/>
      <c r="H274" s="443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34"/>
      <c r="P274" s="434"/>
      <c r="Q274" s="434"/>
      <c r="R274" s="434"/>
      <c r="S274" s="434"/>
      <c r="T274" s="434"/>
      <c r="U274" s="434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435" t="s">
        <v>222</v>
      </c>
      <c r="C275" s="126" t="s">
        <v>221</v>
      </c>
      <c r="D275" s="108">
        <v>9.36</v>
      </c>
      <c r="E275" s="108"/>
      <c r="F275" s="127"/>
      <c r="G275" s="128"/>
      <c r="H275" s="443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34"/>
      <c r="P275" s="434"/>
      <c r="Q275" s="434"/>
      <c r="R275" s="434"/>
      <c r="S275" s="434"/>
      <c r="T275" s="434"/>
      <c r="U275" s="434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435" t="s">
        <v>222</v>
      </c>
      <c r="C276" s="126" t="s">
        <v>186</v>
      </c>
      <c r="D276" s="108">
        <v>9.36</v>
      </c>
      <c r="E276" s="108"/>
      <c r="F276" s="127"/>
      <c r="G276" s="128"/>
      <c r="H276" s="443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34"/>
      <c r="P276" s="434"/>
      <c r="Q276" s="434"/>
      <c r="R276" s="434"/>
      <c r="S276" s="434"/>
      <c r="T276" s="434"/>
      <c r="U276" s="434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435" t="s">
        <v>393</v>
      </c>
      <c r="C277" s="187" t="s">
        <v>395</v>
      </c>
      <c r="D277" s="108">
        <v>5</v>
      </c>
      <c r="E277" s="108"/>
      <c r="F277" s="127"/>
      <c r="G277" s="128"/>
      <c r="H277" s="443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434"/>
      <c r="P277" s="434"/>
      <c r="Q277" s="434"/>
      <c r="R277" s="434"/>
      <c r="S277" s="434"/>
      <c r="T277" s="434"/>
      <c r="U277" s="434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435" t="s">
        <v>393</v>
      </c>
      <c r="C278" s="187" t="s">
        <v>402</v>
      </c>
      <c r="D278" s="108">
        <v>5</v>
      </c>
      <c r="E278" s="108"/>
      <c r="F278" s="127"/>
      <c r="G278" s="128"/>
      <c r="H278" s="443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34"/>
      <c r="P278" s="434"/>
      <c r="Q278" s="434"/>
      <c r="R278" s="434"/>
      <c r="S278" s="434"/>
      <c r="T278" s="434"/>
      <c r="U278" s="434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435" t="s">
        <v>404</v>
      </c>
      <c r="C279" s="187" t="s">
        <v>405</v>
      </c>
      <c r="D279" s="108">
        <v>5</v>
      </c>
      <c r="E279" s="108"/>
      <c r="F279" s="127"/>
      <c r="G279" s="128"/>
      <c r="H279" s="443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34"/>
      <c r="P279" s="434"/>
      <c r="Q279" s="434"/>
      <c r="R279" s="434"/>
      <c r="S279" s="434"/>
      <c r="T279" s="434"/>
      <c r="U279" s="434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435" t="s">
        <v>342</v>
      </c>
      <c r="C280" s="187" t="s">
        <v>372</v>
      </c>
      <c r="D280" s="108">
        <v>5</v>
      </c>
      <c r="E280" s="108"/>
      <c r="F280" s="127"/>
      <c r="G280" s="128"/>
      <c r="H280" s="443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34"/>
      <c r="P280" s="434"/>
      <c r="Q280" s="434"/>
      <c r="R280" s="434"/>
      <c r="S280" s="434"/>
      <c r="T280" s="434"/>
      <c r="U280" s="434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435" t="s">
        <v>343</v>
      </c>
      <c r="C281" s="126" t="s">
        <v>345</v>
      </c>
      <c r="D281" s="108">
        <v>5</v>
      </c>
      <c r="E281" s="108"/>
      <c r="F281" s="127"/>
      <c r="G281" s="128"/>
      <c r="H281" s="443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34"/>
      <c r="P281" s="434"/>
      <c r="Q281" s="434"/>
      <c r="R281" s="434"/>
      <c r="S281" s="434"/>
      <c r="T281" s="434"/>
      <c r="U281" s="434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435" t="s">
        <v>343</v>
      </c>
      <c r="C282" s="126" t="s">
        <v>347</v>
      </c>
      <c r="D282" s="108">
        <v>5</v>
      </c>
      <c r="E282" s="108"/>
      <c r="F282" s="127"/>
      <c r="G282" s="128"/>
      <c r="H282" s="443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34"/>
      <c r="P282" s="434"/>
      <c r="Q282" s="434"/>
      <c r="R282" s="434"/>
      <c r="S282" s="434"/>
      <c r="T282" s="434"/>
      <c r="U282" s="434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443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434"/>
      <c r="P283" s="434"/>
      <c r="Q283" s="434"/>
      <c r="R283" s="434"/>
      <c r="S283" s="434"/>
      <c r="T283" s="434"/>
      <c r="U283" s="434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443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434"/>
      <c r="P284" s="434"/>
      <c r="Q284" s="434"/>
      <c r="R284" s="434"/>
      <c r="S284" s="434"/>
      <c r="T284" s="434"/>
      <c r="U284" s="434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/>
      <c r="G285" s="128"/>
      <c r="H285" s="443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434"/>
      <c r="P285" s="434"/>
      <c r="Q285" s="434"/>
      <c r="R285" s="434"/>
      <c r="S285" s="434"/>
      <c r="T285" s="434"/>
      <c r="U285" s="434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443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434"/>
      <c r="P286" s="434"/>
      <c r="Q286" s="434"/>
      <c r="R286" s="434"/>
      <c r="S286" s="434"/>
      <c r="T286" s="434"/>
      <c r="U286" s="434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443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34"/>
      <c r="P287" s="434"/>
      <c r="Q287" s="434"/>
      <c r="R287" s="434"/>
      <c r="S287" s="434"/>
      <c r="T287" s="434"/>
      <c r="U287" s="434"/>
      <c r="V287" s="132"/>
      <c r="W287" s="133"/>
      <c r="X287" s="132"/>
      <c r="Y287" s="132"/>
      <c r="Z287" s="132"/>
      <c r="AA287" s="132"/>
    </row>
    <row r="288" spans="1:27" ht="20.10000000000000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>
        <v>42711</v>
      </c>
      <c r="G288" s="128">
        <f>22+49+100*3+53+108+100+38</f>
        <v>670</v>
      </c>
      <c r="H288" s="443">
        <f t="shared" si="116"/>
        <v>3396.9</v>
      </c>
      <c r="I288" s="129">
        <f>3.5*4+3.5*6+5.5*11</f>
        <v>95.5</v>
      </c>
      <c r="J288" s="130">
        <f t="array" ref="J288">IF(ISERROR(G288/I288),"",G288/I288)</f>
        <v>7.0157068062827221</v>
      </c>
      <c r="K288" s="131">
        <f t="array" ref="K288">IF(ISERROR(G288/L288),"",G288/L288)</f>
        <v>74.444444444444443</v>
      </c>
      <c r="L288" s="129">
        <v>9</v>
      </c>
      <c r="M288" s="109">
        <f t="shared" ref="M288:M290" si="127">IF(ISERROR(I288-K288),"",I288-K288)</f>
        <v>21.055555555555557</v>
      </c>
      <c r="N288" s="130">
        <f t="shared" ref="N288:N290" si="128">SUM(O288:U288)</f>
        <v>0</v>
      </c>
      <c r="O288" s="434"/>
      <c r="P288" s="434"/>
      <c r="Q288" s="434"/>
      <c r="R288" s="434"/>
      <c r="S288" s="434"/>
      <c r="T288" s="434"/>
      <c r="U288" s="434"/>
      <c r="V288" s="132">
        <f t="shared" ref="V288:V290" si="129">SUM(X288:AA288)</f>
        <v>0</v>
      </c>
      <c r="W288" s="133">
        <f t="shared" ref="W288:W312" si="130">IF(ISERROR(V288/G288),"",V288/G288)</f>
        <v>0</v>
      </c>
      <c r="X288" s="132"/>
      <c r="Y288" s="132"/>
      <c r="Z288" s="132"/>
      <c r="AA288" s="132"/>
    </row>
    <row r="289" spans="1:27" ht="20.10000000000000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>
        <v>42710</v>
      </c>
      <c r="G289" s="128">
        <f>110+100+61+88</f>
        <v>359</v>
      </c>
      <c r="H289" s="443">
        <f t="shared" si="116"/>
        <v>1820.13</v>
      </c>
      <c r="I289" s="129">
        <f>2*4+4.5*5</f>
        <v>30.5</v>
      </c>
      <c r="J289" s="130">
        <f t="array" ref="J289">IF(ISERROR(G289/I289),"",G289/I289)</f>
        <v>11.770491803278688</v>
      </c>
      <c r="K289" s="131">
        <f t="array" ref="K289">IF(ISERROR(G289/L289),"",G289/L289)</f>
        <v>39.888888888888886</v>
      </c>
      <c r="L289" s="129">
        <v>9</v>
      </c>
      <c r="M289" s="109">
        <f t="shared" si="127"/>
        <v>-9.3888888888888857</v>
      </c>
      <c r="N289" s="130">
        <f t="shared" si="128"/>
        <v>0</v>
      </c>
      <c r="O289" s="434"/>
      <c r="P289" s="434"/>
      <c r="Q289" s="434"/>
      <c r="R289" s="434"/>
      <c r="S289" s="434"/>
      <c r="T289" s="434"/>
      <c r="U289" s="434"/>
      <c r="V289" s="132">
        <f t="shared" si="129"/>
        <v>0</v>
      </c>
      <c r="W289" s="133">
        <f t="shared" si="130"/>
        <v>0</v>
      </c>
      <c r="X289" s="132"/>
      <c r="Y289" s="132"/>
      <c r="Z289" s="132"/>
      <c r="AA289" s="132"/>
    </row>
    <row r="290" spans="1:27" ht="20.10000000000000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>
        <v>42710</v>
      </c>
      <c r="G290" s="128">
        <f>38+100+13+100*4-1</f>
        <v>550</v>
      </c>
      <c r="H290" s="443">
        <f t="shared" si="116"/>
        <v>2783</v>
      </c>
      <c r="I290" s="129">
        <f>6*4+2*11+1*5</f>
        <v>51</v>
      </c>
      <c r="J290" s="130">
        <f t="array" ref="J290">IF(ISERROR(G290/I290),"",G290/I290)</f>
        <v>10.784313725490197</v>
      </c>
      <c r="K290" s="443">
        <f t="array" ref="K290">IF(ISERROR(G290/L290),"",G290/L290)</f>
        <v>61.111111111111114</v>
      </c>
      <c r="L290" s="129">
        <v>9</v>
      </c>
      <c r="M290" s="109">
        <f t="shared" si="127"/>
        <v>-10.111111111111114</v>
      </c>
      <c r="N290" s="130">
        <f t="shared" si="128"/>
        <v>0</v>
      </c>
      <c r="O290" s="434"/>
      <c r="P290" s="434"/>
      <c r="Q290" s="434"/>
      <c r="R290" s="434"/>
      <c r="S290" s="434"/>
      <c r="T290" s="434"/>
      <c r="U290" s="434"/>
      <c r="V290" s="132">
        <f t="shared" si="129"/>
        <v>0</v>
      </c>
      <c r="W290" s="133">
        <f t="shared" si="130"/>
        <v>0</v>
      </c>
      <c r="X290" s="132"/>
      <c r="Y290" s="132"/>
      <c r="Z290" s="132"/>
      <c r="AA290" s="132"/>
    </row>
    <row r="291" spans="1:27" ht="20.100000000000001" customHeight="1">
      <c r="A291" s="630" t="s">
        <v>224</v>
      </c>
      <c r="B291" s="631"/>
      <c r="C291" s="441" t="s">
        <v>202</v>
      </c>
      <c r="D291" s="143"/>
      <c r="E291" s="143"/>
      <c r="F291" s="144"/>
      <c r="G291" s="145">
        <f>SUM(G257:G290)</f>
        <v>1615</v>
      </c>
      <c r="H291" s="146">
        <f>SUM(H257:H290)</f>
        <v>8181.1100000000006</v>
      </c>
      <c r="I291" s="146">
        <f>SUM(I257:I290)</f>
        <v>184.5</v>
      </c>
      <c r="J291" s="130">
        <f t="array" ref="J291">IF(ISERROR(G291/I291),"",G291/I291)</f>
        <v>8.7533875338753386</v>
      </c>
      <c r="K291" s="146">
        <f>SUM(K257:K290)</f>
        <v>179.31541218637994</v>
      </c>
      <c r="L291" s="147"/>
      <c r="M291" s="150">
        <f t="shared" ref="M291:V291" si="131">SUM(M257:M290)</f>
        <v>5.1845878136200731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>
        <f t="shared" si="130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443">
        <f t="shared" ref="H292:H306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3">IF(ISERROR(I292-K292),"",I292-K292)</f>
        <v>0</v>
      </c>
      <c r="N292" s="130">
        <f t="shared" ref="N292:N306" si="134">SUM(O292:U292)</f>
        <v>0</v>
      </c>
      <c r="O292" s="434"/>
      <c r="P292" s="434"/>
      <c r="Q292" s="434"/>
      <c r="R292" s="434"/>
      <c r="S292" s="434"/>
      <c r="T292" s="434"/>
      <c r="U292" s="434"/>
      <c r="V292" s="132">
        <f t="shared" ref="V292:V306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443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434"/>
      <c r="P293" s="434"/>
      <c r="Q293" s="434"/>
      <c r="R293" s="434"/>
      <c r="S293" s="434"/>
      <c r="T293" s="434"/>
      <c r="U293" s="434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443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3"/>
        <v>0</v>
      </c>
      <c r="N294" s="130">
        <f t="shared" si="134"/>
        <v>0</v>
      </c>
      <c r="O294" s="434"/>
      <c r="P294" s="434"/>
      <c r="Q294" s="434"/>
      <c r="R294" s="434"/>
      <c r="S294" s="434"/>
      <c r="T294" s="434"/>
      <c r="U294" s="434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443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434"/>
      <c r="P295" s="434"/>
      <c r="Q295" s="434"/>
      <c r="R295" s="434"/>
      <c r="S295" s="434"/>
      <c r="T295" s="434"/>
      <c r="U295" s="434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439" t="s">
        <v>203</v>
      </c>
      <c r="D296" s="108">
        <v>5.03</v>
      </c>
      <c r="E296" s="108"/>
      <c r="F296" s="127"/>
      <c r="G296" s="128"/>
      <c r="H296" s="443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34"/>
      <c r="P296" s="434"/>
      <c r="Q296" s="434"/>
      <c r="R296" s="434"/>
      <c r="S296" s="434"/>
      <c r="T296" s="434"/>
      <c r="U296" s="434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443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34"/>
      <c r="P297" s="434"/>
      <c r="Q297" s="434"/>
      <c r="R297" s="434"/>
      <c r="S297" s="434"/>
      <c r="T297" s="434"/>
      <c r="U297" s="434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443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34"/>
      <c r="P298" s="434"/>
      <c r="Q298" s="434"/>
      <c r="R298" s="434"/>
      <c r="S298" s="434"/>
      <c r="T298" s="434"/>
      <c r="U298" s="434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439" t="s">
        <v>228</v>
      </c>
      <c r="D299" s="108">
        <v>5.03</v>
      </c>
      <c r="E299" s="108"/>
      <c r="F299" s="127"/>
      <c r="G299" s="128"/>
      <c r="H299" s="443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34"/>
      <c r="P299" s="434"/>
      <c r="Q299" s="434"/>
      <c r="R299" s="434"/>
      <c r="S299" s="434"/>
      <c r="T299" s="434"/>
      <c r="U299" s="434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439" t="s">
        <v>212</v>
      </c>
      <c r="D300" s="108">
        <v>5.03</v>
      </c>
      <c r="E300" s="108"/>
      <c r="F300" s="127"/>
      <c r="G300" s="128"/>
      <c r="H300" s="443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434"/>
      <c r="P300" s="434"/>
      <c r="Q300" s="434"/>
      <c r="R300" s="434"/>
      <c r="S300" s="434"/>
      <c r="T300" s="434"/>
      <c r="U300" s="434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439" t="s">
        <v>203</v>
      </c>
      <c r="D301" s="108">
        <v>5.03</v>
      </c>
      <c r="E301" s="108"/>
      <c r="F301" s="127"/>
      <c r="G301" s="128"/>
      <c r="H301" s="443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34"/>
      <c r="P301" s="434"/>
      <c r="Q301" s="434"/>
      <c r="R301" s="434"/>
      <c r="S301" s="434"/>
      <c r="T301" s="434"/>
      <c r="U301" s="434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439" t="s">
        <v>186</v>
      </c>
      <c r="D302" s="108">
        <v>5.03</v>
      </c>
      <c r="E302" s="108"/>
      <c r="F302" s="127"/>
      <c r="G302" s="128"/>
      <c r="H302" s="443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34"/>
      <c r="P302" s="434"/>
      <c r="Q302" s="434"/>
      <c r="R302" s="434"/>
      <c r="S302" s="434"/>
      <c r="T302" s="434"/>
      <c r="U302" s="434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439" t="s">
        <v>228</v>
      </c>
      <c r="D303" s="108">
        <v>5.03</v>
      </c>
      <c r="E303" s="108"/>
      <c r="F303" s="127"/>
      <c r="G303" s="128"/>
      <c r="H303" s="443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34"/>
      <c r="P303" s="434"/>
      <c r="Q303" s="434"/>
      <c r="R303" s="434"/>
      <c r="S303" s="434"/>
      <c r="T303" s="434"/>
      <c r="U303" s="434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439" t="s">
        <v>199</v>
      </c>
      <c r="D304" s="108">
        <v>5.03</v>
      </c>
      <c r="E304" s="108"/>
      <c r="F304" s="127"/>
      <c r="G304" s="128"/>
      <c r="H304" s="443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34"/>
      <c r="P304" s="434"/>
      <c r="Q304" s="434"/>
      <c r="R304" s="434"/>
      <c r="S304" s="434"/>
      <c r="T304" s="434"/>
      <c r="U304" s="434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443">
        <f t="shared" si="132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3"/>
        <v>0</v>
      </c>
      <c r="N305" s="130">
        <f t="shared" si="134"/>
        <v>0</v>
      </c>
      <c r="O305" s="434"/>
      <c r="P305" s="434"/>
      <c r="Q305" s="434"/>
      <c r="R305" s="434"/>
      <c r="S305" s="434"/>
      <c r="T305" s="434"/>
      <c r="U305" s="434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443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434"/>
      <c r="P306" s="434"/>
      <c r="Q306" s="434"/>
      <c r="R306" s="434"/>
      <c r="S306" s="434"/>
      <c r="T306" s="434"/>
      <c r="U306" s="434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630" t="s">
        <v>231</v>
      </c>
      <c r="B307" s="631"/>
      <c r="C307" s="441" t="s">
        <v>202</v>
      </c>
      <c r="D307" s="143"/>
      <c r="E307" s="143"/>
      <c r="F307" s="144"/>
      <c r="G307" s="145">
        <f>SUM(G292:G306)</f>
        <v>0</v>
      </c>
      <c r="H307" s="146">
        <f>SUM(H292:H306)</f>
        <v>0</v>
      </c>
      <c r="I307" s="146">
        <f>SUM(I292:I306)</f>
        <v>0</v>
      </c>
      <c r="J307" s="130" t="str">
        <f t="array" ref="J307">IF(ISERROR(G307/I307),"",G307/I307)</f>
        <v/>
      </c>
      <c r="K307" s="146">
        <f>SUM(K292:K306)</f>
        <v>0</v>
      </c>
      <c r="L307" s="146"/>
      <c r="M307" s="150">
        <f>SUM(M292:M306)</f>
        <v>0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 t="str">
        <f t="shared" si="130"/>
        <v/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443">
        <f t="shared" ref="H308:H315" si="136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7">IF(ISERROR(I308-K308),"",I308-K308)</f>
        <v>0</v>
      </c>
      <c r="N308" s="130">
        <f t="shared" ref="N308:N312" si="138">SUM(O308:U308)</f>
        <v>0</v>
      </c>
      <c r="O308" s="434"/>
      <c r="P308" s="434"/>
      <c r="Q308" s="434"/>
      <c r="R308" s="434"/>
      <c r="S308" s="434"/>
      <c r="T308" s="434"/>
      <c r="U308" s="434"/>
      <c r="V308" s="132">
        <f t="shared" ref="V308:V312" si="139">SUM(X308:AA308)</f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443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434"/>
      <c r="P309" s="434"/>
      <c r="Q309" s="434"/>
      <c r="R309" s="434"/>
      <c r="S309" s="434"/>
      <c r="T309" s="434"/>
      <c r="U309" s="434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443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34"/>
      <c r="P310" s="434"/>
      <c r="Q310" s="434"/>
      <c r="R310" s="434"/>
      <c r="S310" s="434"/>
      <c r="T310" s="434"/>
      <c r="U310" s="434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443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34"/>
      <c r="P311" s="434"/>
      <c r="Q311" s="434"/>
      <c r="R311" s="434"/>
      <c r="S311" s="434"/>
      <c r="T311" s="434"/>
      <c r="U311" s="434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443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34"/>
      <c r="P312" s="434"/>
      <c r="Q312" s="434"/>
      <c r="R312" s="434"/>
      <c r="S312" s="434"/>
      <c r="T312" s="434"/>
      <c r="U312" s="434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79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434"/>
      <c r="P313" s="434"/>
      <c r="Q313" s="434"/>
      <c r="R313" s="434"/>
      <c r="S313" s="434"/>
      <c r="T313" s="434"/>
      <c r="U313" s="434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/>
      <c r="G314" s="128"/>
      <c r="H314" s="479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70"/>
      <c r="P314" s="470"/>
      <c r="Q314" s="470"/>
      <c r="R314" s="470"/>
      <c r="S314" s="470"/>
      <c r="T314" s="470"/>
      <c r="U314" s="470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443">
        <f t="shared" ref="H316" si="140">D316*G316</f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1">IF(ISERROR(I316-K316),"",I316-K316)</f>
        <v>0</v>
      </c>
      <c r="N316" s="130">
        <f t="shared" ref="N316" si="142">SUM(O316:U316)</f>
        <v>0</v>
      </c>
      <c r="O316" s="434"/>
      <c r="P316" s="434"/>
      <c r="Q316" s="434"/>
      <c r="R316" s="434"/>
      <c r="S316" s="434"/>
      <c r="T316" s="434"/>
      <c r="U316" s="434"/>
      <c r="V316" s="132">
        <f t="shared" ref="V316" si="143">SUM(X316:AA316)</f>
        <v>0</v>
      </c>
      <c r="W316" s="133" t="str">
        <f t="shared" ref="W316:W321" si="144">IF(ISERROR(V316/G316),"",V316/G316)</f>
        <v/>
      </c>
      <c r="X316" s="132"/>
      <c r="Y316" s="132"/>
      <c r="Z316" s="132"/>
      <c r="AA316" s="132"/>
    </row>
    <row r="317" spans="1:27" ht="20.100000000000001" hidden="1" customHeight="1">
      <c r="A317" s="630" t="s">
        <v>234</v>
      </c>
      <c r="B317" s="631"/>
      <c r="C317" s="441" t="s">
        <v>202</v>
      </c>
      <c r="D317" s="143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4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433"/>
      <c r="D318" s="108">
        <v>3.65</v>
      </c>
      <c r="E318" s="108"/>
      <c r="F318" s="153"/>
      <c r="G318" s="128"/>
      <c r="H318" s="443">
        <f t="shared" ref="H318:H331" si="145">D318*G318</f>
        <v>0</v>
      </c>
      <c r="I318" s="129"/>
      <c r="J318" s="130" t="str">
        <f t="array" ref="J318">IF(ISERROR(G318/I318),"",G318/I318)</f>
        <v/>
      </c>
      <c r="K318" s="443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434"/>
      <c r="P318" s="434"/>
      <c r="Q318" s="434"/>
      <c r="R318" s="434"/>
      <c r="S318" s="434"/>
      <c r="T318" s="434"/>
      <c r="U318" s="434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433"/>
      <c r="D319" s="108">
        <v>6.58</v>
      </c>
      <c r="E319" s="108"/>
      <c r="F319" s="127"/>
      <c r="G319" s="128"/>
      <c r="H319" s="443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434"/>
      <c r="P319" s="434"/>
      <c r="Q319" s="434"/>
      <c r="R319" s="434"/>
      <c r="S319" s="434"/>
      <c r="T319" s="434"/>
      <c r="U319" s="434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433"/>
      <c r="D320" s="108">
        <v>7.8</v>
      </c>
      <c r="E320" s="108"/>
      <c r="F320" s="127"/>
      <c r="G320" s="128"/>
      <c r="H320" s="443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434"/>
      <c r="P320" s="434"/>
      <c r="Q320" s="434"/>
      <c r="R320" s="434"/>
      <c r="S320" s="434"/>
      <c r="T320" s="434"/>
      <c r="U320" s="434"/>
      <c r="V320" s="132">
        <f t="shared" si="148"/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433"/>
      <c r="D321" s="108">
        <v>4.4000000000000004</v>
      </c>
      <c r="E321" s="108"/>
      <c r="F321" s="127"/>
      <c r="G321" s="128"/>
      <c r="H321" s="443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434"/>
      <c r="P321" s="434"/>
      <c r="Q321" s="434"/>
      <c r="R321" s="434"/>
      <c r="S321" s="434"/>
      <c r="T321" s="434"/>
      <c r="U321" s="434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433"/>
      <c r="D322" s="108"/>
      <c r="E322" s="108"/>
      <c r="F322" s="127"/>
      <c r="G322" s="128"/>
      <c r="H322" s="443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434"/>
      <c r="P322" s="434"/>
      <c r="Q322" s="434"/>
      <c r="R322" s="434"/>
      <c r="S322" s="434"/>
      <c r="T322" s="434"/>
      <c r="U322" s="434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433" t="s">
        <v>239</v>
      </c>
      <c r="C323" s="433" t="s">
        <v>179</v>
      </c>
      <c r="D323" s="108">
        <v>6.04</v>
      </c>
      <c r="E323" s="108"/>
      <c r="F323" s="127"/>
      <c r="G323" s="128"/>
      <c r="H323" s="443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434"/>
      <c r="P323" s="434"/>
      <c r="Q323" s="434"/>
      <c r="R323" s="434"/>
      <c r="S323" s="434"/>
      <c r="T323" s="434"/>
      <c r="U323" s="434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433" t="s">
        <v>239</v>
      </c>
      <c r="C324" s="433" t="s">
        <v>186</v>
      </c>
      <c r="D324" s="108">
        <v>6.04</v>
      </c>
      <c r="E324" s="108"/>
      <c r="F324" s="127"/>
      <c r="G324" s="128"/>
      <c r="H324" s="443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434"/>
      <c r="P324" s="434"/>
      <c r="Q324" s="434"/>
      <c r="R324" s="434"/>
      <c r="S324" s="434"/>
      <c r="T324" s="434"/>
      <c r="U324" s="434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433" t="s">
        <v>443</v>
      </c>
      <c r="C325" s="433" t="s">
        <v>179</v>
      </c>
      <c r="D325" s="108">
        <v>6</v>
      </c>
      <c r="E325" s="108"/>
      <c r="F325" s="127"/>
      <c r="G325" s="128"/>
      <c r="H325" s="443">
        <f t="shared" si="145"/>
        <v>0</v>
      </c>
      <c r="I325" s="129"/>
      <c r="J325" s="130"/>
      <c r="K325" s="131"/>
      <c r="L325" s="129"/>
      <c r="M325" s="109"/>
      <c r="N325" s="130"/>
      <c r="O325" s="434"/>
      <c r="P325" s="434"/>
      <c r="Q325" s="434"/>
      <c r="R325" s="434"/>
      <c r="S325" s="434"/>
      <c r="T325" s="434"/>
      <c r="U325" s="434"/>
      <c r="V325" s="132"/>
      <c r="W325" s="133"/>
      <c r="X325" s="132"/>
      <c r="Y325" s="132"/>
      <c r="Z325" s="132"/>
      <c r="AA325" s="132"/>
    </row>
    <row r="326" spans="1:27" ht="20.100000000000001" customHeight="1">
      <c r="A326" s="305">
        <v>30101016</v>
      </c>
      <c r="B326" s="433" t="s">
        <v>443</v>
      </c>
      <c r="C326" s="433" t="s">
        <v>60</v>
      </c>
      <c r="D326" s="108">
        <v>6</v>
      </c>
      <c r="E326" s="108"/>
      <c r="F326" s="127">
        <v>42711</v>
      </c>
      <c r="G326" s="128">
        <f>42*2+14+42</f>
        <v>140</v>
      </c>
      <c r="H326" s="443">
        <f t="shared" si="145"/>
        <v>840</v>
      </c>
      <c r="I326" s="129">
        <f>8*4</f>
        <v>32</v>
      </c>
      <c r="J326" s="130">
        <f t="array" ref="J326">IF(ISERROR(G326/I326),"",G326/I326)</f>
        <v>4.375</v>
      </c>
      <c r="K326" s="131">
        <f t="array" ref="K326">IF(ISERROR(G326/L326),"",G326/L326)</f>
        <v>23.333333333333332</v>
      </c>
      <c r="L326" s="129">
        <v>6</v>
      </c>
      <c r="M326" s="109">
        <f t="shared" ref="M326" si="153">IF(ISERROR(I326-K326),"",I326-K326)</f>
        <v>8.6666666666666679</v>
      </c>
      <c r="N326" s="130"/>
      <c r="O326" s="434"/>
      <c r="P326" s="434"/>
      <c r="Q326" s="434"/>
      <c r="R326" s="434"/>
      <c r="S326" s="434"/>
      <c r="T326" s="434"/>
      <c r="U326" s="434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435" t="s">
        <v>240</v>
      </c>
      <c r="C327" s="126"/>
      <c r="D327" s="108">
        <v>7.3</v>
      </c>
      <c r="E327" s="108"/>
      <c r="F327" s="127"/>
      <c r="G327" s="128"/>
      <c r="H327" s="443">
        <f t="shared" si="145"/>
        <v>0</v>
      </c>
      <c r="I327" s="129"/>
      <c r="J327" s="130"/>
      <c r="K327" s="131"/>
      <c r="L327" s="129"/>
      <c r="M327" s="109"/>
      <c r="N327" s="130"/>
      <c r="O327" s="434"/>
      <c r="P327" s="434"/>
      <c r="Q327" s="434"/>
      <c r="R327" s="434"/>
      <c r="S327" s="434"/>
      <c r="T327" s="434"/>
      <c r="U327" s="434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435" t="s">
        <v>241</v>
      </c>
      <c r="C328" s="126"/>
      <c r="D328" s="108">
        <f>78*120/1000</f>
        <v>9.36</v>
      </c>
      <c r="E328" s="108"/>
      <c r="F328" s="127"/>
      <c r="G328" s="128"/>
      <c r="H328" s="443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4">SUM(O328:U328)</f>
        <v>0</v>
      </c>
      <c r="O328" s="434"/>
      <c r="P328" s="434"/>
      <c r="Q328" s="434"/>
      <c r="R328" s="434"/>
      <c r="S328" s="434"/>
      <c r="T328" s="434"/>
      <c r="U328" s="434"/>
      <c r="V328" s="132">
        <f t="shared" ref="V328" si="155">SUM(X328:AA328)</f>
        <v>0</v>
      </c>
      <c r="W328" s="133" t="str">
        <f t="shared" ref="W328" si="156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435" t="s">
        <v>242</v>
      </c>
      <c r="C329" s="126"/>
      <c r="D329" s="108">
        <v>4.5</v>
      </c>
      <c r="E329" s="108"/>
      <c r="F329" s="127"/>
      <c r="G329" s="128"/>
      <c r="H329" s="443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434"/>
      <c r="P329" s="434"/>
      <c r="Q329" s="434"/>
      <c r="R329" s="434"/>
      <c r="S329" s="434"/>
      <c r="T329" s="434"/>
      <c r="U329" s="434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435" t="s">
        <v>243</v>
      </c>
      <c r="C330" s="126"/>
      <c r="D330" s="108">
        <v>4.5</v>
      </c>
      <c r="E330" s="108"/>
      <c r="F330" s="127"/>
      <c r="G330" s="128"/>
      <c r="H330" s="443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434"/>
      <c r="P330" s="434"/>
      <c r="Q330" s="434"/>
      <c r="R330" s="434"/>
      <c r="S330" s="434"/>
      <c r="T330" s="434"/>
      <c r="U330" s="434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443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34"/>
      <c r="P331" s="434"/>
      <c r="Q331" s="434"/>
      <c r="R331" s="434"/>
      <c r="S331" s="434"/>
      <c r="T331" s="434"/>
      <c r="U331" s="434"/>
      <c r="V331" s="132"/>
      <c r="W331" s="133"/>
      <c r="X331" s="132"/>
      <c r="Y331" s="132"/>
      <c r="Z331" s="132"/>
      <c r="AA331" s="132"/>
    </row>
    <row r="332" spans="1:27" ht="20.100000000000001" customHeight="1">
      <c r="A332" s="630" t="s">
        <v>244</v>
      </c>
      <c r="B332" s="631"/>
      <c r="C332" s="441" t="s">
        <v>202</v>
      </c>
      <c r="D332" s="143"/>
      <c r="E332" s="143"/>
      <c r="F332" s="144"/>
      <c r="G332" s="145">
        <f>SUM(G318:G331)</f>
        <v>140</v>
      </c>
      <c r="H332" s="146">
        <f>SUM(H318:H328)</f>
        <v>840</v>
      </c>
      <c r="I332" s="146">
        <f>SUM(I318:I331)</f>
        <v>32</v>
      </c>
      <c r="J332" s="130"/>
      <c r="K332" s="146">
        <f>SUM(K318:K328)</f>
        <v>23.333333333333332</v>
      </c>
      <c r="L332" s="147"/>
      <c r="M332" s="150">
        <f t="shared" ref="M332:AA332" si="157">SUM(M318:M328)</f>
        <v>8.6666666666666679</v>
      </c>
      <c r="N332" s="146">
        <f t="shared" si="157"/>
        <v>0</v>
      </c>
      <c r="O332" s="148">
        <f t="shared" si="157"/>
        <v>0</v>
      </c>
      <c r="P332" s="148">
        <f t="shared" si="157"/>
        <v>0</v>
      </c>
      <c r="Q332" s="148">
        <f t="shared" si="157"/>
        <v>0</v>
      </c>
      <c r="R332" s="148">
        <f t="shared" si="157"/>
        <v>0</v>
      </c>
      <c r="S332" s="148">
        <f t="shared" si="157"/>
        <v>0</v>
      </c>
      <c r="T332" s="148">
        <f t="shared" si="157"/>
        <v>0</v>
      </c>
      <c r="U332" s="148">
        <f t="shared" si="157"/>
        <v>0</v>
      </c>
      <c r="V332" s="149">
        <f t="shared" si="157"/>
        <v>0</v>
      </c>
      <c r="W332" s="133">
        <f t="shared" si="157"/>
        <v>0</v>
      </c>
      <c r="X332" s="149">
        <f t="shared" si="157"/>
        <v>0</v>
      </c>
      <c r="Y332" s="149">
        <f t="shared" si="157"/>
        <v>0</v>
      </c>
      <c r="Z332" s="149">
        <f t="shared" si="157"/>
        <v>0</v>
      </c>
      <c r="AA332" s="149">
        <f t="shared" si="157"/>
        <v>0</v>
      </c>
    </row>
    <row r="333" spans="1:27" ht="20.100000000000001" customHeight="1">
      <c r="A333" s="632" t="s">
        <v>246</v>
      </c>
      <c r="B333" s="633"/>
      <c r="C333" s="633"/>
      <c r="D333" s="633"/>
      <c r="E333" s="633"/>
      <c r="F333" s="634"/>
      <c r="G333" s="154">
        <f>SUM(G198,G256,G291,G307,G317,G332)</f>
        <v>1755</v>
      </c>
      <c r="H333" s="154">
        <f>SUM(H198,H256,H291,H307,H317,H332)</f>
        <v>9021.11</v>
      </c>
      <c r="I333" s="154">
        <f>SUM(I198,I256,I291,I307,I317,I332)</f>
        <v>216.5</v>
      </c>
      <c r="J333" s="155">
        <f t="array" ref="J333">IF(ISERROR(G333/I333),"",G333/I333)</f>
        <v>8.1062355658198619</v>
      </c>
      <c r="K333" s="154">
        <f>SUM(K198,K256,K291,K307,K317,K332)</f>
        <v>202.64874551971329</v>
      </c>
      <c r="L333" s="155">
        <f>IF(ISERROR(G333/K333),"",G333/K333)</f>
        <v>8.6603052760041734</v>
      </c>
      <c r="M333" s="154">
        <f t="shared" ref="M333:AA333" si="158">SUM(M198,M256,M291,M307,M317,M332)</f>
        <v>13.851254480286741</v>
      </c>
      <c r="N333" s="154">
        <f t="shared" si="158"/>
        <v>0</v>
      </c>
      <c r="O333" s="154">
        <f t="shared" si="158"/>
        <v>0</v>
      </c>
      <c r="P333" s="154">
        <f t="shared" si="158"/>
        <v>0</v>
      </c>
      <c r="Q333" s="154">
        <f t="shared" si="158"/>
        <v>0</v>
      </c>
      <c r="R333" s="154">
        <f t="shared" si="158"/>
        <v>0</v>
      </c>
      <c r="S333" s="154">
        <f t="shared" si="158"/>
        <v>0</v>
      </c>
      <c r="T333" s="154">
        <f t="shared" si="158"/>
        <v>0</v>
      </c>
      <c r="U333" s="154">
        <f t="shared" si="158"/>
        <v>0</v>
      </c>
      <c r="V333" s="154">
        <f t="shared" si="158"/>
        <v>0</v>
      </c>
      <c r="W333" s="154">
        <f t="shared" si="158"/>
        <v>0</v>
      </c>
      <c r="X333" s="154">
        <f t="shared" si="158"/>
        <v>0</v>
      </c>
      <c r="Y333" s="154">
        <f t="shared" si="158"/>
        <v>0</v>
      </c>
      <c r="Z333" s="154">
        <f t="shared" si="158"/>
        <v>0</v>
      </c>
      <c r="AA333" s="154">
        <f t="shared" si="158"/>
        <v>0</v>
      </c>
    </row>
    <row r="334" spans="1:27" ht="20.100000000000001" customHeight="1">
      <c r="A334" s="635" t="s">
        <v>476</v>
      </c>
      <c r="B334" s="440" t="s">
        <v>247</v>
      </c>
      <c r="C334" s="638" t="s">
        <v>248</v>
      </c>
      <c r="D334" s="639"/>
      <c r="E334" s="640" t="s">
        <v>249</v>
      </c>
      <c r="F334" s="640"/>
      <c r="G334" s="643" t="s">
        <v>250</v>
      </c>
      <c r="H334" s="643"/>
      <c r="I334" s="640" t="s">
        <v>251</v>
      </c>
      <c r="J334" s="640"/>
      <c r="K334" s="640" t="s">
        <v>252</v>
      </c>
      <c r="L334" s="640"/>
      <c r="M334" s="640" t="s">
        <v>253</v>
      </c>
      <c r="N334" s="640"/>
      <c r="O334" s="640" t="s">
        <v>254</v>
      </c>
      <c r="P334" s="643" t="s">
        <v>255</v>
      </c>
      <c r="Q334" s="643"/>
      <c r="R334" s="643" t="s">
        <v>252</v>
      </c>
      <c r="S334" s="643"/>
      <c r="T334" s="643" t="s">
        <v>256</v>
      </c>
      <c r="U334" s="643"/>
      <c r="V334" s="643" t="s">
        <v>257</v>
      </c>
      <c r="W334" s="643"/>
      <c r="X334" s="643" t="s">
        <v>252</v>
      </c>
      <c r="Y334" s="643"/>
      <c r="Z334" s="643" t="s">
        <v>256</v>
      </c>
      <c r="AA334" s="643"/>
    </row>
    <row r="335" spans="1:27" ht="20.100000000000001" customHeight="1">
      <c r="A335" s="636"/>
      <c r="B335" s="440" t="s">
        <v>258</v>
      </c>
      <c r="C335" s="678">
        <v>1</v>
      </c>
      <c r="D335" s="679"/>
      <c r="E335" s="642">
        <f>C335*11</f>
        <v>11</v>
      </c>
      <c r="F335" s="642"/>
      <c r="G335" s="643">
        <v>1</v>
      </c>
      <c r="H335" s="643"/>
      <c r="I335" s="642">
        <f>G335*11</f>
        <v>11</v>
      </c>
      <c r="J335" s="642"/>
      <c r="K335" s="642">
        <f>E335-I335</f>
        <v>0</v>
      </c>
      <c r="L335" s="642"/>
      <c r="M335" s="644">
        <f>IF(ISERROR(K335/E335),"",K335/E335)</f>
        <v>0</v>
      </c>
      <c r="N335" s="644"/>
      <c r="O335" s="640"/>
      <c r="P335" s="643" t="s">
        <v>201</v>
      </c>
      <c r="Q335" s="643"/>
      <c r="R335" s="645">
        <f>SUM(O198:U198)</f>
        <v>0</v>
      </c>
      <c r="S335" s="645"/>
      <c r="T335" s="646" t="str">
        <f t="array" ref="T335">IF(ISERROR(R335/R342),"",R335/R342)</f>
        <v/>
      </c>
      <c r="U335" s="646"/>
      <c r="V335" s="643" t="s">
        <v>259</v>
      </c>
      <c r="W335" s="643"/>
      <c r="X335" s="680">
        <f>SUM(P197,P255,P290,P306,P316,P331)</f>
        <v>0</v>
      </c>
      <c r="Y335" s="681"/>
      <c r="Z335" s="646" t="str">
        <f t="array" ref="Z335">IF(ISERROR(X335/X342),"",X335/X342)</f>
        <v/>
      </c>
      <c r="AA335" s="646"/>
    </row>
    <row r="336" spans="1:27" ht="20.100000000000001" customHeight="1">
      <c r="A336" s="636"/>
      <c r="B336" s="440" t="s">
        <v>260</v>
      </c>
      <c r="C336" s="638">
        <v>0</v>
      </c>
      <c r="D336" s="639"/>
      <c r="E336" s="642">
        <f>C336*11</f>
        <v>0</v>
      </c>
      <c r="F336" s="642"/>
      <c r="G336" s="643">
        <v>0</v>
      </c>
      <c r="H336" s="643"/>
      <c r="I336" s="642">
        <f>G336*11</f>
        <v>0</v>
      </c>
      <c r="J336" s="642"/>
      <c r="K336" s="642">
        <f>E336-I336</f>
        <v>0</v>
      </c>
      <c r="L336" s="642"/>
      <c r="M336" s="644" t="str">
        <f>IF(ISERROR(K336/E336),"",K336/E336)</f>
        <v/>
      </c>
      <c r="N336" s="644"/>
      <c r="O336" s="640"/>
      <c r="P336" s="643" t="s">
        <v>216</v>
      </c>
      <c r="Q336" s="643"/>
      <c r="R336" s="645">
        <f>SUM(O256:U256)</f>
        <v>0</v>
      </c>
      <c r="S336" s="645"/>
      <c r="T336" s="646" t="str">
        <f>IF(ISERROR(R336/R342),"",R336/R342)</f>
        <v/>
      </c>
      <c r="U336" s="646"/>
      <c r="V336" s="643" t="s">
        <v>261</v>
      </c>
      <c r="W336" s="643"/>
      <c r="X336" s="680">
        <f>SUM(P198,P256,P291,P307,P317,P332)</f>
        <v>0</v>
      </c>
      <c r="Y336" s="681"/>
      <c r="Z336" s="646" t="str">
        <f>IF(ISERROR(X336/X342),"",X336/X342)</f>
        <v/>
      </c>
      <c r="AA336" s="646"/>
    </row>
    <row r="337" spans="1:27" ht="20.100000000000001" customHeight="1">
      <c r="A337" s="636"/>
      <c r="B337" s="440" t="s">
        <v>262</v>
      </c>
      <c r="C337" s="638">
        <v>0</v>
      </c>
      <c r="D337" s="639"/>
      <c r="E337" s="642">
        <f>C337*8</f>
        <v>0</v>
      </c>
      <c r="F337" s="642"/>
      <c r="G337" s="643">
        <v>1</v>
      </c>
      <c r="H337" s="643"/>
      <c r="I337" s="642">
        <f>G337*8</f>
        <v>8</v>
      </c>
      <c r="J337" s="642"/>
      <c r="K337" s="642">
        <f>E337-I337</f>
        <v>-8</v>
      </c>
      <c r="L337" s="642"/>
      <c r="M337" s="644" t="str">
        <f>IF(ISERROR(K337/E337),"",K337/E337)</f>
        <v/>
      </c>
      <c r="N337" s="644"/>
      <c r="O337" s="640"/>
      <c r="P337" s="643" t="s">
        <v>224</v>
      </c>
      <c r="Q337" s="643"/>
      <c r="R337" s="645">
        <f>SUM(O291:U291)</f>
        <v>0</v>
      </c>
      <c r="S337" s="645"/>
      <c r="T337" s="646" t="str">
        <f>IF(ISERROR(R337/R342),"",R337/R342)</f>
        <v/>
      </c>
      <c r="U337" s="646"/>
      <c r="V337" s="643" t="s">
        <v>263</v>
      </c>
      <c r="W337" s="643"/>
      <c r="X337" s="680">
        <f>SUM(P199,P257,P292,P308,P318,P333)</f>
        <v>0</v>
      </c>
      <c r="Y337" s="681"/>
      <c r="Z337" s="646" t="str">
        <f>IF(ISERROR(X337/X342),"",X337/X342)</f>
        <v/>
      </c>
      <c r="AA337" s="646"/>
    </row>
    <row r="338" spans="1:27" ht="20.100000000000001" customHeight="1">
      <c r="A338" s="636"/>
      <c r="B338" s="440" t="s">
        <v>264</v>
      </c>
      <c r="C338" s="638">
        <v>1</v>
      </c>
      <c r="D338" s="639"/>
      <c r="E338" s="642">
        <f>C338*11</f>
        <v>11</v>
      </c>
      <c r="F338" s="642"/>
      <c r="G338" s="643">
        <v>1</v>
      </c>
      <c r="H338" s="643"/>
      <c r="I338" s="642">
        <f>G338*11</f>
        <v>11</v>
      </c>
      <c r="J338" s="642"/>
      <c r="K338" s="642">
        <f>E338-I338</f>
        <v>0</v>
      </c>
      <c r="L338" s="642"/>
      <c r="M338" s="644">
        <f>IF(ISERROR(K338/E338),"",K338/E338)</f>
        <v>0</v>
      </c>
      <c r="N338" s="644"/>
      <c r="O338" s="640"/>
      <c r="P338" s="643" t="s">
        <v>231</v>
      </c>
      <c r="Q338" s="643"/>
      <c r="R338" s="645">
        <f>SUM(O307:U307)</f>
        <v>0</v>
      </c>
      <c r="S338" s="645"/>
      <c r="T338" s="646" t="str">
        <f>IF(ISERROR(R338/R342),"",R338/R342)</f>
        <v/>
      </c>
      <c r="U338" s="646"/>
      <c r="V338" s="643" t="s">
        <v>265</v>
      </c>
      <c r="W338" s="643"/>
      <c r="X338" s="680">
        <f>SUM(P201,P258,P293,P309,P319,P334)</f>
        <v>0</v>
      </c>
      <c r="Y338" s="681"/>
      <c r="Z338" s="646" t="str">
        <f>IF(ISERROR(X338/X342),"",X338/X342)</f>
        <v/>
      </c>
      <c r="AA338" s="646"/>
    </row>
    <row r="339" spans="1:27" ht="20.100000000000001" customHeight="1">
      <c r="A339" s="637"/>
      <c r="B339" s="440" t="s">
        <v>266</v>
      </c>
      <c r="C339" s="648">
        <f>SUM(C335:D338)</f>
        <v>2</v>
      </c>
      <c r="D339" s="649"/>
      <c r="E339" s="642">
        <f>SUM(E335:F338)</f>
        <v>22</v>
      </c>
      <c r="F339" s="642"/>
      <c r="G339" s="643">
        <f>SUM(G335:H338)</f>
        <v>3</v>
      </c>
      <c r="H339" s="643"/>
      <c r="I339" s="642">
        <f>SUM(I335:J338)</f>
        <v>30</v>
      </c>
      <c r="J339" s="642"/>
      <c r="K339" s="642">
        <f>SUM(K335:L338)</f>
        <v>-8</v>
      </c>
      <c r="L339" s="642"/>
      <c r="M339" s="644">
        <f>IF(ISERROR(K339/E339),"",K339/E339)</f>
        <v>-0.36363636363636365</v>
      </c>
      <c r="N339" s="644"/>
      <c r="O339" s="640"/>
      <c r="P339" s="643" t="s">
        <v>234</v>
      </c>
      <c r="Q339" s="643"/>
      <c r="R339" s="645">
        <f>SUM(O317:U317)</f>
        <v>0</v>
      </c>
      <c r="S339" s="645"/>
      <c r="T339" s="646" t="str">
        <f>IF(ISERROR(R339/R342),"",R339/R342)</f>
        <v/>
      </c>
      <c r="U339" s="646"/>
      <c r="V339" s="643" t="s">
        <v>267</v>
      </c>
      <c r="W339" s="643"/>
      <c r="X339" s="680">
        <f>SUM(P202,P259,P294,P310,P320,P335)</f>
        <v>0</v>
      </c>
      <c r="Y339" s="681"/>
      <c r="Z339" s="646" t="str">
        <f>IF(ISERROR(X339/X342),"",X339/X342)</f>
        <v/>
      </c>
      <c r="AA339" s="646"/>
    </row>
    <row r="340" spans="1:27" ht="20.100000000000001" customHeight="1">
      <c r="A340" s="309" t="s">
        <v>477</v>
      </c>
      <c r="B340" s="440">
        <f>G333</f>
        <v>1755</v>
      </c>
      <c r="C340" s="650" t="s">
        <v>269</v>
      </c>
      <c r="D340" s="651"/>
      <c r="E340" s="643">
        <f>H333</f>
        <v>9021.11</v>
      </c>
      <c r="F340" s="643"/>
      <c r="G340" s="643" t="s">
        <v>270</v>
      </c>
      <c r="H340" s="643"/>
      <c r="I340" s="652">
        <f>L333</f>
        <v>8.6603052760041734</v>
      </c>
      <c r="J340" s="652"/>
      <c r="K340" s="640" t="s">
        <v>271</v>
      </c>
      <c r="L340" s="640"/>
      <c r="M340" s="652">
        <f>J333</f>
        <v>8.1062355658198619</v>
      </c>
      <c r="N340" s="652"/>
      <c r="O340" s="640"/>
      <c r="P340" s="643" t="s">
        <v>244</v>
      </c>
      <c r="Q340" s="643"/>
      <c r="R340" s="645">
        <f>SUM(O332:U332)</f>
        <v>0</v>
      </c>
      <c r="S340" s="645"/>
      <c r="T340" s="646" t="str">
        <f>IF(ISERROR(R340/R342),"",R340/R342)</f>
        <v/>
      </c>
      <c r="U340" s="646"/>
      <c r="V340" s="643" t="s">
        <v>272</v>
      </c>
      <c r="W340" s="643"/>
      <c r="X340" s="680">
        <f>SUM(P203,P260,P295,P311,P321,P336)</f>
        <v>0</v>
      </c>
      <c r="Y340" s="681"/>
      <c r="Z340" s="646" t="str">
        <f>IF(ISERROR(X340/X342),"",X340/X342)</f>
        <v/>
      </c>
      <c r="AA340" s="646"/>
    </row>
    <row r="341" spans="1:27" ht="20.100000000000001" customHeight="1">
      <c r="A341" s="310" t="s">
        <v>478</v>
      </c>
      <c r="B341" s="440">
        <f>I333+C339</f>
        <v>218.5</v>
      </c>
      <c r="C341" s="653" t="s">
        <v>251</v>
      </c>
      <c r="D341" s="654"/>
      <c r="E341" s="655">
        <f>K333+I339</f>
        <v>232.64874551971329</v>
      </c>
      <c r="F341" s="655"/>
      <c r="G341" s="643" t="s">
        <v>274</v>
      </c>
      <c r="H341" s="643"/>
      <c r="I341" s="652">
        <f>B341-E341</f>
        <v>-14.148745519713287</v>
      </c>
      <c r="J341" s="652"/>
      <c r="K341" s="640" t="s">
        <v>275</v>
      </c>
      <c r="L341" s="640"/>
      <c r="M341" s="644">
        <f>IF(ISERROR(I341/E341),"",I341/E341)</f>
        <v>-6.0815911506878963E-2</v>
      </c>
      <c r="N341" s="644"/>
      <c r="O341" s="640"/>
      <c r="P341" s="643" t="s">
        <v>245</v>
      </c>
      <c r="Q341" s="643"/>
      <c r="R341" s="645"/>
      <c r="S341" s="645"/>
      <c r="T341" s="646" t="str">
        <f>IF(ISERROR(R341/R342),"",R341/R342)</f>
        <v/>
      </c>
      <c r="U341" s="646"/>
      <c r="V341" s="643" t="s">
        <v>264</v>
      </c>
      <c r="W341" s="643"/>
      <c r="X341" s="680">
        <f>SUM(P204,P261,P296,P312,P322,P337)</f>
        <v>0</v>
      </c>
      <c r="Y341" s="681"/>
      <c r="Z341" s="646" t="str">
        <f>IF(ISERROR(X341/X342),"",X341/X342)</f>
        <v/>
      </c>
      <c r="AA341" s="646"/>
    </row>
    <row r="342" spans="1:27" ht="20.100000000000001" customHeight="1">
      <c r="A342" s="310" t="s">
        <v>479</v>
      </c>
      <c r="B342" s="440">
        <f>N333</f>
        <v>0</v>
      </c>
      <c r="C342" s="653" t="s">
        <v>277</v>
      </c>
      <c r="D342" s="654"/>
      <c r="E342" s="646">
        <f>IF(ISERROR(B342/B341),"",B342/B341)</f>
        <v>0</v>
      </c>
      <c r="F342" s="646"/>
      <c r="G342" s="643" t="s">
        <v>278</v>
      </c>
      <c r="H342" s="643"/>
      <c r="I342" s="640">
        <f>V333</f>
        <v>0</v>
      </c>
      <c r="J342" s="640"/>
      <c r="K342" s="640" t="s">
        <v>279</v>
      </c>
      <c r="L342" s="640"/>
      <c r="M342" s="644">
        <f t="array" ref="M342">IF(ISERROR(I342/B340),"",I342/B340)</f>
        <v>0</v>
      </c>
      <c r="N342" s="644"/>
      <c r="O342" s="640"/>
      <c r="P342" s="643" t="s">
        <v>266</v>
      </c>
      <c r="Q342" s="643"/>
      <c r="R342" s="645">
        <f>SUM(R335:S341)</f>
        <v>0</v>
      </c>
      <c r="S342" s="645"/>
      <c r="T342" s="646"/>
      <c r="U342" s="646"/>
      <c r="V342" s="643" t="s">
        <v>266</v>
      </c>
      <c r="W342" s="643"/>
      <c r="X342" s="647">
        <f>SUM(X335:Y341)</f>
        <v>0</v>
      </c>
      <c r="Y342" s="647"/>
      <c r="Z342" s="646"/>
      <c r="AA342" s="646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56" t="s">
        <v>480</v>
      </c>
      <c r="B344" s="659" t="s">
        <v>280</v>
      </c>
      <c r="C344" s="659" t="s">
        <v>281</v>
      </c>
      <c r="D344" s="659" t="s">
        <v>282</v>
      </c>
      <c r="E344" s="662" t="s">
        <v>283</v>
      </c>
      <c r="F344" s="675" t="s">
        <v>284</v>
      </c>
      <c r="G344" s="640" t="s">
        <v>285</v>
      </c>
      <c r="H344" s="640"/>
      <c r="I344" s="659" t="s">
        <v>286</v>
      </c>
      <c r="J344" s="665" t="s">
        <v>271</v>
      </c>
      <c r="K344" s="668" t="s">
        <v>287</v>
      </c>
      <c r="L344" s="659" t="s">
        <v>270</v>
      </c>
      <c r="M344" s="671" t="s">
        <v>288</v>
      </c>
      <c r="N344" s="673" t="s">
        <v>252</v>
      </c>
      <c r="O344" s="640" t="s">
        <v>289</v>
      </c>
      <c r="P344" s="640"/>
      <c r="Q344" s="640"/>
      <c r="R344" s="640"/>
      <c r="S344" s="640"/>
      <c r="T344" s="640"/>
      <c r="U344" s="640"/>
      <c r="V344" s="640" t="s">
        <v>290</v>
      </c>
      <c r="W344" s="673" t="s">
        <v>291</v>
      </c>
      <c r="X344" s="640" t="s">
        <v>292</v>
      </c>
      <c r="Y344" s="640"/>
      <c r="Z344" s="640"/>
      <c r="AA344" s="640"/>
    </row>
    <row r="345" spans="1:27" ht="21.95" customHeight="1">
      <c r="A345" s="657"/>
      <c r="B345" s="660"/>
      <c r="C345" s="660"/>
      <c r="D345" s="660"/>
      <c r="E345" s="663"/>
      <c r="F345" s="676"/>
      <c r="G345" s="640"/>
      <c r="H345" s="640"/>
      <c r="I345" s="660"/>
      <c r="J345" s="666"/>
      <c r="K345" s="669"/>
      <c r="L345" s="660"/>
      <c r="M345" s="672"/>
      <c r="N345" s="673"/>
      <c r="O345" s="640" t="s">
        <v>259</v>
      </c>
      <c r="P345" s="640" t="s">
        <v>261</v>
      </c>
      <c r="Q345" s="640" t="s">
        <v>263</v>
      </c>
      <c r="R345" s="674" t="s">
        <v>265</v>
      </c>
      <c r="S345" s="643" t="s">
        <v>267</v>
      </c>
      <c r="T345" s="640" t="s">
        <v>272</v>
      </c>
      <c r="U345" s="640" t="s">
        <v>264</v>
      </c>
      <c r="V345" s="640"/>
      <c r="W345" s="673"/>
      <c r="X345" s="640" t="s">
        <v>293</v>
      </c>
      <c r="Y345" s="640" t="s">
        <v>294</v>
      </c>
      <c r="Z345" s="640" t="s">
        <v>295</v>
      </c>
      <c r="AA345" s="640" t="s">
        <v>264</v>
      </c>
    </row>
    <row r="346" spans="1:27" ht="21.95" customHeight="1">
      <c r="A346" s="658"/>
      <c r="B346" s="661"/>
      <c r="C346" s="661"/>
      <c r="D346" s="661"/>
      <c r="E346" s="664"/>
      <c r="F346" s="677"/>
      <c r="G346" s="348" t="s">
        <v>296</v>
      </c>
      <c r="H346" s="433" t="s">
        <v>297</v>
      </c>
      <c r="I346" s="661"/>
      <c r="J346" s="667"/>
      <c r="K346" s="670"/>
      <c r="L346" s="661"/>
      <c r="M346" s="672"/>
      <c r="N346" s="673"/>
      <c r="O346" s="640"/>
      <c r="P346" s="640"/>
      <c r="Q346" s="640"/>
      <c r="R346" s="674"/>
      <c r="S346" s="643"/>
      <c r="T346" s="640"/>
      <c r="U346" s="640"/>
      <c r="V346" s="640"/>
      <c r="W346" s="673"/>
      <c r="X346" s="640"/>
      <c r="Y346" s="640"/>
      <c r="Z346" s="640"/>
      <c r="AA346" s="640"/>
    </row>
    <row r="347" spans="1:27" ht="20.100000000000001" hidden="1" customHeight="1">
      <c r="A347" s="299">
        <v>30100030</v>
      </c>
      <c r="B347" s="435" t="s">
        <v>178</v>
      </c>
      <c r="C347" s="126" t="s">
        <v>179</v>
      </c>
      <c r="D347" s="108">
        <v>5.03</v>
      </c>
      <c r="E347" s="108"/>
      <c r="F347" s="127"/>
      <c r="G347" s="128"/>
      <c r="H347" s="443">
        <f t="shared" ref="H347:H367" si="159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60">IF(ISERROR(I347-K347),"",I347-K347)</f>
        <v>0</v>
      </c>
      <c r="N347" s="130">
        <f t="shared" ref="N347:N352" si="161">SUM(O347:U347)</f>
        <v>0</v>
      </c>
      <c r="O347" s="434"/>
      <c r="P347" s="434"/>
      <c r="Q347" s="434"/>
      <c r="R347" s="434"/>
      <c r="S347" s="434"/>
      <c r="T347" s="434"/>
      <c r="U347" s="434"/>
      <c r="V347" s="132">
        <f t="shared" ref="V347:V352" si="162">SUM(X347:AA347)</f>
        <v>0</v>
      </c>
      <c r="W347" s="133" t="str">
        <f t="shared" ref="W347:W352" si="163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443">
        <f t="shared" si="159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60"/>
        <v>0</v>
      </c>
      <c r="N348" s="130">
        <f t="shared" si="161"/>
        <v>0</v>
      </c>
      <c r="O348" s="434"/>
      <c r="P348" s="434"/>
      <c r="Q348" s="434"/>
      <c r="R348" s="434"/>
      <c r="S348" s="434"/>
      <c r="T348" s="434"/>
      <c r="U348" s="434"/>
      <c r="V348" s="132">
        <f t="shared" si="162"/>
        <v>0</v>
      </c>
      <c r="W348" s="133" t="str">
        <f t="shared" si="163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443">
        <f t="shared" si="159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60"/>
        <v>0</v>
      </c>
      <c r="N349" s="130">
        <f t="shared" si="161"/>
        <v>0</v>
      </c>
      <c r="O349" s="434"/>
      <c r="P349" s="434"/>
      <c r="Q349" s="434"/>
      <c r="R349" s="434"/>
      <c r="S349" s="434"/>
      <c r="T349" s="434"/>
      <c r="U349" s="434"/>
      <c r="V349" s="132">
        <f t="shared" si="162"/>
        <v>0</v>
      </c>
      <c r="W349" s="133" t="str">
        <f t="shared" si="163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443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434"/>
      <c r="P350" s="434"/>
      <c r="Q350" s="434"/>
      <c r="R350" s="434"/>
      <c r="S350" s="434"/>
      <c r="T350" s="434"/>
      <c r="U350" s="434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443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60"/>
        <v>0</v>
      </c>
      <c r="N351" s="130">
        <f t="shared" si="161"/>
        <v>0</v>
      </c>
      <c r="O351" s="434"/>
      <c r="P351" s="434"/>
      <c r="Q351" s="434"/>
      <c r="R351" s="434"/>
      <c r="S351" s="434"/>
      <c r="T351" s="434"/>
      <c r="U351" s="434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443">
        <f t="shared" si="159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434"/>
      <c r="P352" s="434"/>
      <c r="Q352" s="434"/>
      <c r="R352" s="434"/>
      <c r="S352" s="434"/>
      <c r="T352" s="434"/>
      <c r="U352" s="434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443">
        <f t="shared" si="159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60"/>
        <v>0</v>
      </c>
      <c r="N353" s="130"/>
      <c r="O353" s="434"/>
      <c r="P353" s="434"/>
      <c r="Q353" s="434"/>
      <c r="R353" s="434"/>
      <c r="S353" s="434"/>
      <c r="T353" s="434"/>
      <c r="U353" s="434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443">
        <f t="shared" si="159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60"/>
        <v>0</v>
      </c>
      <c r="N354" s="130"/>
      <c r="O354" s="434"/>
      <c r="P354" s="434"/>
      <c r="Q354" s="434"/>
      <c r="R354" s="434"/>
      <c r="S354" s="434"/>
      <c r="T354" s="434"/>
      <c r="U354" s="434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443">
        <f t="shared" si="159"/>
        <v>0</v>
      </c>
      <c r="I355" s="443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60"/>
        <v>0</v>
      </c>
      <c r="N355" s="130">
        <f>SUM(O355:U355)</f>
        <v>0</v>
      </c>
      <c r="O355" s="434"/>
      <c r="P355" s="434"/>
      <c r="Q355" s="434"/>
      <c r="R355" s="434"/>
      <c r="S355" s="434"/>
      <c r="T355" s="434"/>
      <c r="U355" s="434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443">
        <f t="shared" si="159"/>
        <v>0</v>
      </c>
      <c r="I356" s="443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60"/>
        <v>0</v>
      </c>
      <c r="N356" s="130">
        <f>SUM(O356:U356)</f>
        <v>0</v>
      </c>
      <c r="O356" s="434"/>
      <c r="P356" s="434"/>
      <c r="Q356" s="434"/>
      <c r="R356" s="434"/>
      <c r="S356" s="434"/>
      <c r="T356" s="434"/>
      <c r="U356" s="434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443">
        <f t="shared" si="159"/>
        <v>0</v>
      </c>
      <c r="I357" s="443"/>
      <c r="J357" s="130"/>
      <c r="K357" s="131"/>
      <c r="L357" s="129"/>
      <c r="M357" s="109"/>
      <c r="N357" s="130"/>
      <c r="O357" s="434"/>
      <c r="P357" s="434"/>
      <c r="Q357" s="434"/>
      <c r="R357" s="434"/>
      <c r="S357" s="434"/>
      <c r="T357" s="434"/>
      <c r="U357" s="434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443">
        <f t="shared" si="159"/>
        <v>0</v>
      </c>
      <c r="I358" s="443"/>
      <c r="J358" s="130"/>
      <c r="K358" s="131"/>
      <c r="L358" s="129"/>
      <c r="M358" s="109"/>
      <c r="N358" s="130"/>
      <c r="O358" s="434"/>
      <c r="P358" s="434"/>
      <c r="Q358" s="434"/>
      <c r="R358" s="434"/>
      <c r="S358" s="434"/>
      <c r="T358" s="434"/>
      <c r="U358" s="434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443">
        <f t="shared" si="159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4">IF(ISERROR(I359-K359),"",I359-K359)</f>
        <v>0</v>
      </c>
      <c r="N359" s="130">
        <f t="shared" ref="N359:N361" si="165">SUM(O359:U359)</f>
        <v>0</v>
      </c>
      <c r="O359" s="434"/>
      <c r="P359" s="434"/>
      <c r="Q359" s="434"/>
      <c r="R359" s="434"/>
      <c r="S359" s="434"/>
      <c r="T359" s="434"/>
      <c r="U359" s="434"/>
      <c r="V359" s="132">
        <f t="shared" ref="V359:V361" si="166">SUM(X359:AA359)</f>
        <v>0</v>
      </c>
      <c r="W359" s="133" t="str">
        <f t="shared" ref="W359:W361" si="167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443">
        <f t="shared" si="159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4"/>
        <v>0</v>
      </c>
      <c r="N360" s="130">
        <f t="shared" si="165"/>
        <v>0</v>
      </c>
      <c r="O360" s="434"/>
      <c r="P360" s="434"/>
      <c r="Q360" s="434"/>
      <c r="R360" s="434"/>
      <c r="S360" s="434"/>
      <c r="T360" s="434"/>
      <c r="U360" s="434"/>
      <c r="V360" s="132">
        <f t="shared" si="166"/>
        <v>0</v>
      </c>
      <c r="W360" s="133" t="str">
        <f t="shared" si="167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443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4"/>
        <v>0</v>
      </c>
      <c r="N361" s="130">
        <f t="shared" si="165"/>
        <v>0</v>
      </c>
      <c r="O361" s="434"/>
      <c r="P361" s="434"/>
      <c r="Q361" s="434"/>
      <c r="R361" s="434"/>
      <c r="S361" s="434"/>
      <c r="T361" s="434"/>
      <c r="U361" s="434"/>
      <c r="V361" s="132">
        <f t="shared" si="166"/>
        <v>0</v>
      </c>
      <c r="W361" s="133" t="str">
        <f t="shared" si="167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433" t="s">
        <v>190</v>
      </c>
      <c r="D362" s="108">
        <v>4.8</v>
      </c>
      <c r="E362" s="108"/>
      <c r="F362" s="127"/>
      <c r="G362" s="128"/>
      <c r="H362" s="443">
        <f t="shared" si="159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4"/>
        <v>0</v>
      </c>
      <c r="N362" s="130"/>
      <c r="O362" s="434"/>
      <c r="P362" s="434"/>
      <c r="Q362" s="434"/>
      <c r="R362" s="434"/>
      <c r="S362" s="434"/>
      <c r="T362" s="434"/>
      <c r="U362" s="434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433" t="s">
        <v>187</v>
      </c>
      <c r="D363" s="108">
        <v>4.8</v>
      </c>
      <c r="E363" s="108"/>
      <c r="F363" s="127"/>
      <c r="G363" s="128"/>
      <c r="H363" s="443">
        <f t="shared" si="159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4"/>
        <v>0</v>
      </c>
      <c r="N363" s="130"/>
      <c r="O363" s="434"/>
      <c r="P363" s="434"/>
      <c r="Q363" s="434"/>
      <c r="R363" s="434"/>
      <c r="S363" s="434"/>
      <c r="T363" s="434"/>
      <c r="U363" s="434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433" t="s">
        <v>179</v>
      </c>
      <c r="D364" s="108">
        <v>4.8</v>
      </c>
      <c r="E364" s="108"/>
      <c r="F364" s="127"/>
      <c r="G364" s="128"/>
      <c r="H364" s="443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4"/>
        <v>0</v>
      </c>
      <c r="N364" s="130"/>
      <c r="O364" s="434"/>
      <c r="P364" s="434"/>
      <c r="Q364" s="434"/>
      <c r="R364" s="434"/>
      <c r="S364" s="434"/>
      <c r="T364" s="434"/>
      <c r="U364" s="434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433" t="s">
        <v>199</v>
      </c>
      <c r="D365" s="108">
        <v>4.8</v>
      </c>
      <c r="E365" s="108"/>
      <c r="F365" s="127"/>
      <c r="G365" s="128"/>
      <c r="H365" s="443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4"/>
        <v>0</v>
      </c>
      <c r="N365" s="130"/>
      <c r="O365" s="434"/>
      <c r="P365" s="434"/>
      <c r="Q365" s="434"/>
      <c r="R365" s="434"/>
      <c r="S365" s="434"/>
      <c r="T365" s="434"/>
      <c r="U365" s="434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443">
        <f t="shared" si="159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4"/>
        <v>0</v>
      </c>
      <c r="N366" s="130">
        <f t="shared" ref="N366:N367" si="168">SUM(O366:U366)</f>
        <v>0</v>
      </c>
      <c r="O366" s="434"/>
      <c r="P366" s="434"/>
      <c r="Q366" s="434"/>
      <c r="R366" s="434"/>
      <c r="S366" s="434"/>
      <c r="T366" s="434"/>
      <c r="U366" s="434"/>
      <c r="V366" s="132">
        <f t="shared" ref="V366:V367" si="169">SUM(X366:AA366)</f>
        <v>0</v>
      </c>
      <c r="W366" s="133" t="str">
        <f t="shared" ref="W366:W367" si="170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443">
        <f t="shared" si="159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4"/>
        <v>0</v>
      </c>
      <c r="N367" s="130">
        <f t="shared" si="168"/>
        <v>0</v>
      </c>
      <c r="O367" s="434"/>
      <c r="P367" s="434"/>
      <c r="Q367" s="434"/>
      <c r="R367" s="434"/>
      <c r="S367" s="434"/>
      <c r="T367" s="434"/>
      <c r="U367" s="434"/>
      <c r="V367" s="132">
        <f t="shared" si="169"/>
        <v>0</v>
      </c>
      <c r="W367" s="133" t="str">
        <f t="shared" si="170"/>
        <v/>
      </c>
      <c r="X367" s="132"/>
      <c r="Y367" s="132"/>
      <c r="Z367" s="132"/>
      <c r="AA367" s="132"/>
    </row>
    <row r="368" spans="1:27" ht="20.100000000000001" hidden="1" customHeight="1">
      <c r="A368" s="630" t="s">
        <v>201</v>
      </c>
      <c r="B368" s="631"/>
      <c r="C368" s="441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1">SUM(M347:M367)</f>
        <v>0</v>
      </c>
      <c r="N368" s="146">
        <f t="shared" si="171"/>
        <v>0</v>
      </c>
      <c r="O368" s="148">
        <f t="shared" si="171"/>
        <v>0</v>
      </c>
      <c r="P368" s="148">
        <f t="shared" si="171"/>
        <v>0</v>
      </c>
      <c r="Q368" s="148">
        <f t="shared" si="171"/>
        <v>0</v>
      </c>
      <c r="R368" s="148">
        <f t="shared" si="171"/>
        <v>0</v>
      </c>
      <c r="S368" s="148">
        <f t="shared" si="171"/>
        <v>0</v>
      </c>
      <c r="T368" s="148">
        <f t="shared" si="171"/>
        <v>0</v>
      </c>
      <c r="U368" s="148">
        <f t="shared" si="171"/>
        <v>0</v>
      </c>
      <c r="V368" s="149">
        <f t="shared" si="171"/>
        <v>0</v>
      </c>
      <c r="W368" s="133">
        <f t="shared" si="171"/>
        <v>0</v>
      </c>
      <c r="X368" s="149">
        <f t="shared" si="171"/>
        <v>0</v>
      </c>
      <c r="Y368" s="149">
        <f t="shared" si="171"/>
        <v>0</v>
      </c>
      <c r="Z368" s="149">
        <f t="shared" si="171"/>
        <v>0</v>
      </c>
      <c r="AA368" s="149">
        <f t="shared" si="171"/>
        <v>0</v>
      </c>
    </row>
    <row r="369" spans="1:27" ht="20.100000000000001" hidden="1" customHeight="1">
      <c r="A369" s="300">
        <v>30100012</v>
      </c>
      <c r="B369" s="435" t="s">
        <v>206</v>
      </c>
      <c r="C369" s="126" t="s">
        <v>199</v>
      </c>
      <c r="D369" s="108">
        <v>5.03</v>
      </c>
      <c r="E369" s="108"/>
      <c r="F369" s="127"/>
      <c r="G369" s="128"/>
      <c r="H369" s="443">
        <f t="shared" ref="H369:H425" si="172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3">IF(ISERROR(I369-K369),"",I369-K369)</f>
        <v>0</v>
      </c>
      <c r="N369" s="130">
        <f t="shared" ref="N369" si="174">SUM(O369:U369)</f>
        <v>0</v>
      </c>
      <c r="O369" s="438"/>
      <c r="P369" s="438"/>
      <c r="Q369" s="438"/>
      <c r="R369" s="438"/>
      <c r="S369" s="438"/>
      <c r="T369" s="438"/>
      <c r="U369" s="438"/>
      <c r="V369" s="132">
        <f t="shared" ref="V369" si="175">SUM(X369:AA369)</f>
        <v>0</v>
      </c>
      <c r="W369" s="133" t="str">
        <f t="shared" ref="W369" si="176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435" t="s">
        <v>425</v>
      </c>
      <c r="C370" s="187" t="s">
        <v>427</v>
      </c>
      <c r="D370" s="108">
        <v>5.03</v>
      </c>
      <c r="E370" s="108"/>
      <c r="F370" s="127"/>
      <c r="G370" s="128"/>
      <c r="H370" s="443">
        <f t="shared" si="172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438"/>
      <c r="P370" s="438"/>
      <c r="Q370" s="438"/>
      <c r="R370" s="438"/>
      <c r="S370" s="438"/>
      <c r="T370" s="438"/>
      <c r="U370" s="438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435" t="s">
        <v>206</v>
      </c>
      <c r="C371" s="126" t="s">
        <v>186</v>
      </c>
      <c r="D371" s="108">
        <v>5.03</v>
      </c>
      <c r="E371" s="108"/>
      <c r="F371" s="127"/>
      <c r="G371" s="128"/>
      <c r="H371" s="443">
        <f t="shared" si="172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7">IF(ISERROR(I371-K371),"",I371-K371)</f>
        <v>0</v>
      </c>
      <c r="N371" s="130">
        <f t="shared" ref="N371:N373" si="178">SUM(O371:U371)</f>
        <v>0</v>
      </c>
      <c r="O371" s="438"/>
      <c r="P371" s="438"/>
      <c r="Q371" s="438"/>
      <c r="R371" s="438"/>
      <c r="S371" s="438"/>
      <c r="T371" s="438"/>
      <c r="U371" s="438"/>
      <c r="V371" s="132">
        <f t="shared" ref="V371:V373" si="179">SUM(X371:AA371)</f>
        <v>0</v>
      </c>
      <c r="W371" s="133" t="str">
        <f t="shared" ref="W371:W373" si="180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435" t="s">
        <v>206</v>
      </c>
      <c r="C372" s="126" t="s">
        <v>203</v>
      </c>
      <c r="D372" s="108">
        <v>5.03</v>
      </c>
      <c r="E372" s="108"/>
      <c r="F372" s="127"/>
      <c r="G372" s="128"/>
      <c r="H372" s="443">
        <f t="shared" si="172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7"/>
        <v>0</v>
      </c>
      <c r="N372" s="130">
        <f t="shared" si="178"/>
        <v>0</v>
      </c>
      <c r="O372" s="438"/>
      <c r="P372" s="438"/>
      <c r="Q372" s="438"/>
      <c r="R372" s="438"/>
      <c r="S372" s="438"/>
      <c r="T372" s="438"/>
      <c r="U372" s="438"/>
      <c r="V372" s="132">
        <f t="shared" si="179"/>
        <v>0</v>
      </c>
      <c r="W372" s="133" t="str">
        <f t="shared" si="180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435" t="s">
        <v>206</v>
      </c>
      <c r="C373" s="126" t="s">
        <v>207</v>
      </c>
      <c r="D373" s="108">
        <v>5.03</v>
      </c>
      <c r="E373" s="108"/>
      <c r="F373" s="127"/>
      <c r="G373" s="128"/>
      <c r="H373" s="443">
        <f t="shared" si="172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7"/>
        <v>0</v>
      </c>
      <c r="N373" s="130">
        <f t="shared" si="178"/>
        <v>0</v>
      </c>
      <c r="O373" s="438"/>
      <c r="P373" s="438"/>
      <c r="Q373" s="438"/>
      <c r="R373" s="438"/>
      <c r="S373" s="438"/>
      <c r="T373" s="438"/>
      <c r="U373" s="438"/>
      <c r="V373" s="132">
        <f t="shared" si="179"/>
        <v>0</v>
      </c>
      <c r="W373" s="133" t="str">
        <f t="shared" si="180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435" t="s">
        <v>414</v>
      </c>
      <c r="C374" s="187" t="s">
        <v>415</v>
      </c>
      <c r="D374" s="108"/>
      <c r="E374" s="108"/>
      <c r="F374" s="127"/>
      <c r="G374" s="128"/>
      <c r="H374" s="443">
        <f t="shared" si="172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7"/>
        <v>0</v>
      </c>
      <c r="N374" s="130"/>
      <c r="O374" s="438"/>
      <c r="P374" s="438"/>
      <c r="Q374" s="438"/>
      <c r="R374" s="438"/>
      <c r="S374" s="438"/>
      <c r="T374" s="438"/>
      <c r="U374" s="438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435" t="s">
        <v>414</v>
      </c>
      <c r="C375" s="187" t="s">
        <v>416</v>
      </c>
      <c r="D375" s="108"/>
      <c r="E375" s="108"/>
      <c r="F375" s="127"/>
      <c r="G375" s="128"/>
      <c r="H375" s="443">
        <f t="shared" si="172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7"/>
        <v>0</v>
      </c>
      <c r="N375" s="130"/>
      <c r="O375" s="438"/>
      <c r="P375" s="438"/>
      <c r="Q375" s="438"/>
      <c r="R375" s="438"/>
      <c r="S375" s="438"/>
      <c r="T375" s="438"/>
      <c r="U375" s="438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435" t="s">
        <v>414</v>
      </c>
      <c r="C376" s="187" t="s">
        <v>61</v>
      </c>
      <c r="D376" s="108"/>
      <c r="E376" s="108"/>
      <c r="F376" s="127"/>
      <c r="G376" s="128"/>
      <c r="H376" s="443">
        <f t="shared" si="172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7"/>
        <v>0</v>
      </c>
      <c r="N376" s="130"/>
      <c r="O376" s="438"/>
      <c r="P376" s="438"/>
      <c r="Q376" s="438"/>
      <c r="R376" s="438"/>
      <c r="S376" s="438"/>
      <c r="T376" s="438"/>
      <c r="U376" s="438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435" t="s">
        <v>208</v>
      </c>
      <c r="C377" s="126" t="s">
        <v>179</v>
      </c>
      <c r="D377" s="108">
        <v>5.08</v>
      </c>
      <c r="E377" s="108"/>
      <c r="F377" s="127"/>
      <c r="G377" s="128"/>
      <c r="H377" s="443">
        <f t="shared" si="172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7"/>
        <v>0</v>
      </c>
      <c r="N377" s="130">
        <f t="shared" ref="N377:N392" si="181">SUM(O377:U377)</f>
        <v>0</v>
      </c>
      <c r="O377" s="438"/>
      <c r="P377" s="438"/>
      <c r="Q377" s="438"/>
      <c r="R377" s="438"/>
      <c r="S377" s="438"/>
      <c r="T377" s="438"/>
      <c r="U377" s="438"/>
      <c r="V377" s="132">
        <f t="shared" ref="V377:V388" si="182">SUM(X377:AA377)</f>
        <v>0</v>
      </c>
      <c r="W377" s="133" t="str">
        <f t="shared" ref="W377:W388" si="183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435" t="s">
        <v>208</v>
      </c>
      <c r="C378" s="126" t="s">
        <v>204</v>
      </c>
      <c r="D378" s="108">
        <v>5.08</v>
      </c>
      <c r="E378" s="108"/>
      <c r="F378" s="127"/>
      <c r="G378" s="128"/>
      <c r="H378" s="443">
        <f t="shared" si="172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7"/>
        <v>0</v>
      </c>
      <c r="N378" s="130">
        <f t="shared" si="181"/>
        <v>0</v>
      </c>
      <c r="O378" s="438"/>
      <c r="P378" s="438"/>
      <c r="Q378" s="438"/>
      <c r="R378" s="438"/>
      <c r="S378" s="438"/>
      <c r="T378" s="438"/>
      <c r="U378" s="438"/>
      <c r="V378" s="132">
        <f t="shared" si="182"/>
        <v>0</v>
      </c>
      <c r="W378" s="133" t="str">
        <f t="shared" si="183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435" t="s">
        <v>208</v>
      </c>
      <c r="C379" s="126" t="s">
        <v>205</v>
      </c>
      <c r="D379" s="108">
        <v>5.08</v>
      </c>
      <c r="E379" s="108"/>
      <c r="F379" s="127"/>
      <c r="G379" s="128"/>
      <c r="H379" s="443">
        <f t="shared" si="172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si="181"/>
        <v>0</v>
      </c>
      <c r="O379" s="438"/>
      <c r="P379" s="438"/>
      <c r="Q379" s="438"/>
      <c r="R379" s="438"/>
      <c r="S379" s="438"/>
      <c r="T379" s="438"/>
      <c r="U379" s="438"/>
      <c r="V379" s="132">
        <f t="shared" si="182"/>
        <v>0</v>
      </c>
      <c r="W379" s="133" t="str">
        <f t="shared" si="183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435" t="s">
        <v>208</v>
      </c>
      <c r="C380" s="126" t="s">
        <v>186</v>
      </c>
      <c r="D380" s="108">
        <v>5.08</v>
      </c>
      <c r="E380" s="108"/>
      <c r="F380" s="127"/>
      <c r="G380" s="128"/>
      <c r="H380" s="443">
        <f t="shared" si="172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81"/>
        <v>0</v>
      </c>
      <c r="O380" s="438"/>
      <c r="P380" s="438"/>
      <c r="Q380" s="438"/>
      <c r="R380" s="438"/>
      <c r="S380" s="438"/>
      <c r="T380" s="438"/>
      <c r="U380" s="438"/>
      <c r="V380" s="132">
        <f t="shared" si="182"/>
        <v>0</v>
      </c>
      <c r="W380" s="133" t="str">
        <f t="shared" si="183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435" t="s">
        <v>208</v>
      </c>
      <c r="C381" s="126" t="s">
        <v>203</v>
      </c>
      <c r="D381" s="108">
        <v>5.08</v>
      </c>
      <c r="E381" s="108"/>
      <c r="F381" s="127"/>
      <c r="G381" s="128"/>
      <c r="H381" s="443">
        <f t="shared" si="172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81"/>
        <v>0</v>
      </c>
      <c r="O381" s="438"/>
      <c r="P381" s="438"/>
      <c r="Q381" s="438"/>
      <c r="R381" s="438"/>
      <c r="S381" s="438"/>
      <c r="T381" s="438"/>
      <c r="U381" s="438"/>
      <c r="V381" s="132">
        <f t="shared" si="182"/>
        <v>0</v>
      </c>
      <c r="W381" s="133" t="str">
        <f t="shared" si="183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435" t="s">
        <v>208</v>
      </c>
      <c r="C382" s="126" t="s">
        <v>199</v>
      </c>
      <c r="D382" s="108">
        <v>5.08</v>
      </c>
      <c r="E382" s="108"/>
      <c r="F382" s="127"/>
      <c r="G382" s="128"/>
      <c r="H382" s="443">
        <f t="shared" si="172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81"/>
        <v>0</v>
      </c>
      <c r="O382" s="434"/>
      <c r="P382" s="434"/>
      <c r="Q382" s="434"/>
      <c r="R382" s="434"/>
      <c r="S382" s="434"/>
      <c r="T382" s="434"/>
      <c r="U382" s="434"/>
      <c r="V382" s="132">
        <f t="shared" si="182"/>
        <v>0</v>
      </c>
      <c r="W382" s="133" t="str">
        <f t="shared" si="183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435" t="s">
        <v>208</v>
      </c>
      <c r="C383" s="126" t="s">
        <v>187</v>
      </c>
      <c r="D383" s="108">
        <v>5.08</v>
      </c>
      <c r="E383" s="108"/>
      <c r="F383" s="127"/>
      <c r="G383" s="128"/>
      <c r="H383" s="443">
        <f t="shared" si="172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81"/>
        <v>0</v>
      </c>
      <c r="O383" s="438"/>
      <c r="P383" s="438"/>
      <c r="Q383" s="438"/>
      <c r="R383" s="438"/>
      <c r="S383" s="438"/>
      <c r="T383" s="438"/>
      <c r="U383" s="438"/>
      <c r="V383" s="132">
        <f t="shared" si="182"/>
        <v>0</v>
      </c>
      <c r="W383" s="133" t="str">
        <f t="shared" si="183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435" t="s">
        <v>208</v>
      </c>
      <c r="C384" s="126" t="s">
        <v>207</v>
      </c>
      <c r="D384" s="108">
        <v>5.08</v>
      </c>
      <c r="E384" s="108"/>
      <c r="F384" s="127"/>
      <c r="G384" s="128"/>
      <c r="H384" s="443">
        <f t="shared" si="172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81"/>
        <v>0</v>
      </c>
      <c r="O384" s="434"/>
      <c r="P384" s="434"/>
      <c r="Q384" s="434"/>
      <c r="R384" s="434"/>
      <c r="S384" s="434"/>
      <c r="T384" s="434"/>
      <c r="U384" s="434"/>
      <c r="V384" s="132">
        <f t="shared" si="182"/>
        <v>0</v>
      </c>
      <c r="W384" s="133" t="str">
        <f t="shared" si="183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435" t="s">
        <v>209</v>
      </c>
      <c r="C385" s="126" t="s">
        <v>194</v>
      </c>
      <c r="D385" s="108">
        <v>5.03</v>
      </c>
      <c r="E385" s="108"/>
      <c r="F385" s="127"/>
      <c r="G385" s="128"/>
      <c r="H385" s="443">
        <f t="shared" si="172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7"/>
        <v>0</v>
      </c>
      <c r="N385" s="130">
        <f t="shared" si="181"/>
        <v>0</v>
      </c>
      <c r="O385" s="438"/>
      <c r="P385" s="438"/>
      <c r="Q385" s="438"/>
      <c r="R385" s="438"/>
      <c r="S385" s="438"/>
      <c r="T385" s="438"/>
      <c r="U385" s="438"/>
      <c r="V385" s="132">
        <f t="shared" si="182"/>
        <v>0</v>
      </c>
      <c r="W385" s="133" t="str">
        <f t="shared" si="183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435" t="s">
        <v>209</v>
      </c>
      <c r="C386" s="126" t="s">
        <v>179</v>
      </c>
      <c r="D386" s="108">
        <v>5.03</v>
      </c>
      <c r="E386" s="108"/>
      <c r="F386" s="127"/>
      <c r="G386" s="128"/>
      <c r="H386" s="443">
        <f t="shared" si="172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7"/>
        <v>0</v>
      </c>
      <c r="N386" s="130">
        <f t="shared" si="181"/>
        <v>0</v>
      </c>
      <c r="O386" s="438"/>
      <c r="P386" s="438"/>
      <c r="Q386" s="438"/>
      <c r="R386" s="438"/>
      <c r="S386" s="438"/>
      <c r="T386" s="438"/>
      <c r="U386" s="438"/>
      <c r="V386" s="132">
        <f t="shared" si="182"/>
        <v>0</v>
      </c>
      <c r="W386" s="133" t="str">
        <f t="shared" si="183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435" t="s">
        <v>209</v>
      </c>
      <c r="C387" s="126" t="s">
        <v>195</v>
      </c>
      <c r="D387" s="108">
        <v>5.03</v>
      </c>
      <c r="E387" s="108"/>
      <c r="F387" s="127"/>
      <c r="G387" s="128"/>
      <c r="H387" s="443">
        <f t="shared" si="172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81"/>
        <v>0</v>
      </c>
      <c r="O387" s="438"/>
      <c r="P387" s="438"/>
      <c r="Q387" s="438"/>
      <c r="R387" s="438"/>
      <c r="S387" s="438"/>
      <c r="T387" s="438"/>
      <c r="U387" s="438"/>
      <c r="V387" s="132">
        <f t="shared" si="182"/>
        <v>0</v>
      </c>
      <c r="W387" s="133" t="str">
        <f t="shared" si="183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435" t="s">
        <v>209</v>
      </c>
      <c r="C388" s="126" t="s">
        <v>204</v>
      </c>
      <c r="D388" s="108">
        <v>5.03</v>
      </c>
      <c r="E388" s="108"/>
      <c r="F388" s="127"/>
      <c r="G388" s="128"/>
      <c r="H388" s="443">
        <f t="shared" si="172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81"/>
        <v>0</v>
      </c>
      <c r="O388" s="438"/>
      <c r="P388" s="438"/>
      <c r="Q388" s="438"/>
      <c r="R388" s="438"/>
      <c r="S388" s="438"/>
      <c r="T388" s="438"/>
      <c r="U388" s="438"/>
      <c r="V388" s="132">
        <f t="shared" si="182"/>
        <v>0</v>
      </c>
      <c r="W388" s="133" t="str">
        <f t="shared" si="183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435" t="s">
        <v>382</v>
      </c>
      <c r="C389" s="187" t="s">
        <v>383</v>
      </c>
      <c r="D389" s="108">
        <v>5.03</v>
      </c>
      <c r="E389" s="108"/>
      <c r="F389" s="127"/>
      <c r="G389" s="128"/>
      <c r="H389" s="443">
        <f t="shared" si="172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7"/>
        <v>0</v>
      </c>
      <c r="N389" s="130">
        <f t="shared" si="181"/>
        <v>0</v>
      </c>
      <c r="O389" s="438"/>
      <c r="P389" s="438"/>
      <c r="Q389" s="438"/>
      <c r="R389" s="438"/>
      <c r="S389" s="438"/>
      <c r="T389" s="438"/>
      <c r="U389" s="438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435" t="s">
        <v>382</v>
      </c>
      <c r="C390" s="187" t="s">
        <v>384</v>
      </c>
      <c r="D390" s="108">
        <v>5.03</v>
      </c>
      <c r="E390" s="108"/>
      <c r="F390" s="127"/>
      <c r="G390" s="128"/>
      <c r="H390" s="443">
        <f t="shared" si="172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7"/>
        <v>0</v>
      </c>
      <c r="N390" s="130">
        <f t="shared" si="181"/>
        <v>0</v>
      </c>
      <c r="O390" s="438"/>
      <c r="P390" s="438"/>
      <c r="Q390" s="438"/>
      <c r="R390" s="438"/>
      <c r="S390" s="438"/>
      <c r="T390" s="438"/>
      <c r="U390" s="438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435" t="s">
        <v>382</v>
      </c>
      <c r="C391" s="187" t="s">
        <v>389</v>
      </c>
      <c r="D391" s="108">
        <v>5.03</v>
      </c>
      <c r="E391" s="108"/>
      <c r="F391" s="127"/>
      <c r="G391" s="128"/>
      <c r="H391" s="443">
        <f t="shared" si="172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81"/>
        <v>0</v>
      </c>
      <c r="O391" s="438"/>
      <c r="P391" s="438"/>
      <c r="Q391" s="438"/>
      <c r="R391" s="438"/>
      <c r="S391" s="438"/>
      <c r="T391" s="438"/>
      <c r="U391" s="438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435" t="s">
        <v>382</v>
      </c>
      <c r="C392" s="187" t="s">
        <v>391</v>
      </c>
      <c r="D392" s="108">
        <v>5.03</v>
      </c>
      <c r="E392" s="108"/>
      <c r="F392" s="127"/>
      <c r="G392" s="128"/>
      <c r="H392" s="443">
        <f t="shared" si="172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81"/>
        <v>0</v>
      </c>
      <c r="O392" s="438"/>
      <c r="P392" s="438"/>
      <c r="Q392" s="438"/>
      <c r="R392" s="438"/>
      <c r="S392" s="438"/>
      <c r="T392" s="438"/>
      <c r="U392" s="438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435" t="s">
        <v>418</v>
      </c>
      <c r="C393" s="187" t="s">
        <v>364</v>
      </c>
      <c r="D393" s="108">
        <v>5.03</v>
      </c>
      <c r="E393" s="108"/>
      <c r="F393" s="127"/>
      <c r="G393" s="128"/>
      <c r="H393" s="443">
        <f t="shared" si="172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7"/>
        <v>0</v>
      </c>
      <c r="N393" s="130"/>
      <c r="O393" s="438"/>
      <c r="P393" s="438"/>
      <c r="Q393" s="438"/>
      <c r="R393" s="438"/>
      <c r="S393" s="438"/>
      <c r="T393" s="438"/>
      <c r="U393" s="438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435" t="s">
        <v>418</v>
      </c>
      <c r="C394" s="187" t="s">
        <v>365</v>
      </c>
      <c r="D394" s="108">
        <v>5.03</v>
      </c>
      <c r="E394" s="108"/>
      <c r="F394" s="127"/>
      <c r="G394" s="128"/>
      <c r="H394" s="443">
        <f t="shared" si="172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7"/>
        <v>0</v>
      </c>
      <c r="N394" s="130"/>
      <c r="O394" s="438"/>
      <c r="P394" s="438"/>
      <c r="Q394" s="438"/>
      <c r="R394" s="438"/>
      <c r="S394" s="438"/>
      <c r="T394" s="438"/>
      <c r="U394" s="438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435" t="s">
        <v>418</v>
      </c>
      <c r="C395" s="187" t="s">
        <v>366</v>
      </c>
      <c r="D395" s="108">
        <v>5.03</v>
      </c>
      <c r="E395" s="108"/>
      <c r="F395" s="127"/>
      <c r="G395" s="128"/>
      <c r="H395" s="443">
        <f t="shared" si="172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438"/>
      <c r="P395" s="438"/>
      <c r="Q395" s="438"/>
      <c r="R395" s="438"/>
      <c r="S395" s="438"/>
      <c r="T395" s="438"/>
      <c r="U395" s="438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435" t="s">
        <v>418</v>
      </c>
      <c r="C396" s="187" t="s">
        <v>367</v>
      </c>
      <c r="D396" s="108">
        <v>5.03</v>
      </c>
      <c r="E396" s="108"/>
      <c r="F396" s="127"/>
      <c r="G396" s="128"/>
      <c r="H396" s="443">
        <f t="shared" si="172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438"/>
      <c r="P396" s="438"/>
      <c r="Q396" s="438"/>
      <c r="R396" s="438"/>
      <c r="S396" s="438"/>
      <c r="T396" s="438"/>
      <c r="U396" s="438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443">
        <f t="shared" si="172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7"/>
        <v>0</v>
      </c>
      <c r="N397" s="130">
        <f t="shared" ref="N397:N406" si="184">SUM(O397:U397)</f>
        <v>0</v>
      </c>
      <c r="O397" s="434"/>
      <c r="P397" s="434"/>
      <c r="Q397" s="434"/>
      <c r="R397" s="434"/>
      <c r="S397" s="434"/>
      <c r="T397" s="434"/>
      <c r="U397" s="434"/>
      <c r="V397" s="132">
        <f t="shared" ref="V397:V406" si="185">SUM(X397:AA397)</f>
        <v>0</v>
      </c>
      <c r="W397" s="133" t="str">
        <f t="shared" ref="W397:W406" si="186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443">
        <f t="shared" si="172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7"/>
        <v>0</v>
      </c>
      <c r="N398" s="130">
        <f t="shared" si="184"/>
        <v>0</v>
      </c>
      <c r="O398" s="434"/>
      <c r="P398" s="434"/>
      <c r="Q398" s="434"/>
      <c r="R398" s="434"/>
      <c r="S398" s="434"/>
      <c r="T398" s="434"/>
      <c r="U398" s="434"/>
      <c r="V398" s="132">
        <f t="shared" si="185"/>
        <v>0</v>
      </c>
      <c r="W398" s="133" t="str">
        <f t="shared" si="186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443">
        <f t="shared" si="172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7"/>
        <v>0</v>
      </c>
      <c r="N399" s="130">
        <f t="shared" si="184"/>
        <v>0</v>
      </c>
      <c r="O399" s="434"/>
      <c r="P399" s="434"/>
      <c r="Q399" s="434"/>
      <c r="R399" s="434"/>
      <c r="S399" s="434"/>
      <c r="T399" s="434"/>
      <c r="U399" s="434"/>
      <c r="V399" s="132">
        <f t="shared" si="185"/>
        <v>0</v>
      </c>
      <c r="W399" s="133" t="str">
        <f t="shared" si="186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443">
        <f t="shared" si="172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7"/>
        <v>0</v>
      </c>
      <c r="N400" s="130">
        <f t="shared" si="184"/>
        <v>0</v>
      </c>
      <c r="O400" s="434"/>
      <c r="P400" s="434"/>
      <c r="Q400" s="434"/>
      <c r="R400" s="434"/>
      <c r="S400" s="434"/>
      <c r="T400" s="434"/>
      <c r="U400" s="434"/>
      <c r="V400" s="132">
        <f t="shared" si="185"/>
        <v>0</v>
      </c>
      <c r="W400" s="133" t="str">
        <f t="shared" si="186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443">
        <f t="shared" si="172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7"/>
        <v>0</v>
      </c>
      <c r="N401" s="130">
        <f t="shared" si="184"/>
        <v>0</v>
      </c>
      <c r="O401" s="434"/>
      <c r="P401" s="434"/>
      <c r="Q401" s="434"/>
      <c r="R401" s="434"/>
      <c r="S401" s="434"/>
      <c r="T401" s="434"/>
      <c r="U401" s="434"/>
      <c r="V401" s="132">
        <f t="shared" si="185"/>
        <v>0</v>
      </c>
      <c r="W401" s="133" t="str">
        <f t="shared" si="186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443">
        <f t="shared" si="172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7"/>
        <v>0</v>
      </c>
      <c r="N402" s="130">
        <f t="shared" si="184"/>
        <v>0</v>
      </c>
      <c r="O402" s="434"/>
      <c r="P402" s="434"/>
      <c r="Q402" s="434"/>
      <c r="R402" s="434"/>
      <c r="S402" s="434"/>
      <c r="T402" s="434"/>
      <c r="U402" s="434"/>
      <c r="V402" s="132">
        <f t="shared" si="185"/>
        <v>0</v>
      </c>
      <c r="W402" s="133" t="str">
        <f t="shared" si="186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443">
        <f t="shared" si="172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7"/>
        <v>0</v>
      </c>
      <c r="N403" s="130">
        <f t="shared" si="184"/>
        <v>0</v>
      </c>
      <c r="O403" s="434"/>
      <c r="P403" s="434"/>
      <c r="Q403" s="434"/>
      <c r="R403" s="434"/>
      <c r="S403" s="434"/>
      <c r="T403" s="434"/>
      <c r="U403" s="434"/>
      <c r="V403" s="132">
        <f t="shared" si="185"/>
        <v>0</v>
      </c>
      <c r="W403" s="133" t="str">
        <f t="shared" si="186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443">
        <f t="shared" si="172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7"/>
        <v>0</v>
      </c>
      <c r="N404" s="130">
        <f t="shared" si="184"/>
        <v>0</v>
      </c>
      <c r="O404" s="434"/>
      <c r="P404" s="434"/>
      <c r="Q404" s="434"/>
      <c r="R404" s="434"/>
      <c r="S404" s="434"/>
      <c r="T404" s="434"/>
      <c r="U404" s="434"/>
      <c r="V404" s="132">
        <f t="shared" si="185"/>
        <v>0</v>
      </c>
      <c r="W404" s="133" t="str">
        <f t="shared" si="186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443">
        <f t="shared" si="172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7"/>
        <v>0</v>
      </c>
      <c r="N405" s="130">
        <f t="shared" si="184"/>
        <v>0</v>
      </c>
      <c r="O405" s="434"/>
      <c r="P405" s="434"/>
      <c r="Q405" s="434"/>
      <c r="R405" s="434"/>
      <c r="S405" s="434"/>
      <c r="T405" s="434"/>
      <c r="U405" s="434"/>
      <c r="V405" s="132">
        <f t="shared" si="185"/>
        <v>0</v>
      </c>
      <c r="W405" s="133" t="str">
        <f t="shared" si="186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443">
        <f t="shared" si="172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7"/>
        <v>0</v>
      </c>
      <c r="N406" s="130">
        <f t="shared" si="184"/>
        <v>0</v>
      </c>
      <c r="O406" s="434"/>
      <c r="P406" s="434"/>
      <c r="Q406" s="434"/>
      <c r="R406" s="434"/>
      <c r="S406" s="434"/>
      <c r="T406" s="434"/>
      <c r="U406" s="434"/>
      <c r="V406" s="132">
        <f t="shared" si="185"/>
        <v>0</v>
      </c>
      <c r="W406" s="133" t="str">
        <f t="shared" si="186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443">
        <f t="shared" si="172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434"/>
      <c r="P407" s="434"/>
      <c r="Q407" s="434"/>
      <c r="R407" s="434"/>
      <c r="S407" s="434"/>
      <c r="T407" s="434"/>
      <c r="U407" s="434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443">
        <f t="shared" si="172"/>
        <v>0</v>
      </c>
      <c r="I408" s="129"/>
      <c r="J408" s="130"/>
      <c r="K408" s="131"/>
      <c r="L408" s="129">
        <v>50</v>
      </c>
      <c r="M408" s="109"/>
      <c r="N408" s="130"/>
      <c r="O408" s="434"/>
      <c r="P408" s="434"/>
      <c r="Q408" s="434"/>
      <c r="R408" s="434"/>
      <c r="S408" s="434"/>
      <c r="T408" s="434"/>
      <c r="U408" s="434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443">
        <f t="shared" si="172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7">IF(ISERROR(I409-K409),"",I409-K409)</f>
        <v>0</v>
      </c>
      <c r="N409" s="130">
        <f t="shared" ref="N409:N410" si="188">SUM(O409:U409)</f>
        <v>0</v>
      </c>
      <c r="O409" s="434"/>
      <c r="P409" s="434"/>
      <c r="Q409" s="434"/>
      <c r="R409" s="434"/>
      <c r="S409" s="434"/>
      <c r="T409" s="434"/>
      <c r="U409" s="434"/>
      <c r="V409" s="132">
        <f t="shared" ref="V409:V410" si="189">SUM(X409:AA409)</f>
        <v>0</v>
      </c>
      <c r="W409" s="133" t="str">
        <f t="shared" ref="W409:W410" si="190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443">
        <f t="shared" si="172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7"/>
        <v>0</v>
      </c>
      <c r="N410" s="130">
        <f t="shared" si="188"/>
        <v>0</v>
      </c>
      <c r="O410" s="434"/>
      <c r="P410" s="434"/>
      <c r="Q410" s="434"/>
      <c r="R410" s="434"/>
      <c r="S410" s="434"/>
      <c r="T410" s="434"/>
      <c r="U410" s="434"/>
      <c r="V410" s="132">
        <f t="shared" si="189"/>
        <v>0</v>
      </c>
      <c r="W410" s="133" t="str">
        <f t="shared" si="190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443">
        <f t="shared" si="172"/>
        <v>0</v>
      </c>
      <c r="I411" s="129"/>
      <c r="J411" s="130"/>
      <c r="K411" s="131"/>
      <c r="L411" s="129"/>
      <c r="M411" s="109"/>
      <c r="N411" s="130"/>
      <c r="O411" s="434"/>
      <c r="P411" s="434"/>
      <c r="Q411" s="434"/>
      <c r="R411" s="434"/>
      <c r="S411" s="434"/>
      <c r="T411" s="434"/>
      <c r="U411" s="434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443">
        <f t="shared" si="172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1">IF(ISERROR(I412-K412),"",I412-K412)</f>
        <v/>
      </c>
      <c r="N412" s="130">
        <f t="shared" ref="N412:N415" si="192">SUM(O412:U412)</f>
        <v>0</v>
      </c>
      <c r="O412" s="434"/>
      <c r="P412" s="434"/>
      <c r="Q412" s="434"/>
      <c r="R412" s="434"/>
      <c r="S412" s="434"/>
      <c r="T412" s="434"/>
      <c r="U412" s="434"/>
      <c r="V412" s="132">
        <f t="shared" ref="V412:V415" si="193">SUM(X412:AA412)</f>
        <v>0</v>
      </c>
      <c r="W412" s="133" t="str">
        <f t="shared" ref="W412:W415" si="194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443">
        <f t="shared" si="172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1"/>
        <v/>
      </c>
      <c r="N413" s="130">
        <f t="shared" si="192"/>
        <v>0</v>
      </c>
      <c r="O413" s="434"/>
      <c r="P413" s="434"/>
      <c r="Q413" s="434"/>
      <c r="R413" s="434"/>
      <c r="S413" s="434"/>
      <c r="T413" s="434"/>
      <c r="U413" s="434"/>
      <c r="V413" s="132">
        <f t="shared" si="193"/>
        <v>0</v>
      </c>
      <c r="W413" s="133" t="str">
        <f t="shared" si="194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443">
        <f t="shared" si="172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1"/>
        <v/>
      </c>
      <c r="N414" s="130">
        <f t="shared" si="192"/>
        <v>0</v>
      </c>
      <c r="O414" s="434"/>
      <c r="P414" s="434"/>
      <c r="Q414" s="434"/>
      <c r="R414" s="434"/>
      <c r="S414" s="434"/>
      <c r="T414" s="434"/>
      <c r="U414" s="434"/>
      <c r="V414" s="132">
        <f t="shared" si="193"/>
        <v>0</v>
      </c>
      <c r="W414" s="133" t="str">
        <f t="shared" si="194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443">
        <f t="shared" si="172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1"/>
        <v/>
      </c>
      <c r="N415" s="130">
        <f t="shared" si="192"/>
        <v>0</v>
      </c>
      <c r="O415" s="434"/>
      <c r="P415" s="434"/>
      <c r="Q415" s="434"/>
      <c r="R415" s="434"/>
      <c r="S415" s="434"/>
      <c r="T415" s="434"/>
      <c r="U415" s="434"/>
      <c r="V415" s="132">
        <f t="shared" si="193"/>
        <v>0</v>
      </c>
      <c r="W415" s="133" t="str">
        <f t="shared" si="194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443">
        <f t="shared" si="172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1"/>
        <v>0</v>
      </c>
      <c r="N416" s="130"/>
      <c r="O416" s="434"/>
      <c r="P416" s="434"/>
      <c r="Q416" s="434"/>
      <c r="R416" s="434"/>
      <c r="S416" s="434"/>
      <c r="T416" s="434"/>
      <c r="U416" s="434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443">
        <f t="shared" si="172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1"/>
        <v>0</v>
      </c>
      <c r="N417" s="130"/>
      <c r="O417" s="434"/>
      <c r="P417" s="434"/>
      <c r="Q417" s="434"/>
      <c r="R417" s="434"/>
      <c r="S417" s="434"/>
      <c r="T417" s="434"/>
      <c r="U417" s="434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443">
        <f t="shared" si="172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1"/>
        <v>0</v>
      </c>
      <c r="N418" s="130"/>
      <c r="O418" s="434"/>
      <c r="P418" s="434"/>
      <c r="Q418" s="434"/>
      <c r="R418" s="434"/>
      <c r="S418" s="434"/>
      <c r="T418" s="434"/>
      <c r="U418" s="434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443">
        <f t="shared" si="172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1"/>
        <v>0</v>
      </c>
      <c r="N419" s="130"/>
      <c r="O419" s="434"/>
      <c r="P419" s="434"/>
      <c r="Q419" s="434"/>
      <c r="R419" s="434"/>
      <c r="S419" s="434"/>
      <c r="T419" s="434"/>
      <c r="U419" s="434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443">
        <f t="shared" si="172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1"/>
        <v>0</v>
      </c>
      <c r="N420" s="130"/>
      <c r="O420" s="434"/>
      <c r="P420" s="434"/>
      <c r="Q420" s="434"/>
      <c r="R420" s="434"/>
      <c r="S420" s="434"/>
      <c r="T420" s="434"/>
      <c r="U420" s="434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443">
        <f t="shared" si="172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1"/>
        <v>0</v>
      </c>
      <c r="N421" s="130"/>
      <c r="O421" s="434"/>
      <c r="P421" s="434"/>
      <c r="Q421" s="434"/>
      <c r="R421" s="434"/>
      <c r="S421" s="434"/>
      <c r="T421" s="434"/>
      <c r="U421" s="434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443">
        <f t="shared" si="172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1"/>
        <v>0</v>
      </c>
      <c r="N422" s="130"/>
      <c r="O422" s="434"/>
      <c r="P422" s="434"/>
      <c r="Q422" s="434"/>
      <c r="R422" s="434"/>
      <c r="S422" s="434"/>
      <c r="T422" s="434"/>
      <c r="U422" s="434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443">
        <f t="shared" si="172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1"/>
        <v>0</v>
      </c>
      <c r="N423" s="130"/>
      <c r="O423" s="434"/>
      <c r="P423" s="434"/>
      <c r="Q423" s="434"/>
      <c r="R423" s="434"/>
      <c r="S423" s="434"/>
      <c r="T423" s="434"/>
      <c r="U423" s="434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443">
        <f t="shared" si="172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1"/>
        <v>0</v>
      </c>
      <c r="N424" s="130"/>
      <c r="O424" s="434"/>
      <c r="P424" s="434"/>
      <c r="Q424" s="434"/>
      <c r="R424" s="434"/>
      <c r="S424" s="434"/>
      <c r="T424" s="434"/>
      <c r="U424" s="434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443">
        <f t="shared" si="172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1"/>
        <v>0</v>
      </c>
      <c r="N425" s="130"/>
      <c r="O425" s="434"/>
      <c r="P425" s="434"/>
      <c r="Q425" s="434"/>
      <c r="R425" s="434"/>
      <c r="S425" s="434"/>
      <c r="T425" s="434"/>
      <c r="U425" s="434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41" t="s">
        <v>216</v>
      </c>
      <c r="B426" s="641"/>
      <c r="C426" s="441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5">SUM(M369:M425)</f>
        <v>0</v>
      </c>
      <c r="N426" s="146">
        <f t="shared" si="195"/>
        <v>0</v>
      </c>
      <c r="O426" s="148">
        <f t="shared" si="195"/>
        <v>0</v>
      </c>
      <c r="P426" s="148">
        <f t="shared" si="195"/>
        <v>0</v>
      </c>
      <c r="Q426" s="148">
        <f t="shared" si="195"/>
        <v>0</v>
      </c>
      <c r="R426" s="148">
        <f t="shared" si="195"/>
        <v>0</v>
      </c>
      <c r="S426" s="148">
        <f t="shared" si="195"/>
        <v>0</v>
      </c>
      <c r="T426" s="148">
        <f t="shared" si="195"/>
        <v>0</v>
      </c>
      <c r="U426" s="148">
        <f t="shared" si="195"/>
        <v>0</v>
      </c>
      <c r="V426" s="149">
        <f t="shared" si="195"/>
        <v>0</v>
      </c>
      <c r="W426" s="133" t="str">
        <f t="shared" ref="W426:W433" si="196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customHeight="1">
      <c r="A427" s="299">
        <v>30400012</v>
      </c>
      <c r="B427" s="435" t="s">
        <v>217</v>
      </c>
      <c r="C427" s="126" t="s">
        <v>179</v>
      </c>
      <c r="D427" s="108">
        <v>5.03</v>
      </c>
      <c r="E427" s="108"/>
      <c r="F427" s="127">
        <v>42712</v>
      </c>
      <c r="G427" s="128">
        <f>72+67+43+72+28+72+66+80+72+28</f>
        <v>600</v>
      </c>
      <c r="H427" s="443">
        <f t="shared" ref="H427:H460" si="197">D427*G427</f>
        <v>3018</v>
      </c>
      <c r="I427" s="129">
        <f>8.5*2+9.5*2+10+10</f>
        <v>56</v>
      </c>
      <c r="J427" s="130">
        <f t="array" ref="J427">IF(ISERROR(G427/I427),"",G427/I427)</f>
        <v>10.714285714285714</v>
      </c>
      <c r="K427" s="131">
        <f t="array" ref="K427">IF(ISERROR(G427/L427),"",G427/L427)</f>
        <v>68.181818181818173</v>
      </c>
      <c r="L427" s="129">
        <v>8.8000000000000007</v>
      </c>
      <c r="M427" s="109">
        <f t="shared" ref="M427:M434" si="198">IF(ISERROR(I427-K427),"",I427-K427)</f>
        <v>-12.181818181818173</v>
      </c>
      <c r="N427" s="130">
        <f t="shared" ref="N427:N434" si="199">SUM(O427:U427)</f>
        <v>0</v>
      </c>
      <c r="O427" s="434"/>
      <c r="P427" s="434"/>
      <c r="Q427" s="434"/>
      <c r="R427" s="434"/>
      <c r="S427" s="434"/>
      <c r="T427" s="434"/>
      <c r="U427" s="434"/>
      <c r="V427" s="132">
        <f t="shared" ref="V427:V433" si="200">SUM(X427:AA427)</f>
        <v>0</v>
      </c>
      <c r="W427" s="133">
        <f t="shared" si="196"/>
        <v>0</v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435" t="s">
        <v>217</v>
      </c>
      <c r="C428" s="126" t="s">
        <v>186</v>
      </c>
      <c r="D428" s="108">
        <v>5.03</v>
      </c>
      <c r="E428" s="108"/>
      <c r="F428" s="127"/>
      <c r="G428" s="128"/>
      <c r="H428" s="443">
        <f t="shared" si="197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8"/>
        <v>0</v>
      </c>
      <c r="N428" s="130">
        <f t="shared" si="199"/>
        <v>0</v>
      </c>
      <c r="O428" s="434"/>
      <c r="P428" s="434"/>
      <c r="Q428" s="434"/>
      <c r="R428" s="434"/>
      <c r="S428" s="434"/>
      <c r="T428" s="434"/>
      <c r="U428" s="434"/>
      <c r="V428" s="132">
        <f t="shared" si="200"/>
        <v>0</v>
      </c>
      <c r="W428" s="133" t="str">
        <f t="shared" si="196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435" t="s">
        <v>217</v>
      </c>
      <c r="C429" s="126" t="s">
        <v>204</v>
      </c>
      <c r="D429" s="108">
        <v>5.03</v>
      </c>
      <c r="E429" s="108"/>
      <c r="F429" s="127"/>
      <c r="G429" s="128"/>
      <c r="H429" s="443">
        <f t="shared" si="197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8"/>
        <v>0</v>
      </c>
      <c r="N429" s="130">
        <f t="shared" si="199"/>
        <v>0</v>
      </c>
      <c r="O429" s="434"/>
      <c r="P429" s="434"/>
      <c r="Q429" s="434"/>
      <c r="R429" s="434"/>
      <c r="S429" s="434"/>
      <c r="T429" s="434"/>
      <c r="U429" s="434"/>
      <c r="V429" s="132">
        <f t="shared" si="200"/>
        <v>0</v>
      </c>
      <c r="W429" s="133" t="str">
        <f t="shared" si="196"/>
        <v/>
      </c>
      <c r="X429" s="132"/>
      <c r="Y429" s="132"/>
      <c r="Z429" s="132"/>
      <c r="AA429" s="132"/>
    </row>
    <row r="430" spans="1:27" ht="20.10000000000000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>
        <v>42707</v>
      </c>
      <c r="G430" s="128">
        <v>67</v>
      </c>
      <c r="H430" s="443">
        <f t="shared" si="197"/>
        <v>337.01</v>
      </c>
      <c r="I430" s="129">
        <f>4+4</f>
        <v>8</v>
      </c>
      <c r="J430" s="130">
        <f t="array" ref="J430">IF(ISERROR(G430/I430),"",G430/I430)</f>
        <v>8.375</v>
      </c>
      <c r="K430" s="131">
        <f t="array" ref="K430">IF(ISERROR(G430/L430),"",G430/L430)</f>
        <v>7.204301075268817</v>
      </c>
      <c r="L430" s="129">
        <v>9.3000000000000007</v>
      </c>
      <c r="M430" s="109">
        <f t="shared" si="198"/>
        <v>0.79569892473118298</v>
      </c>
      <c r="N430" s="130">
        <f t="shared" si="199"/>
        <v>0</v>
      </c>
      <c r="O430" s="434"/>
      <c r="P430" s="434"/>
      <c r="Q430" s="434"/>
      <c r="R430" s="434"/>
      <c r="S430" s="434"/>
      <c r="T430" s="434"/>
      <c r="U430" s="434"/>
      <c r="V430" s="132">
        <f t="shared" si="200"/>
        <v>0</v>
      </c>
      <c r="W430" s="133">
        <f t="shared" si="196"/>
        <v>0</v>
      </c>
      <c r="X430" s="132"/>
      <c r="Y430" s="132"/>
      <c r="Z430" s="132"/>
      <c r="AA430" s="132"/>
    </row>
    <row r="431" spans="1:27" ht="20.10000000000000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>
        <v>42707</v>
      </c>
      <c r="G431" s="128">
        <v>103</v>
      </c>
      <c r="H431" s="443">
        <f t="shared" si="197"/>
        <v>518.09</v>
      </c>
      <c r="I431" s="129">
        <f>8.5</f>
        <v>8.5</v>
      </c>
      <c r="J431" s="130">
        <f t="array" ref="J431">IF(ISERROR(G431/I431),"",G431/I431)</f>
        <v>12.117647058823529</v>
      </c>
      <c r="K431" s="131">
        <f t="array" ref="K431">IF(ISERROR(G431/L431),"",G431/L431)</f>
        <v>11.0752688172043</v>
      </c>
      <c r="L431" s="129">
        <v>9.3000000000000007</v>
      </c>
      <c r="M431" s="109">
        <f t="shared" si="198"/>
        <v>-2.5752688172043001</v>
      </c>
      <c r="N431" s="130">
        <f t="shared" si="199"/>
        <v>0</v>
      </c>
      <c r="O431" s="434"/>
      <c r="P431" s="434"/>
      <c r="Q431" s="434"/>
      <c r="R431" s="434"/>
      <c r="S431" s="434"/>
      <c r="T431" s="434"/>
      <c r="U431" s="434"/>
      <c r="V431" s="132">
        <f t="shared" si="200"/>
        <v>0</v>
      </c>
      <c r="W431" s="133">
        <f t="shared" si="196"/>
        <v>0</v>
      </c>
      <c r="X431" s="132"/>
      <c r="Y431" s="132"/>
      <c r="Z431" s="132"/>
      <c r="AA431" s="132"/>
    </row>
    <row r="432" spans="1:27" ht="20.10000000000000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>
        <v>42711</v>
      </c>
      <c r="G432" s="128">
        <v>77</v>
      </c>
      <c r="H432" s="443">
        <f t="shared" si="197"/>
        <v>387.31</v>
      </c>
      <c r="I432" s="129">
        <f>4+4</f>
        <v>8</v>
      </c>
      <c r="J432" s="130">
        <f t="array" ref="J432">IF(ISERROR(G432/I432),"",G432/I432)</f>
        <v>9.625</v>
      </c>
      <c r="K432" s="131">
        <f t="array" ref="K432">IF(ISERROR(G432/L432),"",G432/L432)</f>
        <v>8.279569892473118</v>
      </c>
      <c r="L432" s="129">
        <v>9.3000000000000007</v>
      </c>
      <c r="M432" s="109">
        <f t="shared" si="198"/>
        <v>-0.27956989247311803</v>
      </c>
      <c r="N432" s="130">
        <f t="shared" si="199"/>
        <v>0</v>
      </c>
      <c r="O432" s="434"/>
      <c r="P432" s="434"/>
      <c r="Q432" s="434"/>
      <c r="R432" s="434"/>
      <c r="S432" s="434"/>
      <c r="T432" s="434"/>
      <c r="U432" s="434"/>
      <c r="V432" s="132">
        <f t="shared" si="200"/>
        <v>0</v>
      </c>
      <c r="W432" s="133">
        <f t="shared" si="196"/>
        <v>0</v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443">
        <f t="shared" si="197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8"/>
        <v>0</v>
      </c>
      <c r="N433" s="130">
        <f t="shared" si="199"/>
        <v>0</v>
      </c>
      <c r="O433" s="434"/>
      <c r="P433" s="434"/>
      <c r="Q433" s="434"/>
      <c r="R433" s="434"/>
      <c r="S433" s="434"/>
      <c r="T433" s="434"/>
      <c r="U433" s="434"/>
      <c r="V433" s="132">
        <f t="shared" si="200"/>
        <v>0</v>
      </c>
      <c r="W433" s="133" t="str">
        <f t="shared" si="196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443">
        <f t="shared" si="197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8"/>
        <v>0</v>
      </c>
      <c r="N434" s="130">
        <f t="shared" si="199"/>
        <v>0</v>
      </c>
      <c r="O434" s="434"/>
      <c r="P434" s="434"/>
      <c r="Q434" s="434"/>
      <c r="R434" s="434"/>
      <c r="S434" s="434"/>
      <c r="T434" s="434"/>
      <c r="U434" s="434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443">
        <f t="shared" si="197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434"/>
      <c r="P435" s="434"/>
      <c r="Q435" s="434"/>
      <c r="R435" s="434"/>
      <c r="S435" s="434"/>
      <c r="T435" s="434"/>
      <c r="U435" s="434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443">
        <f t="shared" si="197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434"/>
      <c r="P436" s="434"/>
      <c r="Q436" s="434"/>
      <c r="R436" s="434"/>
      <c r="S436" s="434"/>
      <c r="T436" s="434"/>
      <c r="U436" s="434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443">
        <f t="shared" si="197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34"/>
      <c r="P437" s="434"/>
      <c r="Q437" s="434"/>
      <c r="R437" s="434"/>
      <c r="S437" s="434"/>
      <c r="T437" s="434"/>
      <c r="U437" s="434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443">
        <f t="shared" si="197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34"/>
      <c r="P438" s="434"/>
      <c r="Q438" s="434"/>
      <c r="R438" s="434"/>
      <c r="S438" s="434"/>
      <c r="T438" s="434"/>
      <c r="U438" s="434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443">
        <f t="shared" si="197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1">IF(ISERROR(I439-K439),"",I439-K439)</f>
        <v>0</v>
      </c>
      <c r="N439" s="130">
        <f t="shared" ref="N439:N454" si="202">SUM(O439:U439)</f>
        <v>0</v>
      </c>
      <c r="O439" s="434"/>
      <c r="P439" s="434"/>
      <c r="Q439" s="434"/>
      <c r="R439" s="434"/>
      <c r="S439" s="434"/>
      <c r="T439" s="434"/>
      <c r="U439" s="434"/>
      <c r="V439" s="132">
        <f t="shared" ref="V439:V442" si="203">SUM(X439:AA439)</f>
        <v>0</v>
      </c>
      <c r="W439" s="133" t="str">
        <f t="shared" ref="W439:W446" si="204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443">
        <f t="shared" si="197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1"/>
        <v/>
      </c>
      <c r="N440" s="130">
        <f t="shared" si="202"/>
        <v>0</v>
      </c>
      <c r="O440" s="434"/>
      <c r="P440" s="434"/>
      <c r="Q440" s="434"/>
      <c r="R440" s="434"/>
      <c r="S440" s="434"/>
      <c r="T440" s="434"/>
      <c r="U440" s="434"/>
      <c r="V440" s="132">
        <f t="shared" si="203"/>
        <v>0</v>
      </c>
      <c r="W440" s="133" t="str">
        <f t="shared" si="204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443">
        <f t="shared" si="197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1"/>
        <v/>
      </c>
      <c r="N441" s="130">
        <f t="shared" si="202"/>
        <v>0</v>
      </c>
      <c r="O441" s="434"/>
      <c r="P441" s="434"/>
      <c r="Q441" s="434"/>
      <c r="R441" s="434"/>
      <c r="S441" s="434"/>
      <c r="T441" s="434"/>
      <c r="U441" s="434"/>
      <c r="V441" s="132">
        <f t="shared" si="203"/>
        <v>0</v>
      </c>
      <c r="W441" s="133" t="str">
        <f t="shared" si="204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443">
        <f t="shared" si="197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1"/>
        <v/>
      </c>
      <c r="N442" s="130">
        <f t="shared" si="202"/>
        <v>0</v>
      </c>
      <c r="O442" s="434"/>
      <c r="P442" s="434"/>
      <c r="Q442" s="434"/>
      <c r="R442" s="434"/>
      <c r="S442" s="434"/>
      <c r="T442" s="434"/>
      <c r="U442" s="434"/>
      <c r="V442" s="132">
        <f t="shared" si="203"/>
        <v>0</v>
      </c>
      <c r="W442" s="133" t="str">
        <f t="shared" si="204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435" t="s">
        <v>222</v>
      </c>
      <c r="C443" s="126" t="s">
        <v>181</v>
      </c>
      <c r="D443" s="108">
        <v>9.36</v>
      </c>
      <c r="E443" s="108"/>
      <c r="F443" s="127"/>
      <c r="G443" s="128"/>
      <c r="H443" s="443">
        <f t="shared" si="197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1"/>
        <v>0</v>
      </c>
      <c r="N443" s="130">
        <f t="shared" si="202"/>
        <v>0</v>
      </c>
      <c r="O443" s="434"/>
      <c r="P443" s="434"/>
      <c r="Q443" s="434"/>
      <c r="R443" s="434"/>
      <c r="S443" s="434"/>
      <c r="T443" s="434"/>
      <c r="U443" s="434"/>
      <c r="V443" s="132">
        <f t="shared" ref="V443:V446" si="205">SUM(X443:AA443)</f>
        <v>0</v>
      </c>
      <c r="W443" s="133" t="str">
        <f t="shared" si="204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435" t="s">
        <v>222</v>
      </c>
      <c r="C444" s="126" t="s">
        <v>179</v>
      </c>
      <c r="D444" s="108">
        <v>9.36</v>
      </c>
      <c r="E444" s="108"/>
      <c r="F444" s="127"/>
      <c r="G444" s="128"/>
      <c r="H444" s="443">
        <f t="shared" si="197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1"/>
        <v>0</v>
      </c>
      <c r="N444" s="130">
        <f t="shared" si="202"/>
        <v>0</v>
      </c>
      <c r="O444" s="434"/>
      <c r="P444" s="434"/>
      <c r="Q444" s="434"/>
      <c r="R444" s="434"/>
      <c r="S444" s="434"/>
      <c r="T444" s="434"/>
      <c r="U444" s="434"/>
      <c r="V444" s="132">
        <f t="shared" si="205"/>
        <v>0</v>
      </c>
      <c r="W444" s="133" t="str">
        <f t="shared" si="204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435" t="s">
        <v>222</v>
      </c>
      <c r="C445" s="126" t="s">
        <v>221</v>
      </c>
      <c r="D445" s="108">
        <v>9.36</v>
      </c>
      <c r="E445" s="108"/>
      <c r="F445" s="127"/>
      <c r="G445" s="128"/>
      <c r="H445" s="443">
        <f t="shared" si="197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1"/>
        <v>0</v>
      </c>
      <c r="N445" s="130">
        <f t="shared" si="202"/>
        <v>0</v>
      </c>
      <c r="O445" s="434"/>
      <c r="P445" s="434"/>
      <c r="Q445" s="434"/>
      <c r="R445" s="434"/>
      <c r="S445" s="434"/>
      <c r="T445" s="434"/>
      <c r="U445" s="434"/>
      <c r="V445" s="132">
        <f t="shared" si="205"/>
        <v>0</v>
      </c>
      <c r="W445" s="133" t="str">
        <f t="shared" si="204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435" t="s">
        <v>222</v>
      </c>
      <c r="C446" s="126" t="s">
        <v>186</v>
      </c>
      <c r="D446" s="108">
        <v>9.36</v>
      </c>
      <c r="E446" s="108"/>
      <c r="F446" s="127"/>
      <c r="G446" s="128"/>
      <c r="H446" s="443">
        <f t="shared" si="197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1"/>
        <v>0</v>
      </c>
      <c r="N446" s="130">
        <f t="shared" si="202"/>
        <v>0</v>
      </c>
      <c r="O446" s="434"/>
      <c r="P446" s="434"/>
      <c r="Q446" s="434"/>
      <c r="R446" s="434"/>
      <c r="S446" s="434"/>
      <c r="T446" s="434"/>
      <c r="U446" s="434"/>
      <c r="V446" s="132">
        <f t="shared" si="205"/>
        <v>0</v>
      </c>
      <c r="W446" s="133" t="str">
        <f t="shared" si="204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435" t="s">
        <v>393</v>
      </c>
      <c r="C447" s="187" t="s">
        <v>395</v>
      </c>
      <c r="D447" s="108">
        <v>5</v>
      </c>
      <c r="E447" s="108"/>
      <c r="F447" s="127"/>
      <c r="G447" s="128"/>
      <c r="H447" s="443">
        <f t="shared" si="197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1"/>
        <v>0</v>
      </c>
      <c r="N447" s="130">
        <f t="shared" si="202"/>
        <v>0</v>
      </c>
      <c r="O447" s="434"/>
      <c r="P447" s="434"/>
      <c r="Q447" s="434"/>
      <c r="R447" s="434"/>
      <c r="S447" s="434"/>
      <c r="T447" s="434"/>
      <c r="U447" s="434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435" t="s">
        <v>393</v>
      </c>
      <c r="C448" s="187" t="s">
        <v>402</v>
      </c>
      <c r="D448" s="108">
        <v>5</v>
      </c>
      <c r="E448" s="108"/>
      <c r="F448" s="127"/>
      <c r="G448" s="128"/>
      <c r="H448" s="443">
        <f t="shared" si="197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1"/>
        <v>0</v>
      </c>
      <c r="N448" s="130">
        <f t="shared" si="202"/>
        <v>0</v>
      </c>
      <c r="O448" s="434"/>
      <c r="P448" s="434"/>
      <c r="Q448" s="434"/>
      <c r="R448" s="434"/>
      <c r="S448" s="434"/>
      <c r="T448" s="434"/>
      <c r="U448" s="434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435" t="s">
        <v>404</v>
      </c>
      <c r="C449" s="187" t="s">
        <v>405</v>
      </c>
      <c r="D449" s="108">
        <v>5</v>
      </c>
      <c r="E449" s="108"/>
      <c r="F449" s="127"/>
      <c r="G449" s="128"/>
      <c r="H449" s="443">
        <f t="shared" si="197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1"/>
        <v>0</v>
      </c>
      <c r="N449" s="130">
        <f t="shared" si="202"/>
        <v>0</v>
      </c>
      <c r="O449" s="434"/>
      <c r="P449" s="434"/>
      <c r="Q449" s="434"/>
      <c r="R449" s="434"/>
      <c r="S449" s="434"/>
      <c r="T449" s="434"/>
      <c r="U449" s="434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435" t="s">
        <v>342</v>
      </c>
      <c r="C450" s="187" t="s">
        <v>372</v>
      </c>
      <c r="D450" s="108">
        <v>5</v>
      </c>
      <c r="E450" s="108"/>
      <c r="F450" s="127"/>
      <c r="G450" s="128"/>
      <c r="H450" s="443">
        <f t="shared" si="197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1"/>
        <v>0</v>
      </c>
      <c r="N450" s="130">
        <f t="shared" si="202"/>
        <v>0</v>
      </c>
      <c r="O450" s="434"/>
      <c r="P450" s="434"/>
      <c r="Q450" s="434"/>
      <c r="R450" s="434"/>
      <c r="S450" s="434"/>
      <c r="T450" s="434"/>
      <c r="U450" s="434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435" t="s">
        <v>343</v>
      </c>
      <c r="C451" s="126" t="s">
        <v>345</v>
      </c>
      <c r="D451" s="108">
        <v>5</v>
      </c>
      <c r="E451" s="108"/>
      <c r="F451" s="127"/>
      <c r="G451" s="128"/>
      <c r="H451" s="443">
        <f t="shared" si="197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1"/>
        <v>0</v>
      </c>
      <c r="N451" s="130">
        <f t="shared" si="202"/>
        <v>0</v>
      </c>
      <c r="O451" s="434"/>
      <c r="P451" s="434"/>
      <c r="Q451" s="434"/>
      <c r="R451" s="434"/>
      <c r="S451" s="434"/>
      <c r="T451" s="434"/>
      <c r="U451" s="434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435" t="s">
        <v>343</v>
      </c>
      <c r="C452" s="126" t="s">
        <v>347</v>
      </c>
      <c r="D452" s="108">
        <v>5</v>
      </c>
      <c r="E452" s="108"/>
      <c r="F452" s="127"/>
      <c r="G452" s="128"/>
      <c r="H452" s="443">
        <f t="shared" si="197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1"/>
        <v>0</v>
      </c>
      <c r="N452" s="130">
        <f t="shared" si="202"/>
        <v>0</v>
      </c>
      <c r="O452" s="434"/>
      <c r="P452" s="434"/>
      <c r="Q452" s="434"/>
      <c r="R452" s="434"/>
      <c r="S452" s="434"/>
      <c r="T452" s="434"/>
      <c r="U452" s="434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443">
        <f t="shared" si="197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1"/>
        <v>0</v>
      </c>
      <c r="N453" s="130">
        <f t="shared" si="202"/>
        <v>0</v>
      </c>
      <c r="O453" s="434"/>
      <c r="P453" s="434"/>
      <c r="Q453" s="434"/>
      <c r="R453" s="434"/>
      <c r="S453" s="434"/>
      <c r="T453" s="434"/>
      <c r="U453" s="434"/>
      <c r="V453" s="132">
        <f t="shared" ref="V453:V454" si="206">SUM(X453:AA453)</f>
        <v>0</v>
      </c>
      <c r="W453" s="133" t="str">
        <f t="shared" ref="W453:W454" si="207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443">
        <f t="shared" si="197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1"/>
        <v>0</v>
      </c>
      <c r="N454" s="130">
        <f t="shared" si="202"/>
        <v>0</v>
      </c>
      <c r="O454" s="434"/>
      <c r="P454" s="434"/>
      <c r="Q454" s="434"/>
      <c r="R454" s="434"/>
      <c r="S454" s="434"/>
      <c r="T454" s="434"/>
      <c r="U454" s="434"/>
      <c r="V454" s="132">
        <f t="shared" si="206"/>
        <v>0</v>
      </c>
      <c r="W454" s="133" t="str">
        <f t="shared" si="207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443">
        <f t="shared" si="197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1"/>
        <v>0</v>
      </c>
      <c r="N455" s="130"/>
      <c r="O455" s="434"/>
      <c r="P455" s="434"/>
      <c r="Q455" s="434"/>
      <c r="R455" s="434"/>
      <c r="S455" s="434"/>
      <c r="T455" s="434"/>
      <c r="U455" s="434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443">
        <f t="shared" si="197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1"/>
        <v>0</v>
      </c>
      <c r="N456" s="130"/>
      <c r="O456" s="434"/>
      <c r="P456" s="434"/>
      <c r="Q456" s="434"/>
      <c r="R456" s="434"/>
      <c r="S456" s="434"/>
      <c r="T456" s="434"/>
      <c r="U456" s="434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443">
        <f t="shared" si="197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1"/>
        <v>0</v>
      </c>
      <c r="N457" s="130"/>
      <c r="O457" s="434"/>
      <c r="P457" s="434"/>
      <c r="Q457" s="434"/>
      <c r="R457" s="434"/>
      <c r="S457" s="434"/>
      <c r="T457" s="434"/>
      <c r="U457" s="434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443">
        <f t="shared" si="197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1"/>
        <v>0</v>
      </c>
      <c r="N458" s="130">
        <f t="shared" ref="N458:N460" si="208">SUM(O458:U458)</f>
        <v>0</v>
      </c>
      <c r="O458" s="434"/>
      <c r="P458" s="434"/>
      <c r="Q458" s="434"/>
      <c r="R458" s="434"/>
      <c r="S458" s="434"/>
      <c r="T458" s="434"/>
      <c r="U458" s="434"/>
      <c r="V458" s="132">
        <f t="shared" ref="V458:V460" si="209">SUM(X458:AA458)</f>
        <v>0</v>
      </c>
      <c r="W458" s="133" t="str">
        <f t="shared" ref="W458:W482" si="210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443">
        <f t="shared" si="197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1"/>
        <v>0</v>
      </c>
      <c r="N459" s="130">
        <f t="shared" si="208"/>
        <v>0</v>
      </c>
      <c r="O459" s="434"/>
      <c r="P459" s="434"/>
      <c r="Q459" s="434"/>
      <c r="R459" s="434"/>
      <c r="S459" s="434"/>
      <c r="T459" s="434"/>
      <c r="U459" s="434"/>
      <c r="V459" s="132">
        <f t="shared" si="209"/>
        <v>0</v>
      </c>
      <c r="W459" s="133" t="str">
        <f t="shared" si="210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443">
        <f t="shared" si="197"/>
        <v>0</v>
      </c>
      <c r="I460" s="129"/>
      <c r="J460" s="130" t="str">
        <f t="array" ref="J460">IF(ISERROR(G460/I460),"",G460/I460)</f>
        <v/>
      </c>
      <c r="K460" s="443">
        <f t="array" ref="K460">IF(ISERROR(G460/L460),"",G460/L460)</f>
        <v>0</v>
      </c>
      <c r="L460" s="129">
        <v>9</v>
      </c>
      <c r="M460" s="109">
        <f t="shared" si="201"/>
        <v>0</v>
      </c>
      <c r="N460" s="130">
        <f t="shared" si="208"/>
        <v>0</v>
      </c>
      <c r="O460" s="434"/>
      <c r="P460" s="434"/>
      <c r="Q460" s="434"/>
      <c r="R460" s="434"/>
      <c r="S460" s="434"/>
      <c r="T460" s="434"/>
      <c r="U460" s="434"/>
      <c r="V460" s="132">
        <f t="shared" si="209"/>
        <v>0</v>
      </c>
      <c r="W460" s="133" t="str">
        <f t="shared" si="210"/>
        <v/>
      </c>
      <c r="X460" s="132"/>
      <c r="Y460" s="132"/>
      <c r="Z460" s="132"/>
      <c r="AA460" s="132"/>
    </row>
    <row r="461" spans="1:27" ht="20.100000000000001" customHeight="1">
      <c r="A461" s="630" t="s">
        <v>224</v>
      </c>
      <c r="B461" s="631"/>
      <c r="C461" s="441" t="s">
        <v>202</v>
      </c>
      <c r="D461" s="143"/>
      <c r="E461" s="143"/>
      <c r="F461" s="144"/>
      <c r="G461" s="145">
        <f>SUM(G427:G460)</f>
        <v>847</v>
      </c>
      <c r="H461" s="146">
        <f>SUM(H427:H460)</f>
        <v>4260.4100000000008</v>
      </c>
      <c r="I461" s="146">
        <f>SUM(I427:I460)</f>
        <v>80.5</v>
      </c>
      <c r="J461" s="130">
        <f t="array" ref="J461">IF(ISERROR(G461/I461),"",G461/I461)</f>
        <v>10.521739130434783</v>
      </c>
      <c r="K461" s="146">
        <f>SUM(K427:K460)</f>
        <v>94.740957966764412</v>
      </c>
      <c r="L461" s="147"/>
      <c r="M461" s="150">
        <f t="shared" ref="M461:V461" si="211">SUM(M427:M460)</f>
        <v>-14.240957966764407</v>
      </c>
      <c r="N461" s="146">
        <f t="shared" si="211"/>
        <v>0</v>
      </c>
      <c r="O461" s="148">
        <f t="shared" si="211"/>
        <v>0</v>
      </c>
      <c r="P461" s="148">
        <f t="shared" si="211"/>
        <v>0</v>
      </c>
      <c r="Q461" s="148">
        <f t="shared" si="211"/>
        <v>0</v>
      </c>
      <c r="R461" s="148">
        <f t="shared" si="211"/>
        <v>0</v>
      </c>
      <c r="S461" s="148">
        <f t="shared" si="211"/>
        <v>0</v>
      </c>
      <c r="T461" s="148">
        <f t="shared" si="211"/>
        <v>0</v>
      </c>
      <c r="U461" s="148">
        <f t="shared" si="211"/>
        <v>0</v>
      </c>
      <c r="V461" s="149">
        <f t="shared" si="211"/>
        <v>0</v>
      </c>
      <c r="W461" s="133">
        <f t="shared" si="210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443">
        <f t="shared" ref="H462:H476" si="212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3">IF(ISERROR(I462-K462),"",I462-K462)</f>
        <v>0</v>
      </c>
      <c r="N462" s="130">
        <f t="shared" ref="N462:N476" si="214">SUM(O462:U462)</f>
        <v>0</v>
      </c>
      <c r="O462" s="434"/>
      <c r="P462" s="434"/>
      <c r="Q462" s="434"/>
      <c r="R462" s="434"/>
      <c r="S462" s="434"/>
      <c r="T462" s="434"/>
      <c r="U462" s="434"/>
      <c r="V462" s="132">
        <f t="shared" ref="V462:V476" si="215">SUM(X462:AA462)</f>
        <v>0</v>
      </c>
      <c r="W462" s="133" t="str">
        <f t="shared" si="210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443">
        <f t="shared" si="212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3"/>
        <v>0</v>
      </c>
      <c r="N463" s="130">
        <f t="shared" si="214"/>
        <v>0</v>
      </c>
      <c r="O463" s="434"/>
      <c r="P463" s="434"/>
      <c r="Q463" s="434"/>
      <c r="R463" s="434"/>
      <c r="S463" s="434"/>
      <c r="T463" s="434"/>
      <c r="U463" s="434"/>
      <c r="V463" s="132">
        <f t="shared" si="215"/>
        <v>0</v>
      </c>
      <c r="W463" s="133" t="str">
        <f t="shared" si="210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443">
        <f t="shared" si="212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3"/>
        <v>0</v>
      </c>
      <c r="N464" s="130">
        <f t="shared" si="214"/>
        <v>0</v>
      </c>
      <c r="O464" s="434"/>
      <c r="P464" s="434"/>
      <c r="Q464" s="434"/>
      <c r="R464" s="434"/>
      <c r="S464" s="434"/>
      <c r="T464" s="434"/>
      <c r="U464" s="434"/>
      <c r="V464" s="132">
        <f t="shared" si="215"/>
        <v>0</v>
      </c>
      <c r="W464" s="133" t="str">
        <f t="shared" si="210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443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3"/>
        <v>0</v>
      </c>
      <c r="N465" s="130">
        <f t="shared" si="214"/>
        <v>0</v>
      </c>
      <c r="O465" s="434"/>
      <c r="P465" s="434"/>
      <c r="Q465" s="434"/>
      <c r="R465" s="434"/>
      <c r="S465" s="434"/>
      <c r="T465" s="434"/>
      <c r="U465" s="434"/>
      <c r="V465" s="132">
        <f t="shared" si="215"/>
        <v>0</v>
      </c>
      <c r="W465" s="133" t="str">
        <f t="shared" si="210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439" t="s">
        <v>203</v>
      </c>
      <c r="D466" s="108">
        <v>5.03</v>
      </c>
      <c r="E466" s="108"/>
      <c r="F466" s="127"/>
      <c r="G466" s="128"/>
      <c r="H466" s="443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3"/>
        <v>0</v>
      </c>
      <c r="N466" s="130">
        <f t="shared" si="214"/>
        <v>0</v>
      </c>
      <c r="O466" s="434"/>
      <c r="P466" s="434"/>
      <c r="Q466" s="434"/>
      <c r="R466" s="434"/>
      <c r="S466" s="434"/>
      <c r="T466" s="434"/>
      <c r="U466" s="434"/>
      <c r="V466" s="132">
        <f t="shared" si="215"/>
        <v>0</v>
      </c>
      <c r="W466" s="133" t="str">
        <f t="shared" si="210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443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434"/>
      <c r="P467" s="434"/>
      <c r="Q467" s="434"/>
      <c r="R467" s="434"/>
      <c r="S467" s="434"/>
      <c r="T467" s="434"/>
      <c r="U467" s="434"/>
      <c r="V467" s="132">
        <f t="shared" si="215"/>
        <v>0</v>
      </c>
      <c r="W467" s="133" t="str">
        <f t="shared" si="210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443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434"/>
      <c r="P468" s="434"/>
      <c r="Q468" s="434"/>
      <c r="R468" s="434"/>
      <c r="S468" s="434"/>
      <c r="T468" s="434"/>
      <c r="U468" s="434"/>
      <c r="V468" s="132">
        <f t="shared" si="215"/>
        <v>0</v>
      </c>
      <c r="W468" s="133" t="str">
        <f t="shared" si="210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439" t="s">
        <v>228</v>
      </c>
      <c r="D469" s="108">
        <v>5.03</v>
      </c>
      <c r="E469" s="108"/>
      <c r="F469" s="127"/>
      <c r="G469" s="128"/>
      <c r="H469" s="443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434"/>
      <c r="P469" s="434"/>
      <c r="Q469" s="434"/>
      <c r="R469" s="434"/>
      <c r="S469" s="434"/>
      <c r="T469" s="434"/>
      <c r="U469" s="434"/>
      <c r="V469" s="132">
        <f t="shared" si="215"/>
        <v>0</v>
      </c>
      <c r="W469" s="133" t="str">
        <f t="shared" si="210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439" t="s">
        <v>212</v>
      </c>
      <c r="D470" s="108">
        <v>5.03</v>
      </c>
      <c r="E470" s="108"/>
      <c r="F470" s="127"/>
      <c r="G470" s="128"/>
      <c r="H470" s="443">
        <f t="shared" si="212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3"/>
        <v/>
      </c>
      <c r="N470" s="130">
        <f t="shared" si="214"/>
        <v>0</v>
      </c>
      <c r="O470" s="434"/>
      <c r="P470" s="434"/>
      <c r="Q470" s="434"/>
      <c r="R470" s="434"/>
      <c r="S470" s="434"/>
      <c r="T470" s="434"/>
      <c r="U470" s="434"/>
      <c r="V470" s="132">
        <f t="shared" si="215"/>
        <v>0</v>
      </c>
      <c r="W470" s="133" t="str">
        <f t="shared" si="210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439" t="s">
        <v>203</v>
      </c>
      <c r="D471" s="108">
        <v>5.03</v>
      </c>
      <c r="E471" s="108"/>
      <c r="F471" s="127"/>
      <c r="G471" s="128"/>
      <c r="H471" s="443">
        <f t="shared" si="212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3"/>
        <v/>
      </c>
      <c r="N471" s="130">
        <f t="shared" si="214"/>
        <v>0</v>
      </c>
      <c r="O471" s="434"/>
      <c r="P471" s="434"/>
      <c r="Q471" s="434"/>
      <c r="R471" s="434"/>
      <c r="S471" s="434"/>
      <c r="T471" s="434"/>
      <c r="U471" s="434"/>
      <c r="V471" s="132">
        <f t="shared" si="215"/>
        <v>0</v>
      </c>
      <c r="W471" s="133" t="str">
        <f t="shared" si="210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439" t="s">
        <v>186</v>
      </c>
      <c r="D472" s="108">
        <v>5.03</v>
      </c>
      <c r="E472" s="108"/>
      <c r="F472" s="127"/>
      <c r="G472" s="128"/>
      <c r="H472" s="443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434"/>
      <c r="P472" s="434"/>
      <c r="Q472" s="434"/>
      <c r="R472" s="434"/>
      <c r="S472" s="434"/>
      <c r="T472" s="434"/>
      <c r="U472" s="434"/>
      <c r="V472" s="132">
        <f t="shared" si="215"/>
        <v>0</v>
      </c>
      <c r="W472" s="133" t="str">
        <f t="shared" si="210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439" t="s">
        <v>228</v>
      </c>
      <c r="D473" s="108">
        <v>5.03</v>
      </c>
      <c r="E473" s="108"/>
      <c r="F473" s="127"/>
      <c r="G473" s="128"/>
      <c r="H473" s="443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434"/>
      <c r="P473" s="434"/>
      <c r="Q473" s="434"/>
      <c r="R473" s="434"/>
      <c r="S473" s="434"/>
      <c r="T473" s="434"/>
      <c r="U473" s="434"/>
      <c r="V473" s="132">
        <f t="shared" si="215"/>
        <v>0</v>
      </c>
      <c r="W473" s="133" t="str">
        <f t="shared" si="210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439" t="s">
        <v>199</v>
      </c>
      <c r="D474" s="108">
        <v>5.03</v>
      </c>
      <c r="E474" s="108"/>
      <c r="F474" s="127"/>
      <c r="G474" s="128"/>
      <c r="H474" s="443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434"/>
      <c r="P474" s="434"/>
      <c r="Q474" s="434"/>
      <c r="R474" s="434"/>
      <c r="S474" s="434"/>
      <c r="T474" s="434"/>
      <c r="U474" s="434"/>
      <c r="V474" s="132">
        <f t="shared" si="215"/>
        <v>0</v>
      </c>
      <c r="W474" s="133" t="str">
        <f t="shared" si="210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443">
        <f t="shared" si="212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3"/>
        <v>0</v>
      </c>
      <c r="N475" s="130">
        <f t="shared" si="214"/>
        <v>0</v>
      </c>
      <c r="O475" s="434"/>
      <c r="P475" s="434"/>
      <c r="Q475" s="434"/>
      <c r="R475" s="434"/>
      <c r="S475" s="434"/>
      <c r="T475" s="434"/>
      <c r="U475" s="434"/>
      <c r="V475" s="132">
        <f t="shared" si="215"/>
        <v>0</v>
      </c>
      <c r="W475" s="133" t="str">
        <f t="shared" si="210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443">
        <f t="shared" si="212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3"/>
        <v>0</v>
      </c>
      <c r="N476" s="130">
        <f t="shared" si="214"/>
        <v>0</v>
      </c>
      <c r="O476" s="434"/>
      <c r="P476" s="434"/>
      <c r="Q476" s="434"/>
      <c r="R476" s="434"/>
      <c r="S476" s="434"/>
      <c r="T476" s="434"/>
      <c r="U476" s="434"/>
      <c r="V476" s="132">
        <f t="shared" si="215"/>
        <v>0</v>
      </c>
      <c r="W476" s="133" t="str">
        <f t="shared" si="210"/>
        <v/>
      </c>
      <c r="X476" s="132"/>
      <c r="Y476" s="132"/>
      <c r="Z476" s="132"/>
      <c r="AA476" s="132"/>
    </row>
    <row r="477" spans="1:27" ht="20.100000000000001" hidden="1" customHeight="1">
      <c r="A477" s="630" t="s">
        <v>231</v>
      </c>
      <c r="B477" s="631"/>
      <c r="C477" s="441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10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443">
        <f t="shared" ref="H478:H486" si="216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7">IF(ISERROR(I478-K478),"",I478-K478)</f>
        <v>0</v>
      </c>
      <c r="N478" s="130">
        <f t="shared" ref="N478:N482" si="218">SUM(O478:U478)</f>
        <v>0</v>
      </c>
      <c r="O478" s="434"/>
      <c r="P478" s="434"/>
      <c r="Q478" s="434"/>
      <c r="R478" s="434"/>
      <c r="S478" s="434"/>
      <c r="T478" s="434"/>
      <c r="U478" s="434"/>
      <c r="V478" s="132">
        <f t="shared" ref="V478:V482" si="219">SUM(X478:AA478)</f>
        <v>0</v>
      </c>
      <c r="W478" s="133" t="str">
        <f t="shared" si="210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443">
        <f t="shared" si="216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7"/>
        <v>0</v>
      </c>
      <c r="N479" s="130">
        <f t="shared" si="218"/>
        <v>0</v>
      </c>
      <c r="O479" s="434"/>
      <c r="P479" s="434"/>
      <c r="Q479" s="434"/>
      <c r="R479" s="434"/>
      <c r="S479" s="434"/>
      <c r="T479" s="434"/>
      <c r="U479" s="434"/>
      <c r="V479" s="132">
        <f t="shared" si="219"/>
        <v>0</v>
      </c>
      <c r="W479" s="133" t="str">
        <f t="shared" si="210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443">
        <f t="shared" si="216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7"/>
        <v>0</v>
      </c>
      <c r="N480" s="130">
        <f t="shared" si="218"/>
        <v>0</v>
      </c>
      <c r="O480" s="434"/>
      <c r="P480" s="434"/>
      <c r="Q480" s="434"/>
      <c r="R480" s="434"/>
      <c r="S480" s="434"/>
      <c r="T480" s="434"/>
      <c r="U480" s="434"/>
      <c r="V480" s="132">
        <f t="shared" si="219"/>
        <v>0</v>
      </c>
      <c r="W480" s="133" t="str">
        <f t="shared" si="210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443">
        <f t="shared" si="216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7"/>
        <v>0</v>
      </c>
      <c r="N481" s="130">
        <f t="shared" si="218"/>
        <v>0</v>
      </c>
      <c r="O481" s="434"/>
      <c r="P481" s="434"/>
      <c r="Q481" s="434"/>
      <c r="R481" s="434"/>
      <c r="S481" s="434"/>
      <c r="T481" s="434"/>
      <c r="U481" s="434"/>
      <c r="V481" s="132">
        <f t="shared" si="219"/>
        <v>0</v>
      </c>
      <c r="W481" s="133" t="str">
        <f t="shared" si="210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443">
        <f t="shared" si="216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7"/>
        <v>0</v>
      </c>
      <c r="N482" s="130">
        <f t="shared" si="218"/>
        <v>0</v>
      </c>
      <c r="O482" s="434"/>
      <c r="P482" s="434"/>
      <c r="Q482" s="434"/>
      <c r="R482" s="434"/>
      <c r="S482" s="434"/>
      <c r="T482" s="434"/>
      <c r="U482" s="434"/>
      <c r="V482" s="132">
        <f t="shared" si="219"/>
        <v>0</v>
      </c>
      <c r="W482" s="133" t="str">
        <f t="shared" si="210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443">
        <f t="shared" si="216"/>
        <v>0</v>
      </c>
      <c r="I483" s="129"/>
      <c r="J483" s="130"/>
      <c r="K483" s="131"/>
      <c r="L483" s="129">
        <v>13.5</v>
      </c>
      <c r="M483" s="109"/>
      <c r="N483" s="130"/>
      <c r="O483" s="434"/>
      <c r="P483" s="434"/>
      <c r="Q483" s="434"/>
      <c r="R483" s="434"/>
      <c r="S483" s="434"/>
      <c r="T483" s="434"/>
      <c r="U483" s="434"/>
      <c r="V483" s="132"/>
      <c r="W483" s="133"/>
      <c r="X483" s="132"/>
      <c r="Y483" s="132"/>
      <c r="Z483" s="132"/>
      <c r="AA483" s="132"/>
    </row>
    <row r="484" spans="1:27" ht="20.10000000000000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16"/>
        <v>0</v>
      </c>
      <c r="I484" s="129"/>
      <c r="J484" s="130"/>
      <c r="K484" s="131"/>
      <c r="L484" s="129">
        <v>13.5</v>
      </c>
      <c r="M484" s="109"/>
      <c r="N484" s="130"/>
      <c r="O484" s="470"/>
      <c r="P484" s="470"/>
      <c r="Q484" s="470"/>
      <c r="R484" s="470"/>
      <c r="S484" s="470"/>
      <c r="T484" s="470"/>
      <c r="U484" s="470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6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443">
        <f t="shared" si="216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20">IF(ISERROR(I486-K486),"",I486-K486)</f>
        <v>0</v>
      </c>
      <c r="N486" s="130">
        <f t="shared" ref="N486" si="221">SUM(O486:U486)</f>
        <v>0</v>
      </c>
      <c r="O486" s="434"/>
      <c r="P486" s="434"/>
      <c r="Q486" s="434"/>
      <c r="R486" s="434"/>
      <c r="S486" s="434"/>
      <c r="T486" s="434"/>
      <c r="U486" s="434"/>
      <c r="V486" s="132">
        <f t="shared" ref="V486" si="222">SUM(X486:AA486)</f>
        <v>0</v>
      </c>
      <c r="W486" s="133" t="str">
        <f t="shared" ref="W486:W491" si="223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30" t="s">
        <v>234</v>
      </c>
      <c r="B487" s="631"/>
      <c r="C487" s="441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3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433"/>
      <c r="D488" s="108">
        <v>3.65</v>
      </c>
      <c r="E488" s="108"/>
      <c r="F488" s="153"/>
      <c r="G488" s="128"/>
      <c r="H488" s="443">
        <f t="shared" ref="H488:H502" si="224">D488*G488</f>
        <v>0</v>
      </c>
      <c r="I488" s="129"/>
      <c r="J488" s="130" t="str">
        <f t="array" ref="J488">IF(ISERROR(G488/I488),"",G488/I488)</f>
        <v/>
      </c>
      <c r="K488" s="443">
        <f t="array" ref="K488">IF(ISERROR(G488/L488),"",G488/L488)</f>
        <v>0</v>
      </c>
      <c r="L488" s="129">
        <v>5</v>
      </c>
      <c r="M488" s="109">
        <f t="shared" ref="M488:M491" si="225">IF(ISERROR(I488-K488),"",I488-K488)</f>
        <v>0</v>
      </c>
      <c r="N488" s="130">
        <f t="shared" ref="N488:N491" si="226">SUM(O488:U488)</f>
        <v>0</v>
      </c>
      <c r="O488" s="434"/>
      <c r="P488" s="434"/>
      <c r="Q488" s="434"/>
      <c r="R488" s="434"/>
      <c r="S488" s="434"/>
      <c r="T488" s="434"/>
      <c r="U488" s="434"/>
      <c r="V488" s="132">
        <f t="shared" ref="V488:V491" si="227">SUM(X488:AA488)</f>
        <v>0</v>
      </c>
      <c r="W488" s="133" t="str">
        <f t="shared" si="223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433"/>
      <c r="D489" s="108">
        <v>6.58</v>
      </c>
      <c r="E489" s="108"/>
      <c r="F489" s="127"/>
      <c r="G489" s="128"/>
      <c r="H489" s="443">
        <f t="shared" si="22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5"/>
        <v>0</v>
      </c>
      <c r="N489" s="130">
        <f t="shared" si="226"/>
        <v>0</v>
      </c>
      <c r="O489" s="434"/>
      <c r="P489" s="434"/>
      <c r="Q489" s="434"/>
      <c r="R489" s="434"/>
      <c r="S489" s="434"/>
      <c r="T489" s="434"/>
      <c r="U489" s="434"/>
      <c r="V489" s="132">
        <f t="shared" si="227"/>
        <v>0</v>
      </c>
      <c r="W489" s="133" t="str">
        <f t="shared" si="223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433"/>
      <c r="D490" s="108">
        <v>7.8</v>
      </c>
      <c r="E490" s="108"/>
      <c r="F490" s="127"/>
      <c r="G490" s="128"/>
      <c r="H490" s="443">
        <f t="shared" si="224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5"/>
        <v>0</v>
      </c>
      <c r="N490" s="130">
        <f t="shared" si="226"/>
        <v>0</v>
      </c>
      <c r="O490" s="434"/>
      <c r="P490" s="434"/>
      <c r="Q490" s="434"/>
      <c r="R490" s="434"/>
      <c r="S490" s="434"/>
      <c r="T490" s="434"/>
      <c r="U490" s="434"/>
      <c r="V490" s="132">
        <f t="shared" si="227"/>
        <v>0</v>
      </c>
      <c r="W490" s="133" t="str">
        <f t="shared" si="223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433"/>
      <c r="D491" s="108">
        <v>4.4000000000000004</v>
      </c>
      <c r="E491" s="108"/>
      <c r="F491" s="127"/>
      <c r="G491" s="128"/>
      <c r="H491" s="443">
        <f t="shared" si="224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5"/>
        <v>0</v>
      </c>
      <c r="N491" s="130">
        <f t="shared" si="226"/>
        <v>0</v>
      </c>
      <c r="O491" s="434"/>
      <c r="P491" s="434"/>
      <c r="Q491" s="434"/>
      <c r="R491" s="434"/>
      <c r="S491" s="434"/>
      <c r="T491" s="434"/>
      <c r="U491" s="434"/>
      <c r="V491" s="132">
        <f t="shared" si="227"/>
        <v>0</v>
      </c>
      <c r="W491" s="133" t="str">
        <f t="shared" si="223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443">
        <f t="shared" si="224"/>
        <v>0</v>
      </c>
      <c r="I492" s="129"/>
      <c r="J492" s="130"/>
      <c r="K492" s="131"/>
      <c r="L492" s="129"/>
      <c r="M492" s="109"/>
      <c r="N492" s="130"/>
      <c r="O492" s="434"/>
      <c r="P492" s="434"/>
      <c r="Q492" s="434"/>
      <c r="R492" s="434"/>
      <c r="S492" s="434"/>
      <c r="T492" s="434"/>
      <c r="U492" s="434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433"/>
      <c r="D493" s="108"/>
      <c r="E493" s="108"/>
      <c r="F493" s="127"/>
      <c r="G493" s="128"/>
      <c r="H493" s="443">
        <f t="shared" si="224"/>
        <v>0</v>
      </c>
      <c r="I493" s="129"/>
      <c r="J493" s="130"/>
      <c r="K493" s="131"/>
      <c r="L493" s="129">
        <v>6</v>
      </c>
      <c r="M493" s="109"/>
      <c r="N493" s="130"/>
      <c r="O493" s="434"/>
      <c r="P493" s="434"/>
      <c r="Q493" s="434"/>
      <c r="R493" s="434"/>
      <c r="S493" s="434"/>
      <c r="T493" s="434"/>
      <c r="U493" s="434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433" t="s">
        <v>239</v>
      </c>
      <c r="C494" s="433" t="s">
        <v>179</v>
      </c>
      <c r="D494" s="108">
        <v>6.04</v>
      </c>
      <c r="E494" s="108"/>
      <c r="F494" s="127"/>
      <c r="G494" s="128"/>
      <c r="H494" s="443">
        <f t="shared" si="224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8">IF(ISERROR(I494-K494),"",I494-K494)</f>
        <v>0</v>
      </c>
      <c r="N494" s="130">
        <f t="shared" ref="N494:N495" si="229">SUM(O494:U494)</f>
        <v>0</v>
      </c>
      <c r="O494" s="434"/>
      <c r="P494" s="434"/>
      <c r="Q494" s="434"/>
      <c r="R494" s="434"/>
      <c r="S494" s="434"/>
      <c r="T494" s="434"/>
      <c r="U494" s="434"/>
      <c r="V494" s="132">
        <f t="shared" ref="V494:V495" si="230">SUM(X494:AA494)</f>
        <v>0</v>
      </c>
      <c r="W494" s="133" t="str">
        <f t="shared" ref="W494:W495" si="231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433" t="s">
        <v>239</v>
      </c>
      <c r="C495" s="433" t="s">
        <v>186</v>
      </c>
      <c r="D495" s="108">
        <v>6.04</v>
      </c>
      <c r="E495" s="108"/>
      <c r="F495" s="127"/>
      <c r="G495" s="128"/>
      <c r="H495" s="443">
        <f t="shared" si="224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8"/>
        <v>0</v>
      </c>
      <c r="N495" s="130">
        <f t="shared" si="229"/>
        <v>0</v>
      </c>
      <c r="O495" s="434"/>
      <c r="P495" s="434"/>
      <c r="Q495" s="434"/>
      <c r="R495" s="434"/>
      <c r="S495" s="434"/>
      <c r="T495" s="434"/>
      <c r="U495" s="434"/>
      <c r="V495" s="132">
        <f t="shared" si="230"/>
        <v>0</v>
      </c>
      <c r="W495" s="133" t="str">
        <f t="shared" si="231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433" t="s">
        <v>443</v>
      </c>
      <c r="C496" s="433" t="s">
        <v>179</v>
      </c>
      <c r="D496" s="108"/>
      <c r="E496" s="108"/>
      <c r="F496" s="127"/>
      <c r="G496" s="128"/>
      <c r="H496" s="443">
        <f t="shared" si="224"/>
        <v>0</v>
      </c>
      <c r="I496" s="129"/>
      <c r="J496" s="130"/>
      <c r="K496" s="131"/>
      <c r="L496" s="129"/>
      <c r="M496" s="109"/>
      <c r="N496" s="130"/>
      <c r="O496" s="434"/>
      <c r="P496" s="434"/>
      <c r="Q496" s="434"/>
      <c r="R496" s="434"/>
      <c r="S496" s="434"/>
      <c r="T496" s="434"/>
      <c r="U496" s="434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433" t="s">
        <v>443</v>
      </c>
      <c r="C497" s="433" t="s">
        <v>186</v>
      </c>
      <c r="D497" s="108"/>
      <c r="E497" s="108"/>
      <c r="F497" s="127"/>
      <c r="G497" s="128"/>
      <c r="H497" s="443">
        <f t="shared" si="224"/>
        <v>0</v>
      </c>
      <c r="I497" s="129"/>
      <c r="J497" s="130"/>
      <c r="K497" s="131"/>
      <c r="L497" s="129"/>
      <c r="M497" s="109"/>
      <c r="N497" s="130"/>
      <c r="O497" s="434"/>
      <c r="P497" s="434"/>
      <c r="Q497" s="434"/>
      <c r="R497" s="434"/>
      <c r="S497" s="434"/>
      <c r="T497" s="434"/>
      <c r="U497" s="434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435" t="s">
        <v>240</v>
      </c>
      <c r="C498" s="126"/>
      <c r="D498" s="108">
        <v>7.3</v>
      </c>
      <c r="E498" s="108"/>
      <c r="F498" s="127"/>
      <c r="G498" s="128"/>
      <c r="H498" s="443">
        <f t="shared" si="224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2">IF(ISERROR(I498-K498),"",I498-K498)</f>
        <v>0</v>
      </c>
      <c r="N498" s="130">
        <f t="shared" ref="N498" si="233">SUM(O498:U498)</f>
        <v>0</v>
      </c>
      <c r="O498" s="434"/>
      <c r="P498" s="434"/>
      <c r="Q498" s="434"/>
      <c r="R498" s="434"/>
      <c r="S498" s="434"/>
      <c r="T498" s="434"/>
      <c r="U498" s="434"/>
      <c r="V498" s="132">
        <f t="shared" ref="V498" si="234">SUM(X498:AA498)</f>
        <v>0</v>
      </c>
      <c r="W498" s="133" t="str">
        <f t="shared" ref="W498" si="235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435" t="s">
        <v>241</v>
      </c>
      <c r="C499" s="126"/>
      <c r="D499" s="108">
        <f>78*120/1000</f>
        <v>9.36</v>
      </c>
      <c r="E499" s="108"/>
      <c r="F499" s="127"/>
      <c r="G499" s="128"/>
      <c r="H499" s="443">
        <f t="shared" si="224"/>
        <v>0</v>
      </c>
      <c r="I499" s="129"/>
      <c r="J499" s="130"/>
      <c r="K499" s="131"/>
      <c r="L499" s="129"/>
      <c r="M499" s="109"/>
      <c r="N499" s="130"/>
      <c r="O499" s="434"/>
      <c r="P499" s="434"/>
      <c r="Q499" s="434"/>
      <c r="R499" s="434"/>
      <c r="S499" s="434"/>
      <c r="T499" s="434"/>
      <c r="U499" s="434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435" t="s">
        <v>242</v>
      </c>
      <c r="C500" s="126"/>
      <c r="D500" s="108">
        <v>4.5</v>
      </c>
      <c r="E500" s="108"/>
      <c r="F500" s="127"/>
      <c r="G500" s="128"/>
      <c r="H500" s="443">
        <f t="shared" si="224"/>
        <v>0</v>
      </c>
      <c r="I500" s="129"/>
      <c r="J500" s="130"/>
      <c r="K500" s="131"/>
      <c r="L500" s="129"/>
      <c r="M500" s="109"/>
      <c r="N500" s="130"/>
      <c r="O500" s="434"/>
      <c r="P500" s="434"/>
      <c r="Q500" s="434"/>
      <c r="R500" s="434"/>
      <c r="S500" s="434"/>
      <c r="T500" s="434"/>
      <c r="U500" s="434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435" t="s">
        <v>243</v>
      </c>
      <c r="C501" s="126"/>
      <c r="D501" s="108">
        <v>4.5</v>
      </c>
      <c r="E501" s="108"/>
      <c r="F501" s="127"/>
      <c r="G501" s="128"/>
      <c r="H501" s="443">
        <f t="shared" si="224"/>
        <v>0</v>
      </c>
      <c r="I501" s="129"/>
      <c r="J501" s="130"/>
      <c r="K501" s="131"/>
      <c r="L501" s="129"/>
      <c r="M501" s="109"/>
      <c r="N501" s="130"/>
      <c r="O501" s="434"/>
      <c r="P501" s="434"/>
      <c r="Q501" s="434"/>
      <c r="R501" s="434"/>
      <c r="S501" s="434"/>
      <c r="T501" s="434"/>
      <c r="U501" s="434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435"/>
      <c r="C502" s="126"/>
      <c r="D502" s="108"/>
      <c r="E502" s="108"/>
      <c r="F502" s="127"/>
      <c r="G502" s="128"/>
      <c r="H502" s="443">
        <f t="shared" si="224"/>
        <v>0</v>
      </c>
      <c r="I502" s="129"/>
      <c r="J502" s="130"/>
      <c r="K502" s="131"/>
      <c r="L502" s="129"/>
      <c r="M502" s="109"/>
      <c r="N502" s="130"/>
      <c r="O502" s="434"/>
      <c r="P502" s="434"/>
      <c r="Q502" s="434"/>
      <c r="R502" s="434"/>
      <c r="S502" s="434"/>
      <c r="T502" s="434"/>
      <c r="U502" s="434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30" t="s">
        <v>244</v>
      </c>
      <c r="B503" s="631"/>
      <c r="C503" s="441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6">SUM(M488:M498)</f>
        <v>0</v>
      </c>
      <c r="N503" s="146">
        <f t="shared" si="236"/>
        <v>0</v>
      </c>
      <c r="O503" s="148">
        <f t="shared" si="236"/>
        <v>0</v>
      </c>
      <c r="P503" s="148">
        <f t="shared" si="236"/>
        <v>0</v>
      </c>
      <c r="Q503" s="148">
        <f t="shared" si="236"/>
        <v>0</v>
      </c>
      <c r="R503" s="148">
        <f t="shared" si="236"/>
        <v>0</v>
      </c>
      <c r="S503" s="148">
        <f t="shared" si="236"/>
        <v>0</v>
      </c>
      <c r="T503" s="148">
        <f t="shared" si="236"/>
        <v>0</v>
      </c>
      <c r="U503" s="148">
        <f t="shared" si="236"/>
        <v>0</v>
      </c>
      <c r="V503" s="149">
        <f t="shared" si="236"/>
        <v>0</v>
      </c>
      <c r="W503" s="133">
        <f t="shared" si="236"/>
        <v>0</v>
      </c>
      <c r="X503" s="149">
        <f t="shared" si="236"/>
        <v>0</v>
      </c>
      <c r="Y503" s="149">
        <f t="shared" si="236"/>
        <v>0</v>
      </c>
      <c r="Z503" s="149">
        <f t="shared" si="236"/>
        <v>0</v>
      </c>
      <c r="AA503" s="149">
        <f t="shared" si="236"/>
        <v>0</v>
      </c>
    </row>
    <row r="504" spans="1:27" ht="20.100000000000001" customHeight="1">
      <c r="A504" s="632" t="s">
        <v>246</v>
      </c>
      <c r="B504" s="633"/>
      <c r="C504" s="633"/>
      <c r="D504" s="633"/>
      <c r="E504" s="633"/>
      <c r="F504" s="634"/>
      <c r="G504" s="154">
        <f>SUM(G368,G426,G461,G477,G487,G503)</f>
        <v>847</v>
      </c>
      <c r="H504" s="154">
        <f>SUM(H368,H426,H461,H477,H487,H503)</f>
        <v>4260.4100000000008</v>
      </c>
      <c r="I504" s="154">
        <f>SUM(I368,I426,I461,I477,I487,I503)</f>
        <v>80.5</v>
      </c>
      <c r="J504" s="155">
        <f t="array" ref="J504">IF(ISERROR(G504/I504),"",G504/I504)</f>
        <v>10.521739130434783</v>
      </c>
      <c r="K504" s="154">
        <f>SUM(K368,K426,K461,K477,K487,K503)</f>
        <v>94.740957966764412</v>
      </c>
      <c r="L504" s="155">
        <f>IF(ISERROR(G504/K504),"",G504/K504)</f>
        <v>8.9401671481634342</v>
      </c>
      <c r="M504" s="154">
        <f t="shared" ref="M504:V504" si="237">SUM(M368,M426,M461,M477,M487,M503)</f>
        <v>-14.240957966764407</v>
      </c>
      <c r="N504" s="154">
        <f t="shared" si="237"/>
        <v>0</v>
      </c>
      <c r="O504" s="154">
        <f t="shared" si="237"/>
        <v>0</v>
      </c>
      <c r="P504" s="154">
        <f t="shared" si="237"/>
        <v>0</v>
      </c>
      <c r="Q504" s="154">
        <f t="shared" si="237"/>
        <v>0</v>
      </c>
      <c r="R504" s="154">
        <f t="shared" si="237"/>
        <v>0</v>
      </c>
      <c r="S504" s="154">
        <f t="shared" si="237"/>
        <v>0</v>
      </c>
      <c r="T504" s="154">
        <f t="shared" si="237"/>
        <v>0</v>
      </c>
      <c r="U504" s="154">
        <f t="shared" si="237"/>
        <v>0</v>
      </c>
      <c r="V504" s="154">
        <f t="shared" si="237"/>
        <v>0</v>
      </c>
      <c r="W504" s="156">
        <f t="shared" ref="W504" si="238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35" t="s">
        <v>476</v>
      </c>
      <c r="B505" s="440" t="s">
        <v>247</v>
      </c>
      <c r="C505" s="638" t="s">
        <v>248</v>
      </c>
      <c r="D505" s="639"/>
      <c r="E505" s="640" t="s">
        <v>249</v>
      </c>
      <c r="F505" s="640"/>
      <c r="G505" s="643" t="s">
        <v>250</v>
      </c>
      <c r="H505" s="643"/>
      <c r="I505" s="640" t="s">
        <v>251</v>
      </c>
      <c r="J505" s="640"/>
      <c r="K505" s="640" t="s">
        <v>252</v>
      </c>
      <c r="L505" s="640"/>
      <c r="M505" s="640" t="s">
        <v>253</v>
      </c>
      <c r="N505" s="640"/>
      <c r="O505" s="640" t="s">
        <v>254</v>
      </c>
      <c r="P505" s="643" t="s">
        <v>255</v>
      </c>
      <c r="Q505" s="643"/>
      <c r="R505" s="643" t="s">
        <v>252</v>
      </c>
      <c r="S505" s="643"/>
      <c r="T505" s="643" t="s">
        <v>256</v>
      </c>
      <c r="U505" s="643"/>
      <c r="V505" s="643" t="s">
        <v>257</v>
      </c>
      <c r="W505" s="643"/>
      <c r="X505" s="643" t="s">
        <v>252</v>
      </c>
      <c r="Y505" s="643"/>
      <c r="Z505" s="643" t="s">
        <v>256</v>
      </c>
      <c r="AA505" s="643"/>
    </row>
    <row r="506" spans="1:27" ht="20.100000000000001" customHeight="1">
      <c r="A506" s="636"/>
      <c r="B506" s="440" t="s">
        <v>258</v>
      </c>
      <c r="C506" s="638">
        <v>0</v>
      </c>
      <c r="D506" s="639"/>
      <c r="E506" s="642">
        <f>C506*11</f>
        <v>0</v>
      </c>
      <c r="F506" s="642"/>
      <c r="G506" s="643">
        <v>0</v>
      </c>
      <c r="H506" s="643"/>
      <c r="I506" s="642">
        <f>G506*11</f>
        <v>0</v>
      </c>
      <c r="J506" s="642"/>
      <c r="K506" s="642">
        <f>E506-I506</f>
        <v>0</v>
      </c>
      <c r="L506" s="642"/>
      <c r="M506" s="644" t="str">
        <f>IF(ISERROR(K506/E506),"",K506/E506)</f>
        <v/>
      </c>
      <c r="N506" s="644"/>
      <c r="O506" s="640"/>
      <c r="P506" s="643" t="s">
        <v>201</v>
      </c>
      <c r="Q506" s="643"/>
      <c r="R506" s="645">
        <f>SUM(O368:U368)</f>
        <v>0</v>
      </c>
      <c r="S506" s="645"/>
      <c r="T506" s="646" t="str">
        <f t="array" ref="T506">IF(ISERROR(R506/R513),"",R506/R513)</f>
        <v/>
      </c>
      <c r="U506" s="646"/>
      <c r="V506" s="643" t="s">
        <v>259</v>
      </c>
      <c r="W506" s="643"/>
      <c r="X506" s="647">
        <f>SUM(O368,O426,O461,O477,O487,O503)</f>
        <v>0</v>
      </c>
      <c r="Y506" s="647"/>
      <c r="Z506" s="646" t="str">
        <f t="array" ref="Z506">IF(ISERROR(X506/X513),"",X506/X513)</f>
        <v/>
      </c>
      <c r="AA506" s="646"/>
    </row>
    <row r="507" spans="1:27" ht="20.100000000000001" customHeight="1">
      <c r="A507" s="636"/>
      <c r="B507" s="440" t="s">
        <v>260</v>
      </c>
      <c r="C507" s="638">
        <v>0</v>
      </c>
      <c r="D507" s="639"/>
      <c r="E507" s="642">
        <f>C507*11</f>
        <v>0</v>
      </c>
      <c r="F507" s="642"/>
      <c r="G507" s="643">
        <v>0</v>
      </c>
      <c r="H507" s="643"/>
      <c r="I507" s="642">
        <f>G507*11</f>
        <v>0</v>
      </c>
      <c r="J507" s="642"/>
      <c r="K507" s="642">
        <f>E507-I507</f>
        <v>0</v>
      </c>
      <c r="L507" s="642"/>
      <c r="M507" s="644" t="str">
        <f>IF(ISERROR(K507/E507),"",K507/E507)</f>
        <v/>
      </c>
      <c r="N507" s="644"/>
      <c r="O507" s="640"/>
      <c r="P507" s="643" t="s">
        <v>216</v>
      </c>
      <c r="Q507" s="643"/>
      <c r="R507" s="645">
        <f>SUM(O426:U426)</f>
        <v>0</v>
      </c>
      <c r="S507" s="645"/>
      <c r="T507" s="646" t="str">
        <f>IF(ISERROR(R507/R513),"",R507/R513)</f>
        <v/>
      </c>
      <c r="U507" s="646"/>
      <c r="V507" s="643" t="s">
        <v>261</v>
      </c>
      <c r="W507" s="643"/>
      <c r="X507" s="647">
        <f>SUM(O369,O427,O462,O478,O488,O504)</f>
        <v>0</v>
      </c>
      <c r="Y507" s="647"/>
      <c r="Z507" s="646" t="str">
        <f>IF(ISERROR(X507/X513),"",X507/X513)</f>
        <v/>
      </c>
      <c r="AA507" s="646"/>
    </row>
    <row r="508" spans="1:27" ht="20.100000000000001" customHeight="1">
      <c r="A508" s="636"/>
      <c r="B508" s="440" t="s">
        <v>262</v>
      </c>
      <c r="C508" s="638">
        <v>0</v>
      </c>
      <c r="D508" s="639"/>
      <c r="E508" s="642">
        <f>C508*11</f>
        <v>0</v>
      </c>
      <c r="F508" s="642"/>
      <c r="G508" s="643">
        <v>0</v>
      </c>
      <c r="H508" s="643"/>
      <c r="I508" s="642">
        <f>G508*11</f>
        <v>0</v>
      </c>
      <c r="J508" s="642"/>
      <c r="K508" s="642">
        <f>E508-I508</f>
        <v>0</v>
      </c>
      <c r="L508" s="642"/>
      <c r="M508" s="644" t="str">
        <f>IF(ISERROR(K508/E508),"",K508/E508)</f>
        <v/>
      </c>
      <c r="N508" s="644"/>
      <c r="O508" s="640"/>
      <c r="P508" s="643" t="s">
        <v>224</v>
      </c>
      <c r="Q508" s="643"/>
      <c r="R508" s="645">
        <f>SUM(O461:U461)</f>
        <v>0</v>
      </c>
      <c r="S508" s="645"/>
      <c r="T508" s="646" t="str">
        <f>IF(ISERROR(R508/R513),"",R508/R513)</f>
        <v/>
      </c>
      <c r="U508" s="646"/>
      <c r="V508" s="643" t="s">
        <v>263</v>
      </c>
      <c r="W508" s="643"/>
      <c r="X508" s="647">
        <f>SUM(O371,O428,O463,O479,O489,O505)</f>
        <v>0</v>
      </c>
      <c r="Y508" s="647"/>
      <c r="Z508" s="646" t="str">
        <f>IF(ISERROR(X508/X513),"",X508/X513)</f>
        <v/>
      </c>
      <c r="AA508" s="646"/>
    </row>
    <row r="509" spans="1:27" ht="20.100000000000001" customHeight="1">
      <c r="A509" s="636"/>
      <c r="B509" s="440" t="s">
        <v>264</v>
      </c>
      <c r="C509" s="638">
        <v>1</v>
      </c>
      <c r="D509" s="639"/>
      <c r="E509" s="642">
        <f>C509*11</f>
        <v>11</v>
      </c>
      <c r="F509" s="642"/>
      <c r="G509" s="643">
        <v>1</v>
      </c>
      <c r="H509" s="643"/>
      <c r="I509" s="642">
        <f>G509*11</f>
        <v>11</v>
      </c>
      <c r="J509" s="642"/>
      <c r="K509" s="642">
        <f>E509-I509</f>
        <v>0</v>
      </c>
      <c r="L509" s="642"/>
      <c r="M509" s="644">
        <f>IF(ISERROR(K509/E509),"",K509/E509)</f>
        <v>0</v>
      </c>
      <c r="N509" s="644"/>
      <c r="O509" s="640"/>
      <c r="P509" s="643" t="s">
        <v>231</v>
      </c>
      <c r="Q509" s="643"/>
      <c r="R509" s="645">
        <f>SUM(O477:U477)</f>
        <v>0</v>
      </c>
      <c r="S509" s="645"/>
      <c r="T509" s="646" t="str">
        <f>IF(ISERROR(R509/R513),"",R509/R513)</f>
        <v/>
      </c>
      <c r="U509" s="646"/>
      <c r="V509" s="643" t="s">
        <v>265</v>
      </c>
      <c r="W509" s="643"/>
      <c r="X509" s="647">
        <f>SUM(O372,O429,O464,O480,O490,O506)</f>
        <v>0</v>
      </c>
      <c r="Y509" s="647"/>
      <c r="Z509" s="646" t="str">
        <f>IF(ISERROR(X509/X513),"",X509/X513)</f>
        <v/>
      </c>
      <c r="AA509" s="646"/>
    </row>
    <row r="510" spans="1:27" ht="20.100000000000001" customHeight="1">
      <c r="A510" s="637"/>
      <c r="B510" s="440" t="s">
        <v>266</v>
      </c>
      <c r="C510" s="648">
        <f>SUM(C506:D509)</f>
        <v>1</v>
      </c>
      <c r="D510" s="649"/>
      <c r="E510" s="642">
        <f>SUM(E506:F509)</f>
        <v>11</v>
      </c>
      <c r="F510" s="642"/>
      <c r="G510" s="643">
        <f>SUM(G506:H509)</f>
        <v>1</v>
      </c>
      <c r="H510" s="643"/>
      <c r="I510" s="642">
        <f>SUM(I506:J509)</f>
        <v>11</v>
      </c>
      <c r="J510" s="642"/>
      <c r="K510" s="642">
        <f>SUM(K506:L509)</f>
        <v>0</v>
      </c>
      <c r="L510" s="642"/>
      <c r="M510" s="644">
        <f>IF(ISERROR(K510/E510),"",K510/E510)</f>
        <v>0</v>
      </c>
      <c r="N510" s="644"/>
      <c r="O510" s="640"/>
      <c r="P510" s="643" t="s">
        <v>234</v>
      </c>
      <c r="Q510" s="643"/>
      <c r="R510" s="645">
        <f>SUM(O487:U487)</f>
        <v>0</v>
      </c>
      <c r="S510" s="645"/>
      <c r="T510" s="646" t="str">
        <f>IF(ISERROR(R510/R513),"",R510/R513)</f>
        <v/>
      </c>
      <c r="U510" s="646"/>
      <c r="V510" s="643" t="s">
        <v>267</v>
      </c>
      <c r="W510" s="643"/>
      <c r="X510" s="647">
        <f>SUM(O373,O430,O465,O481,O491,O507)</f>
        <v>0</v>
      </c>
      <c r="Y510" s="647"/>
      <c r="Z510" s="646" t="str">
        <f>IF(ISERROR(X510/X513),"",X510/X513)</f>
        <v/>
      </c>
      <c r="AA510" s="646"/>
    </row>
    <row r="511" spans="1:27" ht="20.100000000000001" customHeight="1">
      <c r="A511" s="307" t="s">
        <v>477</v>
      </c>
      <c r="B511" s="440">
        <f>G504</f>
        <v>847</v>
      </c>
      <c r="C511" s="650" t="s">
        <v>269</v>
      </c>
      <c r="D511" s="651"/>
      <c r="E511" s="643">
        <f>H504</f>
        <v>4260.4100000000008</v>
      </c>
      <c r="F511" s="643"/>
      <c r="G511" s="643" t="s">
        <v>270</v>
      </c>
      <c r="H511" s="643"/>
      <c r="I511" s="652">
        <f>L504</f>
        <v>8.9401671481634342</v>
      </c>
      <c r="J511" s="652"/>
      <c r="K511" s="640" t="s">
        <v>271</v>
      </c>
      <c r="L511" s="640"/>
      <c r="M511" s="652">
        <f>J504</f>
        <v>10.521739130434783</v>
      </c>
      <c r="N511" s="652"/>
      <c r="O511" s="640"/>
      <c r="P511" s="643" t="s">
        <v>244</v>
      </c>
      <c r="Q511" s="643"/>
      <c r="R511" s="645">
        <f>SUM(O503:U503)</f>
        <v>0</v>
      </c>
      <c r="S511" s="645"/>
      <c r="T511" s="646" t="str">
        <f>IF(ISERROR(R511/R513),"",R511/R513)</f>
        <v/>
      </c>
      <c r="U511" s="646"/>
      <c r="V511" s="643" t="s">
        <v>272</v>
      </c>
      <c r="W511" s="643"/>
      <c r="X511" s="647">
        <f>SUM(O374,O431,O466,O482,O492,O508)</f>
        <v>0</v>
      </c>
      <c r="Y511" s="647"/>
      <c r="Z511" s="646" t="str">
        <f>IF(ISERROR(X511/X513),"",X511/X513)</f>
        <v/>
      </c>
      <c r="AA511" s="646"/>
    </row>
    <row r="512" spans="1:27" ht="20.100000000000001" customHeight="1">
      <c r="A512" s="308" t="s">
        <v>478</v>
      </c>
      <c r="B512" s="440">
        <f>I504+C510</f>
        <v>81.5</v>
      </c>
      <c r="C512" s="653" t="s">
        <v>251</v>
      </c>
      <c r="D512" s="654"/>
      <c r="E512" s="655">
        <f>K504+I510</f>
        <v>105.74095796676441</v>
      </c>
      <c r="F512" s="655"/>
      <c r="G512" s="643" t="s">
        <v>274</v>
      </c>
      <c r="H512" s="643"/>
      <c r="I512" s="652">
        <f>B512-E512</f>
        <v>-24.240957966764412</v>
      </c>
      <c r="J512" s="652"/>
      <c r="K512" s="640" t="s">
        <v>275</v>
      </c>
      <c r="L512" s="640"/>
      <c r="M512" s="644">
        <f>IF(ISERROR(I512/E512),"",I512/E512)</f>
        <v>-0.22924851857672426</v>
      </c>
      <c r="N512" s="644"/>
      <c r="O512" s="640"/>
      <c r="P512" s="643" t="s">
        <v>245</v>
      </c>
      <c r="Q512" s="643"/>
      <c r="R512" s="645"/>
      <c r="S512" s="645"/>
      <c r="T512" s="646" t="str">
        <f>IF(ISERROR(R512/R513),"",R512/R513)</f>
        <v/>
      </c>
      <c r="U512" s="646"/>
      <c r="V512" s="643" t="s">
        <v>264</v>
      </c>
      <c r="W512" s="643"/>
      <c r="X512" s="647">
        <f>SUM(O375,O432,O467,O486,O493,O509)</f>
        <v>0</v>
      </c>
      <c r="Y512" s="647"/>
      <c r="Z512" s="646" t="str">
        <f>IF(ISERROR(X512/X513),"",X512/X513)</f>
        <v/>
      </c>
      <c r="AA512" s="646"/>
    </row>
    <row r="513" spans="1:27" ht="20.100000000000001" customHeight="1">
      <c r="A513" s="308" t="s">
        <v>479</v>
      </c>
      <c r="B513" s="440">
        <f>N504</f>
        <v>0</v>
      </c>
      <c r="C513" s="653" t="s">
        <v>277</v>
      </c>
      <c r="D513" s="654"/>
      <c r="E513" s="646">
        <f>IF(ISERROR(B513/B512),"",B513/B512)</f>
        <v>0</v>
      </c>
      <c r="F513" s="646"/>
      <c r="G513" s="643" t="s">
        <v>278</v>
      </c>
      <c r="H513" s="643"/>
      <c r="I513" s="640">
        <f>V504</f>
        <v>0</v>
      </c>
      <c r="J513" s="640"/>
      <c r="K513" s="640" t="s">
        <v>279</v>
      </c>
      <c r="L513" s="640"/>
      <c r="M513" s="644">
        <f t="array" ref="M513">IF(ISERROR(I513/B511),"",I513/B511)</f>
        <v>0</v>
      </c>
      <c r="N513" s="644"/>
      <c r="O513" s="640"/>
      <c r="P513" s="643" t="s">
        <v>266</v>
      </c>
      <c r="Q513" s="643"/>
      <c r="R513" s="645">
        <f>SUM(R506:S512)</f>
        <v>0</v>
      </c>
      <c r="S513" s="645"/>
      <c r="T513" s="646"/>
      <c r="U513" s="646"/>
      <c r="V513" s="643" t="s">
        <v>266</v>
      </c>
      <c r="W513" s="643"/>
      <c r="X513" s="647">
        <f>SUM(X506:Y512)</f>
        <v>0</v>
      </c>
      <c r="Y513" s="647"/>
      <c r="Z513" s="646"/>
      <c r="AA513" s="646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682" t="str">
        <f>IF(ISERROR(#REF!/#REF!),"",#REF!/#REF!)</f>
        <v/>
      </c>
      <c r="H514" s="682"/>
      <c r="I514" s="682"/>
      <c r="J514" s="125"/>
      <c r="K514" s="160"/>
      <c r="L514" s="122"/>
      <c r="M514" s="122"/>
      <c r="N514" s="682" t="str">
        <f>IF(ISERROR(G514/#REF!),"",G514/#REF!)</f>
        <v/>
      </c>
      <c r="O514" s="682"/>
      <c r="P514" s="682"/>
      <c r="Q514" s="682"/>
      <c r="R514" s="682"/>
      <c r="S514" s="442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685" t="s">
        <v>268</v>
      </c>
      <c r="B516" s="685"/>
      <c r="C516" s="638">
        <f>SUM(B170,B340,B511)</f>
        <v>3864</v>
      </c>
      <c r="D516" s="639"/>
      <c r="E516" s="685" t="s">
        <v>269</v>
      </c>
      <c r="F516" s="685"/>
      <c r="G516" s="655">
        <f>SUM(E170,E340,E511)</f>
        <v>19671.5</v>
      </c>
      <c r="H516" s="655"/>
      <c r="I516" s="643" t="s">
        <v>270</v>
      </c>
      <c r="J516" s="685"/>
      <c r="K516" s="638">
        <f>IF(ISERROR(C516/G517),"",C516/G517)</f>
        <v>7.4449978968251473</v>
      </c>
      <c r="L516" s="639"/>
      <c r="M516" s="643" t="s">
        <v>271</v>
      </c>
      <c r="N516" s="643"/>
      <c r="O516" s="680">
        <f t="array" ref="O516">IF(ISERROR(C516/C517),"",C516/C517)</f>
        <v>10.415094339622641</v>
      </c>
      <c r="P516" s="681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643" t="s">
        <v>273</v>
      </c>
      <c r="B517" s="643"/>
      <c r="C517" s="638">
        <f>SUM(B171,B341,B512)</f>
        <v>371</v>
      </c>
      <c r="D517" s="639"/>
      <c r="E517" s="643" t="s">
        <v>251</v>
      </c>
      <c r="F517" s="643"/>
      <c r="G517" s="655">
        <f>SUM(E171,E341,E512)</f>
        <v>519.00619094167484</v>
      </c>
      <c r="H517" s="655"/>
      <c r="I517" s="653" t="s">
        <v>274</v>
      </c>
      <c r="J517" s="654"/>
      <c r="K517" s="650">
        <f>C517-G517</f>
        <v>-148.00619094167484</v>
      </c>
      <c r="L517" s="651"/>
      <c r="M517" s="650" t="s">
        <v>275</v>
      </c>
      <c r="N517" s="651"/>
      <c r="O517" s="683">
        <f>IF(ISERROR(K517/C517),"",K517/C517)</f>
        <v>-0.39893852005842279</v>
      </c>
      <c r="P517" s="684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653" t="s">
        <v>276</v>
      </c>
      <c r="B518" s="654"/>
      <c r="C518" s="638">
        <f>SUM(B172,B342,B513)</f>
        <v>0</v>
      </c>
      <c r="D518" s="639"/>
      <c r="E518" s="653" t="s">
        <v>277</v>
      </c>
      <c r="F518" s="654"/>
      <c r="G518" s="646">
        <f>IF(ISERROR(C518/C517),"",C518/C517)</f>
        <v>0</v>
      </c>
      <c r="H518" s="646"/>
      <c r="I518" s="643" t="s">
        <v>278</v>
      </c>
      <c r="J518" s="685"/>
      <c r="K518" s="655">
        <f>SUM(I172,I342,I513)</f>
        <v>0</v>
      </c>
      <c r="L518" s="655"/>
      <c r="M518" s="685" t="s">
        <v>279</v>
      </c>
      <c r="N518" s="685"/>
      <c r="O518" s="683">
        <f t="array" ref="O518">IF(ISERROR(K518/C516),"",K518/C516)</f>
        <v>0</v>
      </c>
      <c r="P518" s="684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442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653" t="s">
        <v>298</v>
      </c>
      <c r="B520" s="654"/>
      <c r="C520" s="653" t="s">
        <v>299</v>
      </c>
      <c r="D520" s="654"/>
      <c r="E520" s="653" t="s">
        <v>256</v>
      </c>
      <c r="F520" s="654"/>
      <c r="G520" s="686" t="s">
        <v>254</v>
      </c>
      <c r="H520" s="687"/>
      <c r="I520" s="653" t="s">
        <v>255</v>
      </c>
      <c r="J520" s="651"/>
      <c r="K520" s="653" t="s">
        <v>300</v>
      </c>
      <c r="L520" s="654"/>
      <c r="M520" s="653" t="s">
        <v>256</v>
      </c>
      <c r="N520" s="654"/>
      <c r="O520" s="643" t="s">
        <v>257</v>
      </c>
      <c r="P520" s="643"/>
      <c r="Q520" s="653" t="s">
        <v>300</v>
      </c>
      <c r="R520" s="654"/>
      <c r="S520" s="653" t="s">
        <v>256</v>
      </c>
      <c r="T520" s="654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692" t="s">
        <v>201</v>
      </c>
      <c r="B521" s="654"/>
      <c r="C521" s="653">
        <f>SUM(G28,G198,G368)</f>
        <v>0</v>
      </c>
      <c r="D521" s="654"/>
      <c r="E521" s="693">
        <f>IF(ISERROR(C521/C527),"",C521/C527)</f>
        <v>0</v>
      </c>
      <c r="F521" s="694"/>
      <c r="G521" s="688"/>
      <c r="H521" s="689"/>
      <c r="I521" s="695" t="s">
        <v>301</v>
      </c>
      <c r="J521" s="696"/>
      <c r="K521" s="650">
        <f t="shared" ref="K521:K526" si="239">SUM(R165,U335,U506)</f>
        <v>0</v>
      </c>
      <c r="L521" s="651"/>
      <c r="M521" s="693" t="str">
        <f t="array" ref="M521">IF(ISERROR(K521/K527),"",K521/K527)</f>
        <v/>
      </c>
      <c r="N521" s="694"/>
      <c r="O521" s="643" t="s">
        <v>259</v>
      </c>
      <c r="P521" s="643"/>
      <c r="Q521" s="680">
        <f t="shared" ref="Q521:Q526" si="240">SUM(X165,AA335,AA506)</f>
        <v>0</v>
      </c>
      <c r="R521" s="681"/>
      <c r="S521" s="693" t="str">
        <f t="array" ref="S521">IF(ISERROR(Q521/Q527),"",Q521/Q527)</f>
        <v/>
      </c>
      <c r="T521" s="694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692" t="s">
        <v>216</v>
      </c>
      <c r="B522" s="654"/>
      <c r="C522" s="653">
        <f>SUM(G86,G256,G426)</f>
        <v>0</v>
      </c>
      <c r="D522" s="654"/>
      <c r="E522" s="693">
        <f>IF(ISERROR(C522/C527),"",C522/C527)</f>
        <v>0</v>
      </c>
      <c r="F522" s="694"/>
      <c r="G522" s="688"/>
      <c r="H522" s="689"/>
      <c r="I522" s="695" t="s">
        <v>302</v>
      </c>
      <c r="J522" s="696"/>
      <c r="K522" s="650">
        <f t="shared" si="239"/>
        <v>0</v>
      </c>
      <c r="L522" s="651"/>
      <c r="M522" s="693" t="str">
        <f>IF(ISERROR(K522/K527),"",K522/K527)</f>
        <v/>
      </c>
      <c r="N522" s="694"/>
      <c r="O522" s="643" t="s">
        <v>261</v>
      </c>
      <c r="P522" s="643"/>
      <c r="Q522" s="680">
        <f t="shared" si="240"/>
        <v>0</v>
      </c>
      <c r="R522" s="681"/>
      <c r="S522" s="693" t="str">
        <f>IF(ISERROR(Q522/Q527),"",Q522/Q527)</f>
        <v/>
      </c>
      <c r="T522" s="694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692" t="s">
        <v>224</v>
      </c>
      <c r="B523" s="654"/>
      <c r="C523" s="653">
        <f>SUM(G121,G291,G461)</f>
        <v>3724</v>
      </c>
      <c r="D523" s="654"/>
      <c r="E523" s="693">
        <f>IF(ISERROR(C523/C527),"",C523/C527)</f>
        <v>0.96376811594202894</v>
      </c>
      <c r="F523" s="694"/>
      <c r="G523" s="688"/>
      <c r="H523" s="689"/>
      <c r="I523" s="695" t="s">
        <v>303</v>
      </c>
      <c r="J523" s="696"/>
      <c r="K523" s="650">
        <f t="shared" si="239"/>
        <v>0</v>
      </c>
      <c r="L523" s="651"/>
      <c r="M523" s="693" t="str">
        <f>IF(ISERROR(K523/K527),"",K523/K527)</f>
        <v/>
      </c>
      <c r="N523" s="694"/>
      <c r="O523" s="643" t="s">
        <v>263</v>
      </c>
      <c r="P523" s="643"/>
      <c r="Q523" s="680">
        <f t="shared" si="240"/>
        <v>0</v>
      </c>
      <c r="R523" s="681"/>
      <c r="S523" s="693" t="str">
        <f>IF(ISERROR(Q523/Q527),"",Q523/Q527)</f>
        <v/>
      </c>
      <c r="T523" s="694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692" t="s">
        <v>231</v>
      </c>
      <c r="B524" s="654"/>
      <c r="C524" s="653">
        <f>SUM(G137,G307,G477)</f>
        <v>0</v>
      </c>
      <c r="D524" s="654"/>
      <c r="E524" s="693">
        <f>IF(ISERROR(C524/C527),"",C524/C527)</f>
        <v>0</v>
      </c>
      <c r="F524" s="694"/>
      <c r="G524" s="688"/>
      <c r="H524" s="689"/>
      <c r="I524" s="695" t="s">
        <v>304</v>
      </c>
      <c r="J524" s="696"/>
      <c r="K524" s="650">
        <f t="shared" si="239"/>
        <v>0</v>
      </c>
      <c r="L524" s="651"/>
      <c r="M524" s="693" t="str">
        <f>IF(ISERROR(K524/K527),"",K524/K527)</f>
        <v/>
      </c>
      <c r="N524" s="694"/>
      <c r="O524" s="643" t="s">
        <v>305</v>
      </c>
      <c r="P524" s="643"/>
      <c r="Q524" s="680">
        <f t="shared" si="240"/>
        <v>0</v>
      </c>
      <c r="R524" s="681"/>
      <c r="S524" s="693" t="str">
        <f>IF(ISERROR(Q524/Q527),"",Q524/Q527)</f>
        <v/>
      </c>
      <c r="T524" s="694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92" t="s">
        <v>234</v>
      </c>
      <c r="B525" s="654"/>
      <c r="C525" s="653">
        <f>SUM(G147,G317,G487)</f>
        <v>0</v>
      </c>
      <c r="D525" s="654"/>
      <c r="E525" s="693">
        <f>IF(ISERROR(C525/C527),"",C525/C527)</f>
        <v>0</v>
      </c>
      <c r="F525" s="694"/>
      <c r="G525" s="688"/>
      <c r="H525" s="689"/>
      <c r="I525" s="695" t="s">
        <v>306</v>
      </c>
      <c r="J525" s="696"/>
      <c r="K525" s="650">
        <f t="shared" si="239"/>
        <v>0</v>
      </c>
      <c r="L525" s="651"/>
      <c r="M525" s="693" t="str">
        <f>IF(ISERROR(K525/K527),"",K525/K527)</f>
        <v/>
      </c>
      <c r="N525" s="694"/>
      <c r="O525" s="643" t="s">
        <v>267</v>
      </c>
      <c r="P525" s="643"/>
      <c r="Q525" s="680">
        <f t="shared" si="240"/>
        <v>0</v>
      </c>
      <c r="R525" s="681"/>
      <c r="S525" s="693" t="str">
        <f>IF(ISERROR(Q525/Q527),"",Q525/Q527)</f>
        <v/>
      </c>
      <c r="T525" s="694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92" t="s">
        <v>244</v>
      </c>
      <c r="B526" s="654"/>
      <c r="C526" s="653">
        <f>SUM(G162,G332,G503)</f>
        <v>140</v>
      </c>
      <c r="D526" s="654"/>
      <c r="E526" s="693">
        <f>IF(ISERROR(C526/C527),"",C526/C527)</f>
        <v>3.6231884057971016E-2</v>
      </c>
      <c r="F526" s="694"/>
      <c r="G526" s="688"/>
      <c r="H526" s="689"/>
      <c r="I526" s="695" t="s">
        <v>307</v>
      </c>
      <c r="J526" s="696"/>
      <c r="K526" s="650">
        <f t="shared" si="239"/>
        <v>0</v>
      </c>
      <c r="L526" s="651"/>
      <c r="M526" s="693" t="str">
        <f>IF(ISERROR(K526/K527),"",K526/K527)</f>
        <v/>
      </c>
      <c r="N526" s="694"/>
      <c r="O526" s="643" t="s">
        <v>272</v>
      </c>
      <c r="P526" s="643"/>
      <c r="Q526" s="680">
        <f t="shared" si="240"/>
        <v>0</v>
      </c>
      <c r="R526" s="681"/>
      <c r="S526" s="693" t="str">
        <f>IF(ISERROR(Q526/Q527),"",Q526/Q527)</f>
        <v/>
      </c>
      <c r="T526" s="694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53" t="s">
        <v>266</v>
      </c>
      <c r="B527" s="654"/>
      <c r="C527" s="653">
        <f>SUM(C521:C526)</f>
        <v>3864</v>
      </c>
      <c r="D527" s="654"/>
      <c r="E527" s="693">
        <f>SUM(E521:F526)</f>
        <v>1</v>
      </c>
      <c r="F527" s="694"/>
      <c r="G527" s="690"/>
      <c r="H527" s="691"/>
      <c r="I527" s="653" t="s">
        <v>266</v>
      </c>
      <c r="J527" s="651"/>
      <c r="K527" s="650">
        <f>SUM(R172,U342,U513)</f>
        <v>0</v>
      </c>
      <c r="L527" s="651"/>
      <c r="M527" s="693"/>
      <c r="N527" s="694"/>
      <c r="O527" s="643" t="s">
        <v>266</v>
      </c>
      <c r="P527" s="643"/>
      <c r="Q527" s="680">
        <f>SUM(Q521:R526)</f>
        <v>0</v>
      </c>
      <c r="R527" s="681"/>
      <c r="S527" s="693">
        <f>SUM(S521:T526)</f>
        <v>0</v>
      </c>
      <c r="T527" s="694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695" t="s">
        <v>308</v>
      </c>
      <c r="B529" s="649"/>
      <c r="C529" s="433" t="s">
        <v>309</v>
      </c>
      <c r="D529" s="433" t="s">
        <v>310</v>
      </c>
      <c r="E529" s="433" t="s">
        <v>311</v>
      </c>
      <c r="F529" s="433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434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443" t="s">
        <v>322</v>
      </c>
      <c r="Q529" s="129" t="s">
        <v>323</v>
      </c>
      <c r="R529" s="109" t="s">
        <v>324</v>
      </c>
      <c r="S529" s="433" t="s">
        <v>325</v>
      </c>
      <c r="T529" s="433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697" t="s">
        <v>327</v>
      </c>
      <c r="B530" s="698"/>
      <c r="C530" s="106">
        <f>D530+E530+F530-G530-O530-P530</f>
        <v>33</v>
      </c>
      <c r="D530" s="106">
        <f>+'8'!D530</f>
        <v>33</v>
      </c>
      <c r="E530" s="106"/>
      <c r="F530" s="106"/>
      <c r="G530" s="107"/>
      <c r="H530" s="106"/>
      <c r="I530" s="106"/>
      <c r="J530" s="106">
        <f>C530-H530-I530</f>
        <v>33</v>
      </c>
      <c r="K530" s="106"/>
      <c r="L530" s="106"/>
      <c r="M530" s="106"/>
      <c r="N530" s="106"/>
      <c r="O530" s="106"/>
      <c r="P530" s="108"/>
      <c r="Q530" s="106">
        <f>J530-K530-L530</f>
        <v>33</v>
      </c>
      <c r="R530" s="109">
        <f>Q530*11-M530-N530</f>
        <v>363</v>
      </c>
      <c r="S530" s="436">
        <f t="array" ref="S530">IF(ISERROR(Q530/J530),"",Q530/J530)</f>
        <v>1</v>
      </c>
      <c r="T530" s="436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697" t="s">
        <v>328</v>
      </c>
      <c r="B531" s="698"/>
      <c r="C531" s="106">
        <f>D531+E531+F531-G531-O531-P531</f>
        <v>30</v>
      </c>
      <c r="D531" s="106">
        <f>+'8'!D531</f>
        <v>30</v>
      </c>
      <c r="E531" s="110"/>
      <c r="F531" s="110"/>
      <c r="G531" s="107"/>
      <c r="H531" s="106"/>
      <c r="I531" s="106"/>
      <c r="J531" s="106">
        <f>C531-H531-I531</f>
        <v>30</v>
      </c>
      <c r="K531" s="106"/>
      <c r="L531" s="106"/>
      <c r="M531" s="106"/>
      <c r="N531" s="106"/>
      <c r="O531" s="110"/>
      <c r="P531" s="111"/>
      <c r="Q531" s="106">
        <f>J531-K531-L531</f>
        <v>30</v>
      </c>
      <c r="R531" s="109">
        <f>Q531*11-M531-N531</f>
        <v>330</v>
      </c>
      <c r="S531" s="436">
        <f t="array" ref="S531">IF(ISERROR(Q531/J531),"",Q531/J531)</f>
        <v>1</v>
      </c>
      <c r="T531" s="436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697" t="s">
        <v>329</v>
      </c>
      <c r="B532" s="698"/>
      <c r="C532" s="106">
        <f>D532+E532+F532-G532-O532-P532</f>
        <v>10</v>
      </c>
      <c r="D532" s="106">
        <f>+'8'!D532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436">
        <f t="array" ref="S532">IF(ISERROR(Q532/J532),"",Q532/J532)</f>
        <v>1</v>
      </c>
      <c r="T532" s="436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699" t="s">
        <v>330</v>
      </c>
      <c r="B533" s="700"/>
      <c r="C533" s="112">
        <f>SUM(C530:C532)</f>
        <v>73</v>
      </c>
      <c r="D533" s="112">
        <f t="shared" ref="D533:N533" si="241">SUM(D530:D532)</f>
        <v>73</v>
      </c>
      <c r="E533" s="112">
        <f t="shared" si="241"/>
        <v>0</v>
      </c>
      <c r="F533" s="112">
        <f t="shared" si="241"/>
        <v>0</v>
      </c>
      <c r="G533" s="113">
        <f t="shared" si="241"/>
        <v>0</v>
      </c>
      <c r="H533" s="112">
        <f t="shared" si="241"/>
        <v>0</v>
      </c>
      <c r="I533" s="112">
        <f t="shared" si="241"/>
        <v>0</v>
      </c>
      <c r="J533" s="112">
        <f t="shared" si="241"/>
        <v>73</v>
      </c>
      <c r="K533" s="112">
        <f t="shared" si="241"/>
        <v>0</v>
      </c>
      <c r="L533" s="112">
        <f t="shared" si="241"/>
        <v>0</v>
      </c>
      <c r="M533" s="112">
        <f t="shared" si="241"/>
        <v>0</v>
      </c>
      <c r="N533" s="112">
        <f t="shared" si="241"/>
        <v>0</v>
      </c>
      <c r="O533" s="112">
        <f>SUM(O530:O532)</f>
        <v>0</v>
      </c>
      <c r="P533" s="112">
        <f>SUM(P530:P532)</f>
        <v>0</v>
      </c>
      <c r="Q533" s="112">
        <f>SUM(Q530:Q532)</f>
        <v>73</v>
      </c>
      <c r="R533" s="114">
        <f>SUM(R530:R532)</f>
        <v>803</v>
      </c>
      <c r="S533" s="115">
        <f t="array" ref="S533">IF(ISERROR(Q533/J533),"",Q533/J533)</f>
        <v>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227" activePane="bottomRight" state="frozen"/>
      <selection activeCell="F484" sqref="F484"/>
      <selection pane="topRight" activeCell="F484" sqref="F484"/>
      <selection pane="bottomLeft" activeCell="F484" sqref="F484"/>
      <selection pane="bottomRight" activeCell="F484" sqref="F48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07" t="s">
        <v>413</v>
      </c>
      <c r="B1" s="607"/>
      <c r="C1" s="607"/>
      <c r="D1" s="607"/>
      <c r="E1" s="607"/>
      <c r="F1" s="607"/>
      <c r="G1" s="607"/>
      <c r="H1" s="607"/>
      <c r="I1" s="607"/>
      <c r="J1" s="607"/>
      <c r="K1" s="607"/>
      <c r="L1" s="607"/>
      <c r="M1" s="607"/>
      <c r="N1" s="607"/>
      <c r="O1" s="607"/>
      <c r="P1" s="607"/>
      <c r="Q1" s="607"/>
      <c r="R1" s="607"/>
      <c r="S1" s="607"/>
      <c r="T1" s="607"/>
      <c r="U1" s="607"/>
      <c r="V1" s="607"/>
      <c r="W1" s="607"/>
      <c r="X1" s="607"/>
      <c r="Y1" s="607"/>
      <c r="Z1" s="607"/>
      <c r="AA1" s="607"/>
    </row>
    <row r="2" spans="1:27" ht="18.75">
      <c r="A2" s="608"/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09" t="s">
        <v>12</v>
      </c>
      <c r="B4" s="609" t="s">
        <v>25</v>
      </c>
      <c r="C4" s="609" t="s">
        <v>26</v>
      </c>
      <c r="D4" s="609" t="s">
        <v>27</v>
      </c>
      <c r="E4" s="612" t="s">
        <v>28</v>
      </c>
      <c r="F4" s="615" t="s">
        <v>29</v>
      </c>
      <c r="G4" s="618" t="s">
        <v>30</v>
      </c>
      <c r="H4" s="618"/>
      <c r="I4" s="609" t="s">
        <v>31</v>
      </c>
      <c r="J4" s="621" t="s">
        <v>32</v>
      </c>
      <c r="K4" s="624" t="s">
        <v>33</v>
      </c>
      <c r="L4" s="609" t="s">
        <v>34</v>
      </c>
      <c r="M4" s="627" t="s">
        <v>35</v>
      </c>
      <c r="N4" s="629" t="s">
        <v>36</v>
      </c>
      <c r="O4" s="618" t="s">
        <v>37</v>
      </c>
      <c r="P4" s="618"/>
      <c r="Q4" s="618"/>
      <c r="R4" s="618"/>
      <c r="S4" s="618"/>
      <c r="T4" s="618"/>
      <c r="U4" s="618"/>
      <c r="V4" s="618" t="s">
        <v>38</v>
      </c>
      <c r="W4" s="629" t="s">
        <v>39</v>
      </c>
      <c r="X4" s="618" t="s">
        <v>40</v>
      </c>
      <c r="Y4" s="618"/>
      <c r="Z4" s="618"/>
      <c r="AA4" s="618"/>
    </row>
    <row r="5" spans="1:27" s="104" customFormat="1" ht="15" customHeight="1">
      <c r="A5" s="610"/>
      <c r="B5" s="610"/>
      <c r="C5" s="610"/>
      <c r="D5" s="610"/>
      <c r="E5" s="613"/>
      <c r="F5" s="616"/>
      <c r="G5" s="618"/>
      <c r="H5" s="618"/>
      <c r="I5" s="610"/>
      <c r="J5" s="622"/>
      <c r="K5" s="625"/>
      <c r="L5" s="610"/>
      <c r="M5" s="628"/>
      <c r="N5" s="629"/>
      <c r="O5" s="618" t="s">
        <v>41</v>
      </c>
      <c r="P5" s="618" t="s">
        <v>42</v>
      </c>
      <c r="Q5" s="618" t="s">
        <v>43</v>
      </c>
      <c r="R5" s="619" t="s">
        <v>44</v>
      </c>
      <c r="S5" s="620" t="s">
        <v>45</v>
      </c>
      <c r="T5" s="618" t="s">
        <v>46</v>
      </c>
      <c r="U5" s="618" t="s">
        <v>47</v>
      </c>
      <c r="V5" s="618"/>
      <c r="W5" s="629"/>
      <c r="X5" s="618" t="s">
        <v>13</v>
      </c>
      <c r="Y5" s="618" t="s">
        <v>48</v>
      </c>
      <c r="Z5" s="618" t="s">
        <v>49</v>
      </c>
      <c r="AA5" s="618" t="s">
        <v>47</v>
      </c>
    </row>
    <row r="6" spans="1:27" s="104" customFormat="1" ht="27.75" customHeight="1">
      <c r="A6" s="611"/>
      <c r="B6" s="611"/>
      <c r="C6" s="611"/>
      <c r="D6" s="611"/>
      <c r="E6" s="614"/>
      <c r="F6" s="617"/>
      <c r="G6" s="350" t="s">
        <v>50</v>
      </c>
      <c r="H6" s="455" t="s">
        <v>51</v>
      </c>
      <c r="I6" s="611"/>
      <c r="J6" s="623"/>
      <c r="K6" s="626"/>
      <c r="L6" s="611"/>
      <c r="M6" s="628"/>
      <c r="N6" s="629"/>
      <c r="O6" s="618"/>
      <c r="P6" s="618"/>
      <c r="Q6" s="618"/>
      <c r="R6" s="619"/>
      <c r="S6" s="620"/>
      <c r="T6" s="618"/>
      <c r="U6" s="618"/>
      <c r="V6" s="618"/>
      <c r="W6" s="629"/>
      <c r="X6" s="618"/>
      <c r="Y6" s="618"/>
      <c r="Z6" s="618"/>
      <c r="AA6" s="618"/>
    </row>
    <row r="7" spans="1:27" ht="20.100000000000001" hidden="1" customHeight="1">
      <c r="A7" s="299">
        <v>30100030</v>
      </c>
      <c r="B7" s="444" t="s">
        <v>178</v>
      </c>
      <c r="C7" s="126" t="s">
        <v>179</v>
      </c>
      <c r="D7" s="108">
        <v>5.03</v>
      </c>
      <c r="E7" s="108"/>
      <c r="F7" s="127"/>
      <c r="G7" s="128"/>
      <c r="H7" s="445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53"/>
      <c r="P7" s="453"/>
      <c r="Q7" s="453"/>
      <c r="R7" s="453"/>
      <c r="S7" s="453"/>
      <c r="T7" s="453"/>
      <c r="U7" s="453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45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53"/>
      <c r="Q8" s="453"/>
      <c r="R8" s="453"/>
      <c r="S8" s="453"/>
      <c r="T8" s="453"/>
      <c r="U8" s="453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45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53"/>
      <c r="P9" s="453"/>
      <c r="Q9" s="453"/>
      <c r="R9" s="453"/>
      <c r="S9" s="453"/>
      <c r="T9" s="453"/>
      <c r="U9" s="453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45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53"/>
      <c r="P10" s="453"/>
      <c r="Q10" s="453"/>
      <c r="R10" s="453"/>
      <c r="S10" s="453"/>
      <c r="T10" s="453"/>
      <c r="U10" s="453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45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53"/>
      <c r="P11" s="453"/>
      <c r="Q11" s="453"/>
      <c r="R11" s="453"/>
      <c r="S11" s="453"/>
      <c r="T11" s="453"/>
      <c r="U11" s="453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45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53"/>
      <c r="P12" s="453"/>
      <c r="Q12" s="453"/>
      <c r="R12" s="453"/>
      <c r="S12" s="453"/>
      <c r="T12" s="453"/>
      <c r="U12" s="453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45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53"/>
      <c r="P13" s="453"/>
      <c r="Q13" s="453"/>
      <c r="R13" s="453"/>
      <c r="S13" s="453"/>
      <c r="T13" s="453"/>
      <c r="U13" s="453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45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53"/>
      <c r="P14" s="453"/>
      <c r="Q14" s="453"/>
      <c r="R14" s="453"/>
      <c r="S14" s="453"/>
      <c r="T14" s="453"/>
      <c r="U14" s="453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45">
        <f t="shared" si="0"/>
        <v>0</v>
      </c>
      <c r="I15" s="445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53"/>
      <c r="P15" s="453"/>
      <c r="Q15" s="453"/>
      <c r="R15" s="453"/>
      <c r="S15" s="453"/>
      <c r="T15" s="453"/>
      <c r="U15" s="453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39">
        <v>42714</v>
      </c>
      <c r="G16" s="128">
        <f>100+54</f>
        <v>154</v>
      </c>
      <c r="H16" s="445">
        <f t="shared" si="0"/>
        <v>776.16</v>
      </c>
      <c r="I16" s="445">
        <f>5*3</f>
        <v>15</v>
      </c>
      <c r="J16" s="130">
        <f t="array" ref="J16">IF(ISERROR(G16/I16),"",G16/I16)</f>
        <v>10.266666666666667</v>
      </c>
      <c r="K16" s="131">
        <f t="array" ref="K16">IF(ISERROR(G16/L16),"",G16/L16)</f>
        <v>9.0588235294117645</v>
      </c>
      <c r="L16" s="129">
        <v>17</v>
      </c>
      <c r="M16" s="109">
        <f t="shared" si="1"/>
        <v>5.9411764705882355</v>
      </c>
      <c r="N16" s="130">
        <f t="shared" si="4"/>
        <v>0</v>
      </c>
      <c r="O16" s="453"/>
      <c r="P16" s="453"/>
      <c r="Q16" s="453"/>
      <c r="R16" s="453"/>
      <c r="S16" s="453"/>
      <c r="T16" s="453"/>
      <c r="U16" s="453"/>
      <c r="V16" s="132">
        <f>SUM(X16:AA16)</f>
        <v>0</v>
      </c>
      <c r="W16" s="133">
        <f>IF(ISERROR(V16/G16),"",V16/G16)</f>
        <v>0</v>
      </c>
      <c r="X16" s="132"/>
      <c r="Y16" s="132"/>
      <c r="Z16" s="132"/>
      <c r="AA16" s="132"/>
    </row>
    <row r="17" spans="1:27" ht="20.10000000000000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>
        <v>42714</v>
      </c>
      <c r="G17" s="128">
        <f>100+97</f>
        <v>197</v>
      </c>
      <c r="H17" s="445">
        <f t="shared" si="0"/>
        <v>990.91000000000008</v>
      </c>
      <c r="I17" s="129">
        <f>4*5</f>
        <v>20</v>
      </c>
      <c r="J17" s="130">
        <f t="array" ref="J17">IF(ISERROR(G17/I17),"",G17/I17)</f>
        <v>9.85</v>
      </c>
      <c r="K17" s="131">
        <f t="array" ref="K17">IF(ISERROR(G17/L17),"",G17/L17)</f>
        <v>11.588235294117647</v>
      </c>
      <c r="L17" s="129">
        <v>17</v>
      </c>
      <c r="M17" s="109">
        <f t="shared" si="1"/>
        <v>8.4117647058823533</v>
      </c>
      <c r="N17" s="130">
        <f t="shared" si="4"/>
        <v>0</v>
      </c>
      <c r="O17" s="453"/>
      <c r="P17" s="453"/>
      <c r="Q17" s="453"/>
      <c r="R17" s="453"/>
      <c r="S17" s="453"/>
      <c r="T17" s="453"/>
      <c r="U17" s="453"/>
      <c r="V17" s="132"/>
      <c r="W17" s="133"/>
      <c r="X17" s="132"/>
      <c r="Y17" s="132"/>
      <c r="Z17" s="132"/>
      <c r="AA17" s="132"/>
    </row>
    <row r="18" spans="1:27" ht="20.10000000000000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>
        <v>42714</v>
      </c>
      <c r="G18" s="128">
        <f>97+100</f>
        <v>197</v>
      </c>
      <c r="H18" s="445">
        <f t="shared" si="0"/>
        <v>990.91000000000008</v>
      </c>
      <c r="I18" s="129">
        <f>3*5</f>
        <v>15</v>
      </c>
      <c r="J18" s="130">
        <f t="array" ref="J18">IF(ISERROR(G18/I18),"",G18/I18)</f>
        <v>13.133333333333333</v>
      </c>
      <c r="K18" s="131">
        <f t="array" ref="K18">IF(ISERROR(G18/L18),"",G18/L18)</f>
        <v>11.588235294117647</v>
      </c>
      <c r="L18" s="129">
        <v>17</v>
      </c>
      <c r="M18" s="109">
        <f t="shared" si="1"/>
        <v>3.4117647058823533</v>
      </c>
      <c r="N18" s="130">
        <f t="shared" si="4"/>
        <v>0</v>
      </c>
      <c r="O18" s="453"/>
      <c r="P18" s="453"/>
      <c r="Q18" s="453"/>
      <c r="R18" s="453"/>
      <c r="S18" s="453"/>
      <c r="T18" s="453"/>
      <c r="U18" s="453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45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53"/>
      <c r="P19" s="453"/>
      <c r="Q19" s="453"/>
      <c r="R19" s="453"/>
      <c r="S19" s="453"/>
      <c r="T19" s="453"/>
      <c r="U19" s="453"/>
      <c r="V19" s="132">
        <f t="shared" ref="V19:V21" si="5">SUM(X19:AA19)</f>
        <v>0</v>
      </c>
      <c r="W19" s="446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45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53"/>
      <c r="P20" s="453"/>
      <c r="Q20" s="453"/>
      <c r="R20" s="453"/>
      <c r="S20" s="453"/>
      <c r="T20" s="453"/>
      <c r="U20" s="453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45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53"/>
      <c r="P21" s="453"/>
      <c r="Q21" s="453"/>
      <c r="R21" s="453"/>
      <c r="S21" s="453"/>
      <c r="T21" s="453"/>
      <c r="U21" s="453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51" t="s">
        <v>190</v>
      </c>
      <c r="D22" s="108">
        <v>4.8</v>
      </c>
      <c r="E22" s="108"/>
      <c r="F22" s="127"/>
      <c r="G22" s="128"/>
      <c r="H22" s="445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53"/>
      <c r="P22" s="453"/>
      <c r="Q22" s="453"/>
      <c r="R22" s="453"/>
      <c r="S22" s="453"/>
      <c r="T22" s="453"/>
      <c r="U22" s="453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51" t="s">
        <v>187</v>
      </c>
      <c r="D23" s="108">
        <v>4.8</v>
      </c>
      <c r="E23" s="108"/>
      <c r="F23" s="127"/>
      <c r="G23" s="128"/>
      <c r="H23" s="445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53"/>
      <c r="P23" s="453"/>
      <c r="Q23" s="453"/>
      <c r="R23" s="453"/>
      <c r="S23" s="453"/>
      <c r="T23" s="453"/>
      <c r="U23" s="453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51" t="s">
        <v>179</v>
      </c>
      <c r="D24" s="108">
        <v>4.8</v>
      </c>
      <c r="E24" s="108"/>
      <c r="F24" s="127"/>
      <c r="G24" s="128"/>
      <c r="H24" s="445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53"/>
      <c r="P24" s="453"/>
      <c r="Q24" s="453"/>
      <c r="R24" s="453"/>
      <c r="S24" s="453"/>
      <c r="T24" s="453"/>
      <c r="U24" s="453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51" t="s">
        <v>199</v>
      </c>
      <c r="D25" s="108">
        <v>4.8</v>
      </c>
      <c r="E25" s="108"/>
      <c r="F25" s="127"/>
      <c r="G25" s="128"/>
      <c r="H25" s="445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53"/>
      <c r="P25" s="453"/>
      <c r="Q25" s="453"/>
      <c r="R25" s="453"/>
      <c r="S25" s="453"/>
      <c r="T25" s="453"/>
      <c r="U25" s="453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45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53"/>
      <c r="P26" s="453"/>
      <c r="Q26" s="453"/>
      <c r="R26" s="453"/>
      <c r="S26" s="453"/>
      <c r="T26" s="453"/>
      <c r="U26" s="453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45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53"/>
      <c r="P27" s="453"/>
      <c r="Q27" s="453"/>
      <c r="R27" s="453"/>
      <c r="S27" s="453"/>
      <c r="T27" s="453"/>
      <c r="U27" s="453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30" t="s">
        <v>201</v>
      </c>
      <c r="B28" s="631"/>
      <c r="C28" s="454" t="s">
        <v>202</v>
      </c>
      <c r="D28" s="143"/>
      <c r="E28" s="143"/>
      <c r="F28" s="144"/>
      <c r="G28" s="145">
        <f>SUM(G7:G27)</f>
        <v>548</v>
      </c>
      <c r="H28" s="146">
        <f>SUM(H7:H27)</f>
        <v>2757.9800000000005</v>
      </c>
      <c r="I28" s="146">
        <f>SUM(I7:I27)</f>
        <v>50</v>
      </c>
      <c r="J28" s="130">
        <f t="array" ref="J28">IF(ISERROR(G28/I28),"",G28/I28)</f>
        <v>10.96</v>
      </c>
      <c r="K28" s="146">
        <f>SUM(K7:K27)</f>
        <v>32.235294117647058</v>
      </c>
      <c r="L28" s="147"/>
      <c r="M28" s="146">
        <f t="shared" ref="M28:V28" si="10">SUM(M7:M27)</f>
        <v>17.764705882352942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44" t="s">
        <v>206</v>
      </c>
      <c r="C29" s="126" t="s">
        <v>199</v>
      </c>
      <c r="D29" s="108">
        <v>5.03</v>
      </c>
      <c r="E29" s="108"/>
      <c r="F29" s="127"/>
      <c r="G29" s="128"/>
      <c r="H29" s="445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49"/>
      <c r="P29" s="449"/>
      <c r="Q29" s="449"/>
      <c r="R29" s="449"/>
      <c r="S29" s="449"/>
      <c r="T29" s="449"/>
      <c r="U29" s="449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44" t="s">
        <v>425</v>
      </c>
      <c r="C30" s="187" t="s">
        <v>432</v>
      </c>
      <c r="D30" s="108">
        <v>5.03</v>
      </c>
      <c r="E30" s="108"/>
      <c r="F30" s="127"/>
      <c r="G30" s="128"/>
      <c r="H30" s="445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49"/>
      <c r="P30" s="449"/>
      <c r="Q30" s="449"/>
      <c r="R30" s="449"/>
      <c r="S30" s="449"/>
      <c r="T30" s="449"/>
      <c r="U30" s="449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44" t="s">
        <v>206</v>
      </c>
      <c r="C31" s="126" t="s">
        <v>186</v>
      </c>
      <c r="D31" s="108">
        <v>5.03</v>
      </c>
      <c r="E31" s="108"/>
      <c r="F31" s="127"/>
      <c r="G31" s="128"/>
      <c r="H31" s="445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49"/>
      <c r="P31" s="449"/>
      <c r="Q31" s="449"/>
      <c r="R31" s="449"/>
      <c r="S31" s="449"/>
      <c r="T31" s="449"/>
      <c r="U31" s="449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44" t="s">
        <v>206</v>
      </c>
      <c r="C32" s="126" t="s">
        <v>203</v>
      </c>
      <c r="D32" s="108">
        <v>5.03</v>
      </c>
      <c r="E32" s="108"/>
      <c r="F32" s="127"/>
      <c r="G32" s="128"/>
      <c r="H32" s="445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49"/>
      <c r="P32" s="449"/>
      <c r="Q32" s="449"/>
      <c r="R32" s="449"/>
      <c r="S32" s="449"/>
      <c r="T32" s="449"/>
      <c r="U32" s="449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44" t="s">
        <v>206</v>
      </c>
      <c r="C33" s="126" t="s">
        <v>207</v>
      </c>
      <c r="D33" s="108">
        <v>5.03</v>
      </c>
      <c r="E33" s="108"/>
      <c r="F33" s="127"/>
      <c r="G33" s="128"/>
      <c r="H33" s="445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49"/>
      <c r="P33" s="449"/>
      <c r="Q33" s="449"/>
      <c r="R33" s="449"/>
      <c r="S33" s="449"/>
      <c r="T33" s="449"/>
      <c r="U33" s="449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44" t="s">
        <v>414</v>
      </c>
      <c r="C34" s="187" t="s">
        <v>415</v>
      </c>
      <c r="D34" s="108">
        <v>5.03</v>
      </c>
      <c r="E34" s="108"/>
      <c r="F34" s="127"/>
      <c r="G34" s="128"/>
      <c r="H34" s="445">
        <f t="shared" si="11"/>
        <v>0</v>
      </c>
      <c r="I34" s="129"/>
      <c r="J34" s="130"/>
      <c r="K34" s="131"/>
      <c r="L34" s="129">
        <v>52</v>
      </c>
      <c r="M34" s="109"/>
      <c r="N34" s="130"/>
      <c r="O34" s="449"/>
      <c r="P34" s="449"/>
      <c r="Q34" s="449"/>
      <c r="R34" s="449"/>
      <c r="S34" s="449"/>
      <c r="T34" s="449"/>
      <c r="U34" s="449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44" t="s">
        <v>414</v>
      </c>
      <c r="C35" s="187" t="s">
        <v>416</v>
      </c>
      <c r="D35" s="108">
        <v>5.03</v>
      </c>
      <c r="E35" s="108"/>
      <c r="F35" s="127"/>
      <c r="G35" s="128"/>
      <c r="H35" s="445">
        <f t="shared" si="11"/>
        <v>0</v>
      </c>
      <c r="I35" s="129"/>
      <c r="J35" s="130"/>
      <c r="K35" s="131"/>
      <c r="L35" s="129">
        <v>52</v>
      </c>
      <c r="M35" s="109"/>
      <c r="N35" s="130"/>
      <c r="O35" s="449"/>
      <c r="P35" s="449"/>
      <c r="Q35" s="449"/>
      <c r="R35" s="449"/>
      <c r="S35" s="449"/>
      <c r="T35" s="449"/>
      <c r="U35" s="449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44" t="s">
        <v>414</v>
      </c>
      <c r="C36" s="187" t="s">
        <v>61</v>
      </c>
      <c r="D36" s="108">
        <v>5.03</v>
      </c>
      <c r="E36" s="108"/>
      <c r="F36" s="127"/>
      <c r="G36" s="128"/>
      <c r="H36" s="445">
        <f t="shared" si="11"/>
        <v>0</v>
      </c>
      <c r="I36" s="129"/>
      <c r="J36" s="130"/>
      <c r="K36" s="131"/>
      <c r="L36" s="129">
        <v>52</v>
      </c>
      <c r="M36" s="109"/>
      <c r="N36" s="130"/>
      <c r="O36" s="449"/>
      <c r="P36" s="449"/>
      <c r="Q36" s="449"/>
      <c r="R36" s="449"/>
      <c r="S36" s="449"/>
      <c r="T36" s="449"/>
      <c r="U36" s="449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44" t="s">
        <v>208</v>
      </c>
      <c r="C37" s="126" t="s">
        <v>179</v>
      </c>
      <c r="D37" s="108">
        <v>5.08</v>
      </c>
      <c r="E37" s="108"/>
      <c r="F37" s="127"/>
      <c r="G37" s="128"/>
      <c r="H37" s="445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49"/>
      <c r="P37" s="449"/>
      <c r="Q37" s="449"/>
      <c r="R37" s="449"/>
      <c r="S37" s="449"/>
      <c r="T37" s="449"/>
      <c r="U37" s="449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44" t="s">
        <v>208</v>
      </c>
      <c r="C38" s="126" t="s">
        <v>204</v>
      </c>
      <c r="D38" s="108">
        <v>5.08</v>
      </c>
      <c r="E38" s="108"/>
      <c r="F38" s="127"/>
      <c r="G38" s="128"/>
      <c r="H38" s="445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49"/>
      <c r="P38" s="449"/>
      <c r="Q38" s="449"/>
      <c r="R38" s="449"/>
      <c r="S38" s="449"/>
      <c r="T38" s="449"/>
      <c r="U38" s="449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44" t="s">
        <v>208</v>
      </c>
      <c r="C39" s="126" t="s">
        <v>205</v>
      </c>
      <c r="D39" s="108">
        <v>5.08</v>
      </c>
      <c r="E39" s="108"/>
      <c r="F39" s="127"/>
      <c r="G39" s="128"/>
      <c r="H39" s="445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49"/>
      <c r="P39" s="449"/>
      <c r="Q39" s="449"/>
      <c r="R39" s="449"/>
      <c r="S39" s="449"/>
      <c r="T39" s="449"/>
      <c r="U39" s="449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44" t="s">
        <v>208</v>
      </c>
      <c r="C40" s="126" t="s">
        <v>186</v>
      </c>
      <c r="D40" s="108">
        <v>5.08</v>
      </c>
      <c r="E40" s="108"/>
      <c r="F40" s="127"/>
      <c r="G40" s="128"/>
      <c r="H40" s="445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49"/>
      <c r="P40" s="449"/>
      <c r="Q40" s="449"/>
      <c r="R40" s="449"/>
      <c r="S40" s="449"/>
      <c r="T40" s="449"/>
      <c r="U40" s="449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44" t="s">
        <v>208</v>
      </c>
      <c r="C41" s="126" t="s">
        <v>203</v>
      </c>
      <c r="D41" s="108">
        <v>5.08</v>
      </c>
      <c r="E41" s="108"/>
      <c r="F41" s="127"/>
      <c r="G41" s="128"/>
      <c r="H41" s="445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49"/>
      <c r="P41" s="449"/>
      <c r="Q41" s="449"/>
      <c r="R41" s="449"/>
      <c r="S41" s="449"/>
      <c r="T41" s="449"/>
      <c r="U41" s="449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44" t="s">
        <v>208</v>
      </c>
      <c r="C42" s="126" t="s">
        <v>199</v>
      </c>
      <c r="D42" s="108">
        <v>5.08</v>
      </c>
      <c r="E42" s="108"/>
      <c r="F42" s="127"/>
      <c r="G42" s="128"/>
      <c r="H42" s="445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53"/>
      <c r="P42" s="453"/>
      <c r="Q42" s="453"/>
      <c r="R42" s="453"/>
      <c r="S42" s="453"/>
      <c r="T42" s="453"/>
      <c r="U42" s="453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44" t="s">
        <v>208</v>
      </c>
      <c r="C43" s="126" t="s">
        <v>187</v>
      </c>
      <c r="D43" s="108">
        <v>5.08</v>
      </c>
      <c r="E43" s="108"/>
      <c r="F43" s="127"/>
      <c r="G43" s="128"/>
      <c r="H43" s="445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49"/>
      <c r="P43" s="449"/>
      <c r="Q43" s="449"/>
      <c r="R43" s="449"/>
      <c r="S43" s="449"/>
      <c r="T43" s="449"/>
      <c r="U43" s="449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44" t="s">
        <v>208</v>
      </c>
      <c r="C44" s="126" t="s">
        <v>207</v>
      </c>
      <c r="D44" s="108">
        <v>5.08</v>
      </c>
      <c r="E44" s="108"/>
      <c r="F44" s="127"/>
      <c r="G44" s="128"/>
      <c r="H44" s="445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53"/>
      <c r="P44" s="453"/>
      <c r="Q44" s="453"/>
      <c r="R44" s="453"/>
      <c r="S44" s="453"/>
      <c r="T44" s="453"/>
      <c r="U44" s="453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44" t="s">
        <v>209</v>
      </c>
      <c r="C45" s="126" t="s">
        <v>194</v>
      </c>
      <c r="D45" s="108">
        <v>5.03</v>
      </c>
      <c r="E45" s="108"/>
      <c r="F45" s="127"/>
      <c r="G45" s="128"/>
      <c r="H45" s="445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49"/>
      <c r="P45" s="449"/>
      <c r="Q45" s="449"/>
      <c r="R45" s="449"/>
      <c r="S45" s="449"/>
      <c r="T45" s="449"/>
      <c r="U45" s="449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44" t="s">
        <v>209</v>
      </c>
      <c r="C46" s="126" t="s">
        <v>179</v>
      </c>
      <c r="D46" s="108">
        <v>5.03</v>
      </c>
      <c r="E46" s="108"/>
      <c r="F46" s="127"/>
      <c r="G46" s="128"/>
      <c r="H46" s="445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49"/>
      <c r="P46" s="449"/>
      <c r="Q46" s="449"/>
      <c r="R46" s="449"/>
      <c r="S46" s="449"/>
      <c r="T46" s="449"/>
      <c r="U46" s="449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44" t="s">
        <v>209</v>
      </c>
      <c r="C47" s="126" t="s">
        <v>195</v>
      </c>
      <c r="D47" s="108">
        <v>5.03</v>
      </c>
      <c r="E47" s="108"/>
      <c r="F47" s="127"/>
      <c r="G47" s="128"/>
      <c r="H47" s="445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49"/>
      <c r="P47" s="449"/>
      <c r="Q47" s="449"/>
      <c r="R47" s="449"/>
      <c r="S47" s="449"/>
      <c r="T47" s="449"/>
      <c r="U47" s="449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44" t="s">
        <v>209</v>
      </c>
      <c r="C48" s="126" t="s">
        <v>204</v>
      </c>
      <c r="D48" s="108">
        <v>5.03</v>
      </c>
      <c r="E48" s="108"/>
      <c r="F48" s="127"/>
      <c r="G48" s="128"/>
      <c r="H48" s="445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49"/>
      <c r="P48" s="449"/>
      <c r="Q48" s="449"/>
      <c r="R48" s="449"/>
      <c r="S48" s="449"/>
      <c r="T48" s="449"/>
      <c r="U48" s="449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44" t="s">
        <v>382</v>
      </c>
      <c r="C49" s="187" t="s">
        <v>383</v>
      </c>
      <c r="D49" s="108">
        <v>5.03</v>
      </c>
      <c r="E49" s="108"/>
      <c r="F49" s="127"/>
      <c r="G49" s="128"/>
      <c r="H49" s="445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49"/>
      <c r="P49" s="449"/>
      <c r="Q49" s="449"/>
      <c r="R49" s="449"/>
      <c r="S49" s="449"/>
      <c r="T49" s="449"/>
      <c r="U49" s="449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44" t="s">
        <v>382</v>
      </c>
      <c r="C50" s="187" t="s">
        <v>384</v>
      </c>
      <c r="D50" s="108">
        <v>5.03</v>
      </c>
      <c r="E50" s="108"/>
      <c r="F50" s="127"/>
      <c r="G50" s="128"/>
      <c r="H50" s="445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49"/>
      <c r="P50" s="449"/>
      <c r="Q50" s="449"/>
      <c r="R50" s="449"/>
      <c r="S50" s="449"/>
      <c r="T50" s="449"/>
      <c r="U50" s="449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44" t="s">
        <v>382</v>
      </c>
      <c r="C51" s="187" t="s">
        <v>389</v>
      </c>
      <c r="D51" s="108">
        <v>5.03</v>
      </c>
      <c r="E51" s="108"/>
      <c r="F51" s="127"/>
      <c r="G51" s="128"/>
      <c r="H51" s="445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49"/>
      <c r="P51" s="449"/>
      <c r="Q51" s="449"/>
      <c r="R51" s="449"/>
      <c r="S51" s="449"/>
      <c r="T51" s="449"/>
      <c r="U51" s="449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44" t="s">
        <v>382</v>
      </c>
      <c r="C52" s="187" t="s">
        <v>391</v>
      </c>
      <c r="D52" s="108">
        <v>5.03</v>
      </c>
      <c r="E52" s="108"/>
      <c r="F52" s="127"/>
      <c r="G52" s="128"/>
      <c r="H52" s="445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49"/>
      <c r="P52" s="449"/>
      <c r="Q52" s="449"/>
      <c r="R52" s="449"/>
      <c r="S52" s="449"/>
      <c r="T52" s="449"/>
      <c r="U52" s="449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44" t="s">
        <v>418</v>
      </c>
      <c r="C53" s="187" t="s">
        <v>364</v>
      </c>
      <c r="D53" s="108">
        <v>5.03</v>
      </c>
      <c r="E53" s="108"/>
      <c r="F53" s="127"/>
      <c r="G53" s="128"/>
      <c r="H53" s="445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49"/>
      <c r="P53" s="449"/>
      <c r="Q53" s="449"/>
      <c r="R53" s="449"/>
      <c r="S53" s="449"/>
      <c r="T53" s="449"/>
      <c r="U53" s="449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44" t="s">
        <v>418</v>
      </c>
      <c r="C54" s="187" t="s">
        <v>365</v>
      </c>
      <c r="D54" s="108">
        <v>5.03</v>
      </c>
      <c r="E54" s="108"/>
      <c r="F54" s="127"/>
      <c r="G54" s="128"/>
      <c r="H54" s="445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49"/>
      <c r="P54" s="449"/>
      <c r="Q54" s="449"/>
      <c r="R54" s="449"/>
      <c r="S54" s="449"/>
      <c r="T54" s="449"/>
      <c r="U54" s="449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44" t="s">
        <v>418</v>
      </c>
      <c r="C55" s="187" t="s">
        <v>366</v>
      </c>
      <c r="D55" s="108">
        <v>5.03</v>
      </c>
      <c r="E55" s="108"/>
      <c r="F55" s="127"/>
      <c r="G55" s="128"/>
      <c r="H55" s="445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49"/>
      <c r="P55" s="449"/>
      <c r="Q55" s="449"/>
      <c r="R55" s="449"/>
      <c r="S55" s="449"/>
      <c r="T55" s="449"/>
      <c r="U55" s="449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44" t="s">
        <v>418</v>
      </c>
      <c r="C56" s="187" t="s">
        <v>367</v>
      </c>
      <c r="D56" s="108">
        <v>5.03</v>
      </c>
      <c r="E56" s="108"/>
      <c r="F56" s="127"/>
      <c r="G56" s="128"/>
      <c r="H56" s="445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49"/>
      <c r="P56" s="449"/>
      <c r="Q56" s="449"/>
      <c r="R56" s="449"/>
      <c r="S56" s="449"/>
      <c r="T56" s="449"/>
      <c r="U56" s="449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45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53"/>
      <c r="P57" s="453"/>
      <c r="Q57" s="453"/>
      <c r="R57" s="453"/>
      <c r="S57" s="453"/>
      <c r="T57" s="453"/>
      <c r="U57" s="453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45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53"/>
      <c r="P58" s="453"/>
      <c r="Q58" s="453"/>
      <c r="R58" s="453"/>
      <c r="S58" s="453"/>
      <c r="T58" s="453"/>
      <c r="U58" s="453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45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53"/>
      <c r="P59" s="453"/>
      <c r="Q59" s="453"/>
      <c r="R59" s="453"/>
      <c r="S59" s="453"/>
      <c r="T59" s="453"/>
      <c r="U59" s="453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45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53"/>
      <c r="P60" s="453"/>
      <c r="Q60" s="453"/>
      <c r="R60" s="453"/>
      <c r="S60" s="453"/>
      <c r="T60" s="453"/>
      <c r="U60" s="453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45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53"/>
      <c r="P61" s="453"/>
      <c r="Q61" s="453"/>
      <c r="R61" s="453"/>
      <c r="S61" s="453"/>
      <c r="T61" s="453"/>
      <c r="U61" s="453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45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53"/>
      <c r="P62" s="453"/>
      <c r="Q62" s="453"/>
      <c r="R62" s="453"/>
      <c r="S62" s="453"/>
      <c r="T62" s="453"/>
      <c r="U62" s="453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45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53"/>
      <c r="P63" s="453"/>
      <c r="Q63" s="453"/>
      <c r="R63" s="453"/>
      <c r="S63" s="453"/>
      <c r="T63" s="453"/>
      <c r="U63" s="453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45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53"/>
      <c r="P64" s="453"/>
      <c r="Q64" s="453"/>
      <c r="R64" s="453"/>
      <c r="S64" s="453"/>
      <c r="T64" s="453"/>
      <c r="U64" s="453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45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53"/>
      <c r="P65" s="453"/>
      <c r="Q65" s="453"/>
      <c r="R65" s="453"/>
      <c r="S65" s="453"/>
      <c r="T65" s="453"/>
      <c r="U65" s="453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45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53"/>
      <c r="P66" s="453"/>
      <c r="Q66" s="453"/>
      <c r="R66" s="453"/>
      <c r="S66" s="453"/>
      <c r="T66" s="453"/>
      <c r="U66" s="453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45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53"/>
      <c r="P67" s="453"/>
      <c r="Q67" s="453"/>
      <c r="R67" s="453"/>
      <c r="S67" s="453"/>
      <c r="T67" s="453"/>
      <c r="U67" s="453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45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53"/>
      <c r="P68" s="453"/>
      <c r="Q68" s="453"/>
      <c r="R68" s="453"/>
      <c r="S68" s="453"/>
      <c r="T68" s="453"/>
      <c r="U68" s="453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45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53"/>
      <c r="P69" s="453"/>
      <c r="Q69" s="453"/>
      <c r="R69" s="453"/>
      <c r="S69" s="453"/>
      <c r="T69" s="453"/>
      <c r="U69" s="453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>
        <v>42714</v>
      </c>
      <c r="G70" s="128">
        <f>100*4+34</f>
        <v>434</v>
      </c>
      <c r="H70" s="445">
        <f t="shared" si="11"/>
        <v>2183.02</v>
      </c>
      <c r="I70" s="129">
        <f>5.5*4</f>
        <v>22</v>
      </c>
      <c r="J70" s="130">
        <f t="array" ref="J70">IF(ISERROR(G70/I70),"",G70/I70)</f>
        <v>19.727272727272727</v>
      </c>
      <c r="K70" s="131">
        <f t="array" ref="K70">IF(ISERROR(G70/L70),"",G70/L70)</f>
        <v>20.186046511627907</v>
      </c>
      <c r="L70" s="129">
        <v>21.5</v>
      </c>
      <c r="M70" s="109">
        <f t="shared" si="26"/>
        <v>1.8139534883720927</v>
      </c>
      <c r="N70" s="130">
        <f t="shared" si="27"/>
        <v>0</v>
      </c>
      <c r="O70" s="453"/>
      <c r="P70" s="453"/>
      <c r="Q70" s="453"/>
      <c r="R70" s="453"/>
      <c r="S70" s="453"/>
      <c r="T70" s="453"/>
      <c r="U70" s="453"/>
      <c r="V70" s="132">
        <f t="shared" si="28"/>
        <v>0</v>
      </c>
      <c r="W70" s="133">
        <f t="shared" si="29"/>
        <v>0</v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45">
        <f t="shared" si="11"/>
        <v>0</v>
      </c>
      <c r="I71" s="129"/>
      <c r="J71" s="130"/>
      <c r="K71" s="131"/>
      <c r="L71" s="129"/>
      <c r="M71" s="109"/>
      <c r="N71" s="130"/>
      <c r="O71" s="453"/>
      <c r="P71" s="453"/>
      <c r="Q71" s="453"/>
      <c r="R71" s="453"/>
      <c r="S71" s="453"/>
      <c r="T71" s="453"/>
      <c r="U71" s="453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45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53"/>
      <c r="P72" s="453"/>
      <c r="Q72" s="453"/>
      <c r="R72" s="453"/>
      <c r="S72" s="453"/>
      <c r="T72" s="453"/>
      <c r="U72" s="453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45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53"/>
      <c r="P73" s="453"/>
      <c r="Q73" s="453"/>
      <c r="R73" s="453"/>
      <c r="S73" s="453"/>
      <c r="T73" s="453"/>
      <c r="U73" s="453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45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53"/>
      <c r="P74" s="453"/>
      <c r="Q74" s="453"/>
      <c r="R74" s="453"/>
      <c r="S74" s="453"/>
      <c r="T74" s="453"/>
      <c r="U74" s="453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45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53"/>
      <c r="P75" s="453"/>
      <c r="Q75" s="453"/>
      <c r="R75" s="453"/>
      <c r="S75" s="453"/>
      <c r="T75" s="453"/>
      <c r="U75" s="453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45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53"/>
      <c r="P76" s="453"/>
      <c r="Q76" s="453"/>
      <c r="R76" s="453"/>
      <c r="S76" s="453"/>
      <c r="T76" s="453"/>
      <c r="U76" s="453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45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53"/>
      <c r="P77" s="453"/>
      <c r="Q77" s="453"/>
      <c r="R77" s="453"/>
      <c r="S77" s="453"/>
      <c r="T77" s="453"/>
      <c r="U77" s="453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45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53"/>
      <c r="P78" s="453"/>
      <c r="Q78" s="453"/>
      <c r="R78" s="453"/>
      <c r="S78" s="453"/>
      <c r="T78" s="453"/>
      <c r="U78" s="453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45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53"/>
      <c r="P79" s="453"/>
      <c r="Q79" s="453"/>
      <c r="R79" s="453"/>
      <c r="S79" s="453"/>
      <c r="T79" s="453"/>
      <c r="U79" s="453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45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53"/>
      <c r="P80" s="453"/>
      <c r="Q80" s="453"/>
      <c r="R80" s="453"/>
      <c r="S80" s="453"/>
      <c r="T80" s="453"/>
      <c r="U80" s="453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45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53"/>
      <c r="P81" s="453"/>
      <c r="Q81" s="453"/>
      <c r="R81" s="453"/>
      <c r="S81" s="453"/>
      <c r="T81" s="453"/>
      <c r="U81" s="453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45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53"/>
      <c r="P82" s="453"/>
      <c r="Q82" s="453"/>
      <c r="R82" s="453"/>
      <c r="S82" s="453"/>
      <c r="T82" s="453"/>
      <c r="U82" s="453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45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53"/>
      <c r="P83" s="453"/>
      <c r="Q83" s="453"/>
      <c r="R83" s="453"/>
      <c r="S83" s="453"/>
      <c r="T83" s="453"/>
      <c r="U83" s="453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45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53"/>
      <c r="P84" s="453"/>
      <c r="Q84" s="453"/>
      <c r="R84" s="453"/>
      <c r="S84" s="453"/>
      <c r="T84" s="453"/>
      <c r="U84" s="453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45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53"/>
      <c r="P85" s="453"/>
      <c r="Q85" s="453"/>
      <c r="R85" s="453"/>
      <c r="S85" s="453"/>
      <c r="T85" s="453"/>
      <c r="U85" s="453"/>
      <c r="V85" s="132"/>
      <c r="W85" s="133"/>
      <c r="X85" s="132"/>
      <c r="Y85" s="132"/>
      <c r="Z85" s="132"/>
      <c r="AA85" s="132"/>
    </row>
    <row r="86" spans="1:27" ht="20.100000000000001" customHeight="1">
      <c r="A86" s="641" t="s">
        <v>216</v>
      </c>
      <c r="B86" s="641"/>
      <c r="C86" s="454" t="s">
        <v>202</v>
      </c>
      <c r="D86" s="143"/>
      <c r="E86" s="143"/>
      <c r="F86" s="144"/>
      <c r="G86" s="145">
        <f>SUM(G29:G85)</f>
        <v>434</v>
      </c>
      <c r="H86" s="146">
        <f>SUM(H29:H85)</f>
        <v>2183.02</v>
      </c>
      <c r="I86" s="146">
        <f>SUM(I29:I85)</f>
        <v>22</v>
      </c>
      <c r="J86" s="130">
        <f t="array" ref="J86">IF(ISERROR(G86/I86),"",G86/I86)</f>
        <v>19.727272727272727</v>
      </c>
      <c r="K86" s="146">
        <f>SUM(K29:K85)</f>
        <v>20.186046511627907</v>
      </c>
      <c r="L86" s="147"/>
      <c r="M86" s="150">
        <f t="shared" ref="M86:V86" si="34">SUM(M29:M85)</f>
        <v>1.8139534883720927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44" t="s">
        <v>217</v>
      </c>
      <c r="C87" s="126" t="s">
        <v>179</v>
      </c>
      <c r="D87" s="108">
        <v>5.03</v>
      </c>
      <c r="E87" s="108"/>
      <c r="F87" s="127"/>
      <c r="G87" s="128"/>
      <c r="H87" s="445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53"/>
      <c r="P87" s="453"/>
      <c r="Q87" s="453"/>
      <c r="R87" s="453"/>
      <c r="S87" s="453"/>
      <c r="T87" s="453"/>
      <c r="U87" s="453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44" t="s">
        <v>217</v>
      </c>
      <c r="C88" s="126" t="s">
        <v>186</v>
      </c>
      <c r="D88" s="108">
        <v>5.03</v>
      </c>
      <c r="E88" s="108"/>
      <c r="F88" s="127"/>
      <c r="G88" s="128"/>
      <c r="H88" s="445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53"/>
      <c r="P88" s="453"/>
      <c r="Q88" s="453"/>
      <c r="R88" s="453"/>
      <c r="S88" s="453"/>
      <c r="T88" s="453"/>
      <c r="U88" s="453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44" t="s">
        <v>217</v>
      </c>
      <c r="C89" s="126" t="s">
        <v>204</v>
      </c>
      <c r="D89" s="108">
        <v>5.03</v>
      </c>
      <c r="E89" s="108"/>
      <c r="F89" s="127"/>
      <c r="G89" s="128"/>
      <c r="H89" s="445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53"/>
      <c r="P89" s="453"/>
      <c r="Q89" s="453"/>
      <c r="R89" s="453"/>
      <c r="S89" s="453"/>
      <c r="T89" s="453"/>
      <c r="U89" s="453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>
        <v>42707</v>
      </c>
      <c r="G90" s="128">
        <f>27+114</f>
        <v>141</v>
      </c>
      <c r="H90" s="445">
        <f t="shared" si="36"/>
        <v>709.23</v>
      </c>
      <c r="I90" s="129">
        <v>10</v>
      </c>
      <c r="J90" s="130">
        <f t="array" ref="J90">IF(ISERROR(G90/I90),"",G90/I90)</f>
        <v>14.1</v>
      </c>
      <c r="K90" s="131">
        <f t="array" ref="K90">IF(ISERROR(G90/L90),"",G90/L90)</f>
        <v>15.161290322580644</v>
      </c>
      <c r="L90" s="129">
        <v>9.3000000000000007</v>
      </c>
      <c r="M90" s="109">
        <f t="shared" si="37"/>
        <v>-5.1612903225806441</v>
      </c>
      <c r="N90" s="130">
        <f t="shared" si="38"/>
        <v>0</v>
      </c>
      <c r="O90" s="453"/>
      <c r="P90" s="453"/>
      <c r="Q90" s="453"/>
      <c r="R90" s="453"/>
      <c r="S90" s="453"/>
      <c r="T90" s="453"/>
      <c r="U90" s="453"/>
      <c r="V90" s="132">
        <f t="shared" si="39"/>
        <v>0</v>
      </c>
      <c r="W90" s="133">
        <f t="shared" si="35"/>
        <v>0</v>
      </c>
      <c r="X90" s="132"/>
      <c r="Y90" s="132"/>
      <c r="Z90" s="132"/>
      <c r="AA90" s="132"/>
    </row>
    <row r="91" spans="1:27" ht="20.10000000000000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>
        <v>42707</v>
      </c>
      <c r="G91" s="128">
        <v>12</v>
      </c>
      <c r="H91" s="445">
        <f t="shared" si="36"/>
        <v>60.36</v>
      </c>
      <c r="I91" s="129">
        <v>2</v>
      </c>
      <c r="J91" s="130">
        <f t="array" ref="J91">IF(ISERROR(G91/I91),"",G91/I91)</f>
        <v>6</v>
      </c>
      <c r="K91" s="131">
        <f t="array" ref="K91">IF(ISERROR(G91/L91),"",G91/L91)</f>
        <v>1.2903225806451613</v>
      </c>
      <c r="L91" s="129">
        <v>9.3000000000000007</v>
      </c>
      <c r="M91" s="109">
        <f t="shared" si="37"/>
        <v>0.70967741935483875</v>
      </c>
      <c r="N91" s="130">
        <f t="shared" si="38"/>
        <v>0</v>
      </c>
      <c r="O91" s="453"/>
      <c r="P91" s="453"/>
      <c r="Q91" s="453"/>
      <c r="R91" s="453"/>
      <c r="S91" s="453"/>
      <c r="T91" s="453"/>
      <c r="U91" s="453"/>
      <c r="V91" s="132">
        <f t="shared" si="39"/>
        <v>0</v>
      </c>
      <c r="W91" s="133">
        <f t="shared" si="35"/>
        <v>0</v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45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53"/>
      <c r="P92" s="453"/>
      <c r="Q92" s="453"/>
      <c r="R92" s="453"/>
      <c r="S92" s="453"/>
      <c r="T92" s="453"/>
      <c r="U92" s="453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45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53"/>
      <c r="P93" s="453"/>
      <c r="Q93" s="453"/>
      <c r="R93" s="453"/>
      <c r="S93" s="453"/>
      <c r="T93" s="453"/>
      <c r="U93" s="453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45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53"/>
      <c r="P94" s="453"/>
      <c r="Q94" s="453"/>
      <c r="R94" s="453"/>
      <c r="S94" s="453"/>
      <c r="T94" s="453"/>
      <c r="U94" s="453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45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53"/>
      <c r="P95" s="453"/>
      <c r="Q95" s="453"/>
      <c r="R95" s="453"/>
      <c r="S95" s="453"/>
      <c r="T95" s="453"/>
      <c r="U95" s="453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45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53"/>
      <c r="P96" s="453"/>
      <c r="Q96" s="453"/>
      <c r="R96" s="453"/>
      <c r="S96" s="453"/>
      <c r="T96" s="453"/>
      <c r="U96" s="453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45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53"/>
      <c r="P97" s="453"/>
      <c r="Q97" s="453"/>
      <c r="R97" s="453"/>
      <c r="S97" s="453"/>
      <c r="T97" s="453"/>
      <c r="U97" s="453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45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53"/>
      <c r="P98" s="453"/>
      <c r="Q98" s="453"/>
      <c r="R98" s="453"/>
      <c r="S98" s="453"/>
      <c r="T98" s="453"/>
      <c r="U98" s="453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445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53"/>
      <c r="P99" s="453"/>
      <c r="Q99" s="453"/>
      <c r="R99" s="453"/>
      <c r="S99" s="453"/>
      <c r="T99" s="453"/>
      <c r="U99" s="453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45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53"/>
      <c r="P100" s="453"/>
      <c r="Q100" s="453"/>
      <c r="R100" s="453"/>
      <c r="S100" s="453"/>
      <c r="T100" s="453"/>
      <c r="U100" s="453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45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53"/>
      <c r="P101" s="453"/>
      <c r="Q101" s="453"/>
      <c r="R101" s="453"/>
      <c r="S101" s="453"/>
      <c r="T101" s="453"/>
      <c r="U101" s="453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45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53"/>
      <c r="P102" s="453"/>
      <c r="Q102" s="453"/>
      <c r="R102" s="453"/>
      <c r="S102" s="453"/>
      <c r="T102" s="453"/>
      <c r="U102" s="453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44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45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53"/>
      <c r="P103" s="453"/>
      <c r="Q103" s="453"/>
      <c r="R103" s="453"/>
      <c r="S103" s="453"/>
      <c r="T103" s="453"/>
      <c r="U103" s="453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44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45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53"/>
      <c r="P104" s="453"/>
      <c r="Q104" s="453"/>
      <c r="R104" s="453"/>
      <c r="S104" s="453"/>
      <c r="T104" s="453"/>
      <c r="U104" s="453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44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45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53"/>
      <c r="P105" s="453"/>
      <c r="Q105" s="453"/>
      <c r="R105" s="453"/>
      <c r="S105" s="453"/>
      <c r="T105" s="453"/>
      <c r="U105" s="453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44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45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53"/>
      <c r="P106" s="453"/>
      <c r="Q106" s="453"/>
      <c r="R106" s="453"/>
      <c r="S106" s="453"/>
      <c r="T106" s="453"/>
      <c r="U106" s="453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44" t="s">
        <v>393</v>
      </c>
      <c r="C107" s="187" t="s">
        <v>395</v>
      </c>
      <c r="D107" s="108">
        <v>5</v>
      </c>
      <c r="E107" s="108"/>
      <c r="F107" s="127"/>
      <c r="G107" s="128"/>
      <c r="H107" s="445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53"/>
      <c r="P107" s="453"/>
      <c r="Q107" s="453"/>
      <c r="R107" s="453"/>
      <c r="S107" s="453"/>
      <c r="T107" s="453"/>
      <c r="U107" s="453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44" t="s">
        <v>393</v>
      </c>
      <c r="C108" s="187" t="s">
        <v>402</v>
      </c>
      <c r="D108" s="108">
        <v>5</v>
      </c>
      <c r="E108" s="108"/>
      <c r="F108" s="127"/>
      <c r="G108" s="128"/>
      <c r="H108" s="445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53"/>
      <c r="P108" s="453"/>
      <c r="Q108" s="453"/>
      <c r="R108" s="453"/>
      <c r="S108" s="453"/>
      <c r="T108" s="453"/>
      <c r="U108" s="453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44" t="s">
        <v>404</v>
      </c>
      <c r="C109" s="187" t="s">
        <v>405</v>
      </c>
      <c r="D109" s="108">
        <v>5</v>
      </c>
      <c r="E109" s="108"/>
      <c r="F109" s="127"/>
      <c r="G109" s="128"/>
      <c r="H109" s="445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53"/>
      <c r="P109" s="453"/>
      <c r="Q109" s="453"/>
      <c r="R109" s="453"/>
      <c r="S109" s="453"/>
      <c r="T109" s="453"/>
      <c r="U109" s="453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44" t="s">
        <v>492</v>
      </c>
      <c r="C110" s="187" t="s">
        <v>372</v>
      </c>
      <c r="D110" s="108">
        <v>5</v>
      </c>
      <c r="E110" s="108"/>
      <c r="F110" s="127"/>
      <c r="G110" s="128"/>
      <c r="H110" s="445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53"/>
      <c r="P110" s="453"/>
      <c r="Q110" s="453"/>
      <c r="R110" s="453"/>
      <c r="S110" s="453"/>
      <c r="T110" s="453"/>
      <c r="U110" s="453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44" t="s">
        <v>343</v>
      </c>
      <c r="C111" s="126" t="s">
        <v>345</v>
      </c>
      <c r="D111" s="108">
        <v>5</v>
      </c>
      <c r="E111" s="108"/>
      <c r="F111" s="127"/>
      <c r="G111" s="128"/>
      <c r="H111" s="445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53"/>
      <c r="P111" s="453"/>
      <c r="Q111" s="453"/>
      <c r="R111" s="453"/>
      <c r="S111" s="453"/>
      <c r="T111" s="453"/>
      <c r="U111" s="453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44" t="s">
        <v>343</v>
      </c>
      <c r="C112" s="126" t="s">
        <v>347</v>
      </c>
      <c r="D112" s="108">
        <v>5</v>
      </c>
      <c r="E112" s="108"/>
      <c r="F112" s="127"/>
      <c r="G112" s="128"/>
      <c r="H112" s="445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53"/>
      <c r="P112" s="453"/>
      <c r="Q112" s="453"/>
      <c r="R112" s="453"/>
      <c r="S112" s="453"/>
      <c r="T112" s="453"/>
      <c r="U112" s="453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45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53"/>
      <c r="P113" s="453"/>
      <c r="Q113" s="453"/>
      <c r="R113" s="453"/>
      <c r="S113" s="453"/>
      <c r="T113" s="453"/>
      <c r="U113" s="453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>
        <v>42707</v>
      </c>
      <c r="G114" s="128">
        <f>68+100</f>
        <v>168</v>
      </c>
      <c r="H114" s="445">
        <f t="shared" si="36"/>
        <v>850.07999999999993</v>
      </c>
      <c r="I114" s="129">
        <f>10+10</f>
        <v>20</v>
      </c>
      <c r="J114" s="130">
        <f t="array" ref="J114">IF(ISERROR(G114/I114),"",G114/I114)</f>
        <v>8.4</v>
      </c>
      <c r="K114" s="131">
        <f t="array" ref="K114">IF(ISERROR(G114/L114),"",G114/L114)</f>
        <v>10.838709677419354</v>
      </c>
      <c r="L114" s="129">
        <v>15.5</v>
      </c>
      <c r="M114" s="109">
        <f t="shared" si="37"/>
        <v>9.1612903225806459</v>
      </c>
      <c r="N114" s="130">
        <f t="shared" si="40"/>
        <v>0</v>
      </c>
      <c r="O114" s="453"/>
      <c r="P114" s="453"/>
      <c r="Q114" s="453"/>
      <c r="R114" s="453"/>
      <c r="S114" s="453"/>
      <c r="T114" s="453"/>
      <c r="U114" s="453"/>
      <c r="V114" s="132">
        <f t="shared" si="44"/>
        <v>0</v>
      </c>
      <c r="W114" s="133">
        <f t="shared" si="45"/>
        <v>0</v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420</v>
      </c>
      <c r="D115" s="108">
        <v>5</v>
      </c>
      <c r="E115" s="108"/>
      <c r="F115" s="127"/>
      <c r="G115" s="128"/>
      <c r="H115" s="445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53"/>
      <c r="P115" s="453"/>
      <c r="Q115" s="453"/>
      <c r="R115" s="453"/>
      <c r="S115" s="453"/>
      <c r="T115" s="453"/>
      <c r="U115" s="453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45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53"/>
      <c r="P116" s="453"/>
      <c r="Q116" s="453"/>
      <c r="R116" s="453"/>
      <c r="S116" s="453"/>
      <c r="T116" s="453"/>
      <c r="U116" s="453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45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53"/>
      <c r="P117" s="453"/>
      <c r="Q117" s="453"/>
      <c r="R117" s="453"/>
      <c r="S117" s="453"/>
      <c r="T117" s="453"/>
      <c r="U117" s="453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45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53"/>
      <c r="P118" s="453"/>
      <c r="Q118" s="453"/>
      <c r="R118" s="453"/>
      <c r="S118" s="453"/>
      <c r="T118" s="453"/>
      <c r="U118" s="453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45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53"/>
      <c r="P119" s="453"/>
      <c r="Q119" s="453"/>
      <c r="R119" s="453"/>
      <c r="S119" s="453"/>
      <c r="T119" s="453"/>
      <c r="U119" s="453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45">
        <f t="shared" si="36"/>
        <v>0</v>
      </c>
      <c r="I120" s="129"/>
      <c r="J120" s="130" t="str">
        <f t="array" ref="J120">IF(ISERROR(G120/I120),"",G120/I120)</f>
        <v/>
      </c>
      <c r="K120" s="445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53"/>
      <c r="P120" s="453"/>
      <c r="Q120" s="453"/>
      <c r="R120" s="453"/>
      <c r="S120" s="453"/>
      <c r="T120" s="453"/>
      <c r="U120" s="453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30" t="s">
        <v>224</v>
      </c>
      <c r="B121" s="631"/>
      <c r="C121" s="454" t="s">
        <v>202</v>
      </c>
      <c r="D121" s="143"/>
      <c r="E121" s="143"/>
      <c r="F121" s="144"/>
      <c r="G121" s="145">
        <f>SUM(G87:G120)</f>
        <v>321</v>
      </c>
      <c r="H121" s="146">
        <f>SUM(H87:H120)</f>
        <v>1619.67</v>
      </c>
      <c r="I121" s="146">
        <f>SUM(I87:I120)</f>
        <v>32</v>
      </c>
      <c r="J121" s="130">
        <f t="array" ref="J121">IF(ISERROR(G121/I121),"",G121/I121)</f>
        <v>10.03125</v>
      </c>
      <c r="K121" s="146">
        <f>SUM(K87:K120)</f>
        <v>27.29032258064516</v>
      </c>
      <c r="L121" s="147"/>
      <c r="M121" s="150">
        <f t="shared" ref="M121:V121" si="50">SUM(M87:M120)</f>
        <v>4.7096774193548407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45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53"/>
      <c r="P122" s="453"/>
      <c r="Q122" s="453"/>
      <c r="R122" s="453"/>
      <c r="S122" s="453"/>
      <c r="T122" s="453"/>
      <c r="U122" s="453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45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53"/>
      <c r="P123" s="453"/>
      <c r="Q123" s="453"/>
      <c r="R123" s="453"/>
      <c r="S123" s="453"/>
      <c r="T123" s="453"/>
      <c r="U123" s="453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>
        <v>42714</v>
      </c>
      <c r="G124" s="128">
        <f>100*3</f>
        <v>300</v>
      </c>
      <c r="H124" s="445">
        <f t="shared" si="51"/>
        <v>1512</v>
      </c>
      <c r="I124" s="129">
        <f>8*3</f>
        <v>24</v>
      </c>
      <c r="J124" s="130">
        <f t="array" ref="J124">IF(ISERROR(G124/I124),"",G124/I124)</f>
        <v>12.5</v>
      </c>
      <c r="K124" s="131">
        <f t="array" ref="K124">IF(ISERROR(G124/L124),"",G124/L124)</f>
        <v>15</v>
      </c>
      <c r="L124" s="129">
        <v>20</v>
      </c>
      <c r="M124" s="109">
        <f t="shared" si="52"/>
        <v>9</v>
      </c>
      <c r="N124" s="130">
        <f t="shared" si="53"/>
        <v>0</v>
      </c>
      <c r="O124" s="453"/>
      <c r="P124" s="453"/>
      <c r="Q124" s="453"/>
      <c r="R124" s="453"/>
      <c r="S124" s="453"/>
      <c r="T124" s="453"/>
      <c r="U124" s="453"/>
      <c r="V124" s="132">
        <f t="shared" si="54"/>
        <v>0</v>
      </c>
      <c r="W124" s="133">
        <f t="shared" si="49"/>
        <v>0</v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445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53"/>
      <c r="P125" s="453"/>
      <c r="Q125" s="453"/>
      <c r="R125" s="453"/>
      <c r="S125" s="453"/>
      <c r="T125" s="453"/>
      <c r="U125" s="453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50" t="s">
        <v>203</v>
      </c>
      <c r="D126" s="108">
        <v>5.03</v>
      </c>
      <c r="E126" s="108"/>
      <c r="F126" s="127"/>
      <c r="G126" s="128"/>
      <c r="H126" s="445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53"/>
      <c r="P126" s="453"/>
      <c r="Q126" s="453"/>
      <c r="R126" s="453"/>
      <c r="S126" s="453"/>
      <c r="T126" s="453"/>
      <c r="U126" s="453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45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53"/>
      <c r="P127" s="453"/>
      <c r="Q127" s="453"/>
      <c r="R127" s="453"/>
      <c r="S127" s="453"/>
      <c r="T127" s="453"/>
      <c r="U127" s="453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45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53"/>
      <c r="P128" s="453"/>
      <c r="Q128" s="453"/>
      <c r="R128" s="453"/>
      <c r="S128" s="453"/>
      <c r="T128" s="453"/>
      <c r="U128" s="453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50" t="s">
        <v>228</v>
      </c>
      <c r="D129" s="108">
        <v>5.03</v>
      </c>
      <c r="E129" s="108"/>
      <c r="F129" s="127"/>
      <c r="G129" s="128"/>
      <c r="H129" s="445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53"/>
      <c r="P129" s="453"/>
      <c r="Q129" s="453"/>
      <c r="R129" s="453"/>
      <c r="S129" s="453"/>
      <c r="T129" s="453"/>
      <c r="U129" s="453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496</v>
      </c>
      <c r="C130" s="450" t="s">
        <v>212</v>
      </c>
      <c r="D130" s="108">
        <v>5.03</v>
      </c>
      <c r="E130" s="108"/>
      <c r="F130" s="127"/>
      <c r="G130" s="128"/>
      <c r="H130" s="445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53"/>
      <c r="P130" s="453"/>
      <c r="Q130" s="453"/>
      <c r="R130" s="453"/>
      <c r="S130" s="453"/>
      <c r="T130" s="453"/>
      <c r="U130" s="453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50" t="s">
        <v>203</v>
      </c>
      <c r="D131" s="108">
        <v>5.03</v>
      </c>
      <c r="E131" s="108"/>
      <c r="F131" s="127"/>
      <c r="G131" s="128"/>
      <c r="H131" s="445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53"/>
      <c r="P131" s="453"/>
      <c r="Q131" s="453"/>
      <c r="R131" s="453"/>
      <c r="S131" s="453"/>
      <c r="T131" s="453"/>
      <c r="U131" s="453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50" t="s">
        <v>186</v>
      </c>
      <c r="D132" s="108">
        <v>5.03</v>
      </c>
      <c r="E132" s="108"/>
      <c r="F132" s="127"/>
      <c r="G132" s="128"/>
      <c r="H132" s="445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53"/>
      <c r="P132" s="453"/>
      <c r="Q132" s="453"/>
      <c r="R132" s="453"/>
      <c r="S132" s="453"/>
      <c r="T132" s="453"/>
      <c r="U132" s="453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50" t="s">
        <v>228</v>
      </c>
      <c r="D133" s="108">
        <v>5.03</v>
      </c>
      <c r="E133" s="108"/>
      <c r="F133" s="127"/>
      <c r="G133" s="128"/>
      <c r="H133" s="445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53"/>
      <c r="P133" s="453"/>
      <c r="Q133" s="453"/>
      <c r="R133" s="453"/>
      <c r="S133" s="453"/>
      <c r="T133" s="453"/>
      <c r="U133" s="453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50" t="s">
        <v>199</v>
      </c>
      <c r="D134" s="108">
        <v>5.03</v>
      </c>
      <c r="E134" s="108"/>
      <c r="F134" s="127"/>
      <c r="G134" s="128"/>
      <c r="H134" s="445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53"/>
      <c r="P134" s="453"/>
      <c r="Q134" s="453"/>
      <c r="R134" s="453"/>
      <c r="S134" s="453"/>
      <c r="T134" s="453"/>
      <c r="U134" s="453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45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53"/>
      <c r="P135" s="453"/>
      <c r="Q135" s="453"/>
      <c r="R135" s="453"/>
      <c r="S135" s="453"/>
      <c r="T135" s="453"/>
      <c r="U135" s="453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45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53"/>
      <c r="P136" s="453"/>
      <c r="Q136" s="453"/>
      <c r="R136" s="453"/>
      <c r="S136" s="453"/>
      <c r="T136" s="453"/>
      <c r="U136" s="453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630" t="s">
        <v>231</v>
      </c>
      <c r="B137" s="631"/>
      <c r="C137" s="454" t="s">
        <v>202</v>
      </c>
      <c r="D137" s="143"/>
      <c r="E137" s="143"/>
      <c r="F137" s="144"/>
      <c r="G137" s="145">
        <f>SUM(G122:G136)</f>
        <v>300</v>
      </c>
      <c r="H137" s="146">
        <f>SUM(H122:H136)</f>
        <v>1512</v>
      </c>
      <c r="I137" s="146">
        <f>SUM(I122:I136)</f>
        <v>24</v>
      </c>
      <c r="J137" s="130">
        <f t="array" ref="J137">IF(ISERROR(G137/I137),"",G137/I137)</f>
        <v>12.5</v>
      </c>
      <c r="K137" s="146">
        <f>SUM(K122:K136)</f>
        <v>15</v>
      </c>
      <c r="L137" s="147"/>
      <c r="M137" s="150">
        <f>SUM(M122:M136)</f>
        <v>9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45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53"/>
      <c r="P138" s="453"/>
      <c r="Q138" s="453"/>
      <c r="R138" s="453"/>
      <c r="S138" s="453"/>
      <c r="T138" s="453"/>
      <c r="U138" s="453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45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53"/>
      <c r="P139" s="453"/>
      <c r="Q139" s="453"/>
      <c r="R139" s="453"/>
      <c r="S139" s="453"/>
      <c r="T139" s="453"/>
      <c r="U139" s="453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45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53"/>
      <c r="P140" s="453"/>
      <c r="Q140" s="453"/>
      <c r="R140" s="453"/>
      <c r="S140" s="453"/>
      <c r="T140" s="453"/>
      <c r="U140" s="453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497</v>
      </c>
      <c r="C141" s="126" t="s">
        <v>195</v>
      </c>
      <c r="D141" s="108">
        <v>5.04</v>
      </c>
      <c r="E141" s="108"/>
      <c r="F141" s="127"/>
      <c r="G141" s="128"/>
      <c r="H141" s="445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53"/>
      <c r="P141" s="453"/>
      <c r="Q141" s="453"/>
      <c r="R141" s="453"/>
      <c r="S141" s="453"/>
      <c r="T141" s="453"/>
      <c r="U141" s="453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45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53"/>
      <c r="P142" s="453"/>
      <c r="Q142" s="453"/>
      <c r="R142" s="453"/>
      <c r="S142" s="453"/>
      <c r="T142" s="453"/>
      <c r="U142" s="453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45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53"/>
      <c r="P143" s="453"/>
      <c r="Q143" s="453"/>
      <c r="R143" s="453"/>
      <c r="S143" s="453"/>
      <c r="T143" s="453"/>
      <c r="U143" s="453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/>
      <c r="G144" s="128"/>
      <c r="H144" s="479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0"/>
      <c r="P144" s="470"/>
      <c r="Q144" s="470"/>
      <c r="R144" s="470"/>
      <c r="S144" s="470"/>
      <c r="T144" s="470"/>
      <c r="U144" s="470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445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453"/>
      <c r="P146" s="453"/>
      <c r="Q146" s="453"/>
      <c r="R146" s="453"/>
      <c r="S146" s="453"/>
      <c r="T146" s="453"/>
      <c r="U146" s="453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hidden="1" customHeight="1">
      <c r="A147" s="630" t="s">
        <v>234</v>
      </c>
      <c r="B147" s="631"/>
      <c r="C147" s="454" t="s">
        <v>202</v>
      </c>
      <c r="D147" s="143"/>
      <c r="E147" s="143"/>
      <c r="F147" s="144"/>
      <c r="G147" s="145">
        <f>SUM(G138:G146)</f>
        <v>0</v>
      </c>
      <c r="H147" s="146">
        <f>SUM(H138:H146)</f>
        <v>0</v>
      </c>
      <c r="I147" s="146">
        <f>SUM(I138:I146)</f>
        <v>0</v>
      </c>
      <c r="J147" s="130" t="str">
        <f t="array" ref="J147">IF(ISERROR(G147/I147),"",G147/I147)</f>
        <v/>
      </c>
      <c r="K147" s="146">
        <f>SUM(K138:K146)</f>
        <v>0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 t="str">
        <f t="shared" si="62"/>
        <v/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451"/>
      <c r="D148" s="108">
        <v>3.65</v>
      </c>
      <c r="E148" s="108"/>
      <c r="F148" s="153"/>
      <c r="G148" s="128"/>
      <c r="H148" s="445">
        <f t="shared" ref="H148:H161" si="63">D148*G148</f>
        <v>0</v>
      </c>
      <c r="I148" s="129"/>
      <c r="J148" s="130" t="str">
        <f t="array" ref="J148">IF(ISERROR(G148/I148),"",G148/I148)</f>
        <v/>
      </c>
      <c r="K148" s="445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453"/>
      <c r="P148" s="453"/>
      <c r="Q148" s="453"/>
      <c r="R148" s="453"/>
      <c r="S148" s="453"/>
      <c r="T148" s="453"/>
      <c r="U148" s="453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451"/>
      <c r="D149" s="108">
        <v>6.58</v>
      </c>
      <c r="E149" s="108"/>
      <c r="F149" s="127"/>
      <c r="G149" s="128"/>
      <c r="H149" s="445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453"/>
      <c r="P149" s="453"/>
      <c r="Q149" s="453"/>
      <c r="R149" s="453"/>
      <c r="S149" s="453"/>
      <c r="T149" s="453"/>
      <c r="U149" s="453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451"/>
      <c r="D150" s="108">
        <v>7.8</v>
      </c>
      <c r="E150" s="108"/>
      <c r="F150" s="127"/>
      <c r="G150" s="128"/>
      <c r="H150" s="445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453"/>
      <c r="P150" s="453"/>
      <c r="Q150" s="453"/>
      <c r="R150" s="453"/>
      <c r="S150" s="453"/>
      <c r="T150" s="453"/>
      <c r="U150" s="453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451"/>
      <c r="D151" s="108">
        <v>4.4000000000000004</v>
      </c>
      <c r="E151" s="108"/>
      <c r="F151" s="127"/>
      <c r="G151" s="128"/>
      <c r="H151" s="445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453"/>
      <c r="P151" s="453"/>
      <c r="Q151" s="453"/>
      <c r="R151" s="453"/>
      <c r="S151" s="453"/>
      <c r="T151" s="453"/>
      <c r="U151" s="453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445">
        <f t="shared" si="63"/>
        <v>0</v>
      </c>
      <c r="I152" s="129"/>
      <c r="J152" s="130"/>
      <c r="K152" s="131"/>
      <c r="L152" s="129">
        <v>6</v>
      </c>
      <c r="M152" s="109"/>
      <c r="N152" s="130"/>
      <c r="O152" s="453"/>
      <c r="P152" s="453"/>
      <c r="Q152" s="453"/>
      <c r="R152" s="453"/>
      <c r="S152" s="453"/>
      <c r="T152" s="453"/>
      <c r="U152" s="453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451" t="s">
        <v>499</v>
      </c>
      <c r="C153" s="451" t="s">
        <v>179</v>
      </c>
      <c r="D153" s="108">
        <v>6.04</v>
      </c>
      <c r="E153" s="108"/>
      <c r="F153" s="127"/>
      <c r="G153" s="128"/>
      <c r="H153" s="445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6" si="67">IF(ISERROR(I153-K153),"",I153-K153)</f>
        <v>0</v>
      </c>
      <c r="N153" s="130">
        <f t="shared" ref="N153:N154" si="68">SUM(O153:U153)</f>
        <v>0</v>
      </c>
      <c r="O153" s="453"/>
      <c r="P153" s="453"/>
      <c r="Q153" s="453"/>
      <c r="R153" s="453"/>
      <c r="S153" s="453"/>
      <c r="T153" s="453"/>
      <c r="U153" s="453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451" t="s">
        <v>239</v>
      </c>
      <c r="C154" s="451" t="s">
        <v>186</v>
      </c>
      <c r="D154" s="108">
        <v>6.04</v>
      </c>
      <c r="E154" s="108"/>
      <c r="F154" s="127"/>
      <c r="G154" s="128"/>
      <c r="H154" s="445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453"/>
      <c r="P154" s="453"/>
      <c r="Q154" s="453"/>
      <c r="R154" s="453"/>
      <c r="S154" s="453"/>
      <c r="T154" s="453"/>
      <c r="U154" s="453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customHeight="1">
      <c r="A155" s="305">
        <v>30601015</v>
      </c>
      <c r="B155" s="451" t="s">
        <v>443</v>
      </c>
      <c r="C155" s="451" t="s">
        <v>179</v>
      </c>
      <c r="D155" s="108">
        <v>6</v>
      </c>
      <c r="E155" s="108"/>
      <c r="F155" s="127">
        <v>42712</v>
      </c>
      <c r="G155" s="128">
        <f>42*3+38</f>
        <v>164</v>
      </c>
      <c r="H155" s="445">
        <f t="shared" si="63"/>
        <v>984</v>
      </c>
      <c r="I155" s="129">
        <f>9.5*5</f>
        <v>47.5</v>
      </c>
      <c r="J155" s="130">
        <f t="array" ref="J155">IF(ISERROR(G155/I155),"",G155/I155)</f>
        <v>3.4526315789473685</v>
      </c>
      <c r="K155" s="131">
        <f t="array" ref="K155">IF(ISERROR(G155/L155),"",G155/L155)</f>
        <v>27.333333333333332</v>
      </c>
      <c r="L155" s="129">
        <v>6</v>
      </c>
      <c r="M155" s="109">
        <f t="shared" si="67"/>
        <v>20.166666666666668</v>
      </c>
      <c r="N155" s="130"/>
      <c r="O155" s="453"/>
      <c r="P155" s="453"/>
      <c r="Q155" s="453"/>
      <c r="R155" s="453"/>
      <c r="S155" s="453"/>
      <c r="T155" s="453"/>
      <c r="U155" s="453"/>
      <c r="V155" s="132"/>
      <c r="W155" s="133"/>
      <c r="X155" s="132"/>
      <c r="Y155" s="132"/>
      <c r="Z155" s="132"/>
      <c r="AA155" s="132"/>
    </row>
    <row r="156" spans="1:27" ht="20.100000000000001" customHeight="1">
      <c r="A156" s="305">
        <v>30101016</v>
      </c>
      <c r="B156" s="451" t="s">
        <v>443</v>
      </c>
      <c r="C156" s="451" t="s">
        <v>60</v>
      </c>
      <c r="D156" s="108">
        <v>6</v>
      </c>
      <c r="E156" s="108"/>
      <c r="F156" s="127">
        <v>42711</v>
      </c>
      <c r="G156" s="128">
        <v>1</v>
      </c>
      <c r="H156" s="445">
        <f t="shared" si="63"/>
        <v>6</v>
      </c>
      <c r="I156" s="129">
        <v>1</v>
      </c>
      <c r="J156" s="130">
        <f t="array" ref="J156">IF(ISERROR(G156/I156),"",G156/I156)</f>
        <v>1</v>
      </c>
      <c r="K156" s="131">
        <f t="array" ref="K156">IF(ISERROR(G156/L156),"",G156/L156)</f>
        <v>0.16666666666666666</v>
      </c>
      <c r="L156" s="129">
        <v>6</v>
      </c>
      <c r="M156" s="109">
        <f t="shared" si="67"/>
        <v>0.83333333333333337</v>
      </c>
      <c r="N156" s="130"/>
      <c r="O156" s="453"/>
      <c r="P156" s="453"/>
      <c r="Q156" s="453"/>
      <c r="R156" s="453"/>
      <c r="S156" s="453"/>
      <c r="T156" s="453"/>
      <c r="U156" s="453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444" t="s">
        <v>240</v>
      </c>
      <c r="C157" s="126"/>
      <c r="D157" s="108">
        <v>7.3</v>
      </c>
      <c r="E157" s="108"/>
      <c r="F157" s="127"/>
      <c r="G157" s="128"/>
      <c r="H157" s="445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453"/>
      <c r="P157" s="453"/>
      <c r="Q157" s="453"/>
      <c r="R157" s="453"/>
      <c r="S157" s="453"/>
      <c r="T157" s="453"/>
      <c r="U157" s="453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444" t="s">
        <v>241</v>
      </c>
      <c r="C158" s="126"/>
      <c r="D158" s="108">
        <f>78*120/1000</f>
        <v>9.36</v>
      </c>
      <c r="E158" s="108"/>
      <c r="F158" s="127"/>
      <c r="G158" s="128"/>
      <c r="H158" s="445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453"/>
      <c r="P158" s="453"/>
      <c r="Q158" s="453"/>
      <c r="R158" s="453"/>
      <c r="S158" s="453"/>
      <c r="T158" s="453"/>
      <c r="U158" s="453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444" t="s">
        <v>242</v>
      </c>
      <c r="C159" s="126"/>
      <c r="D159" s="108">
        <v>4.5</v>
      </c>
      <c r="E159" s="108"/>
      <c r="F159" s="127"/>
      <c r="G159" s="128"/>
      <c r="H159" s="445">
        <f t="shared" si="63"/>
        <v>0</v>
      </c>
      <c r="I159" s="129"/>
      <c r="J159" s="130"/>
      <c r="K159" s="131"/>
      <c r="L159" s="129"/>
      <c r="M159" s="109"/>
      <c r="N159" s="130"/>
      <c r="O159" s="453"/>
      <c r="P159" s="453"/>
      <c r="Q159" s="453"/>
      <c r="R159" s="453"/>
      <c r="S159" s="453"/>
      <c r="T159" s="453"/>
      <c r="U159" s="453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444" t="s">
        <v>243</v>
      </c>
      <c r="C160" s="126"/>
      <c r="D160" s="108">
        <v>4.5</v>
      </c>
      <c r="E160" s="108"/>
      <c r="F160" s="127"/>
      <c r="G160" s="128"/>
      <c r="H160" s="445">
        <f t="shared" si="63"/>
        <v>0</v>
      </c>
      <c r="I160" s="129"/>
      <c r="J160" s="130"/>
      <c r="K160" s="131"/>
      <c r="L160" s="129"/>
      <c r="M160" s="109"/>
      <c r="N160" s="130"/>
      <c r="O160" s="453"/>
      <c r="P160" s="453"/>
      <c r="Q160" s="453"/>
      <c r="R160" s="453"/>
      <c r="S160" s="453"/>
      <c r="T160" s="453"/>
      <c r="U160" s="453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445">
        <f t="shared" si="63"/>
        <v>0</v>
      </c>
      <c r="I161" s="129"/>
      <c r="J161" s="130"/>
      <c r="K161" s="131"/>
      <c r="L161" s="129"/>
      <c r="M161" s="109"/>
      <c r="N161" s="130"/>
      <c r="O161" s="453"/>
      <c r="P161" s="453"/>
      <c r="Q161" s="453"/>
      <c r="R161" s="453"/>
      <c r="S161" s="453"/>
      <c r="T161" s="453"/>
      <c r="U161" s="453"/>
      <c r="V161" s="132"/>
      <c r="W161" s="133"/>
      <c r="X161" s="132"/>
      <c r="Y161" s="132"/>
      <c r="Z161" s="132"/>
      <c r="AA161" s="132"/>
    </row>
    <row r="162" spans="1:27" ht="20.100000000000001" customHeight="1">
      <c r="A162" s="630" t="s">
        <v>244</v>
      </c>
      <c r="B162" s="631"/>
      <c r="C162" s="454" t="s">
        <v>202</v>
      </c>
      <c r="D162" s="143"/>
      <c r="E162" s="143"/>
      <c r="F162" s="144"/>
      <c r="G162" s="145">
        <f>SUM(G148:G160)</f>
        <v>165</v>
      </c>
      <c r="H162" s="146">
        <f>SUM(H148:H158)</f>
        <v>990</v>
      </c>
      <c r="I162" s="146">
        <f>SUM(I148:I160)</f>
        <v>48.5</v>
      </c>
      <c r="J162" s="130">
        <f t="array" ref="J162">IF(ISERROR(G162/I162),"",G162/I162)</f>
        <v>3.402061855670103</v>
      </c>
      <c r="K162" s="146">
        <f>SUM(K148:K158)</f>
        <v>27.5</v>
      </c>
      <c r="L162" s="147"/>
      <c r="M162" s="150">
        <f t="shared" ref="M162:V162" si="75">SUM(M148:M158)</f>
        <v>21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>
        <f>IF(ISERROR(V162/G162),"",V162/G162)</f>
        <v>0</v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32" t="s">
        <v>246</v>
      </c>
      <c r="B163" s="633"/>
      <c r="C163" s="633"/>
      <c r="D163" s="633"/>
      <c r="E163" s="633"/>
      <c r="F163" s="634"/>
      <c r="G163" s="154">
        <f>SUM(G28,G86,G121,G137,G147,G162)</f>
        <v>1768</v>
      </c>
      <c r="H163" s="154">
        <f>SUM(H28,H86,H121,H137,H147,H162)</f>
        <v>9062.67</v>
      </c>
      <c r="I163" s="154">
        <f>SUM(I28,I86,I121,I137,I147,I162)</f>
        <v>176.5</v>
      </c>
      <c r="J163" s="155">
        <f t="array" ref="J163">IF(ISERROR(G163/I163),"",G163/I163)</f>
        <v>10.016997167138809</v>
      </c>
      <c r="K163" s="154">
        <f>SUM(K28,K86,K121,K137,K147,K162)</f>
        <v>122.21166320992012</v>
      </c>
      <c r="L163" s="155">
        <f>IF(ISERROR(G163/K163),"",G163/K163)</f>
        <v>14.466704351802722</v>
      </c>
      <c r="M163" s="154">
        <f t="shared" ref="M163:AA163" si="76">SUM(M28,M86,M121,M137,M147,M162)</f>
        <v>54.288336790079875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635" t="s">
        <v>476</v>
      </c>
      <c r="B164" s="447" t="s">
        <v>247</v>
      </c>
      <c r="C164" s="638" t="s">
        <v>248</v>
      </c>
      <c r="D164" s="639"/>
      <c r="E164" s="640" t="s">
        <v>249</v>
      </c>
      <c r="F164" s="640"/>
      <c r="G164" s="643" t="s">
        <v>250</v>
      </c>
      <c r="H164" s="643"/>
      <c r="I164" s="640" t="s">
        <v>251</v>
      </c>
      <c r="J164" s="640"/>
      <c r="K164" s="640" t="s">
        <v>252</v>
      </c>
      <c r="L164" s="640"/>
      <c r="M164" s="640" t="s">
        <v>253</v>
      </c>
      <c r="N164" s="640"/>
      <c r="O164" s="640" t="s">
        <v>254</v>
      </c>
      <c r="P164" s="643" t="s">
        <v>255</v>
      </c>
      <c r="Q164" s="643"/>
      <c r="R164" s="643" t="s">
        <v>252</v>
      </c>
      <c r="S164" s="643"/>
      <c r="T164" s="643" t="s">
        <v>256</v>
      </c>
      <c r="U164" s="643"/>
      <c r="V164" s="643" t="s">
        <v>257</v>
      </c>
      <c r="W164" s="643"/>
      <c r="X164" s="643" t="s">
        <v>252</v>
      </c>
      <c r="Y164" s="643"/>
      <c r="Z164" s="643" t="s">
        <v>256</v>
      </c>
      <c r="AA164" s="643"/>
    </row>
    <row r="165" spans="1:27" ht="20.100000000000001" customHeight="1">
      <c r="A165" s="636"/>
      <c r="B165" s="447" t="s">
        <v>258</v>
      </c>
      <c r="C165" s="638">
        <v>1</v>
      </c>
      <c r="D165" s="639"/>
      <c r="E165" s="642">
        <f>C165*11</f>
        <v>11</v>
      </c>
      <c r="F165" s="642"/>
      <c r="G165" s="643">
        <v>1</v>
      </c>
      <c r="H165" s="643"/>
      <c r="I165" s="642">
        <f>G165*11</f>
        <v>11</v>
      </c>
      <c r="J165" s="642"/>
      <c r="K165" s="642">
        <f>E165-I165</f>
        <v>0</v>
      </c>
      <c r="L165" s="642"/>
      <c r="M165" s="644">
        <f>IF(ISERROR(K165/E165),"",K165/E165)</f>
        <v>0</v>
      </c>
      <c r="N165" s="644"/>
      <c r="O165" s="640"/>
      <c r="P165" s="643" t="s">
        <v>201</v>
      </c>
      <c r="Q165" s="643"/>
      <c r="R165" s="645">
        <f>SUM(O28:U28)</f>
        <v>0</v>
      </c>
      <c r="S165" s="645"/>
      <c r="T165" s="646" t="str">
        <f t="array" ref="T165">IF(ISERROR(R165/R172),"",R165/R172)</f>
        <v/>
      </c>
      <c r="U165" s="646"/>
      <c r="V165" s="643" t="s">
        <v>259</v>
      </c>
      <c r="W165" s="643"/>
      <c r="X165" s="647">
        <f>SUM(P27,P85,P120,P136,P146,P160)</f>
        <v>0</v>
      </c>
      <c r="Y165" s="647"/>
      <c r="Z165" s="646" t="str">
        <f t="array" ref="Z165">IF(ISERROR(X165/X172),"",X165/X172)</f>
        <v/>
      </c>
      <c r="AA165" s="646"/>
    </row>
    <row r="166" spans="1:27" ht="20.100000000000001" customHeight="1">
      <c r="A166" s="636"/>
      <c r="B166" s="447" t="s">
        <v>260</v>
      </c>
      <c r="C166" s="638">
        <v>1</v>
      </c>
      <c r="D166" s="639"/>
      <c r="E166" s="642">
        <f>C166*11</f>
        <v>11</v>
      </c>
      <c r="F166" s="642"/>
      <c r="G166" s="643">
        <v>1</v>
      </c>
      <c r="H166" s="643"/>
      <c r="I166" s="642">
        <f>G166*11</f>
        <v>11</v>
      </c>
      <c r="J166" s="642"/>
      <c r="K166" s="642">
        <f>E166-I166</f>
        <v>0</v>
      </c>
      <c r="L166" s="642"/>
      <c r="M166" s="644">
        <f>IF(ISERROR(K166/E166),"",K166/E166)</f>
        <v>0</v>
      </c>
      <c r="N166" s="644"/>
      <c r="O166" s="640"/>
      <c r="P166" s="643" t="s">
        <v>216</v>
      </c>
      <c r="Q166" s="643"/>
      <c r="R166" s="645">
        <f>SUM(O86:U86)</f>
        <v>0</v>
      </c>
      <c r="S166" s="645"/>
      <c r="T166" s="646" t="str">
        <f>IF(ISERROR(R166/R172),"",R166/R172)</f>
        <v/>
      </c>
      <c r="U166" s="646"/>
      <c r="V166" s="643" t="s">
        <v>261</v>
      </c>
      <c r="W166" s="643"/>
      <c r="X166" s="647">
        <f>SUM(P28,P86,P121,P137,P147,P162)</f>
        <v>0</v>
      </c>
      <c r="Y166" s="647"/>
      <c r="Z166" s="646" t="str">
        <f>IF(ISERROR(X166/X172),"",X166/X172)</f>
        <v/>
      </c>
      <c r="AA166" s="646"/>
    </row>
    <row r="167" spans="1:27" ht="20.100000000000001" customHeight="1">
      <c r="A167" s="636"/>
      <c r="B167" s="447" t="s">
        <v>262</v>
      </c>
      <c r="C167" s="638">
        <v>1</v>
      </c>
      <c r="D167" s="639"/>
      <c r="E167" s="642">
        <f>C167*8</f>
        <v>8</v>
      </c>
      <c r="F167" s="642"/>
      <c r="G167" s="643">
        <v>1</v>
      </c>
      <c r="H167" s="643"/>
      <c r="I167" s="642">
        <f>G167*8</f>
        <v>8</v>
      </c>
      <c r="J167" s="642"/>
      <c r="K167" s="642">
        <f>E167-I167</f>
        <v>0</v>
      </c>
      <c r="L167" s="642"/>
      <c r="M167" s="644">
        <f>IF(ISERROR(K167/E167),"",K167/E167)</f>
        <v>0</v>
      </c>
      <c r="N167" s="644"/>
      <c r="O167" s="640"/>
      <c r="P167" s="643" t="s">
        <v>224</v>
      </c>
      <c r="Q167" s="643"/>
      <c r="R167" s="645">
        <f>SUM(O121:U121)</f>
        <v>0</v>
      </c>
      <c r="S167" s="645"/>
      <c r="T167" s="646" t="str">
        <f>IF(ISERROR(R167/R172),"",R167/R172)</f>
        <v/>
      </c>
      <c r="U167" s="646"/>
      <c r="V167" s="643" t="s">
        <v>263</v>
      </c>
      <c r="W167" s="643"/>
      <c r="X167" s="647">
        <f>SUM(P29,P87,P122,P138,P148,P163)</f>
        <v>0</v>
      </c>
      <c r="Y167" s="647"/>
      <c r="Z167" s="646" t="str">
        <f>IF(ISERROR(X167/X172),"",X167/X172)</f>
        <v/>
      </c>
      <c r="AA167" s="646"/>
    </row>
    <row r="168" spans="1:27" ht="20.100000000000001" customHeight="1">
      <c r="A168" s="636"/>
      <c r="B168" s="447" t="s">
        <v>264</v>
      </c>
      <c r="C168" s="638">
        <v>1</v>
      </c>
      <c r="D168" s="639"/>
      <c r="E168" s="642">
        <f>C168*11</f>
        <v>11</v>
      </c>
      <c r="F168" s="642"/>
      <c r="G168" s="643">
        <v>1</v>
      </c>
      <c r="H168" s="643"/>
      <c r="I168" s="642">
        <f>G168*11</f>
        <v>11</v>
      </c>
      <c r="J168" s="642"/>
      <c r="K168" s="642">
        <f>E168-I168</f>
        <v>0</v>
      </c>
      <c r="L168" s="642"/>
      <c r="M168" s="644">
        <f>IF(ISERROR(K168/E168),"",K168/E168)</f>
        <v>0</v>
      </c>
      <c r="N168" s="644"/>
      <c r="O168" s="640"/>
      <c r="P168" s="643" t="s">
        <v>231</v>
      </c>
      <c r="Q168" s="643"/>
      <c r="R168" s="645">
        <f>SUM(O137:U137)</f>
        <v>0</v>
      </c>
      <c r="S168" s="645"/>
      <c r="T168" s="646" t="str">
        <f>IF(ISERROR(R168/R172),"",R168/R172)</f>
        <v/>
      </c>
      <c r="U168" s="646"/>
      <c r="V168" s="643" t="s">
        <v>265</v>
      </c>
      <c r="W168" s="643"/>
      <c r="X168" s="647">
        <f>SUM(P31,P88,P123,P139,P149,P164)</f>
        <v>0</v>
      </c>
      <c r="Y168" s="647"/>
      <c r="Z168" s="646" t="str">
        <f>IF(ISERROR(X168/X172),"",X168/X172)</f>
        <v/>
      </c>
      <c r="AA168" s="646"/>
    </row>
    <row r="169" spans="1:27" ht="20.100000000000001" customHeight="1">
      <c r="A169" s="637"/>
      <c r="B169" s="447" t="s">
        <v>266</v>
      </c>
      <c r="C169" s="648">
        <f>SUM(C165:D168)</f>
        <v>4</v>
      </c>
      <c r="D169" s="649"/>
      <c r="E169" s="642">
        <f>SUM(E165:F168)</f>
        <v>41</v>
      </c>
      <c r="F169" s="642"/>
      <c r="G169" s="643">
        <f>SUM(G165:H168)</f>
        <v>4</v>
      </c>
      <c r="H169" s="643"/>
      <c r="I169" s="642">
        <f>SUM(I165:J168)</f>
        <v>41</v>
      </c>
      <c r="J169" s="642"/>
      <c r="K169" s="642">
        <f>SUM(K165:L168)</f>
        <v>0</v>
      </c>
      <c r="L169" s="642"/>
      <c r="M169" s="644">
        <f>IF(ISERROR(K169/E169),"",K169/E169)</f>
        <v>0</v>
      </c>
      <c r="N169" s="644"/>
      <c r="O169" s="640"/>
      <c r="P169" s="643" t="s">
        <v>234</v>
      </c>
      <c r="Q169" s="643"/>
      <c r="R169" s="645">
        <f>SUM(O147:U147)</f>
        <v>0</v>
      </c>
      <c r="S169" s="645"/>
      <c r="T169" s="646" t="str">
        <f>IF(ISERROR(R169/R172),"",R169/R172)</f>
        <v/>
      </c>
      <c r="U169" s="646"/>
      <c r="V169" s="643" t="s">
        <v>267</v>
      </c>
      <c r="W169" s="643"/>
      <c r="X169" s="647">
        <f>SUM(P32,P89,P124,P140,P150,P165)</f>
        <v>0</v>
      </c>
      <c r="Y169" s="647"/>
      <c r="Z169" s="646" t="str">
        <f>IF(ISERROR(X169/X172),"",X169/X172)</f>
        <v/>
      </c>
      <c r="AA169" s="646"/>
    </row>
    <row r="170" spans="1:27" ht="20.100000000000001" customHeight="1">
      <c r="A170" s="307" t="s">
        <v>477</v>
      </c>
      <c r="B170" s="447">
        <f>G163</f>
        <v>1768</v>
      </c>
      <c r="C170" s="650" t="s">
        <v>269</v>
      </c>
      <c r="D170" s="651"/>
      <c r="E170" s="643">
        <f>H163</f>
        <v>9062.67</v>
      </c>
      <c r="F170" s="643"/>
      <c r="G170" s="643" t="s">
        <v>270</v>
      </c>
      <c r="H170" s="643"/>
      <c r="I170" s="652">
        <f>L163</f>
        <v>14.466704351802722</v>
      </c>
      <c r="J170" s="652"/>
      <c r="K170" s="640" t="s">
        <v>271</v>
      </c>
      <c r="L170" s="640"/>
      <c r="M170" s="652">
        <f>J163</f>
        <v>10.016997167138809</v>
      </c>
      <c r="N170" s="652"/>
      <c r="O170" s="640"/>
      <c r="P170" s="643" t="s">
        <v>244</v>
      </c>
      <c r="Q170" s="643"/>
      <c r="R170" s="645">
        <f>SUM(O162:U162)</f>
        <v>0</v>
      </c>
      <c r="S170" s="645"/>
      <c r="T170" s="646" t="str">
        <f>IF(ISERROR(R170/R172),"",R170/R172)</f>
        <v/>
      </c>
      <c r="U170" s="646"/>
      <c r="V170" s="643" t="s">
        <v>272</v>
      </c>
      <c r="W170" s="643"/>
      <c r="X170" s="647">
        <f>SUM(P33,P90,P125,P141,P151,P166)</f>
        <v>0</v>
      </c>
      <c r="Y170" s="647"/>
      <c r="Z170" s="646" t="str">
        <f>IF(ISERROR(X170/X172),"",X170/X172)</f>
        <v/>
      </c>
      <c r="AA170" s="646"/>
    </row>
    <row r="171" spans="1:27" ht="20.100000000000001" customHeight="1">
      <c r="A171" s="308" t="s">
        <v>478</v>
      </c>
      <c r="B171" s="447">
        <f>I163+C169</f>
        <v>180.5</v>
      </c>
      <c r="C171" s="653" t="s">
        <v>251</v>
      </c>
      <c r="D171" s="654"/>
      <c r="E171" s="655">
        <f>K163+I169</f>
        <v>163.21166320992012</v>
      </c>
      <c r="F171" s="655"/>
      <c r="G171" s="643" t="s">
        <v>274</v>
      </c>
      <c r="H171" s="643"/>
      <c r="I171" s="652">
        <f>B171-E171</f>
        <v>17.288336790079882</v>
      </c>
      <c r="J171" s="652"/>
      <c r="K171" s="640" t="s">
        <v>275</v>
      </c>
      <c r="L171" s="640"/>
      <c r="M171" s="644">
        <f>IF(ISERROR(I171/E171),"",I171/E171)</f>
        <v>0.10592586614256795</v>
      </c>
      <c r="N171" s="644"/>
      <c r="O171" s="640"/>
      <c r="P171" s="643" t="s">
        <v>245</v>
      </c>
      <c r="Q171" s="643"/>
      <c r="R171" s="645"/>
      <c r="S171" s="645"/>
      <c r="T171" s="646" t="str">
        <f>IF(ISERROR(R171/R172),"",R171/R172)</f>
        <v/>
      </c>
      <c r="U171" s="646"/>
      <c r="V171" s="643" t="s">
        <v>264</v>
      </c>
      <c r="W171" s="643"/>
      <c r="X171" s="647"/>
      <c r="Y171" s="647"/>
      <c r="Z171" s="646" t="str">
        <f>IF(ISERROR(X171/X172),"",X171/X172)</f>
        <v/>
      </c>
      <c r="AA171" s="646"/>
    </row>
    <row r="172" spans="1:27" ht="20.100000000000001" customHeight="1">
      <c r="A172" s="308" t="s">
        <v>479</v>
      </c>
      <c r="B172" s="447">
        <f>N163</f>
        <v>0</v>
      </c>
      <c r="C172" s="653" t="s">
        <v>277</v>
      </c>
      <c r="D172" s="654"/>
      <c r="E172" s="646">
        <f>IF(ISERROR(B172/B171),"",B172/B171)</f>
        <v>0</v>
      </c>
      <c r="F172" s="646"/>
      <c r="G172" s="643" t="s">
        <v>278</v>
      </c>
      <c r="H172" s="643"/>
      <c r="I172" s="640">
        <f>V163</f>
        <v>0</v>
      </c>
      <c r="J172" s="640"/>
      <c r="K172" s="640" t="s">
        <v>279</v>
      </c>
      <c r="L172" s="640"/>
      <c r="M172" s="644">
        <f t="array" ref="M172">IF(ISERROR(I172/B170),"",I172/B170)</f>
        <v>0</v>
      </c>
      <c r="N172" s="644"/>
      <c r="O172" s="640"/>
      <c r="P172" s="643" t="s">
        <v>266</v>
      </c>
      <c r="Q172" s="643"/>
      <c r="R172" s="645">
        <f>SUM(R165:S171)</f>
        <v>0</v>
      </c>
      <c r="S172" s="645"/>
      <c r="T172" s="646"/>
      <c r="U172" s="646"/>
      <c r="V172" s="643" t="s">
        <v>266</v>
      </c>
      <c r="W172" s="643"/>
      <c r="X172" s="647">
        <f>SUM(X165:Y171)</f>
        <v>0</v>
      </c>
      <c r="Y172" s="647"/>
      <c r="Z172" s="646"/>
      <c r="AA172" s="646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56" t="s">
        <v>480</v>
      </c>
      <c r="B174" s="659" t="s">
        <v>280</v>
      </c>
      <c r="C174" s="659" t="s">
        <v>281</v>
      </c>
      <c r="D174" s="659" t="s">
        <v>282</v>
      </c>
      <c r="E174" s="662" t="s">
        <v>283</v>
      </c>
      <c r="F174" s="675" t="s">
        <v>284</v>
      </c>
      <c r="G174" s="640" t="s">
        <v>285</v>
      </c>
      <c r="H174" s="640"/>
      <c r="I174" s="659" t="s">
        <v>286</v>
      </c>
      <c r="J174" s="665" t="s">
        <v>271</v>
      </c>
      <c r="K174" s="668" t="s">
        <v>287</v>
      </c>
      <c r="L174" s="659" t="s">
        <v>270</v>
      </c>
      <c r="M174" s="671" t="s">
        <v>288</v>
      </c>
      <c r="N174" s="673" t="s">
        <v>252</v>
      </c>
      <c r="O174" s="640" t="s">
        <v>289</v>
      </c>
      <c r="P174" s="640"/>
      <c r="Q174" s="640"/>
      <c r="R174" s="640"/>
      <c r="S174" s="640"/>
      <c r="T174" s="640"/>
      <c r="U174" s="640"/>
      <c r="V174" s="640" t="s">
        <v>290</v>
      </c>
      <c r="W174" s="673" t="s">
        <v>291</v>
      </c>
      <c r="X174" s="640" t="s">
        <v>292</v>
      </c>
      <c r="Y174" s="640"/>
      <c r="Z174" s="640"/>
      <c r="AA174" s="640"/>
    </row>
    <row r="175" spans="1:27" ht="21.95" customHeight="1">
      <c r="A175" s="657"/>
      <c r="B175" s="660"/>
      <c r="C175" s="660"/>
      <c r="D175" s="660"/>
      <c r="E175" s="663"/>
      <c r="F175" s="676"/>
      <c r="G175" s="640"/>
      <c r="H175" s="640"/>
      <c r="I175" s="660"/>
      <c r="J175" s="666"/>
      <c r="K175" s="669"/>
      <c r="L175" s="660"/>
      <c r="M175" s="672"/>
      <c r="N175" s="673"/>
      <c r="O175" s="640" t="s">
        <v>259</v>
      </c>
      <c r="P175" s="640" t="s">
        <v>261</v>
      </c>
      <c r="Q175" s="640" t="s">
        <v>263</v>
      </c>
      <c r="R175" s="674" t="s">
        <v>265</v>
      </c>
      <c r="S175" s="643" t="s">
        <v>267</v>
      </c>
      <c r="T175" s="640" t="s">
        <v>272</v>
      </c>
      <c r="U175" s="640" t="s">
        <v>264</v>
      </c>
      <c r="V175" s="640"/>
      <c r="W175" s="673"/>
      <c r="X175" s="640" t="s">
        <v>293</v>
      </c>
      <c r="Y175" s="640" t="s">
        <v>294</v>
      </c>
      <c r="Z175" s="640" t="s">
        <v>295</v>
      </c>
      <c r="AA175" s="640" t="s">
        <v>264</v>
      </c>
    </row>
    <row r="176" spans="1:27" ht="21.95" customHeight="1">
      <c r="A176" s="658"/>
      <c r="B176" s="661"/>
      <c r="C176" s="661"/>
      <c r="D176" s="661"/>
      <c r="E176" s="664"/>
      <c r="F176" s="677"/>
      <c r="G176" s="348" t="s">
        <v>521</v>
      </c>
      <c r="H176" s="451" t="s">
        <v>297</v>
      </c>
      <c r="I176" s="661"/>
      <c r="J176" s="667"/>
      <c r="K176" s="670"/>
      <c r="L176" s="661"/>
      <c r="M176" s="672"/>
      <c r="N176" s="673"/>
      <c r="O176" s="640"/>
      <c r="P176" s="640"/>
      <c r="Q176" s="640"/>
      <c r="R176" s="674"/>
      <c r="S176" s="643"/>
      <c r="T176" s="640"/>
      <c r="U176" s="640"/>
      <c r="V176" s="640"/>
      <c r="W176" s="673"/>
      <c r="X176" s="640"/>
      <c r="Y176" s="640"/>
      <c r="Z176" s="640"/>
      <c r="AA176" s="640"/>
    </row>
    <row r="177" spans="1:27" ht="20.100000000000001" hidden="1" customHeight="1">
      <c r="A177" s="299">
        <v>30100030</v>
      </c>
      <c r="B177" s="444" t="s">
        <v>178</v>
      </c>
      <c r="C177" s="126" t="s">
        <v>179</v>
      </c>
      <c r="D177" s="108">
        <v>5.03</v>
      </c>
      <c r="E177" s="108"/>
      <c r="F177" s="127"/>
      <c r="G177" s="128"/>
      <c r="H177" s="445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453"/>
      <c r="P177" s="453"/>
      <c r="Q177" s="453"/>
      <c r="R177" s="453"/>
      <c r="S177" s="453"/>
      <c r="T177" s="453"/>
      <c r="U177" s="453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445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453"/>
      <c r="P178" s="453"/>
      <c r="Q178" s="453"/>
      <c r="R178" s="453"/>
      <c r="S178" s="453"/>
      <c r="T178" s="453"/>
      <c r="U178" s="453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445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453"/>
      <c r="P179" s="453"/>
      <c r="Q179" s="453"/>
      <c r="R179" s="453"/>
      <c r="S179" s="453"/>
      <c r="T179" s="453"/>
      <c r="U179" s="453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445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53"/>
      <c r="P180" s="453"/>
      <c r="Q180" s="453"/>
      <c r="R180" s="453"/>
      <c r="S180" s="453"/>
      <c r="T180" s="453"/>
      <c r="U180" s="453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445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453"/>
      <c r="P181" s="453"/>
      <c r="Q181" s="453"/>
      <c r="R181" s="453"/>
      <c r="S181" s="453"/>
      <c r="T181" s="453"/>
      <c r="U181" s="453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445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453"/>
      <c r="P182" s="453"/>
      <c r="Q182" s="453"/>
      <c r="R182" s="453"/>
      <c r="S182" s="453"/>
      <c r="T182" s="453"/>
      <c r="U182" s="453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445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453"/>
      <c r="P183" s="453"/>
      <c r="Q183" s="453"/>
      <c r="R183" s="453"/>
      <c r="S183" s="453"/>
      <c r="T183" s="453"/>
      <c r="U183" s="453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445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53"/>
      <c r="P184" s="453"/>
      <c r="Q184" s="453"/>
      <c r="R184" s="453"/>
      <c r="S184" s="453"/>
      <c r="T184" s="453"/>
      <c r="U184" s="453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445">
        <f t="shared" si="77"/>
        <v>0</v>
      </c>
      <c r="I185" s="445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453"/>
      <c r="P185" s="453"/>
      <c r="Q185" s="453"/>
      <c r="R185" s="453"/>
      <c r="S185" s="453"/>
      <c r="T185" s="453"/>
      <c r="U185" s="453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>
        <v>42714</v>
      </c>
      <c r="G186" s="128">
        <f>100*5+72</f>
        <v>572</v>
      </c>
      <c r="H186" s="445">
        <f t="shared" si="77"/>
        <v>2882.88</v>
      </c>
      <c r="I186" s="445">
        <f>9*5</f>
        <v>45</v>
      </c>
      <c r="J186" s="130">
        <f t="array" ref="J186">IF(ISERROR(G186/I186),"",G186/I186)</f>
        <v>12.71111111111111</v>
      </c>
      <c r="K186" s="131">
        <f t="array" ref="K186">IF(ISERROR(G186/L186),"",G186/L186)</f>
        <v>33.647058823529413</v>
      </c>
      <c r="L186" s="129">
        <v>17</v>
      </c>
      <c r="M186" s="109">
        <f t="shared" si="78"/>
        <v>11.352941176470587</v>
      </c>
      <c r="N186" s="130">
        <f t="shared" si="81"/>
        <v>0</v>
      </c>
      <c r="O186" s="453"/>
      <c r="P186" s="453"/>
      <c r="Q186" s="453"/>
      <c r="R186" s="453"/>
      <c r="S186" s="453"/>
      <c r="T186" s="453"/>
      <c r="U186" s="453"/>
      <c r="V186" s="132">
        <f>SUM(X186:AA186)</f>
        <v>0</v>
      </c>
      <c r="W186" s="133">
        <f>IF(ISERROR(V186/G186),"",V186/G186)</f>
        <v>0</v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445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453"/>
      <c r="P187" s="453"/>
      <c r="Q187" s="453"/>
      <c r="R187" s="453"/>
      <c r="S187" s="453"/>
      <c r="T187" s="453"/>
      <c r="U187" s="453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445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53"/>
      <c r="P188" s="453"/>
      <c r="Q188" s="453"/>
      <c r="R188" s="453"/>
      <c r="S188" s="453"/>
      <c r="T188" s="453"/>
      <c r="U188" s="453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445">
        <f t="shared" ref="H189:H197" si="82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3">IF(ISERROR(I189-K189),"",I189-K189)</f>
        <v>0</v>
      </c>
      <c r="N189" s="130">
        <f t="shared" ref="N189:N191" si="84">SUM(O189:U189)</f>
        <v>0</v>
      </c>
      <c r="O189" s="453"/>
      <c r="P189" s="453"/>
      <c r="Q189" s="453"/>
      <c r="R189" s="453"/>
      <c r="S189" s="453"/>
      <c r="T189" s="453"/>
      <c r="U189" s="453"/>
      <c r="V189" s="132">
        <f t="shared" ref="V189:V191" si="85">SUM(X189:AA189)</f>
        <v>0</v>
      </c>
      <c r="W189" s="133" t="str">
        <f t="shared" ref="W189:W191" si="86">IF(ISERROR(V189/G189),"",V189/G189)</f>
        <v/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445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453"/>
      <c r="P190" s="453"/>
      <c r="Q190" s="453"/>
      <c r="R190" s="453"/>
      <c r="S190" s="453"/>
      <c r="T190" s="453"/>
      <c r="U190" s="453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445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453"/>
      <c r="P191" s="453"/>
      <c r="Q191" s="453"/>
      <c r="R191" s="453"/>
      <c r="S191" s="453"/>
      <c r="T191" s="453"/>
      <c r="U191" s="453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451" t="s">
        <v>190</v>
      </c>
      <c r="D192" s="108">
        <v>4.8</v>
      </c>
      <c r="E192" s="108"/>
      <c r="F192" s="127"/>
      <c r="G192" s="128"/>
      <c r="H192" s="445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453"/>
      <c r="P192" s="453"/>
      <c r="Q192" s="453"/>
      <c r="R192" s="453"/>
      <c r="S192" s="453"/>
      <c r="T192" s="453"/>
      <c r="U192" s="453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451" t="s">
        <v>187</v>
      </c>
      <c r="D193" s="108">
        <v>4.8</v>
      </c>
      <c r="E193" s="108"/>
      <c r="F193" s="127"/>
      <c r="G193" s="128"/>
      <c r="H193" s="445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53"/>
      <c r="P193" s="453"/>
      <c r="Q193" s="453"/>
      <c r="R193" s="453"/>
      <c r="S193" s="453"/>
      <c r="T193" s="453"/>
      <c r="U193" s="453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451" t="s">
        <v>179</v>
      </c>
      <c r="D194" s="108">
        <v>4.8</v>
      </c>
      <c r="E194" s="108"/>
      <c r="F194" s="127"/>
      <c r="G194" s="128"/>
      <c r="H194" s="445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53"/>
      <c r="P194" s="453"/>
      <c r="Q194" s="453"/>
      <c r="R194" s="453"/>
      <c r="S194" s="453"/>
      <c r="T194" s="453"/>
      <c r="U194" s="453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451" t="s">
        <v>199</v>
      </c>
      <c r="D195" s="108">
        <v>4.8</v>
      </c>
      <c r="E195" s="108"/>
      <c r="F195" s="127"/>
      <c r="G195" s="128"/>
      <c r="H195" s="445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53"/>
      <c r="P195" s="453"/>
      <c r="Q195" s="453"/>
      <c r="R195" s="453"/>
      <c r="S195" s="453"/>
      <c r="T195" s="453"/>
      <c r="U195" s="453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445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453"/>
      <c r="P196" s="453"/>
      <c r="Q196" s="453"/>
      <c r="R196" s="453"/>
      <c r="S196" s="453"/>
      <c r="T196" s="453"/>
      <c r="U196" s="453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445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453"/>
      <c r="P197" s="453"/>
      <c r="Q197" s="453"/>
      <c r="R197" s="453"/>
      <c r="S197" s="453"/>
      <c r="T197" s="453"/>
      <c r="U197" s="453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customHeight="1">
      <c r="A198" s="630" t="s">
        <v>201</v>
      </c>
      <c r="B198" s="631"/>
      <c r="C198" s="454" t="s">
        <v>202</v>
      </c>
      <c r="D198" s="143"/>
      <c r="E198" s="143"/>
      <c r="F198" s="144"/>
      <c r="G198" s="145">
        <f>SUM(G177:G197)</f>
        <v>572</v>
      </c>
      <c r="H198" s="146">
        <f>SUM(H177:H197)</f>
        <v>2882.88</v>
      </c>
      <c r="I198" s="146">
        <f>SUM(I177:I197)</f>
        <v>45</v>
      </c>
      <c r="J198" s="130">
        <f t="array" ref="J198">IF(ISERROR(G198/I198),"",G198/I198)</f>
        <v>12.71111111111111</v>
      </c>
      <c r="K198" s="146">
        <f>SUM(K177:K197)</f>
        <v>33.647058823529413</v>
      </c>
      <c r="L198" s="147"/>
      <c r="M198" s="150">
        <f t="shared" ref="M198:AA198" si="90">SUM(M177:M197)</f>
        <v>11.352941176470587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444" t="s">
        <v>206</v>
      </c>
      <c r="C199" s="126" t="s">
        <v>199</v>
      </c>
      <c r="D199" s="108">
        <v>5.03</v>
      </c>
      <c r="E199" s="108"/>
      <c r="F199" s="127"/>
      <c r="G199" s="128"/>
      <c r="H199" s="445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449"/>
      <c r="P199" s="449"/>
      <c r="Q199" s="449"/>
      <c r="R199" s="449"/>
      <c r="S199" s="449"/>
      <c r="T199" s="449"/>
      <c r="U199" s="449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444" t="s">
        <v>426</v>
      </c>
      <c r="C200" s="187" t="s">
        <v>428</v>
      </c>
      <c r="D200" s="108">
        <v>5.03</v>
      </c>
      <c r="E200" s="108"/>
      <c r="F200" s="127"/>
      <c r="G200" s="128"/>
      <c r="H200" s="445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449"/>
      <c r="P200" s="449"/>
      <c r="Q200" s="449"/>
      <c r="R200" s="449"/>
      <c r="S200" s="449"/>
      <c r="T200" s="449"/>
      <c r="U200" s="449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444" t="s">
        <v>206</v>
      </c>
      <c r="C201" s="126" t="s">
        <v>186</v>
      </c>
      <c r="D201" s="108">
        <v>5.03</v>
      </c>
      <c r="E201" s="108"/>
      <c r="F201" s="127"/>
      <c r="G201" s="128"/>
      <c r="H201" s="445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449"/>
      <c r="P201" s="449"/>
      <c r="Q201" s="449"/>
      <c r="R201" s="449"/>
      <c r="S201" s="449"/>
      <c r="T201" s="449"/>
      <c r="U201" s="449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444" t="s">
        <v>206</v>
      </c>
      <c r="C202" s="126" t="s">
        <v>203</v>
      </c>
      <c r="D202" s="108">
        <v>5.03</v>
      </c>
      <c r="E202" s="108"/>
      <c r="F202" s="127"/>
      <c r="G202" s="128"/>
      <c r="H202" s="445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449"/>
      <c r="P202" s="449"/>
      <c r="Q202" s="449"/>
      <c r="R202" s="449"/>
      <c r="S202" s="449"/>
      <c r="T202" s="449"/>
      <c r="U202" s="449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444" t="s">
        <v>206</v>
      </c>
      <c r="C203" s="126" t="s">
        <v>207</v>
      </c>
      <c r="D203" s="108">
        <v>5.03</v>
      </c>
      <c r="E203" s="108"/>
      <c r="F203" s="127"/>
      <c r="G203" s="128"/>
      <c r="H203" s="445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0">IF(ISERROR(I203-K203),"",I203-K203)</f>
        <v>0</v>
      </c>
      <c r="N203" s="130">
        <f t="shared" si="97"/>
        <v>0</v>
      </c>
      <c r="O203" s="449"/>
      <c r="P203" s="449"/>
      <c r="Q203" s="449"/>
      <c r="R203" s="449"/>
      <c r="S203" s="449"/>
      <c r="T203" s="449"/>
      <c r="U203" s="449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444" t="s">
        <v>414</v>
      </c>
      <c r="C204" s="187" t="s">
        <v>415</v>
      </c>
      <c r="D204" s="108">
        <v>5.03</v>
      </c>
      <c r="E204" s="108"/>
      <c r="F204" s="127"/>
      <c r="G204" s="128"/>
      <c r="H204" s="445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449"/>
      <c r="P204" s="449"/>
      <c r="Q204" s="449"/>
      <c r="R204" s="449"/>
      <c r="S204" s="449"/>
      <c r="T204" s="449"/>
      <c r="U204" s="449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444" t="s">
        <v>414</v>
      </c>
      <c r="C205" s="187" t="s">
        <v>416</v>
      </c>
      <c r="D205" s="108">
        <v>5.03</v>
      </c>
      <c r="E205" s="108"/>
      <c r="F205" s="127"/>
      <c r="G205" s="128"/>
      <c r="H205" s="445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449"/>
      <c r="P205" s="449"/>
      <c r="Q205" s="449"/>
      <c r="R205" s="449"/>
      <c r="S205" s="449"/>
      <c r="T205" s="449"/>
      <c r="U205" s="449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444" t="s">
        <v>414</v>
      </c>
      <c r="C206" s="187" t="s">
        <v>61</v>
      </c>
      <c r="D206" s="108">
        <v>5.03</v>
      </c>
      <c r="E206" s="108"/>
      <c r="F206" s="127"/>
      <c r="G206" s="128"/>
      <c r="H206" s="445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449"/>
      <c r="P206" s="449"/>
      <c r="Q206" s="449"/>
      <c r="R206" s="449"/>
      <c r="S206" s="449"/>
      <c r="T206" s="449"/>
      <c r="U206" s="449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444" t="s">
        <v>208</v>
      </c>
      <c r="C207" s="126" t="s">
        <v>179</v>
      </c>
      <c r="D207" s="108">
        <v>5.08</v>
      </c>
      <c r="E207" s="108"/>
      <c r="F207" s="127"/>
      <c r="G207" s="128"/>
      <c r="H207" s="445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1">IF(ISERROR(I207-K207),"",I207-K207)</f>
        <v>0</v>
      </c>
      <c r="N207" s="130">
        <f t="shared" ref="N207:N236" si="102">SUM(O207:U207)</f>
        <v>0</v>
      </c>
      <c r="O207" s="449"/>
      <c r="P207" s="449"/>
      <c r="Q207" s="449"/>
      <c r="R207" s="449"/>
      <c r="S207" s="449"/>
      <c r="T207" s="449"/>
      <c r="U207" s="449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444" t="s">
        <v>208</v>
      </c>
      <c r="C208" s="126" t="s">
        <v>204</v>
      </c>
      <c r="D208" s="108">
        <v>5.08</v>
      </c>
      <c r="E208" s="108"/>
      <c r="F208" s="127"/>
      <c r="G208" s="128"/>
      <c r="H208" s="445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449"/>
      <c r="P208" s="449"/>
      <c r="Q208" s="449"/>
      <c r="R208" s="449"/>
      <c r="S208" s="449"/>
      <c r="T208" s="449"/>
      <c r="U208" s="449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444" t="s">
        <v>208</v>
      </c>
      <c r="C209" s="126" t="s">
        <v>205</v>
      </c>
      <c r="D209" s="108">
        <v>5.08</v>
      </c>
      <c r="E209" s="108"/>
      <c r="F209" s="127"/>
      <c r="G209" s="128"/>
      <c r="H209" s="445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49"/>
      <c r="P209" s="449"/>
      <c r="Q209" s="449"/>
      <c r="R209" s="449"/>
      <c r="S209" s="449"/>
      <c r="T209" s="449"/>
      <c r="U209" s="449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444" t="s">
        <v>208</v>
      </c>
      <c r="C210" s="126" t="s">
        <v>186</v>
      </c>
      <c r="D210" s="108">
        <v>5.08</v>
      </c>
      <c r="E210" s="108"/>
      <c r="F210" s="127"/>
      <c r="G210" s="128"/>
      <c r="H210" s="445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49"/>
      <c r="P210" s="449"/>
      <c r="Q210" s="449"/>
      <c r="R210" s="449"/>
      <c r="S210" s="449"/>
      <c r="T210" s="449"/>
      <c r="U210" s="449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444" t="s">
        <v>208</v>
      </c>
      <c r="C211" s="126" t="s">
        <v>203</v>
      </c>
      <c r="D211" s="108">
        <v>5.08</v>
      </c>
      <c r="E211" s="108"/>
      <c r="F211" s="127"/>
      <c r="G211" s="128"/>
      <c r="H211" s="445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49"/>
      <c r="P211" s="449"/>
      <c r="Q211" s="449"/>
      <c r="R211" s="449"/>
      <c r="S211" s="449"/>
      <c r="T211" s="449"/>
      <c r="U211" s="449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444" t="s">
        <v>208</v>
      </c>
      <c r="C212" s="126" t="s">
        <v>199</v>
      </c>
      <c r="D212" s="108">
        <v>5.08</v>
      </c>
      <c r="E212" s="108"/>
      <c r="F212" s="127"/>
      <c r="G212" s="128"/>
      <c r="H212" s="445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53"/>
      <c r="P212" s="453"/>
      <c r="Q212" s="453"/>
      <c r="R212" s="453"/>
      <c r="S212" s="453"/>
      <c r="T212" s="453"/>
      <c r="U212" s="453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444" t="s">
        <v>208</v>
      </c>
      <c r="C213" s="126" t="s">
        <v>187</v>
      </c>
      <c r="D213" s="108">
        <v>5.08</v>
      </c>
      <c r="E213" s="108"/>
      <c r="F213" s="127"/>
      <c r="G213" s="128"/>
      <c r="H213" s="445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449"/>
      <c r="P213" s="449"/>
      <c r="Q213" s="449"/>
      <c r="R213" s="449"/>
      <c r="S213" s="449"/>
      <c r="T213" s="449"/>
      <c r="U213" s="449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444" t="s">
        <v>208</v>
      </c>
      <c r="C214" s="126" t="s">
        <v>207</v>
      </c>
      <c r="D214" s="108">
        <v>5.08</v>
      </c>
      <c r="E214" s="108"/>
      <c r="F214" s="127"/>
      <c r="G214" s="128"/>
      <c r="H214" s="445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53"/>
      <c r="P214" s="453"/>
      <c r="Q214" s="453"/>
      <c r="R214" s="453"/>
      <c r="S214" s="453"/>
      <c r="T214" s="453"/>
      <c r="U214" s="453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444" t="s">
        <v>209</v>
      </c>
      <c r="C215" s="126" t="s">
        <v>194</v>
      </c>
      <c r="D215" s="108">
        <v>5.03</v>
      </c>
      <c r="E215" s="108"/>
      <c r="F215" s="127"/>
      <c r="G215" s="128"/>
      <c r="H215" s="445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449"/>
      <c r="P215" s="449"/>
      <c r="Q215" s="449"/>
      <c r="R215" s="449"/>
      <c r="S215" s="449"/>
      <c r="T215" s="449"/>
      <c r="U215" s="449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444" t="s">
        <v>209</v>
      </c>
      <c r="C216" s="126" t="s">
        <v>179</v>
      </c>
      <c r="D216" s="108">
        <v>5.03</v>
      </c>
      <c r="E216" s="108"/>
      <c r="F216" s="127"/>
      <c r="G216" s="128"/>
      <c r="H216" s="445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49"/>
      <c r="P216" s="449"/>
      <c r="Q216" s="449"/>
      <c r="R216" s="449"/>
      <c r="S216" s="449"/>
      <c r="T216" s="449"/>
      <c r="U216" s="449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444" t="s">
        <v>209</v>
      </c>
      <c r="C217" s="126" t="s">
        <v>195</v>
      </c>
      <c r="D217" s="108">
        <v>5.03</v>
      </c>
      <c r="E217" s="108"/>
      <c r="F217" s="127"/>
      <c r="G217" s="128"/>
      <c r="H217" s="445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449"/>
      <c r="P217" s="449"/>
      <c r="Q217" s="449"/>
      <c r="R217" s="449"/>
      <c r="S217" s="449"/>
      <c r="T217" s="449"/>
      <c r="U217" s="449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444" t="s">
        <v>209</v>
      </c>
      <c r="C218" s="126" t="s">
        <v>204</v>
      </c>
      <c r="D218" s="108">
        <v>5.03</v>
      </c>
      <c r="E218" s="108"/>
      <c r="F218" s="127"/>
      <c r="G218" s="128"/>
      <c r="H218" s="445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449"/>
      <c r="P218" s="449"/>
      <c r="Q218" s="449"/>
      <c r="R218" s="449"/>
      <c r="S218" s="449"/>
      <c r="T218" s="449"/>
      <c r="U218" s="449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444" t="s">
        <v>382</v>
      </c>
      <c r="C219" s="187" t="s">
        <v>383</v>
      </c>
      <c r="D219" s="108">
        <v>5.03</v>
      </c>
      <c r="E219" s="108"/>
      <c r="F219" s="127"/>
      <c r="G219" s="128"/>
      <c r="H219" s="445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449"/>
      <c r="P219" s="449"/>
      <c r="Q219" s="449"/>
      <c r="R219" s="449"/>
      <c r="S219" s="449"/>
      <c r="T219" s="449"/>
      <c r="U219" s="449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444" t="s">
        <v>382</v>
      </c>
      <c r="C220" s="187" t="s">
        <v>384</v>
      </c>
      <c r="D220" s="108">
        <v>5.03</v>
      </c>
      <c r="E220" s="108"/>
      <c r="F220" s="127"/>
      <c r="G220" s="128"/>
      <c r="H220" s="445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49"/>
      <c r="P220" s="449"/>
      <c r="Q220" s="449"/>
      <c r="R220" s="449"/>
      <c r="S220" s="449"/>
      <c r="T220" s="449"/>
      <c r="U220" s="449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444" t="s">
        <v>382</v>
      </c>
      <c r="C221" s="187" t="s">
        <v>389</v>
      </c>
      <c r="D221" s="108">
        <v>5.03</v>
      </c>
      <c r="E221" s="108"/>
      <c r="F221" s="127"/>
      <c r="G221" s="128"/>
      <c r="H221" s="445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49"/>
      <c r="P221" s="449"/>
      <c r="Q221" s="449"/>
      <c r="R221" s="449"/>
      <c r="S221" s="449"/>
      <c r="T221" s="449"/>
      <c r="U221" s="449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444" t="s">
        <v>382</v>
      </c>
      <c r="C222" s="187" t="s">
        <v>391</v>
      </c>
      <c r="D222" s="108">
        <v>5.03</v>
      </c>
      <c r="E222" s="108"/>
      <c r="F222" s="127"/>
      <c r="G222" s="128"/>
      <c r="H222" s="445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49"/>
      <c r="P222" s="449"/>
      <c r="Q222" s="449"/>
      <c r="R222" s="449"/>
      <c r="S222" s="449"/>
      <c r="T222" s="449"/>
      <c r="U222" s="449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444" t="s">
        <v>418</v>
      </c>
      <c r="C223" s="187" t="s">
        <v>364</v>
      </c>
      <c r="D223" s="108">
        <v>5.03</v>
      </c>
      <c r="E223" s="108"/>
      <c r="F223" s="127"/>
      <c r="G223" s="128"/>
      <c r="H223" s="445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449"/>
      <c r="P223" s="449"/>
      <c r="Q223" s="449"/>
      <c r="R223" s="449"/>
      <c r="S223" s="449"/>
      <c r="T223" s="449"/>
      <c r="U223" s="449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444" t="s">
        <v>418</v>
      </c>
      <c r="C224" s="187" t="s">
        <v>365</v>
      </c>
      <c r="D224" s="108">
        <v>5.03</v>
      </c>
      <c r="E224" s="108"/>
      <c r="F224" s="127"/>
      <c r="G224" s="128"/>
      <c r="H224" s="445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49"/>
      <c r="P224" s="449"/>
      <c r="Q224" s="449"/>
      <c r="R224" s="449"/>
      <c r="S224" s="449"/>
      <c r="T224" s="449"/>
      <c r="U224" s="449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444" t="s">
        <v>418</v>
      </c>
      <c r="C225" s="187" t="s">
        <v>366</v>
      </c>
      <c r="D225" s="108">
        <v>5.03</v>
      </c>
      <c r="E225" s="108"/>
      <c r="F225" s="127"/>
      <c r="G225" s="128"/>
      <c r="H225" s="445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49"/>
      <c r="P225" s="449"/>
      <c r="Q225" s="449"/>
      <c r="R225" s="449"/>
      <c r="S225" s="449"/>
      <c r="T225" s="449"/>
      <c r="U225" s="449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444" t="s">
        <v>418</v>
      </c>
      <c r="C226" s="187" t="s">
        <v>367</v>
      </c>
      <c r="D226" s="108">
        <v>5.03</v>
      </c>
      <c r="E226" s="108"/>
      <c r="F226" s="127"/>
      <c r="G226" s="128"/>
      <c r="H226" s="445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49"/>
      <c r="P226" s="449"/>
      <c r="Q226" s="449"/>
      <c r="R226" s="449"/>
      <c r="S226" s="449"/>
      <c r="T226" s="449"/>
      <c r="U226" s="449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445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453"/>
      <c r="P227" s="453"/>
      <c r="Q227" s="453"/>
      <c r="R227" s="453"/>
      <c r="S227" s="453"/>
      <c r="T227" s="453"/>
      <c r="U227" s="453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445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453"/>
      <c r="P228" s="453"/>
      <c r="Q228" s="453"/>
      <c r="R228" s="453"/>
      <c r="S228" s="453"/>
      <c r="T228" s="453"/>
      <c r="U228" s="453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>
        <v>42714</v>
      </c>
      <c r="G229" s="128">
        <f>108</f>
        <v>108</v>
      </c>
      <c r="H229" s="445">
        <f t="shared" si="91"/>
        <v>543.24</v>
      </c>
      <c r="I229" s="129">
        <f>3*2</f>
        <v>6</v>
      </c>
      <c r="J229" s="130">
        <f t="array" ref="J229">IF(ISERROR(G229/I229),"",G229/I229)</f>
        <v>18</v>
      </c>
      <c r="K229" s="131">
        <f t="array" ref="K229">IF(ISERROR(G229/L229),"",G229/L229)</f>
        <v>2.7</v>
      </c>
      <c r="L229" s="129">
        <v>40</v>
      </c>
      <c r="M229" s="109">
        <f t="shared" si="101"/>
        <v>3.3</v>
      </c>
      <c r="N229" s="130">
        <f t="shared" si="102"/>
        <v>0</v>
      </c>
      <c r="O229" s="453"/>
      <c r="P229" s="453"/>
      <c r="Q229" s="453"/>
      <c r="R229" s="453"/>
      <c r="S229" s="453"/>
      <c r="T229" s="453"/>
      <c r="U229" s="453"/>
      <c r="V229" s="132">
        <f t="shared" si="105"/>
        <v>0</v>
      </c>
      <c r="W229" s="133">
        <f t="shared" si="106"/>
        <v>0</v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445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453"/>
      <c r="P230" s="453"/>
      <c r="Q230" s="453"/>
      <c r="R230" s="453"/>
      <c r="S230" s="453"/>
      <c r="T230" s="453"/>
      <c r="U230" s="453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445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53"/>
      <c r="P231" s="453"/>
      <c r="Q231" s="453"/>
      <c r="R231" s="453"/>
      <c r="S231" s="453"/>
      <c r="T231" s="453"/>
      <c r="U231" s="453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445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53"/>
      <c r="P232" s="453"/>
      <c r="Q232" s="453"/>
      <c r="R232" s="453"/>
      <c r="S232" s="453"/>
      <c r="T232" s="453"/>
      <c r="U232" s="453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445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53"/>
      <c r="P233" s="453"/>
      <c r="Q233" s="453"/>
      <c r="R233" s="453"/>
      <c r="S233" s="453"/>
      <c r="T233" s="453"/>
      <c r="U233" s="453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445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53"/>
      <c r="P234" s="453"/>
      <c r="Q234" s="453"/>
      <c r="R234" s="453"/>
      <c r="S234" s="453"/>
      <c r="T234" s="453"/>
      <c r="U234" s="453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445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53"/>
      <c r="P235" s="453"/>
      <c r="Q235" s="453"/>
      <c r="R235" s="453"/>
      <c r="S235" s="453"/>
      <c r="T235" s="453"/>
      <c r="U235" s="453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445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53"/>
      <c r="P236" s="453"/>
      <c r="Q236" s="453"/>
      <c r="R236" s="453"/>
      <c r="S236" s="453"/>
      <c r="T236" s="453"/>
      <c r="U236" s="453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430</v>
      </c>
      <c r="C237" s="187" t="s">
        <v>428</v>
      </c>
      <c r="D237" s="108">
        <v>5.03</v>
      </c>
      <c r="E237" s="108"/>
      <c r="F237" s="127"/>
      <c r="G237" s="128"/>
      <c r="H237" s="445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453"/>
      <c r="P237" s="453"/>
      <c r="Q237" s="453"/>
      <c r="R237" s="453"/>
      <c r="S237" s="453"/>
      <c r="T237" s="453"/>
      <c r="U237" s="453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445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7">IF(ISERROR(I238-K238),"",I238-K238)</f>
        <v>0</v>
      </c>
      <c r="N238" s="130"/>
      <c r="O238" s="453"/>
      <c r="P238" s="453"/>
      <c r="Q238" s="453"/>
      <c r="R238" s="453"/>
      <c r="S238" s="453"/>
      <c r="T238" s="453"/>
      <c r="U238" s="453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445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7"/>
        <v>0</v>
      </c>
      <c r="N239" s="130">
        <f t="shared" ref="N239:N240" si="108">SUM(O239:U239)</f>
        <v>0</v>
      </c>
      <c r="O239" s="453"/>
      <c r="P239" s="453"/>
      <c r="Q239" s="453"/>
      <c r="R239" s="453"/>
      <c r="S239" s="453"/>
      <c r="T239" s="453"/>
      <c r="U239" s="453"/>
      <c r="V239" s="132">
        <f t="shared" ref="V239:V240" si="109">SUM(X239:AA239)</f>
        <v>0</v>
      </c>
      <c r="W239" s="133" t="str">
        <f t="shared" ref="W239:W240" si="110">IF(ISERROR(V239/G239),"",V239/G239)</f>
        <v/>
      </c>
      <c r="X239" s="132"/>
      <c r="Y239" s="132"/>
      <c r="Z239" s="132"/>
      <c r="AA239" s="132"/>
    </row>
    <row r="240" spans="1:27" ht="18.75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>
        <v>42714</v>
      </c>
      <c r="G240" s="128">
        <f>100*10</f>
        <v>1000</v>
      </c>
      <c r="H240" s="445">
        <f t="shared" si="91"/>
        <v>5030</v>
      </c>
      <c r="I240" s="129">
        <f>11.5*5</f>
        <v>57.5</v>
      </c>
      <c r="J240" s="130">
        <f t="array" ref="J240">IF(ISERROR(G240/I240),"",G240/I240)</f>
        <v>17.391304347826086</v>
      </c>
      <c r="K240" s="131">
        <f t="array" ref="K240">IF(ISERROR(G240/L240),"",G240/L240)</f>
        <v>46.511627906976742</v>
      </c>
      <c r="L240" s="129">
        <v>21.5</v>
      </c>
      <c r="M240" s="109">
        <f t="shared" si="107"/>
        <v>10.988372093023258</v>
      </c>
      <c r="N240" s="130">
        <f t="shared" si="108"/>
        <v>0</v>
      </c>
      <c r="O240" s="453"/>
      <c r="P240" s="453"/>
      <c r="Q240" s="453"/>
      <c r="R240" s="453"/>
      <c r="S240" s="453"/>
      <c r="T240" s="453"/>
      <c r="U240" s="453"/>
      <c r="V240" s="132">
        <f t="shared" si="109"/>
        <v>0</v>
      </c>
      <c r="W240" s="133">
        <f t="shared" si="110"/>
        <v>0</v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445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453"/>
      <c r="P241" s="453"/>
      <c r="Q241" s="453"/>
      <c r="R241" s="453"/>
      <c r="S241" s="453"/>
      <c r="T241" s="453"/>
      <c r="U241" s="453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445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453"/>
      <c r="P242" s="453"/>
      <c r="Q242" s="453"/>
      <c r="R242" s="453"/>
      <c r="S242" s="453"/>
      <c r="T242" s="453"/>
      <c r="U242" s="453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445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453"/>
      <c r="P243" s="453"/>
      <c r="Q243" s="453"/>
      <c r="R243" s="453"/>
      <c r="S243" s="453"/>
      <c r="T243" s="453"/>
      <c r="U243" s="453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445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53"/>
      <c r="P244" s="453"/>
      <c r="Q244" s="453"/>
      <c r="R244" s="453"/>
      <c r="S244" s="453"/>
      <c r="T244" s="453"/>
      <c r="U244" s="453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445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53"/>
      <c r="P245" s="453"/>
      <c r="Q245" s="453"/>
      <c r="R245" s="453"/>
      <c r="S245" s="453"/>
      <c r="T245" s="453"/>
      <c r="U245" s="453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445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453"/>
      <c r="P246" s="453"/>
      <c r="Q246" s="453"/>
      <c r="R246" s="453"/>
      <c r="S246" s="453"/>
      <c r="T246" s="453"/>
      <c r="U246" s="453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445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53"/>
      <c r="P247" s="453"/>
      <c r="Q247" s="453"/>
      <c r="R247" s="453"/>
      <c r="S247" s="453"/>
      <c r="T247" s="453"/>
      <c r="U247" s="453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445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53"/>
      <c r="P248" s="453"/>
      <c r="Q248" s="453"/>
      <c r="R248" s="453"/>
      <c r="S248" s="453"/>
      <c r="T248" s="453"/>
      <c r="U248" s="453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445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53"/>
      <c r="P249" s="453"/>
      <c r="Q249" s="453"/>
      <c r="R249" s="453"/>
      <c r="S249" s="453"/>
      <c r="T249" s="453"/>
      <c r="U249" s="453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445">
        <f t="shared" si="91"/>
        <v>0</v>
      </c>
      <c r="I250" s="129"/>
      <c r="J250" s="130"/>
      <c r="K250" s="131"/>
      <c r="L250" s="129">
        <v>4</v>
      </c>
      <c r="M250" s="109"/>
      <c r="N250" s="130"/>
      <c r="O250" s="453"/>
      <c r="P250" s="453"/>
      <c r="Q250" s="453"/>
      <c r="R250" s="453"/>
      <c r="S250" s="453"/>
      <c r="T250" s="453"/>
      <c r="U250" s="453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445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53"/>
      <c r="P251" s="453"/>
      <c r="Q251" s="453"/>
      <c r="R251" s="453"/>
      <c r="S251" s="453"/>
      <c r="T251" s="453"/>
      <c r="U251" s="453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445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53"/>
      <c r="P252" s="453"/>
      <c r="Q252" s="453"/>
      <c r="R252" s="453"/>
      <c r="S252" s="453"/>
      <c r="T252" s="453"/>
      <c r="U252" s="453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445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53"/>
      <c r="P253" s="453"/>
      <c r="Q253" s="453"/>
      <c r="R253" s="453"/>
      <c r="S253" s="453"/>
      <c r="T253" s="453"/>
      <c r="U253" s="453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445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53"/>
      <c r="P254" s="453"/>
      <c r="Q254" s="453"/>
      <c r="R254" s="453"/>
      <c r="S254" s="453"/>
      <c r="T254" s="453"/>
      <c r="U254" s="453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445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53"/>
      <c r="P255" s="453"/>
      <c r="Q255" s="453"/>
      <c r="R255" s="453"/>
      <c r="S255" s="453"/>
      <c r="T255" s="453"/>
      <c r="U255" s="453"/>
      <c r="V255" s="132"/>
      <c r="W255" s="133"/>
      <c r="X255" s="132"/>
      <c r="Y255" s="132"/>
      <c r="Z255" s="132"/>
      <c r="AA255" s="132"/>
    </row>
    <row r="256" spans="1:27" ht="20.100000000000001" customHeight="1">
      <c r="A256" s="641" t="s">
        <v>216</v>
      </c>
      <c r="B256" s="641"/>
      <c r="C256" s="454" t="s">
        <v>202</v>
      </c>
      <c r="D256" s="143"/>
      <c r="E256" s="143"/>
      <c r="F256" s="144"/>
      <c r="G256" s="145">
        <f>SUM(G199:G255)</f>
        <v>1108</v>
      </c>
      <c r="H256" s="146">
        <f>SUM(H199:H255)</f>
        <v>5573.24</v>
      </c>
      <c r="I256" s="146">
        <f>SUM(I199:I255)</f>
        <v>63.5</v>
      </c>
      <c r="J256" s="130">
        <f t="array" ref="J256">IF(ISERROR(G256/I256),"",G256/I256)</f>
        <v>17.448818897637796</v>
      </c>
      <c r="K256" s="146">
        <f>SUM(K199:K255)</f>
        <v>49.211627906976744</v>
      </c>
      <c r="L256" s="147"/>
      <c r="M256" s="150">
        <f t="shared" ref="M256:V256" si="114">SUM(M199:M255)</f>
        <v>14.288372093023259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>
        <f t="shared" ref="W256:W263" si="115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444" t="s">
        <v>217</v>
      </c>
      <c r="C257" s="126" t="s">
        <v>179</v>
      </c>
      <c r="D257" s="108">
        <v>5.03</v>
      </c>
      <c r="E257" s="108"/>
      <c r="F257" s="127"/>
      <c r="G257" s="128"/>
      <c r="H257" s="445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453"/>
      <c r="P257" s="453"/>
      <c r="Q257" s="453"/>
      <c r="R257" s="453"/>
      <c r="S257" s="453"/>
      <c r="T257" s="453"/>
      <c r="U257" s="453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444" t="s">
        <v>217</v>
      </c>
      <c r="C258" s="126" t="s">
        <v>186</v>
      </c>
      <c r="D258" s="108">
        <v>5.03</v>
      </c>
      <c r="E258" s="108"/>
      <c r="F258" s="127"/>
      <c r="G258" s="128"/>
      <c r="H258" s="445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453"/>
      <c r="P258" s="453"/>
      <c r="Q258" s="453"/>
      <c r="R258" s="453"/>
      <c r="S258" s="453"/>
      <c r="T258" s="453"/>
      <c r="U258" s="453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444" t="s">
        <v>217</v>
      </c>
      <c r="C259" s="126" t="s">
        <v>204</v>
      </c>
      <c r="D259" s="108">
        <v>5.03</v>
      </c>
      <c r="E259" s="108"/>
      <c r="F259" s="127"/>
      <c r="G259" s="128"/>
      <c r="H259" s="445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53"/>
      <c r="P259" s="453"/>
      <c r="Q259" s="453"/>
      <c r="R259" s="453"/>
      <c r="S259" s="453"/>
      <c r="T259" s="453"/>
      <c r="U259" s="453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>
        <v>42707</v>
      </c>
      <c r="G260" s="128">
        <v>35</v>
      </c>
      <c r="H260" s="445">
        <f t="shared" si="116"/>
        <v>176.05</v>
      </c>
      <c r="I260" s="129">
        <f>11.5*2</f>
        <v>23</v>
      </c>
      <c r="J260" s="130">
        <f t="array" ref="J260">IF(ISERROR(G260/I260),"",G260/I260)</f>
        <v>1.5217391304347827</v>
      </c>
      <c r="K260" s="131">
        <f t="array" ref="K260">IF(ISERROR(G260/L260),"",G260/L260)</f>
        <v>3.7634408602150535</v>
      </c>
      <c r="L260" s="129">
        <v>9.3000000000000007</v>
      </c>
      <c r="M260" s="109">
        <f t="shared" si="117"/>
        <v>19.236559139784948</v>
      </c>
      <c r="N260" s="130">
        <f t="shared" si="118"/>
        <v>0</v>
      </c>
      <c r="O260" s="453"/>
      <c r="P260" s="453"/>
      <c r="Q260" s="453"/>
      <c r="R260" s="453"/>
      <c r="S260" s="453"/>
      <c r="T260" s="453"/>
      <c r="U260" s="453"/>
      <c r="V260" s="132">
        <f t="shared" si="119"/>
        <v>0</v>
      </c>
      <c r="W260" s="133">
        <f t="shared" si="115"/>
        <v>0</v>
      </c>
      <c r="X260" s="132"/>
      <c r="Y260" s="132"/>
      <c r="Z260" s="132"/>
      <c r="AA260" s="132"/>
    </row>
    <row r="261" spans="1:27" ht="20.10000000000000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>
        <v>42707</v>
      </c>
      <c r="G261" s="128">
        <v>4</v>
      </c>
      <c r="H261" s="445">
        <f t="shared" si="116"/>
        <v>20.12</v>
      </c>
      <c r="I261" s="129">
        <v>0.5</v>
      </c>
      <c r="J261" s="130">
        <f t="array" ref="J261">IF(ISERROR(G261/I261),"",G261/I261)</f>
        <v>8</v>
      </c>
      <c r="K261" s="131">
        <f t="array" ref="K261">IF(ISERROR(G261/L261),"",G261/L261)</f>
        <v>0.43010752688172038</v>
      </c>
      <c r="L261" s="129">
        <v>9.3000000000000007</v>
      </c>
      <c r="M261" s="109">
        <f t="shared" si="117"/>
        <v>6.9892473118279619E-2</v>
      </c>
      <c r="N261" s="130">
        <f t="shared" si="118"/>
        <v>0</v>
      </c>
      <c r="O261" s="453"/>
      <c r="P261" s="453"/>
      <c r="Q261" s="453"/>
      <c r="R261" s="453"/>
      <c r="S261" s="453"/>
      <c r="T261" s="453"/>
      <c r="U261" s="453"/>
      <c r="V261" s="132">
        <f t="shared" si="119"/>
        <v>0</v>
      </c>
      <c r="W261" s="133">
        <f t="shared" si="115"/>
        <v>0</v>
      </c>
      <c r="X261" s="132"/>
      <c r="Y261" s="132"/>
      <c r="Z261" s="132"/>
      <c r="AA261" s="132"/>
    </row>
    <row r="262" spans="1:27" ht="20.10000000000000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>
        <v>42707</v>
      </c>
      <c r="G262" s="128">
        <v>6</v>
      </c>
      <c r="H262" s="445">
        <f t="shared" si="116"/>
        <v>30.18</v>
      </c>
      <c r="I262" s="129">
        <v>0.5</v>
      </c>
      <c r="J262" s="130">
        <f t="array" ref="J262">IF(ISERROR(G262/I262),"",G262/I262)</f>
        <v>12</v>
      </c>
      <c r="K262" s="131">
        <f t="array" ref="K262">IF(ISERROR(G262/L262),"",G262/L262)</f>
        <v>0.64516129032258063</v>
      </c>
      <c r="L262" s="129">
        <v>9.3000000000000007</v>
      </c>
      <c r="M262" s="109">
        <f t="shared" si="117"/>
        <v>-0.14516129032258063</v>
      </c>
      <c r="N262" s="130">
        <f t="shared" si="118"/>
        <v>0</v>
      </c>
      <c r="O262" s="453"/>
      <c r="P262" s="453"/>
      <c r="Q262" s="453"/>
      <c r="R262" s="453"/>
      <c r="S262" s="453"/>
      <c r="T262" s="453"/>
      <c r="U262" s="453"/>
      <c r="V262" s="132">
        <f t="shared" si="119"/>
        <v>0</v>
      </c>
      <c r="W262" s="133">
        <f t="shared" si="115"/>
        <v>0</v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445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53"/>
      <c r="P263" s="453"/>
      <c r="Q263" s="453"/>
      <c r="R263" s="453"/>
      <c r="S263" s="453"/>
      <c r="T263" s="453"/>
      <c r="U263" s="453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445">
        <f t="shared" si="116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53"/>
      <c r="P264" s="453"/>
      <c r="Q264" s="453"/>
      <c r="R264" s="453"/>
      <c r="S264" s="453"/>
      <c r="T264" s="453"/>
      <c r="U264" s="453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445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53"/>
      <c r="P265" s="453"/>
      <c r="Q265" s="453"/>
      <c r="R265" s="453"/>
      <c r="S265" s="453"/>
      <c r="T265" s="453"/>
      <c r="U265" s="453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445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53"/>
      <c r="P266" s="453"/>
      <c r="Q266" s="453"/>
      <c r="R266" s="453"/>
      <c r="S266" s="453"/>
      <c r="T266" s="453"/>
      <c r="U266" s="453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445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53"/>
      <c r="P267" s="453"/>
      <c r="Q267" s="453"/>
      <c r="R267" s="453"/>
      <c r="S267" s="453"/>
      <c r="T267" s="453"/>
      <c r="U267" s="453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445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53"/>
      <c r="P268" s="453"/>
      <c r="Q268" s="453"/>
      <c r="R268" s="453"/>
      <c r="S268" s="453"/>
      <c r="T268" s="453"/>
      <c r="U268" s="453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445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0">IF(ISERROR(I269-K269),"",I269-K269)</f>
        <v>0</v>
      </c>
      <c r="N269" s="130">
        <f t="shared" ref="N269:N284" si="121">SUM(O269:U269)</f>
        <v>0</v>
      </c>
      <c r="O269" s="453"/>
      <c r="P269" s="453"/>
      <c r="Q269" s="453"/>
      <c r="R269" s="453"/>
      <c r="S269" s="453"/>
      <c r="T269" s="453"/>
      <c r="U269" s="453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445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453"/>
      <c r="P270" s="453"/>
      <c r="Q270" s="453"/>
      <c r="R270" s="453"/>
      <c r="S270" s="453"/>
      <c r="T270" s="453"/>
      <c r="U270" s="453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445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53"/>
      <c r="P271" s="453"/>
      <c r="Q271" s="453"/>
      <c r="R271" s="453"/>
      <c r="S271" s="453"/>
      <c r="T271" s="453"/>
      <c r="U271" s="453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445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53"/>
      <c r="P272" s="453"/>
      <c r="Q272" s="453"/>
      <c r="R272" s="453"/>
      <c r="S272" s="453"/>
      <c r="T272" s="453"/>
      <c r="U272" s="453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444" t="s">
        <v>222</v>
      </c>
      <c r="C273" s="126" t="s">
        <v>181</v>
      </c>
      <c r="D273" s="108">
        <v>9.36</v>
      </c>
      <c r="E273" s="108"/>
      <c r="F273" s="127"/>
      <c r="G273" s="128"/>
      <c r="H273" s="445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453"/>
      <c r="P273" s="453"/>
      <c r="Q273" s="453"/>
      <c r="R273" s="453"/>
      <c r="S273" s="453"/>
      <c r="T273" s="453"/>
      <c r="U273" s="453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444" t="s">
        <v>222</v>
      </c>
      <c r="C274" s="126" t="s">
        <v>179</v>
      </c>
      <c r="D274" s="108">
        <v>9.36</v>
      </c>
      <c r="E274" s="108"/>
      <c r="F274" s="127"/>
      <c r="G274" s="128"/>
      <c r="H274" s="445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53"/>
      <c r="P274" s="453"/>
      <c r="Q274" s="453"/>
      <c r="R274" s="453"/>
      <c r="S274" s="453"/>
      <c r="T274" s="453"/>
      <c r="U274" s="453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444" t="s">
        <v>222</v>
      </c>
      <c r="C275" s="126" t="s">
        <v>221</v>
      </c>
      <c r="D275" s="108">
        <v>9.36</v>
      </c>
      <c r="E275" s="108"/>
      <c r="F275" s="127"/>
      <c r="G275" s="128"/>
      <c r="H275" s="445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53"/>
      <c r="P275" s="453"/>
      <c r="Q275" s="453"/>
      <c r="R275" s="453"/>
      <c r="S275" s="453"/>
      <c r="T275" s="453"/>
      <c r="U275" s="453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444" t="s">
        <v>222</v>
      </c>
      <c r="C276" s="126" t="s">
        <v>186</v>
      </c>
      <c r="D276" s="108">
        <v>9.36</v>
      </c>
      <c r="E276" s="108"/>
      <c r="F276" s="127"/>
      <c r="G276" s="128"/>
      <c r="H276" s="445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53"/>
      <c r="P276" s="453"/>
      <c r="Q276" s="453"/>
      <c r="R276" s="453"/>
      <c r="S276" s="453"/>
      <c r="T276" s="453"/>
      <c r="U276" s="453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444" t="s">
        <v>393</v>
      </c>
      <c r="C277" s="187" t="s">
        <v>395</v>
      </c>
      <c r="D277" s="108">
        <v>5</v>
      </c>
      <c r="E277" s="108"/>
      <c r="F277" s="127"/>
      <c r="G277" s="128"/>
      <c r="H277" s="445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453"/>
      <c r="P277" s="453"/>
      <c r="Q277" s="453"/>
      <c r="R277" s="453"/>
      <c r="S277" s="453"/>
      <c r="T277" s="453"/>
      <c r="U277" s="453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444" t="s">
        <v>393</v>
      </c>
      <c r="C278" s="187" t="s">
        <v>402</v>
      </c>
      <c r="D278" s="108">
        <v>5</v>
      </c>
      <c r="E278" s="108"/>
      <c r="F278" s="127"/>
      <c r="G278" s="128"/>
      <c r="H278" s="445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53"/>
      <c r="P278" s="453"/>
      <c r="Q278" s="453"/>
      <c r="R278" s="453"/>
      <c r="S278" s="453"/>
      <c r="T278" s="453"/>
      <c r="U278" s="453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444" t="s">
        <v>404</v>
      </c>
      <c r="C279" s="187" t="s">
        <v>405</v>
      </c>
      <c r="D279" s="108">
        <v>5</v>
      </c>
      <c r="E279" s="108"/>
      <c r="F279" s="127"/>
      <c r="G279" s="128"/>
      <c r="H279" s="445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53"/>
      <c r="P279" s="453"/>
      <c r="Q279" s="453"/>
      <c r="R279" s="453"/>
      <c r="S279" s="453"/>
      <c r="T279" s="453"/>
      <c r="U279" s="453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444" t="s">
        <v>342</v>
      </c>
      <c r="C280" s="187" t="s">
        <v>372</v>
      </c>
      <c r="D280" s="108">
        <v>5</v>
      </c>
      <c r="E280" s="108"/>
      <c r="F280" s="127"/>
      <c r="G280" s="128"/>
      <c r="H280" s="445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53"/>
      <c r="P280" s="453"/>
      <c r="Q280" s="453"/>
      <c r="R280" s="453"/>
      <c r="S280" s="453"/>
      <c r="T280" s="453"/>
      <c r="U280" s="453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444" t="s">
        <v>343</v>
      </c>
      <c r="C281" s="126" t="s">
        <v>345</v>
      </c>
      <c r="D281" s="108">
        <v>5</v>
      </c>
      <c r="E281" s="108"/>
      <c r="F281" s="127"/>
      <c r="G281" s="128"/>
      <c r="H281" s="445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53"/>
      <c r="P281" s="453"/>
      <c r="Q281" s="453"/>
      <c r="R281" s="453"/>
      <c r="S281" s="453"/>
      <c r="T281" s="453"/>
      <c r="U281" s="453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444" t="s">
        <v>343</v>
      </c>
      <c r="C282" s="126" t="s">
        <v>347</v>
      </c>
      <c r="D282" s="108">
        <v>5</v>
      </c>
      <c r="E282" s="108"/>
      <c r="F282" s="127"/>
      <c r="G282" s="128"/>
      <c r="H282" s="445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53"/>
      <c r="P282" s="453"/>
      <c r="Q282" s="453"/>
      <c r="R282" s="453"/>
      <c r="S282" s="453"/>
      <c r="T282" s="453"/>
      <c r="U282" s="453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445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453"/>
      <c r="P283" s="453"/>
      <c r="Q283" s="453"/>
      <c r="R283" s="453"/>
      <c r="S283" s="453"/>
      <c r="T283" s="453"/>
      <c r="U283" s="453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>
        <v>42707</v>
      </c>
      <c r="G284" s="128">
        <f>86+100</f>
        <v>186</v>
      </c>
      <c r="H284" s="445">
        <f t="shared" si="116"/>
        <v>941.16</v>
      </c>
      <c r="I284" s="129">
        <f>11.5*3</f>
        <v>34.5</v>
      </c>
      <c r="J284" s="130">
        <f t="array" ref="J284">IF(ISERROR(G284/I284),"",G284/I284)</f>
        <v>5.3913043478260869</v>
      </c>
      <c r="K284" s="131">
        <f t="array" ref="K284">IF(ISERROR(G284/L284),"",G284/L284)</f>
        <v>12</v>
      </c>
      <c r="L284" s="129">
        <v>15.5</v>
      </c>
      <c r="M284" s="109">
        <f t="shared" si="120"/>
        <v>22.5</v>
      </c>
      <c r="N284" s="130">
        <f t="shared" si="121"/>
        <v>0</v>
      </c>
      <c r="O284" s="453"/>
      <c r="P284" s="453"/>
      <c r="Q284" s="453"/>
      <c r="R284" s="453"/>
      <c r="S284" s="453"/>
      <c r="T284" s="453"/>
      <c r="U284" s="453"/>
      <c r="V284" s="132">
        <f t="shared" si="125"/>
        <v>0</v>
      </c>
      <c r="W284" s="133">
        <f t="shared" si="126"/>
        <v>0</v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420</v>
      </c>
      <c r="D285" s="108">
        <v>5.03</v>
      </c>
      <c r="E285" s="108"/>
      <c r="F285" s="127"/>
      <c r="G285" s="128"/>
      <c r="H285" s="445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453"/>
      <c r="P285" s="453"/>
      <c r="Q285" s="453"/>
      <c r="R285" s="453"/>
      <c r="S285" s="453"/>
      <c r="T285" s="453"/>
      <c r="U285" s="453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445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453"/>
      <c r="P286" s="453"/>
      <c r="Q286" s="453"/>
      <c r="R286" s="453"/>
      <c r="S286" s="453"/>
      <c r="T286" s="453"/>
      <c r="U286" s="453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445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53"/>
      <c r="P287" s="453"/>
      <c r="Q287" s="453"/>
      <c r="R287" s="453"/>
      <c r="S287" s="453"/>
      <c r="T287" s="453"/>
      <c r="U287" s="453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445">
        <f t="shared" si="116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7">IF(ISERROR(I288-K288),"",I288-K288)</f>
        <v>0</v>
      </c>
      <c r="N288" s="130">
        <f t="shared" ref="N288:N290" si="128">SUM(O288:U288)</f>
        <v>0</v>
      </c>
      <c r="O288" s="453"/>
      <c r="P288" s="453"/>
      <c r="Q288" s="453"/>
      <c r="R288" s="453"/>
      <c r="S288" s="453"/>
      <c r="T288" s="453"/>
      <c r="U288" s="453"/>
      <c r="V288" s="132">
        <f t="shared" ref="V288:V290" si="129">SUM(X288:AA288)</f>
        <v>0</v>
      </c>
      <c r="W288" s="133" t="str">
        <f t="shared" ref="W288:W312" si="130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445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453"/>
      <c r="P289" s="453"/>
      <c r="Q289" s="453"/>
      <c r="R289" s="453"/>
      <c r="S289" s="453"/>
      <c r="T289" s="453"/>
      <c r="U289" s="453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445">
        <f t="shared" si="116"/>
        <v>0</v>
      </c>
      <c r="I290" s="129"/>
      <c r="J290" s="130" t="str">
        <f t="array" ref="J290">IF(ISERROR(G290/I290),"",G290/I290)</f>
        <v/>
      </c>
      <c r="K290" s="445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53"/>
      <c r="P290" s="453"/>
      <c r="Q290" s="453"/>
      <c r="R290" s="453"/>
      <c r="S290" s="453"/>
      <c r="T290" s="453"/>
      <c r="U290" s="453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630" t="s">
        <v>224</v>
      </c>
      <c r="B291" s="631"/>
      <c r="C291" s="454" t="s">
        <v>202</v>
      </c>
      <c r="D291" s="143"/>
      <c r="E291" s="143"/>
      <c r="F291" s="144"/>
      <c r="G291" s="145">
        <f>SUM(G257:G290)</f>
        <v>231</v>
      </c>
      <c r="H291" s="146">
        <f>SUM(H257:H290)</f>
        <v>1167.51</v>
      </c>
      <c r="I291" s="146">
        <f>SUM(I257:I290)</f>
        <v>58.5</v>
      </c>
      <c r="J291" s="130">
        <f t="array" ref="J291">IF(ISERROR(G291/I291),"",G291/I291)</f>
        <v>3.9487179487179489</v>
      </c>
      <c r="K291" s="146">
        <f>SUM(K257:K290)</f>
        <v>16.838709677419356</v>
      </c>
      <c r="L291" s="147"/>
      <c r="M291" s="150">
        <f t="shared" ref="M291:V291" si="131">SUM(M257:M290)</f>
        <v>41.661290322580648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>
        <f t="shared" si="130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445">
        <f t="shared" ref="H292:H306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3">IF(ISERROR(I292-K292),"",I292-K292)</f>
        <v>0</v>
      </c>
      <c r="N292" s="130">
        <f t="shared" ref="N292:N306" si="134">SUM(O292:U292)</f>
        <v>0</v>
      </c>
      <c r="O292" s="453"/>
      <c r="P292" s="453"/>
      <c r="Q292" s="453"/>
      <c r="R292" s="453"/>
      <c r="S292" s="453"/>
      <c r="T292" s="453"/>
      <c r="U292" s="453"/>
      <c r="V292" s="132">
        <f t="shared" ref="V292:V306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445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453"/>
      <c r="P293" s="453"/>
      <c r="Q293" s="453"/>
      <c r="R293" s="453"/>
      <c r="S293" s="453"/>
      <c r="T293" s="453"/>
      <c r="U293" s="453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>
        <v>42714</v>
      </c>
      <c r="G294" s="128">
        <f>49+100*2+71</f>
        <v>320</v>
      </c>
      <c r="H294" s="445">
        <f t="shared" si="132"/>
        <v>1612.8</v>
      </c>
      <c r="I294" s="129">
        <f>6*4</f>
        <v>24</v>
      </c>
      <c r="J294" s="130">
        <f t="array" ref="J294">IF(ISERROR(G294/I294),"",G294/I294)</f>
        <v>13.333333333333334</v>
      </c>
      <c r="K294" s="131">
        <f t="array" ref="K294">IF(ISERROR(G294/L294),"",G294/L294)</f>
        <v>16</v>
      </c>
      <c r="L294" s="129">
        <v>20</v>
      </c>
      <c r="M294" s="109">
        <f t="shared" si="133"/>
        <v>8</v>
      </c>
      <c r="N294" s="130">
        <f t="shared" si="134"/>
        <v>0</v>
      </c>
      <c r="O294" s="453"/>
      <c r="P294" s="453"/>
      <c r="Q294" s="453"/>
      <c r="R294" s="453"/>
      <c r="S294" s="453"/>
      <c r="T294" s="453"/>
      <c r="U294" s="453"/>
      <c r="V294" s="132">
        <f t="shared" si="135"/>
        <v>0</v>
      </c>
      <c r="W294" s="133">
        <f t="shared" si="130"/>
        <v>0</v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445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453"/>
      <c r="P295" s="453"/>
      <c r="Q295" s="453"/>
      <c r="R295" s="453"/>
      <c r="S295" s="453"/>
      <c r="T295" s="453"/>
      <c r="U295" s="453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450" t="s">
        <v>203</v>
      </c>
      <c r="D296" s="108">
        <v>5.03</v>
      </c>
      <c r="E296" s="108"/>
      <c r="F296" s="127"/>
      <c r="G296" s="128"/>
      <c r="H296" s="445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53"/>
      <c r="P296" s="453"/>
      <c r="Q296" s="453"/>
      <c r="R296" s="453"/>
      <c r="S296" s="453"/>
      <c r="T296" s="453"/>
      <c r="U296" s="453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445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53"/>
      <c r="P297" s="453"/>
      <c r="Q297" s="453"/>
      <c r="R297" s="453"/>
      <c r="S297" s="453"/>
      <c r="T297" s="453"/>
      <c r="U297" s="453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445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53"/>
      <c r="P298" s="453"/>
      <c r="Q298" s="453"/>
      <c r="R298" s="453"/>
      <c r="S298" s="453"/>
      <c r="T298" s="453"/>
      <c r="U298" s="453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450" t="s">
        <v>228</v>
      </c>
      <c r="D299" s="108">
        <v>5.03</v>
      </c>
      <c r="E299" s="108"/>
      <c r="F299" s="127"/>
      <c r="G299" s="128"/>
      <c r="H299" s="445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53"/>
      <c r="P299" s="453"/>
      <c r="Q299" s="453"/>
      <c r="R299" s="453"/>
      <c r="S299" s="453"/>
      <c r="T299" s="453"/>
      <c r="U299" s="453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450" t="s">
        <v>212</v>
      </c>
      <c r="D300" s="108">
        <v>5.03</v>
      </c>
      <c r="E300" s="108"/>
      <c r="F300" s="127"/>
      <c r="G300" s="128"/>
      <c r="H300" s="445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453"/>
      <c r="P300" s="453"/>
      <c r="Q300" s="453"/>
      <c r="R300" s="453"/>
      <c r="S300" s="453"/>
      <c r="T300" s="453"/>
      <c r="U300" s="453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450" t="s">
        <v>203</v>
      </c>
      <c r="D301" s="108">
        <v>5.03</v>
      </c>
      <c r="E301" s="108"/>
      <c r="F301" s="127"/>
      <c r="G301" s="128"/>
      <c r="H301" s="445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53"/>
      <c r="P301" s="453"/>
      <c r="Q301" s="453"/>
      <c r="R301" s="453"/>
      <c r="S301" s="453"/>
      <c r="T301" s="453"/>
      <c r="U301" s="453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450" t="s">
        <v>186</v>
      </c>
      <c r="D302" s="108">
        <v>5.03</v>
      </c>
      <c r="E302" s="108"/>
      <c r="F302" s="127"/>
      <c r="G302" s="128"/>
      <c r="H302" s="445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53"/>
      <c r="P302" s="453"/>
      <c r="Q302" s="453"/>
      <c r="R302" s="453"/>
      <c r="S302" s="453"/>
      <c r="T302" s="453"/>
      <c r="U302" s="453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450" t="s">
        <v>228</v>
      </c>
      <c r="D303" s="108">
        <v>5.03</v>
      </c>
      <c r="E303" s="108"/>
      <c r="F303" s="127"/>
      <c r="G303" s="128"/>
      <c r="H303" s="445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53"/>
      <c r="P303" s="453"/>
      <c r="Q303" s="453"/>
      <c r="R303" s="453"/>
      <c r="S303" s="453"/>
      <c r="T303" s="453"/>
      <c r="U303" s="453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450" t="s">
        <v>199</v>
      </c>
      <c r="D304" s="108">
        <v>5.03</v>
      </c>
      <c r="E304" s="108"/>
      <c r="F304" s="127"/>
      <c r="G304" s="128"/>
      <c r="H304" s="445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53"/>
      <c r="P304" s="453"/>
      <c r="Q304" s="453"/>
      <c r="R304" s="453"/>
      <c r="S304" s="453"/>
      <c r="T304" s="453"/>
      <c r="U304" s="453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445">
        <f t="shared" si="132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3"/>
        <v>0</v>
      </c>
      <c r="N305" s="130">
        <f t="shared" si="134"/>
        <v>0</v>
      </c>
      <c r="O305" s="453"/>
      <c r="P305" s="453"/>
      <c r="Q305" s="453"/>
      <c r="R305" s="453"/>
      <c r="S305" s="453"/>
      <c r="T305" s="453"/>
      <c r="U305" s="453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445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453"/>
      <c r="P306" s="453"/>
      <c r="Q306" s="453"/>
      <c r="R306" s="453"/>
      <c r="S306" s="453"/>
      <c r="T306" s="453"/>
      <c r="U306" s="453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customHeight="1">
      <c r="A307" s="630" t="s">
        <v>231</v>
      </c>
      <c r="B307" s="631"/>
      <c r="C307" s="454" t="s">
        <v>202</v>
      </c>
      <c r="D307" s="143"/>
      <c r="E307" s="143"/>
      <c r="F307" s="144"/>
      <c r="G307" s="145">
        <f>SUM(G292:G306)</f>
        <v>320</v>
      </c>
      <c r="H307" s="146">
        <f>SUM(H292:H306)</f>
        <v>1612.8</v>
      </c>
      <c r="I307" s="146">
        <f>SUM(I292:I306)</f>
        <v>24</v>
      </c>
      <c r="J307" s="130">
        <f t="array" ref="J307">IF(ISERROR(G307/I307),"",G307/I307)</f>
        <v>13.333333333333334</v>
      </c>
      <c r="K307" s="146">
        <f>SUM(K292:K306)</f>
        <v>16</v>
      </c>
      <c r="L307" s="146"/>
      <c r="M307" s="150">
        <f>SUM(M292:M306)</f>
        <v>8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>
        <f t="shared" si="130"/>
        <v>0</v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445">
        <f t="shared" ref="H308:H315" si="136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7">IF(ISERROR(I308-K308),"",I308-K308)</f>
        <v>0</v>
      </c>
      <c r="N308" s="130">
        <f t="shared" ref="N308:N312" si="138">SUM(O308:U308)</f>
        <v>0</v>
      </c>
      <c r="O308" s="453"/>
      <c r="P308" s="453"/>
      <c r="Q308" s="453"/>
      <c r="R308" s="453"/>
      <c r="S308" s="453"/>
      <c r="T308" s="453"/>
      <c r="U308" s="453"/>
      <c r="V308" s="132">
        <f t="shared" ref="V308:V312" si="139">SUM(X308:AA308)</f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445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453"/>
      <c r="P309" s="453"/>
      <c r="Q309" s="453"/>
      <c r="R309" s="453"/>
      <c r="S309" s="453"/>
      <c r="T309" s="453"/>
      <c r="U309" s="453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445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53"/>
      <c r="P310" s="453"/>
      <c r="Q310" s="453"/>
      <c r="R310" s="453"/>
      <c r="S310" s="453"/>
      <c r="T310" s="453"/>
      <c r="U310" s="453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445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53"/>
      <c r="P311" s="453"/>
      <c r="Q311" s="453"/>
      <c r="R311" s="453"/>
      <c r="S311" s="453"/>
      <c r="T311" s="453"/>
      <c r="U311" s="453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445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53"/>
      <c r="P312" s="453"/>
      <c r="Q312" s="453"/>
      <c r="R312" s="453"/>
      <c r="S312" s="453"/>
      <c r="T312" s="453"/>
      <c r="U312" s="453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79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453"/>
      <c r="P313" s="453"/>
      <c r="Q313" s="453"/>
      <c r="R313" s="453"/>
      <c r="S313" s="453"/>
      <c r="T313" s="453"/>
      <c r="U313" s="453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/>
      <c r="G314" s="128"/>
      <c r="H314" s="479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70"/>
      <c r="P314" s="470"/>
      <c r="Q314" s="470"/>
      <c r="R314" s="470"/>
      <c r="S314" s="470"/>
      <c r="T314" s="470"/>
      <c r="U314" s="470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445">
        <f t="shared" ref="H316" si="140">D316*G316</f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1">IF(ISERROR(I316-K316),"",I316-K316)</f>
        <v>0</v>
      </c>
      <c r="N316" s="130">
        <f t="shared" ref="N316" si="142">SUM(O316:U316)</f>
        <v>0</v>
      </c>
      <c r="O316" s="453"/>
      <c r="P316" s="453"/>
      <c r="Q316" s="453"/>
      <c r="R316" s="453"/>
      <c r="S316" s="453"/>
      <c r="T316" s="453"/>
      <c r="U316" s="453"/>
      <c r="V316" s="132">
        <f t="shared" ref="V316" si="143">SUM(X316:AA316)</f>
        <v>0</v>
      </c>
      <c r="W316" s="133" t="str">
        <f t="shared" ref="W316:W321" si="144">IF(ISERROR(V316/G316),"",V316/G316)</f>
        <v/>
      </c>
      <c r="X316" s="132"/>
      <c r="Y316" s="132"/>
      <c r="Z316" s="132"/>
      <c r="AA316" s="132"/>
    </row>
    <row r="317" spans="1:27" ht="20.100000000000001" hidden="1" customHeight="1">
      <c r="A317" s="630" t="s">
        <v>234</v>
      </c>
      <c r="B317" s="631"/>
      <c r="C317" s="454" t="s">
        <v>202</v>
      </c>
      <c r="D317" s="143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4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451"/>
      <c r="D318" s="108">
        <v>3.65</v>
      </c>
      <c r="E318" s="108"/>
      <c r="F318" s="153"/>
      <c r="G318" s="128"/>
      <c r="H318" s="445">
        <f t="shared" ref="H318:H331" si="145">D318*G318</f>
        <v>0</v>
      </c>
      <c r="I318" s="129"/>
      <c r="J318" s="130" t="str">
        <f t="array" ref="J318">IF(ISERROR(G318/I318),"",G318/I318)</f>
        <v/>
      </c>
      <c r="K318" s="445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453"/>
      <c r="P318" s="453"/>
      <c r="Q318" s="453"/>
      <c r="R318" s="453"/>
      <c r="S318" s="453"/>
      <c r="T318" s="453"/>
      <c r="U318" s="453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451"/>
      <c r="D319" s="108">
        <v>6.58</v>
      </c>
      <c r="E319" s="108"/>
      <c r="F319" s="127"/>
      <c r="G319" s="128"/>
      <c r="H319" s="445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453"/>
      <c r="P319" s="453"/>
      <c r="Q319" s="453"/>
      <c r="R319" s="453"/>
      <c r="S319" s="453"/>
      <c r="T319" s="453"/>
      <c r="U319" s="453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451"/>
      <c r="D320" s="108">
        <v>7.8</v>
      </c>
      <c r="E320" s="108"/>
      <c r="F320" s="127"/>
      <c r="G320" s="128"/>
      <c r="H320" s="445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453"/>
      <c r="P320" s="453"/>
      <c r="Q320" s="453"/>
      <c r="R320" s="453"/>
      <c r="S320" s="453"/>
      <c r="T320" s="453"/>
      <c r="U320" s="453"/>
      <c r="V320" s="132">
        <f t="shared" si="148"/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451"/>
      <c r="D321" s="108">
        <v>4.4000000000000004</v>
      </c>
      <c r="E321" s="108"/>
      <c r="F321" s="127"/>
      <c r="G321" s="128"/>
      <c r="H321" s="445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453"/>
      <c r="P321" s="453"/>
      <c r="Q321" s="453"/>
      <c r="R321" s="453"/>
      <c r="S321" s="453"/>
      <c r="T321" s="453"/>
      <c r="U321" s="453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451"/>
      <c r="D322" s="108"/>
      <c r="E322" s="108"/>
      <c r="F322" s="127"/>
      <c r="G322" s="128"/>
      <c r="H322" s="445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453"/>
      <c r="P322" s="453"/>
      <c r="Q322" s="453"/>
      <c r="R322" s="453"/>
      <c r="S322" s="453"/>
      <c r="T322" s="453"/>
      <c r="U322" s="453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451" t="s">
        <v>239</v>
      </c>
      <c r="C323" s="451" t="s">
        <v>179</v>
      </c>
      <c r="D323" s="108">
        <v>6.04</v>
      </c>
      <c r="E323" s="108"/>
      <c r="F323" s="127"/>
      <c r="G323" s="128"/>
      <c r="H323" s="445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5" si="149">IF(ISERROR(I323-K323),"",I323-K323)</f>
        <v>0</v>
      </c>
      <c r="N323" s="130">
        <f t="shared" ref="N323:N324" si="150">SUM(O323:U323)</f>
        <v>0</v>
      </c>
      <c r="O323" s="453"/>
      <c r="P323" s="453"/>
      <c r="Q323" s="453"/>
      <c r="R323" s="453"/>
      <c r="S323" s="453"/>
      <c r="T323" s="453"/>
      <c r="U323" s="453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451" t="s">
        <v>239</v>
      </c>
      <c r="C324" s="451" t="s">
        <v>186</v>
      </c>
      <c r="D324" s="108">
        <v>6.04</v>
      </c>
      <c r="E324" s="108"/>
      <c r="F324" s="127"/>
      <c r="G324" s="128"/>
      <c r="H324" s="445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453"/>
      <c r="P324" s="453"/>
      <c r="Q324" s="453"/>
      <c r="R324" s="453"/>
      <c r="S324" s="453"/>
      <c r="T324" s="453"/>
      <c r="U324" s="453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customHeight="1">
      <c r="A325" s="305">
        <v>30601015</v>
      </c>
      <c r="B325" s="451" t="s">
        <v>443</v>
      </c>
      <c r="C325" s="451" t="s">
        <v>179</v>
      </c>
      <c r="D325" s="108">
        <v>6</v>
      </c>
      <c r="E325" s="108"/>
      <c r="F325" s="127">
        <v>42712</v>
      </c>
      <c r="G325" s="128">
        <f>42+26</f>
        <v>68</v>
      </c>
      <c r="H325" s="445">
        <f t="shared" si="145"/>
        <v>408</v>
      </c>
      <c r="I325" s="129">
        <f>4*5</f>
        <v>20</v>
      </c>
      <c r="J325" s="130">
        <f t="array" ref="J325">IF(ISERROR(G325/I325),"",G325/I325)</f>
        <v>3.4</v>
      </c>
      <c r="K325" s="131">
        <f t="array" ref="K325">IF(ISERROR(G325/L325),"",G325/L325)</f>
        <v>11.333333333333334</v>
      </c>
      <c r="L325" s="129">
        <v>6</v>
      </c>
      <c r="M325" s="109">
        <f t="shared" si="149"/>
        <v>8.6666666666666661</v>
      </c>
      <c r="N325" s="130"/>
      <c r="O325" s="453"/>
      <c r="P325" s="453"/>
      <c r="Q325" s="453"/>
      <c r="R325" s="453"/>
      <c r="S325" s="453"/>
      <c r="T325" s="453"/>
      <c r="U325" s="453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451" t="s">
        <v>443</v>
      </c>
      <c r="C326" s="451" t="s">
        <v>60</v>
      </c>
      <c r="D326" s="108">
        <v>6</v>
      </c>
      <c r="E326" s="108"/>
      <c r="F326" s="127"/>
      <c r="G326" s="128"/>
      <c r="H326" s="445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453"/>
      <c r="P326" s="453"/>
      <c r="Q326" s="453"/>
      <c r="R326" s="453"/>
      <c r="S326" s="453"/>
      <c r="T326" s="453"/>
      <c r="U326" s="453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444" t="s">
        <v>240</v>
      </c>
      <c r="C327" s="126"/>
      <c r="D327" s="108">
        <v>7.3</v>
      </c>
      <c r="E327" s="108"/>
      <c r="F327" s="127"/>
      <c r="G327" s="128"/>
      <c r="H327" s="445">
        <f t="shared" si="145"/>
        <v>0</v>
      </c>
      <c r="I327" s="129"/>
      <c r="J327" s="130"/>
      <c r="K327" s="131"/>
      <c r="L327" s="129"/>
      <c r="M327" s="109"/>
      <c r="N327" s="130"/>
      <c r="O327" s="453"/>
      <c r="P327" s="453"/>
      <c r="Q327" s="453"/>
      <c r="R327" s="453"/>
      <c r="S327" s="453"/>
      <c r="T327" s="453"/>
      <c r="U327" s="453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444" t="s">
        <v>241</v>
      </c>
      <c r="C328" s="126"/>
      <c r="D328" s="108">
        <f>78*120/1000</f>
        <v>9.36</v>
      </c>
      <c r="E328" s="108"/>
      <c r="F328" s="127"/>
      <c r="G328" s="128"/>
      <c r="H328" s="445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453"/>
      <c r="P328" s="453"/>
      <c r="Q328" s="453"/>
      <c r="R328" s="453"/>
      <c r="S328" s="453"/>
      <c r="T328" s="453"/>
      <c r="U328" s="453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444" t="s">
        <v>242</v>
      </c>
      <c r="C329" s="126"/>
      <c r="D329" s="108">
        <v>4.5</v>
      </c>
      <c r="E329" s="108"/>
      <c r="F329" s="127"/>
      <c r="G329" s="128"/>
      <c r="H329" s="445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453"/>
      <c r="P329" s="453"/>
      <c r="Q329" s="453"/>
      <c r="R329" s="453"/>
      <c r="S329" s="453"/>
      <c r="T329" s="453"/>
      <c r="U329" s="453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444" t="s">
        <v>243</v>
      </c>
      <c r="C330" s="126"/>
      <c r="D330" s="108">
        <v>4.5</v>
      </c>
      <c r="E330" s="108"/>
      <c r="F330" s="127"/>
      <c r="G330" s="128"/>
      <c r="H330" s="445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453"/>
      <c r="P330" s="453"/>
      <c r="Q330" s="453"/>
      <c r="R330" s="453"/>
      <c r="S330" s="453"/>
      <c r="T330" s="453"/>
      <c r="U330" s="453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445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53"/>
      <c r="P331" s="453"/>
      <c r="Q331" s="453"/>
      <c r="R331" s="453"/>
      <c r="S331" s="453"/>
      <c r="T331" s="453"/>
      <c r="U331" s="453"/>
      <c r="V331" s="132"/>
      <c r="W331" s="133"/>
      <c r="X331" s="132"/>
      <c r="Y331" s="132"/>
      <c r="Z331" s="132"/>
      <c r="AA331" s="132"/>
    </row>
    <row r="332" spans="1:27" ht="20.100000000000001" customHeight="1">
      <c r="A332" s="630" t="s">
        <v>244</v>
      </c>
      <c r="B332" s="631"/>
      <c r="C332" s="454" t="s">
        <v>202</v>
      </c>
      <c r="D332" s="143"/>
      <c r="E332" s="143"/>
      <c r="F332" s="144"/>
      <c r="G332" s="145">
        <f>SUM(G318:G331)</f>
        <v>68</v>
      </c>
      <c r="H332" s="146">
        <f>SUM(H318:H328)</f>
        <v>408</v>
      </c>
      <c r="I332" s="146">
        <f>SUM(I318:I331)</f>
        <v>20</v>
      </c>
      <c r="J332" s="130"/>
      <c r="K332" s="146">
        <f>SUM(K318:K328)</f>
        <v>11.333333333333334</v>
      </c>
      <c r="L332" s="147"/>
      <c r="M332" s="150">
        <f t="shared" ref="M332:AA332" si="156">SUM(M318:M328)</f>
        <v>8.6666666666666661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632" t="s">
        <v>246</v>
      </c>
      <c r="B333" s="633"/>
      <c r="C333" s="633"/>
      <c r="D333" s="633"/>
      <c r="E333" s="633"/>
      <c r="F333" s="634"/>
      <c r="G333" s="154">
        <f>SUM(G198,G256,G291,G307,G317,G332)</f>
        <v>2299</v>
      </c>
      <c r="H333" s="154">
        <f>SUM(H198,H256,H291,H307,H317,H332)</f>
        <v>11644.429999999998</v>
      </c>
      <c r="I333" s="154">
        <f>SUM(I198,I256,I291,I307,I317,I332)</f>
        <v>211</v>
      </c>
      <c r="J333" s="155">
        <f t="array" ref="J333">IF(ISERROR(G333/I333),"",G333/I333)</f>
        <v>10.895734597156398</v>
      </c>
      <c r="K333" s="154">
        <f>SUM(K198,K256,K291,K307,K317,K332)</f>
        <v>127.03072974125884</v>
      </c>
      <c r="L333" s="155">
        <f>IF(ISERROR(G333/K333),"",G333/K333)</f>
        <v>18.097983099701096</v>
      </c>
      <c r="M333" s="154">
        <f t="shared" ref="M333:AA333" si="157">SUM(M198,M256,M291,M307,M317,M332)</f>
        <v>83.969270258741162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635" t="s">
        <v>476</v>
      </c>
      <c r="B334" s="447" t="s">
        <v>247</v>
      </c>
      <c r="C334" s="638" t="s">
        <v>248</v>
      </c>
      <c r="D334" s="639"/>
      <c r="E334" s="640" t="s">
        <v>249</v>
      </c>
      <c r="F334" s="640"/>
      <c r="G334" s="643" t="s">
        <v>250</v>
      </c>
      <c r="H334" s="643"/>
      <c r="I334" s="640" t="s">
        <v>251</v>
      </c>
      <c r="J334" s="640"/>
      <c r="K334" s="640" t="s">
        <v>252</v>
      </c>
      <c r="L334" s="640"/>
      <c r="M334" s="640" t="s">
        <v>253</v>
      </c>
      <c r="N334" s="640"/>
      <c r="O334" s="640" t="s">
        <v>254</v>
      </c>
      <c r="P334" s="643" t="s">
        <v>255</v>
      </c>
      <c r="Q334" s="643"/>
      <c r="R334" s="643" t="s">
        <v>252</v>
      </c>
      <c r="S334" s="643"/>
      <c r="T334" s="643" t="s">
        <v>256</v>
      </c>
      <c r="U334" s="643"/>
      <c r="V334" s="643" t="s">
        <v>257</v>
      </c>
      <c r="W334" s="643"/>
      <c r="X334" s="643" t="s">
        <v>252</v>
      </c>
      <c r="Y334" s="643"/>
      <c r="Z334" s="643" t="s">
        <v>256</v>
      </c>
      <c r="AA334" s="643"/>
    </row>
    <row r="335" spans="1:27" ht="20.100000000000001" customHeight="1">
      <c r="A335" s="636"/>
      <c r="B335" s="447" t="s">
        <v>258</v>
      </c>
      <c r="C335" s="678">
        <v>1</v>
      </c>
      <c r="D335" s="679"/>
      <c r="E335" s="642">
        <f>C335*11</f>
        <v>11</v>
      </c>
      <c r="F335" s="642"/>
      <c r="G335" s="643">
        <v>1</v>
      </c>
      <c r="H335" s="643"/>
      <c r="I335" s="642">
        <f>G335*11</f>
        <v>11</v>
      </c>
      <c r="J335" s="642"/>
      <c r="K335" s="642">
        <f>E335-I335</f>
        <v>0</v>
      </c>
      <c r="L335" s="642"/>
      <c r="M335" s="644">
        <f>IF(ISERROR(K335/E335),"",K335/E335)</f>
        <v>0</v>
      </c>
      <c r="N335" s="644"/>
      <c r="O335" s="640"/>
      <c r="P335" s="643" t="s">
        <v>201</v>
      </c>
      <c r="Q335" s="643"/>
      <c r="R335" s="645">
        <f>SUM(O198:U198)</f>
        <v>0</v>
      </c>
      <c r="S335" s="645"/>
      <c r="T335" s="646" t="str">
        <f t="array" ref="T335">IF(ISERROR(R335/R342),"",R335/R342)</f>
        <v/>
      </c>
      <c r="U335" s="646"/>
      <c r="V335" s="643" t="s">
        <v>259</v>
      </c>
      <c r="W335" s="643"/>
      <c r="X335" s="680">
        <f>SUM(P197,P255,P290,P306,P316,P331)</f>
        <v>0</v>
      </c>
      <c r="Y335" s="681"/>
      <c r="Z335" s="646" t="str">
        <f t="array" ref="Z335">IF(ISERROR(X335/X342),"",X335/X342)</f>
        <v/>
      </c>
      <c r="AA335" s="646"/>
    </row>
    <row r="336" spans="1:27" ht="20.100000000000001" customHeight="1">
      <c r="A336" s="636"/>
      <c r="B336" s="447" t="s">
        <v>260</v>
      </c>
      <c r="C336" s="638">
        <v>0</v>
      </c>
      <c r="D336" s="639"/>
      <c r="E336" s="642">
        <f>C336*11</f>
        <v>0</v>
      </c>
      <c r="F336" s="642"/>
      <c r="G336" s="643">
        <v>0</v>
      </c>
      <c r="H336" s="643"/>
      <c r="I336" s="642">
        <f>G336*11</f>
        <v>0</v>
      </c>
      <c r="J336" s="642"/>
      <c r="K336" s="642">
        <f>E336-I336</f>
        <v>0</v>
      </c>
      <c r="L336" s="642"/>
      <c r="M336" s="644" t="str">
        <f>IF(ISERROR(K336/E336),"",K336/E336)</f>
        <v/>
      </c>
      <c r="N336" s="644"/>
      <c r="O336" s="640"/>
      <c r="P336" s="643" t="s">
        <v>216</v>
      </c>
      <c r="Q336" s="643"/>
      <c r="R336" s="645">
        <f>SUM(O256:U256)</f>
        <v>0</v>
      </c>
      <c r="S336" s="645"/>
      <c r="T336" s="646" t="str">
        <f>IF(ISERROR(R336/R342),"",R336/R342)</f>
        <v/>
      </c>
      <c r="U336" s="646"/>
      <c r="V336" s="643" t="s">
        <v>261</v>
      </c>
      <c r="W336" s="643"/>
      <c r="X336" s="680">
        <f>SUM(P198,P256,P291,P307,P317,P332)</f>
        <v>0</v>
      </c>
      <c r="Y336" s="681"/>
      <c r="Z336" s="646" t="str">
        <f>IF(ISERROR(X336/X342),"",X336/X342)</f>
        <v/>
      </c>
      <c r="AA336" s="646"/>
    </row>
    <row r="337" spans="1:27" ht="20.100000000000001" customHeight="1">
      <c r="A337" s="636"/>
      <c r="B337" s="447" t="s">
        <v>262</v>
      </c>
      <c r="C337" s="638">
        <v>0</v>
      </c>
      <c r="D337" s="639"/>
      <c r="E337" s="642">
        <f>C337*8</f>
        <v>0</v>
      </c>
      <c r="F337" s="642"/>
      <c r="G337" s="643">
        <v>1</v>
      </c>
      <c r="H337" s="643"/>
      <c r="I337" s="642">
        <f>G337*8</f>
        <v>8</v>
      </c>
      <c r="J337" s="642"/>
      <c r="K337" s="642">
        <f>E337-I337</f>
        <v>-8</v>
      </c>
      <c r="L337" s="642"/>
      <c r="M337" s="644" t="str">
        <f>IF(ISERROR(K337/E337),"",K337/E337)</f>
        <v/>
      </c>
      <c r="N337" s="644"/>
      <c r="O337" s="640"/>
      <c r="P337" s="643" t="s">
        <v>224</v>
      </c>
      <c r="Q337" s="643"/>
      <c r="R337" s="645">
        <f>SUM(O291:U291)</f>
        <v>0</v>
      </c>
      <c r="S337" s="645"/>
      <c r="T337" s="646" t="str">
        <f>IF(ISERROR(R337/R342),"",R337/R342)</f>
        <v/>
      </c>
      <c r="U337" s="646"/>
      <c r="V337" s="643" t="s">
        <v>263</v>
      </c>
      <c r="W337" s="643"/>
      <c r="X337" s="680">
        <f>SUM(P199,P257,P292,P308,P318,P333)</f>
        <v>0</v>
      </c>
      <c r="Y337" s="681"/>
      <c r="Z337" s="646" t="str">
        <f>IF(ISERROR(X337/X342),"",X337/X342)</f>
        <v/>
      </c>
      <c r="AA337" s="646"/>
    </row>
    <row r="338" spans="1:27" ht="20.100000000000001" customHeight="1">
      <c r="A338" s="636"/>
      <c r="B338" s="447" t="s">
        <v>264</v>
      </c>
      <c r="C338" s="638">
        <v>1</v>
      </c>
      <c r="D338" s="639"/>
      <c r="E338" s="642">
        <f>C338*11</f>
        <v>11</v>
      </c>
      <c r="F338" s="642"/>
      <c r="G338" s="643">
        <v>1</v>
      </c>
      <c r="H338" s="643"/>
      <c r="I338" s="642">
        <f>G338*11</f>
        <v>11</v>
      </c>
      <c r="J338" s="642"/>
      <c r="K338" s="642">
        <f>E338-I338</f>
        <v>0</v>
      </c>
      <c r="L338" s="642"/>
      <c r="M338" s="644">
        <f>IF(ISERROR(K338/E338),"",K338/E338)</f>
        <v>0</v>
      </c>
      <c r="N338" s="644"/>
      <c r="O338" s="640"/>
      <c r="P338" s="643" t="s">
        <v>231</v>
      </c>
      <c r="Q338" s="643"/>
      <c r="R338" s="645">
        <f>SUM(O307:U307)</f>
        <v>0</v>
      </c>
      <c r="S338" s="645"/>
      <c r="T338" s="646" t="str">
        <f>IF(ISERROR(R338/R342),"",R338/R342)</f>
        <v/>
      </c>
      <c r="U338" s="646"/>
      <c r="V338" s="643" t="s">
        <v>265</v>
      </c>
      <c r="W338" s="643"/>
      <c r="X338" s="680">
        <f>SUM(P201,P258,P293,P309,P319,P334)</f>
        <v>0</v>
      </c>
      <c r="Y338" s="681"/>
      <c r="Z338" s="646" t="str">
        <f>IF(ISERROR(X338/X342),"",X338/X342)</f>
        <v/>
      </c>
      <c r="AA338" s="646"/>
    </row>
    <row r="339" spans="1:27" ht="20.100000000000001" customHeight="1">
      <c r="A339" s="637"/>
      <c r="B339" s="447" t="s">
        <v>266</v>
      </c>
      <c r="C339" s="648">
        <f>SUM(C335:D338)</f>
        <v>2</v>
      </c>
      <c r="D339" s="649"/>
      <c r="E339" s="642">
        <f>SUM(E335:F338)</f>
        <v>22</v>
      </c>
      <c r="F339" s="642"/>
      <c r="G339" s="643">
        <f>SUM(G335:H338)</f>
        <v>3</v>
      </c>
      <c r="H339" s="643"/>
      <c r="I339" s="642">
        <f>SUM(I335:J338)</f>
        <v>30</v>
      </c>
      <c r="J339" s="642"/>
      <c r="K339" s="642">
        <f>SUM(K335:L338)</f>
        <v>-8</v>
      </c>
      <c r="L339" s="642"/>
      <c r="M339" s="644">
        <f>IF(ISERROR(K339/E339),"",K339/E339)</f>
        <v>-0.36363636363636365</v>
      </c>
      <c r="N339" s="644"/>
      <c r="O339" s="640"/>
      <c r="P339" s="643" t="s">
        <v>234</v>
      </c>
      <c r="Q339" s="643"/>
      <c r="R339" s="645">
        <f>SUM(O317:U317)</f>
        <v>0</v>
      </c>
      <c r="S339" s="645"/>
      <c r="T339" s="646" t="str">
        <f>IF(ISERROR(R339/R342),"",R339/R342)</f>
        <v/>
      </c>
      <c r="U339" s="646"/>
      <c r="V339" s="643" t="s">
        <v>267</v>
      </c>
      <c r="W339" s="643"/>
      <c r="X339" s="680">
        <f>SUM(P202,P259,P294,P310,P320,P335)</f>
        <v>0</v>
      </c>
      <c r="Y339" s="681"/>
      <c r="Z339" s="646" t="str">
        <f>IF(ISERROR(X339/X342),"",X339/X342)</f>
        <v/>
      </c>
      <c r="AA339" s="646"/>
    </row>
    <row r="340" spans="1:27" ht="20.100000000000001" customHeight="1">
      <c r="A340" s="309" t="s">
        <v>477</v>
      </c>
      <c r="B340" s="447">
        <f>G333</f>
        <v>2299</v>
      </c>
      <c r="C340" s="650" t="s">
        <v>269</v>
      </c>
      <c r="D340" s="651"/>
      <c r="E340" s="643">
        <f>H333</f>
        <v>11644.429999999998</v>
      </c>
      <c r="F340" s="643"/>
      <c r="G340" s="643" t="s">
        <v>270</v>
      </c>
      <c r="H340" s="643"/>
      <c r="I340" s="652">
        <f>L333</f>
        <v>18.097983099701096</v>
      </c>
      <c r="J340" s="652"/>
      <c r="K340" s="640" t="s">
        <v>271</v>
      </c>
      <c r="L340" s="640"/>
      <c r="M340" s="652">
        <f>J333</f>
        <v>10.895734597156398</v>
      </c>
      <c r="N340" s="652"/>
      <c r="O340" s="640"/>
      <c r="P340" s="643" t="s">
        <v>244</v>
      </c>
      <c r="Q340" s="643"/>
      <c r="R340" s="645">
        <f>SUM(O332:U332)</f>
        <v>0</v>
      </c>
      <c r="S340" s="645"/>
      <c r="T340" s="646" t="str">
        <f>IF(ISERROR(R340/R342),"",R340/R342)</f>
        <v/>
      </c>
      <c r="U340" s="646"/>
      <c r="V340" s="643" t="s">
        <v>272</v>
      </c>
      <c r="W340" s="643"/>
      <c r="X340" s="680">
        <f>SUM(P203,P260,P295,P311,P321,P336)</f>
        <v>0</v>
      </c>
      <c r="Y340" s="681"/>
      <c r="Z340" s="646" t="str">
        <f>IF(ISERROR(X340/X342),"",X340/X342)</f>
        <v/>
      </c>
      <c r="AA340" s="646"/>
    </row>
    <row r="341" spans="1:27" ht="20.100000000000001" customHeight="1">
      <c r="A341" s="310" t="s">
        <v>478</v>
      </c>
      <c r="B341" s="447">
        <f>I333+C339</f>
        <v>213</v>
      </c>
      <c r="C341" s="653" t="s">
        <v>251</v>
      </c>
      <c r="D341" s="654"/>
      <c r="E341" s="655">
        <f>K333+I339</f>
        <v>157.03072974125882</v>
      </c>
      <c r="F341" s="655"/>
      <c r="G341" s="643" t="s">
        <v>274</v>
      </c>
      <c r="H341" s="643"/>
      <c r="I341" s="652">
        <f>B341-E341</f>
        <v>55.969270258741176</v>
      </c>
      <c r="J341" s="652"/>
      <c r="K341" s="640" t="s">
        <v>275</v>
      </c>
      <c r="L341" s="640"/>
      <c r="M341" s="644">
        <f>IF(ISERROR(I341/E341),"",I341/E341)</f>
        <v>0.3564224043979311</v>
      </c>
      <c r="N341" s="644"/>
      <c r="O341" s="640"/>
      <c r="P341" s="643" t="s">
        <v>245</v>
      </c>
      <c r="Q341" s="643"/>
      <c r="R341" s="645"/>
      <c r="S341" s="645"/>
      <c r="T341" s="646" t="str">
        <f>IF(ISERROR(R341/R342),"",R341/R342)</f>
        <v/>
      </c>
      <c r="U341" s="646"/>
      <c r="V341" s="643" t="s">
        <v>264</v>
      </c>
      <c r="W341" s="643"/>
      <c r="X341" s="680">
        <f>SUM(P204,P261,P296,P312,P322,P337)</f>
        <v>0</v>
      </c>
      <c r="Y341" s="681"/>
      <c r="Z341" s="646" t="str">
        <f>IF(ISERROR(X341/X342),"",X341/X342)</f>
        <v/>
      </c>
      <c r="AA341" s="646"/>
    </row>
    <row r="342" spans="1:27" ht="20.100000000000001" customHeight="1">
      <c r="A342" s="310" t="s">
        <v>479</v>
      </c>
      <c r="B342" s="447">
        <f>N333</f>
        <v>0</v>
      </c>
      <c r="C342" s="653" t="s">
        <v>277</v>
      </c>
      <c r="D342" s="654"/>
      <c r="E342" s="646">
        <f>IF(ISERROR(B342/B341),"",B342/B341)</f>
        <v>0</v>
      </c>
      <c r="F342" s="646"/>
      <c r="G342" s="643" t="s">
        <v>278</v>
      </c>
      <c r="H342" s="643"/>
      <c r="I342" s="640">
        <f>V333</f>
        <v>0</v>
      </c>
      <c r="J342" s="640"/>
      <c r="K342" s="640" t="s">
        <v>279</v>
      </c>
      <c r="L342" s="640"/>
      <c r="M342" s="644">
        <f t="array" ref="M342">IF(ISERROR(I342/B340),"",I342/B340)</f>
        <v>0</v>
      </c>
      <c r="N342" s="644"/>
      <c r="O342" s="640"/>
      <c r="P342" s="643" t="s">
        <v>266</v>
      </c>
      <c r="Q342" s="643"/>
      <c r="R342" s="645">
        <f>SUM(R335:S341)</f>
        <v>0</v>
      </c>
      <c r="S342" s="645"/>
      <c r="T342" s="646"/>
      <c r="U342" s="646"/>
      <c r="V342" s="643" t="s">
        <v>266</v>
      </c>
      <c r="W342" s="643"/>
      <c r="X342" s="647">
        <f>SUM(X335:Y341)</f>
        <v>0</v>
      </c>
      <c r="Y342" s="647"/>
      <c r="Z342" s="646"/>
      <c r="AA342" s="646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56" t="s">
        <v>480</v>
      </c>
      <c r="B344" s="659" t="s">
        <v>280</v>
      </c>
      <c r="C344" s="659" t="s">
        <v>281</v>
      </c>
      <c r="D344" s="659" t="s">
        <v>282</v>
      </c>
      <c r="E344" s="662" t="s">
        <v>283</v>
      </c>
      <c r="F344" s="675" t="s">
        <v>284</v>
      </c>
      <c r="G344" s="640" t="s">
        <v>285</v>
      </c>
      <c r="H344" s="640"/>
      <c r="I344" s="659" t="s">
        <v>286</v>
      </c>
      <c r="J344" s="665" t="s">
        <v>271</v>
      </c>
      <c r="K344" s="668" t="s">
        <v>287</v>
      </c>
      <c r="L344" s="659" t="s">
        <v>270</v>
      </c>
      <c r="M344" s="671" t="s">
        <v>288</v>
      </c>
      <c r="N344" s="673" t="s">
        <v>252</v>
      </c>
      <c r="O344" s="640" t="s">
        <v>289</v>
      </c>
      <c r="P344" s="640"/>
      <c r="Q344" s="640"/>
      <c r="R344" s="640"/>
      <c r="S344" s="640"/>
      <c r="T344" s="640"/>
      <c r="U344" s="640"/>
      <c r="V344" s="640" t="s">
        <v>290</v>
      </c>
      <c r="W344" s="673" t="s">
        <v>291</v>
      </c>
      <c r="X344" s="640" t="s">
        <v>292</v>
      </c>
      <c r="Y344" s="640"/>
      <c r="Z344" s="640"/>
      <c r="AA344" s="640"/>
    </row>
    <row r="345" spans="1:27" ht="21.95" customHeight="1">
      <c r="A345" s="657"/>
      <c r="B345" s="660"/>
      <c r="C345" s="660"/>
      <c r="D345" s="660"/>
      <c r="E345" s="663"/>
      <c r="F345" s="676"/>
      <c r="G345" s="640"/>
      <c r="H345" s="640"/>
      <c r="I345" s="660"/>
      <c r="J345" s="666"/>
      <c r="K345" s="669"/>
      <c r="L345" s="660"/>
      <c r="M345" s="672"/>
      <c r="N345" s="673"/>
      <c r="O345" s="640" t="s">
        <v>259</v>
      </c>
      <c r="P345" s="640" t="s">
        <v>261</v>
      </c>
      <c r="Q345" s="640" t="s">
        <v>263</v>
      </c>
      <c r="R345" s="674" t="s">
        <v>265</v>
      </c>
      <c r="S345" s="643" t="s">
        <v>267</v>
      </c>
      <c r="T345" s="640" t="s">
        <v>272</v>
      </c>
      <c r="U345" s="640" t="s">
        <v>264</v>
      </c>
      <c r="V345" s="640"/>
      <c r="W345" s="673"/>
      <c r="X345" s="640" t="s">
        <v>293</v>
      </c>
      <c r="Y345" s="640" t="s">
        <v>294</v>
      </c>
      <c r="Z345" s="640" t="s">
        <v>295</v>
      </c>
      <c r="AA345" s="640" t="s">
        <v>264</v>
      </c>
    </row>
    <row r="346" spans="1:27" ht="21.95" customHeight="1">
      <c r="A346" s="658"/>
      <c r="B346" s="661"/>
      <c r="C346" s="661"/>
      <c r="D346" s="661"/>
      <c r="E346" s="664"/>
      <c r="F346" s="677"/>
      <c r="G346" s="348" t="s">
        <v>521</v>
      </c>
      <c r="H346" s="451" t="s">
        <v>297</v>
      </c>
      <c r="I346" s="661"/>
      <c r="J346" s="667"/>
      <c r="K346" s="670"/>
      <c r="L346" s="661"/>
      <c r="M346" s="672"/>
      <c r="N346" s="673"/>
      <c r="O346" s="640"/>
      <c r="P346" s="640"/>
      <c r="Q346" s="640"/>
      <c r="R346" s="674"/>
      <c r="S346" s="643"/>
      <c r="T346" s="640"/>
      <c r="U346" s="640"/>
      <c r="V346" s="640"/>
      <c r="W346" s="673"/>
      <c r="X346" s="640"/>
      <c r="Y346" s="640"/>
      <c r="Z346" s="640"/>
      <c r="AA346" s="640"/>
    </row>
    <row r="347" spans="1:27" ht="20.100000000000001" hidden="1" customHeight="1">
      <c r="A347" s="299">
        <v>30100030</v>
      </c>
      <c r="B347" s="444" t="s">
        <v>178</v>
      </c>
      <c r="C347" s="126" t="s">
        <v>179</v>
      </c>
      <c r="D347" s="108">
        <v>5.03</v>
      </c>
      <c r="E347" s="108"/>
      <c r="F347" s="127"/>
      <c r="G347" s="128"/>
      <c r="H347" s="445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453"/>
      <c r="P347" s="453"/>
      <c r="Q347" s="453"/>
      <c r="R347" s="453"/>
      <c r="S347" s="453"/>
      <c r="T347" s="453"/>
      <c r="U347" s="453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445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453"/>
      <c r="P348" s="453"/>
      <c r="Q348" s="453"/>
      <c r="R348" s="453"/>
      <c r="S348" s="453"/>
      <c r="T348" s="453"/>
      <c r="U348" s="453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445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453"/>
      <c r="P349" s="453"/>
      <c r="Q349" s="453"/>
      <c r="R349" s="453"/>
      <c r="S349" s="453"/>
      <c r="T349" s="453"/>
      <c r="U349" s="453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445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453"/>
      <c r="P350" s="453"/>
      <c r="Q350" s="453"/>
      <c r="R350" s="453"/>
      <c r="S350" s="453"/>
      <c r="T350" s="453"/>
      <c r="U350" s="453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445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453"/>
      <c r="P351" s="453"/>
      <c r="Q351" s="453"/>
      <c r="R351" s="453"/>
      <c r="S351" s="453"/>
      <c r="T351" s="453"/>
      <c r="U351" s="453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445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453"/>
      <c r="P352" s="453"/>
      <c r="Q352" s="453"/>
      <c r="R352" s="453"/>
      <c r="S352" s="453"/>
      <c r="T352" s="453"/>
      <c r="U352" s="453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445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453"/>
      <c r="P353" s="453"/>
      <c r="Q353" s="453"/>
      <c r="R353" s="453"/>
      <c r="S353" s="453"/>
      <c r="T353" s="453"/>
      <c r="U353" s="453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445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453"/>
      <c r="P354" s="453"/>
      <c r="Q354" s="453"/>
      <c r="R354" s="453"/>
      <c r="S354" s="453"/>
      <c r="T354" s="453"/>
      <c r="U354" s="453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445">
        <f t="shared" si="158"/>
        <v>0</v>
      </c>
      <c r="I355" s="445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453"/>
      <c r="P355" s="453"/>
      <c r="Q355" s="453"/>
      <c r="R355" s="453"/>
      <c r="S355" s="453"/>
      <c r="T355" s="453"/>
      <c r="U355" s="453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445">
        <f t="shared" si="158"/>
        <v>0</v>
      </c>
      <c r="I356" s="445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453"/>
      <c r="P356" s="453"/>
      <c r="Q356" s="453"/>
      <c r="R356" s="453"/>
      <c r="S356" s="453"/>
      <c r="T356" s="453"/>
      <c r="U356" s="453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445">
        <f t="shared" si="158"/>
        <v>0</v>
      </c>
      <c r="I357" s="445"/>
      <c r="J357" s="130"/>
      <c r="K357" s="131"/>
      <c r="L357" s="129"/>
      <c r="M357" s="109"/>
      <c r="N357" s="130"/>
      <c r="O357" s="453"/>
      <c r="P357" s="453"/>
      <c r="Q357" s="453"/>
      <c r="R357" s="453"/>
      <c r="S357" s="453"/>
      <c r="T357" s="453"/>
      <c r="U357" s="453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445">
        <f t="shared" si="158"/>
        <v>0</v>
      </c>
      <c r="I358" s="445"/>
      <c r="J358" s="130"/>
      <c r="K358" s="131"/>
      <c r="L358" s="129"/>
      <c r="M358" s="109"/>
      <c r="N358" s="130"/>
      <c r="O358" s="453"/>
      <c r="P358" s="453"/>
      <c r="Q358" s="453"/>
      <c r="R358" s="453"/>
      <c r="S358" s="453"/>
      <c r="T358" s="453"/>
      <c r="U358" s="453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445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453"/>
      <c r="P359" s="453"/>
      <c r="Q359" s="453"/>
      <c r="R359" s="453"/>
      <c r="S359" s="453"/>
      <c r="T359" s="453"/>
      <c r="U359" s="453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445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453"/>
      <c r="P360" s="453"/>
      <c r="Q360" s="453"/>
      <c r="R360" s="453"/>
      <c r="S360" s="453"/>
      <c r="T360" s="453"/>
      <c r="U360" s="453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445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453"/>
      <c r="P361" s="453"/>
      <c r="Q361" s="453"/>
      <c r="R361" s="453"/>
      <c r="S361" s="453"/>
      <c r="T361" s="453"/>
      <c r="U361" s="453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451" t="s">
        <v>190</v>
      </c>
      <c r="D362" s="108">
        <v>4.8</v>
      </c>
      <c r="E362" s="108"/>
      <c r="F362" s="127"/>
      <c r="G362" s="128"/>
      <c r="H362" s="445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453"/>
      <c r="P362" s="453"/>
      <c r="Q362" s="453"/>
      <c r="R362" s="453"/>
      <c r="S362" s="453"/>
      <c r="T362" s="453"/>
      <c r="U362" s="453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451" t="s">
        <v>187</v>
      </c>
      <c r="D363" s="108">
        <v>4.8</v>
      </c>
      <c r="E363" s="108"/>
      <c r="F363" s="127"/>
      <c r="G363" s="128"/>
      <c r="H363" s="445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453"/>
      <c r="P363" s="453"/>
      <c r="Q363" s="453"/>
      <c r="R363" s="453"/>
      <c r="S363" s="453"/>
      <c r="T363" s="453"/>
      <c r="U363" s="453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451" t="s">
        <v>179</v>
      </c>
      <c r="D364" s="108">
        <v>4.8</v>
      </c>
      <c r="E364" s="108"/>
      <c r="F364" s="127"/>
      <c r="G364" s="128"/>
      <c r="H364" s="445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453"/>
      <c r="P364" s="453"/>
      <c r="Q364" s="453"/>
      <c r="R364" s="453"/>
      <c r="S364" s="453"/>
      <c r="T364" s="453"/>
      <c r="U364" s="453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451" t="s">
        <v>199</v>
      </c>
      <c r="D365" s="108">
        <v>4.8</v>
      </c>
      <c r="E365" s="108"/>
      <c r="F365" s="127"/>
      <c r="G365" s="128"/>
      <c r="H365" s="445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453"/>
      <c r="P365" s="453"/>
      <c r="Q365" s="453"/>
      <c r="R365" s="453"/>
      <c r="S365" s="453"/>
      <c r="T365" s="453"/>
      <c r="U365" s="453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445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453"/>
      <c r="P366" s="453"/>
      <c r="Q366" s="453"/>
      <c r="R366" s="453"/>
      <c r="S366" s="453"/>
      <c r="T366" s="453"/>
      <c r="U366" s="453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445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453"/>
      <c r="P367" s="453"/>
      <c r="Q367" s="453"/>
      <c r="R367" s="453"/>
      <c r="S367" s="453"/>
      <c r="T367" s="453"/>
      <c r="U367" s="453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630" t="s">
        <v>201</v>
      </c>
      <c r="B368" s="631"/>
      <c r="C368" s="454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444" t="s">
        <v>206</v>
      </c>
      <c r="C369" s="126" t="s">
        <v>199</v>
      </c>
      <c r="D369" s="108">
        <v>5.03</v>
      </c>
      <c r="E369" s="108"/>
      <c r="F369" s="127"/>
      <c r="G369" s="128"/>
      <c r="H369" s="445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449"/>
      <c r="P369" s="449"/>
      <c r="Q369" s="449"/>
      <c r="R369" s="449"/>
      <c r="S369" s="449"/>
      <c r="T369" s="449"/>
      <c r="U369" s="449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444" t="s">
        <v>431</v>
      </c>
      <c r="C370" s="187" t="s">
        <v>432</v>
      </c>
      <c r="D370" s="108">
        <v>5.03</v>
      </c>
      <c r="E370" s="108"/>
      <c r="F370" s="127"/>
      <c r="G370" s="128"/>
      <c r="H370" s="445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449"/>
      <c r="P370" s="449"/>
      <c r="Q370" s="449"/>
      <c r="R370" s="449"/>
      <c r="S370" s="449"/>
      <c r="T370" s="449"/>
      <c r="U370" s="449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444" t="s">
        <v>206</v>
      </c>
      <c r="C371" s="126" t="s">
        <v>186</v>
      </c>
      <c r="D371" s="108">
        <v>5.03</v>
      </c>
      <c r="E371" s="108"/>
      <c r="F371" s="127"/>
      <c r="G371" s="128"/>
      <c r="H371" s="445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449"/>
      <c r="P371" s="449"/>
      <c r="Q371" s="449"/>
      <c r="R371" s="449"/>
      <c r="S371" s="449"/>
      <c r="T371" s="449"/>
      <c r="U371" s="449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444" t="s">
        <v>206</v>
      </c>
      <c r="C372" s="126" t="s">
        <v>203</v>
      </c>
      <c r="D372" s="108">
        <v>5.03</v>
      </c>
      <c r="E372" s="108"/>
      <c r="F372" s="127"/>
      <c r="G372" s="128"/>
      <c r="H372" s="445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449"/>
      <c r="P372" s="449"/>
      <c r="Q372" s="449"/>
      <c r="R372" s="449"/>
      <c r="S372" s="449"/>
      <c r="T372" s="449"/>
      <c r="U372" s="449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444" t="s">
        <v>206</v>
      </c>
      <c r="C373" s="126" t="s">
        <v>207</v>
      </c>
      <c r="D373" s="108">
        <v>5.03</v>
      </c>
      <c r="E373" s="108"/>
      <c r="F373" s="127"/>
      <c r="G373" s="128"/>
      <c r="H373" s="445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449"/>
      <c r="P373" s="449"/>
      <c r="Q373" s="449"/>
      <c r="R373" s="449"/>
      <c r="S373" s="449"/>
      <c r="T373" s="449"/>
      <c r="U373" s="449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444" t="s">
        <v>414</v>
      </c>
      <c r="C374" s="187" t="s">
        <v>415</v>
      </c>
      <c r="D374" s="108"/>
      <c r="E374" s="108"/>
      <c r="F374" s="127"/>
      <c r="G374" s="128"/>
      <c r="H374" s="445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449"/>
      <c r="P374" s="449"/>
      <c r="Q374" s="449"/>
      <c r="R374" s="449"/>
      <c r="S374" s="449"/>
      <c r="T374" s="449"/>
      <c r="U374" s="449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444" t="s">
        <v>414</v>
      </c>
      <c r="C375" s="187" t="s">
        <v>416</v>
      </c>
      <c r="D375" s="108"/>
      <c r="E375" s="108"/>
      <c r="F375" s="127"/>
      <c r="G375" s="128"/>
      <c r="H375" s="445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449"/>
      <c r="P375" s="449"/>
      <c r="Q375" s="449"/>
      <c r="R375" s="449"/>
      <c r="S375" s="449"/>
      <c r="T375" s="449"/>
      <c r="U375" s="449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444" t="s">
        <v>414</v>
      </c>
      <c r="C376" s="187" t="s">
        <v>61</v>
      </c>
      <c r="D376" s="108"/>
      <c r="E376" s="108"/>
      <c r="F376" s="127"/>
      <c r="G376" s="128"/>
      <c r="H376" s="445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449"/>
      <c r="P376" s="449"/>
      <c r="Q376" s="449"/>
      <c r="R376" s="449"/>
      <c r="S376" s="449"/>
      <c r="T376" s="449"/>
      <c r="U376" s="449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444" t="s">
        <v>208</v>
      </c>
      <c r="C377" s="126" t="s">
        <v>179</v>
      </c>
      <c r="D377" s="108">
        <v>5.08</v>
      </c>
      <c r="E377" s="108"/>
      <c r="F377" s="127"/>
      <c r="G377" s="128"/>
      <c r="H377" s="445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449"/>
      <c r="P377" s="449"/>
      <c r="Q377" s="449"/>
      <c r="R377" s="449"/>
      <c r="S377" s="449"/>
      <c r="T377" s="449"/>
      <c r="U377" s="449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444" t="s">
        <v>208</v>
      </c>
      <c r="C378" s="126" t="s">
        <v>204</v>
      </c>
      <c r="D378" s="108">
        <v>5.08</v>
      </c>
      <c r="E378" s="108"/>
      <c r="F378" s="127"/>
      <c r="G378" s="128"/>
      <c r="H378" s="445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449"/>
      <c r="P378" s="449"/>
      <c r="Q378" s="449"/>
      <c r="R378" s="449"/>
      <c r="S378" s="449"/>
      <c r="T378" s="449"/>
      <c r="U378" s="449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444" t="s">
        <v>208</v>
      </c>
      <c r="C379" s="126" t="s">
        <v>205</v>
      </c>
      <c r="D379" s="108">
        <v>5.08</v>
      </c>
      <c r="E379" s="108"/>
      <c r="F379" s="127"/>
      <c r="G379" s="128"/>
      <c r="H379" s="445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449"/>
      <c r="P379" s="449"/>
      <c r="Q379" s="449"/>
      <c r="R379" s="449"/>
      <c r="S379" s="449"/>
      <c r="T379" s="449"/>
      <c r="U379" s="449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444" t="s">
        <v>208</v>
      </c>
      <c r="C380" s="126" t="s">
        <v>186</v>
      </c>
      <c r="D380" s="108">
        <v>5.08</v>
      </c>
      <c r="E380" s="108"/>
      <c r="F380" s="127"/>
      <c r="G380" s="128"/>
      <c r="H380" s="445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449"/>
      <c r="P380" s="449"/>
      <c r="Q380" s="449"/>
      <c r="R380" s="449"/>
      <c r="S380" s="449"/>
      <c r="T380" s="449"/>
      <c r="U380" s="449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444" t="s">
        <v>208</v>
      </c>
      <c r="C381" s="126" t="s">
        <v>203</v>
      </c>
      <c r="D381" s="108">
        <v>5.08</v>
      </c>
      <c r="E381" s="108"/>
      <c r="F381" s="127"/>
      <c r="G381" s="128"/>
      <c r="H381" s="445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449"/>
      <c r="P381" s="449"/>
      <c r="Q381" s="449"/>
      <c r="R381" s="449"/>
      <c r="S381" s="449"/>
      <c r="T381" s="449"/>
      <c r="U381" s="449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444" t="s">
        <v>208</v>
      </c>
      <c r="C382" s="126" t="s">
        <v>199</v>
      </c>
      <c r="D382" s="108">
        <v>5.08</v>
      </c>
      <c r="E382" s="108"/>
      <c r="F382" s="127"/>
      <c r="G382" s="128"/>
      <c r="H382" s="445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453"/>
      <c r="P382" s="453"/>
      <c r="Q382" s="453"/>
      <c r="R382" s="453"/>
      <c r="S382" s="453"/>
      <c r="T382" s="453"/>
      <c r="U382" s="453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444" t="s">
        <v>208</v>
      </c>
      <c r="C383" s="126" t="s">
        <v>187</v>
      </c>
      <c r="D383" s="108">
        <v>5.08</v>
      </c>
      <c r="E383" s="108"/>
      <c r="F383" s="127"/>
      <c r="G383" s="128"/>
      <c r="H383" s="445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449"/>
      <c r="P383" s="449"/>
      <c r="Q383" s="449"/>
      <c r="R383" s="449"/>
      <c r="S383" s="449"/>
      <c r="T383" s="449"/>
      <c r="U383" s="449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444" t="s">
        <v>208</v>
      </c>
      <c r="C384" s="126" t="s">
        <v>207</v>
      </c>
      <c r="D384" s="108">
        <v>5.08</v>
      </c>
      <c r="E384" s="108"/>
      <c r="F384" s="127"/>
      <c r="G384" s="128"/>
      <c r="H384" s="445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453"/>
      <c r="P384" s="453"/>
      <c r="Q384" s="453"/>
      <c r="R384" s="453"/>
      <c r="S384" s="453"/>
      <c r="T384" s="453"/>
      <c r="U384" s="453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444" t="s">
        <v>209</v>
      </c>
      <c r="C385" s="126" t="s">
        <v>194</v>
      </c>
      <c r="D385" s="108">
        <v>5.03</v>
      </c>
      <c r="E385" s="108"/>
      <c r="F385" s="127"/>
      <c r="G385" s="128"/>
      <c r="H385" s="445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449"/>
      <c r="P385" s="449"/>
      <c r="Q385" s="449"/>
      <c r="R385" s="449"/>
      <c r="S385" s="449"/>
      <c r="T385" s="449"/>
      <c r="U385" s="449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444" t="s">
        <v>209</v>
      </c>
      <c r="C386" s="126" t="s">
        <v>179</v>
      </c>
      <c r="D386" s="108">
        <v>5.03</v>
      </c>
      <c r="E386" s="108"/>
      <c r="F386" s="127"/>
      <c r="G386" s="128"/>
      <c r="H386" s="445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449"/>
      <c r="P386" s="449"/>
      <c r="Q386" s="449"/>
      <c r="R386" s="449"/>
      <c r="S386" s="449"/>
      <c r="T386" s="449"/>
      <c r="U386" s="449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444" t="s">
        <v>209</v>
      </c>
      <c r="C387" s="126" t="s">
        <v>195</v>
      </c>
      <c r="D387" s="108">
        <v>5.03</v>
      </c>
      <c r="E387" s="108"/>
      <c r="F387" s="127"/>
      <c r="G387" s="128"/>
      <c r="H387" s="445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449"/>
      <c r="P387" s="449"/>
      <c r="Q387" s="449"/>
      <c r="R387" s="449"/>
      <c r="S387" s="449"/>
      <c r="T387" s="449"/>
      <c r="U387" s="449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444" t="s">
        <v>209</v>
      </c>
      <c r="C388" s="126" t="s">
        <v>204</v>
      </c>
      <c r="D388" s="108">
        <v>5.03</v>
      </c>
      <c r="E388" s="108"/>
      <c r="F388" s="127"/>
      <c r="G388" s="128"/>
      <c r="H388" s="445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449"/>
      <c r="P388" s="449"/>
      <c r="Q388" s="449"/>
      <c r="R388" s="449"/>
      <c r="S388" s="449"/>
      <c r="T388" s="449"/>
      <c r="U388" s="449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444" t="s">
        <v>382</v>
      </c>
      <c r="C389" s="187" t="s">
        <v>383</v>
      </c>
      <c r="D389" s="108">
        <v>5.03</v>
      </c>
      <c r="E389" s="108"/>
      <c r="F389" s="127"/>
      <c r="G389" s="128"/>
      <c r="H389" s="445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449"/>
      <c r="P389" s="449"/>
      <c r="Q389" s="449"/>
      <c r="R389" s="449"/>
      <c r="S389" s="449"/>
      <c r="T389" s="449"/>
      <c r="U389" s="449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444" t="s">
        <v>382</v>
      </c>
      <c r="C390" s="187" t="s">
        <v>384</v>
      </c>
      <c r="D390" s="108">
        <v>5.03</v>
      </c>
      <c r="E390" s="108"/>
      <c r="F390" s="127"/>
      <c r="G390" s="128"/>
      <c r="H390" s="445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449"/>
      <c r="P390" s="449"/>
      <c r="Q390" s="449"/>
      <c r="R390" s="449"/>
      <c r="S390" s="449"/>
      <c r="T390" s="449"/>
      <c r="U390" s="449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444" t="s">
        <v>382</v>
      </c>
      <c r="C391" s="187" t="s">
        <v>389</v>
      </c>
      <c r="D391" s="108">
        <v>5.03</v>
      </c>
      <c r="E391" s="108"/>
      <c r="F391" s="127"/>
      <c r="G391" s="128"/>
      <c r="H391" s="445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449"/>
      <c r="P391" s="449"/>
      <c r="Q391" s="449"/>
      <c r="R391" s="449"/>
      <c r="S391" s="449"/>
      <c r="T391" s="449"/>
      <c r="U391" s="449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444" t="s">
        <v>382</v>
      </c>
      <c r="C392" s="187" t="s">
        <v>391</v>
      </c>
      <c r="D392" s="108">
        <v>5.03</v>
      </c>
      <c r="E392" s="108"/>
      <c r="F392" s="127"/>
      <c r="G392" s="128"/>
      <c r="H392" s="445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449"/>
      <c r="P392" s="449"/>
      <c r="Q392" s="449"/>
      <c r="R392" s="449"/>
      <c r="S392" s="449"/>
      <c r="T392" s="449"/>
      <c r="U392" s="449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444" t="s">
        <v>418</v>
      </c>
      <c r="C393" s="187" t="s">
        <v>364</v>
      </c>
      <c r="D393" s="108">
        <v>5.03</v>
      </c>
      <c r="E393" s="108"/>
      <c r="F393" s="127"/>
      <c r="G393" s="128"/>
      <c r="H393" s="445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449"/>
      <c r="P393" s="449"/>
      <c r="Q393" s="449"/>
      <c r="R393" s="449"/>
      <c r="S393" s="449"/>
      <c r="T393" s="449"/>
      <c r="U393" s="449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444" t="s">
        <v>418</v>
      </c>
      <c r="C394" s="187" t="s">
        <v>365</v>
      </c>
      <c r="D394" s="108">
        <v>5.03</v>
      </c>
      <c r="E394" s="108"/>
      <c r="F394" s="127"/>
      <c r="G394" s="128"/>
      <c r="H394" s="445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449"/>
      <c r="P394" s="449"/>
      <c r="Q394" s="449"/>
      <c r="R394" s="449"/>
      <c r="S394" s="449"/>
      <c r="T394" s="449"/>
      <c r="U394" s="449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444" t="s">
        <v>418</v>
      </c>
      <c r="C395" s="187" t="s">
        <v>366</v>
      </c>
      <c r="D395" s="108">
        <v>5.03</v>
      </c>
      <c r="E395" s="108"/>
      <c r="F395" s="127"/>
      <c r="G395" s="128"/>
      <c r="H395" s="445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449"/>
      <c r="P395" s="449"/>
      <c r="Q395" s="449"/>
      <c r="R395" s="449"/>
      <c r="S395" s="449"/>
      <c r="T395" s="449"/>
      <c r="U395" s="449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444" t="s">
        <v>418</v>
      </c>
      <c r="C396" s="187" t="s">
        <v>367</v>
      </c>
      <c r="D396" s="108">
        <v>5.03</v>
      </c>
      <c r="E396" s="108"/>
      <c r="F396" s="127"/>
      <c r="G396" s="128"/>
      <c r="H396" s="445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449"/>
      <c r="P396" s="449"/>
      <c r="Q396" s="449"/>
      <c r="R396" s="449"/>
      <c r="S396" s="449"/>
      <c r="T396" s="449"/>
      <c r="U396" s="449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445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453"/>
      <c r="P397" s="453"/>
      <c r="Q397" s="453"/>
      <c r="R397" s="453"/>
      <c r="S397" s="453"/>
      <c r="T397" s="453"/>
      <c r="U397" s="453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445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453"/>
      <c r="P398" s="453"/>
      <c r="Q398" s="453"/>
      <c r="R398" s="453"/>
      <c r="S398" s="453"/>
      <c r="T398" s="453"/>
      <c r="U398" s="453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445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453"/>
      <c r="P399" s="453"/>
      <c r="Q399" s="453"/>
      <c r="R399" s="453"/>
      <c r="S399" s="453"/>
      <c r="T399" s="453"/>
      <c r="U399" s="453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445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453"/>
      <c r="P400" s="453"/>
      <c r="Q400" s="453"/>
      <c r="R400" s="453"/>
      <c r="S400" s="453"/>
      <c r="T400" s="453"/>
      <c r="U400" s="453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445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453"/>
      <c r="P401" s="453"/>
      <c r="Q401" s="453"/>
      <c r="R401" s="453"/>
      <c r="S401" s="453"/>
      <c r="T401" s="453"/>
      <c r="U401" s="453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445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453"/>
      <c r="P402" s="453"/>
      <c r="Q402" s="453"/>
      <c r="R402" s="453"/>
      <c r="S402" s="453"/>
      <c r="T402" s="453"/>
      <c r="U402" s="453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445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453"/>
      <c r="P403" s="453"/>
      <c r="Q403" s="453"/>
      <c r="R403" s="453"/>
      <c r="S403" s="453"/>
      <c r="T403" s="453"/>
      <c r="U403" s="453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445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453"/>
      <c r="P404" s="453"/>
      <c r="Q404" s="453"/>
      <c r="R404" s="453"/>
      <c r="S404" s="453"/>
      <c r="T404" s="453"/>
      <c r="U404" s="453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445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453"/>
      <c r="P405" s="453"/>
      <c r="Q405" s="453"/>
      <c r="R405" s="453"/>
      <c r="S405" s="453"/>
      <c r="T405" s="453"/>
      <c r="U405" s="453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445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453"/>
      <c r="P406" s="453"/>
      <c r="Q406" s="453"/>
      <c r="R406" s="453"/>
      <c r="S406" s="453"/>
      <c r="T406" s="453"/>
      <c r="U406" s="453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430</v>
      </c>
      <c r="C407" s="187" t="s">
        <v>432</v>
      </c>
      <c r="D407" s="108">
        <v>50.3</v>
      </c>
      <c r="E407" s="108"/>
      <c r="F407" s="127"/>
      <c r="G407" s="128"/>
      <c r="H407" s="445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453"/>
      <c r="P407" s="453"/>
      <c r="Q407" s="453"/>
      <c r="R407" s="453"/>
      <c r="S407" s="453"/>
      <c r="T407" s="453"/>
      <c r="U407" s="453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445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453"/>
      <c r="P408" s="453"/>
      <c r="Q408" s="453"/>
      <c r="R408" s="453"/>
      <c r="S408" s="453"/>
      <c r="T408" s="453"/>
      <c r="U408" s="453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445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453"/>
      <c r="P409" s="453"/>
      <c r="Q409" s="453"/>
      <c r="R409" s="453"/>
      <c r="S409" s="453"/>
      <c r="T409" s="453"/>
      <c r="U409" s="453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445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453"/>
      <c r="P410" s="453"/>
      <c r="Q410" s="453"/>
      <c r="R410" s="453"/>
      <c r="S410" s="453"/>
      <c r="T410" s="453"/>
      <c r="U410" s="453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445">
        <f t="shared" si="171"/>
        <v>0</v>
      </c>
      <c r="I411" s="129"/>
      <c r="J411" s="130"/>
      <c r="K411" s="131"/>
      <c r="L411" s="129"/>
      <c r="M411" s="109"/>
      <c r="N411" s="130"/>
      <c r="O411" s="453"/>
      <c r="P411" s="453"/>
      <c r="Q411" s="453"/>
      <c r="R411" s="453"/>
      <c r="S411" s="453"/>
      <c r="T411" s="453"/>
      <c r="U411" s="453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445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453"/>
      <c r="P412" s="453"/>
      <c r="Q412" s="453"/>
      <c r="R412" s="453"/>
      <c r="S412" s="453"/>
      <c r="T412" s="453"/>
      <c r="U412" s="453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445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453"/>
      <c r="P413" s="453"/>
      <c r="Q413" s="453"/>
      <c r="R413" s="453"/>
      <c r="S413" s="453"/>
      <c r="T413" s="453"/>
      <c r="U413" s="453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445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453"/>
      <c r="P414" s="453"/>
      <c r="Q414" s="453"/>
      <c r="R414" s="453"/>
      <c r="S414" s="453"/>
      <c r="T414" s="453"/>
      <c r="U414" s="453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445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453"/>
      <c r="P415" s="453"/>
      <c r="Q415" s="453"/>
      <c r="R415" s="453"/>
      <c r="S415" s="453"/>
      <c r="T415" s="453"/>
      <c r="U415" s="453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445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453"/>
      <c r="P416" s="453"/>
      <c r="Q416" s="453"/>
      <c r="R416" s="453"/>
      <c r="S416" s="453"/>
      <c r="T416" s="453"/>
      <c r="U416" s="453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445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453"/>
      <c r="P417" s="453"/>
      <c r="Q417" s="453"/>
      <c r="R417" s="453"/>
      <c r="S417" s="453"/>
      <c r="T417" s="453"/>
      <c r="U417" s="453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445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453"/>
      <c r="P418" s="453"/>
      <c r="Q418" s="453"/>
      <c r="R418" s="453"/>
      <c r="S418" s="453"/>
      <c r="T418" s="453"/>
      <c r="U418" s="453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445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453"/>
      <c r="P419" s="453"/>
      <c r="Q419" s="453"/>
      <c r="R419" s="453"/>
      <c r="S419" s="453"/>
      <c r="T419" s="453"/>
      <c r="U419" s="453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445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453"/>
      <c r="P420" s="453"/>
      <c r="Q420" s="453"/>
      <c r="R420" s="453"/>
      <c r="S420" s="453"/>
      <c r="T420" s="453"/>
      <c r="U420" s="453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445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453"/>
      <c r="P421" s="453"/>
      <c r="Q421" s="453"/>
      <c r="R421" s="453"/>
      <c r="S421" s="453"/>
      <c r="T421" s="453"/>
      <c r="U421" s="453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445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453"/>
      <c r="P422" s="453"/>
      <c r="Q422" s="453"/>
      <c r="R422" s="453"/>
      <c r="S422" s="453"/>
      <c r="T422" s="453"/>
      <c r="U422" s="453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445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453"/>
      <c r="P423" s="453"/>
      <c r="Q423" s="453"/>
      <c r="R423" s="453"/>
      <c r="S423" s="453"/>
      <c r="T423" s="453"/>
      <c r="U423" s="453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445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453"/>
      <c r="P424" s="453"/>
      <c r="Q424" s="453"/>
      <c r="R424" s="453"/>
      <c r="S424" s="453"/>
      <c r="T424" s="453"/>
      <c r="U424" s="453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445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453"/>
      <c r="P425" s="453"/>
      <c r="Q425" s="453"/>
      <c r="R425" s="453"/>
      <c r="S425" s="453"/>
      <c r="T425" s="453"/>
      <c r="U425" s="453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41" t="s">
        <v>216</v>
      </c>
      <c r="B426" s="641"/>
      <c r="C426" s="454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customHeight="1">
      <c r="A427" s="299">
        <v>30400012</v>
      </c>
      <c r="B427" s="444" t="s">
        <v>217</v>
      </c>
      <c r="C427" s="126" t="s">
        <v>179</v>
      </c>
      <c r="D427" s="108">
        <v>5.03</v>
      </c>
      <c r="E427" s="108"/>
      <c r="F427" s="127">
        <v>42712</v>
      </c>
      <c r="G427" s="128">
        <f>72+63+28+50</f>
        <v>213</v>
      </c>
      <c r="H427" s="445">
        <f t="shared" ref="H427:H460" si="196">D427*G427</f>
        <v>1071.3900000000001</v>
      </c>
      <c r="I427" s="129">
        <f>6.5+8.5+10</f>
        <v>25</v>
      </c>
      <c r="J427" s="130">
        <f t="array" ref="J427">IF(ISERROR(G427/I427),"",G427/I427)</f>
        <v>8.52</v>
      </c>
      <c r="K427" s="131">
        <f t="array" ref="K427">IF(ISERROR(G427/L427),"",G427/L427)</f>
        <v>24.204545454545453</v>
      </c>
      <c r="L427" s="129">
        <v>8.8000000000000007</v>
      </c>
      <c r="M427" s="109">
        <f t="shared" ref="M427:M434" si="197">IF(ISERROR(I427-K427),"",I427-K427)</f>
        <v>0.79545454545454675</v>
      </c>
      <c r="N427" s="130">
        <f t="shared" ref="N427:N434" si="198">SUM(O427:U427)</f>
        <v>0</v>
      </c>
      <c r="O427" s="453"/>
      <c r="P427" s="453"/>
      <c r="Q427" s="453"/>
      <c r="R427" s="453"/>
      <c r="S427" s="453"/>
      <c r="T427" s="453"/>
      <c r="U427" s="453"/>
      <c r="V427" s="132">
        <f t="shared" ref="V427:V433" si="199">SUM(X427:AA427)</f>
        <v>0</v>
      </c>
      <c r="W427" s="133">
        <f t="shared" si="195"/>
        <v>0</v>
      </c>
      <c r="X427" s="132"/>
      <c r="Y427" s="132"/>
      <c r="Z427" s="132"/>
      <c r="AA427" s="132"/>
    </row>
    <row r="428" spans="1:27" ht="20.100000000000001" customHeight="1">
      <c r="A428" s="299">
        <v>30400010</v>
      </c>
      <c r="B428" s="444" t="s">
        <v>217</v>
      </c>
      <c r="C428" s="126" t="s">
        <v>186</v>
      </c>
      <c r="D428" s="108">
        <v>5.03</v>
      </c>
      <c r="E428" s="108"/>
      <c r="F428" s="127">
        <v>42714</v>
      </c>
      <c r="G428" s="128">
        <f>70+72</f>
        <v>142</v>
      </c>
      <c r="H428" s="445">
        <f t="shared" si="196"/>
        <v>714.26</v>
      </c>
      <c r="I428" s="129">
        <f>7+7</f>
        <v>14</v>
      </c>
      <c r="J428" s="130">
        <f t="array" ref="J428">IF(ISERROR(G428/I428),"",G428/I428)</f>
        <v>10.142857142857142</v>
      </c>
      <c r="K428" s="131">
        <f t="array" ref="K428">IF(ISERROR(G428/L428),"",G428/L428)</f>
        <v>16.136363636363637</v>
      </c>
      <c r="L428" s="129">
        <v>8.8000000000000007</v>
      </c>
      <c r="M428" s="109">
        <f t="shared" si="197"/>
        <v>-2.1363636363636367</v>
      </c>
      <c r="N428" s="130">
        <f t="shared" si="198"/>
        <v>0</v>
      </c>
      <c r="O428" s="453"/>
      <c r="P428" s="453"/>
      <c r="Q428" s="453"/>
      <c r="R428" s="453"/>
      <c r="S428" s="453"/>
      <c r="T428" s="453"/>
      <c r="U428" s="453"/>
      <c r="V428" s="132">
        <f t="shared" si="199"/>
        <v>0</v>
      </c>
      <c r="W428" s="133">
        <f t="shared" si="195"/>
        <v>0</v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444" t="s">
        <v>217</v>
      </c>
      <c r="C429" s="126" t="s">
        <v>204</v>
      </c>
      <c r="D429" s="108">
        <v>5.03</v>
      </c>
      <c r="E429" s="108"/>
      <c r="F429" s="127"/>
      <c r="G429" s="128"/>
      <c r="H429" s="445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7"/>
        <v>0</v>
      </c>
      <c r="N429" s="130">
        <f t="shared" si="198"/>
        <v>0</v>
      </c>
      <c r="O429" s="453"/>
      <c r="P429" s="453"/>
      <c r="Q429" s="453"/>
      <c r="R429" s="453"/>
      <c r="S429" s="453"/>
      <c r="T429" s="453"/>
      <c r="U429" s="453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>
        <v>42707</v>
      </c>
      <c r="G430" s="128">
        <f>19+108</f>
        <v>127</v>
      </c>
      <c r="H430" s="445">
        <f t="shared" si="196"/>
        <v>638.81000000000006</v>
      </c>
      <c r="I430" s="129">
        <f>6*2</f>
        <v>12</v>
      </c>
      <c r="J430" s="130">
        <f t="array" ref="J430">IF(ISERROR(G430/I430),"",G430/I430)</f>
        <v>10.583333333333334</v>
      </c>
      <c r="K430" s="131">
        <f t="array" ref="K430">IF(ISERROR(G430/L430),"",G430/L430)</f>
        <v>13.655913978494622</v>
      </c>
      <c r="L430" s="129">
        <v>9.3000000000000007</v>
      </c>
      <c r="M430" s="109">
        <f t="shared" si="197"/>
        <v>-1.6559139784946222</v>
      </c>
      <c r="N430" s="130">
        <f t="shared" si="198"/>
        <v>0</v>
      </c>
      <c r="O430" s="453"/>
      <c r="P430" s="453"/>
      <c r="Q430" s="453"/>
      <c r="R430" s="453"/>
      <c r="S430" s="453"/>
      <c r="T430" s="453"/>
      <c r="U430" s="453"/>
      <c r="V430" s="132">
        <f t="shared" si="199"/>
        <v>0</v>
      </c>
      <c r="W430" s="133">
        <f t="shared" si="195"/>
        <v>0</v>
      </c>
      <c r="X430" s="132"/>
      <c r="Y430" s="132"/>
      <c r="Z430" s="132"/>
      <c r="AA430" s="132"/>
    </row>
    <row r="431" spans="1:27" ht="20.10000000000000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>
        <v>42707</v>
      </c>
      <c r="G431" s="128">
        <v>76</v>
      </c>
      <c r="H431" s="445">
        <f t="shared" si="196"/>
        <v>382.28000000000003</v>
      </c>
      <c r="I431" s="129">
        <f>3*2</f>
        <v>6</v>
      </c>
      <c r="J431" s="130">
        <f t="array" ref="J431">IF(ISERROR(G431/I431),"",G431/I431)</f>
        <v>12.666666666666666</v>
      </c>
      <c r="K431" s="131">
        <f t="array" ref="K431">IF(ISERROR(G431/L431),"",G431/L431)</f>
        <v>8.172043010752688</v>
      </c>
      <c r="L431" s="129">
        <v>9.3000000000000007</v>
      </c>
      <c r="M431" s="109">
        <f t="shared" si="197"/>
        <v>-2.172043010752688</v>
      </c>
      <c r="N431" s="130">
        <f t="shared" si="198"/>
        <v>0</v>
      </c>
      <c r="O431" s="453"/>
      <c r="P431" s="453"/>
      <c r="Q431" s="453"/>
      <c r="R431" s="453"/>
      <c r="S431" s="453"/>
      <c r="T431" s="453"/>
      <c r="U431" s="453"/>
      <c r="V431" s="132">
        <f t="shared" si="199"/>
        <v>0</v>
      </c>
      <c r="W431" s="133">
        <f t="shared" si="195"/>
        <v>0</v>
      </c>
      <c r="X431" s="132"/>
      <c r="Y431" s="132"/>
      <c r="Z431" s="132"/>
      <c r="AA431" s="132"/>
    </row>
    <row r="432" spans="1:27" ht="20.10000000000000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>
        <v>42707</v>
      </c>
      <c r="G432" s="128">
        <f>1+38+33+34+108</f>
        <v>214</v>
      </c>
      <c r="H432" s="445">
        <f t="shared" si="196"/>
        <v>1076.42</v>
      </c>
      <c r="I432" s="129">
        <f>8*2+3+3</f>
        <v>22</v>
      </c>
      <c r="J432" s="130">
        <f t="array" ref="J432">IF(ISERROR(G432/I432),"",G432/I432)</f>
        <v>9.7272727272727266</v>
      </c>
      <c r="K432" s="131">
        <f t="array" ref="K432">IF(ISERROR(G432/L432),"",G432/L432)</f>
        <v>23.01075268817204</v>
      </c>
      <c r="L432" s="129">
        <v>9.3000000000000007</v>
      </c>
      <c r="M432" s="109">
        <f t="shared" si="197"/>
        <v>-1.0107526881720403</v>
      </c>
      <c r="N432" s="130">
        <f t="shared" si="198"/>
        <v>0</v>
      </c>
      <c r="O432" s="453"/>
      <c r="P432" s="453"/>
      <c r="Q432" s="453"/>
      <c r="R432" s="453"/>
      <c r="S432" s="453"/>
      <c r="T432" s="453"/>
      <c r="U432" s="453"/>
      <c r="V432" s="132">
        <f t="shared" si="199"/>
        <v>0</v>
      </c>
      <c r="W432" s="133">
        <f t="shared" si="195"/>
        <v>0</v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445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453"/>
      <c r="P433" s="453"/>
      <c r="Q433" s="453"/>
      <c r="R433" s="453"/>
      <c r="S433" s="453"/>
      <c r="T433" s="453"/>
      <c r="U433" s="453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445">
        <f t="shared" si="196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453"/>
      <c r="P434" s="453"/>
      <c r="Q434" s="453"/>
      <c r="R434" s="453"/>
      <c r="S434" s="453"/>
      <c r="T434" s="453"/>
      <c r="U434" s="453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445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453"/>
      <c r="P435" s="453"/>
      <c r="Q435" s="453"/>
      <c r="R435" s="453"/>
      <c r="S435" s="453"/>
      <c r="T435" s="453"/>
      <c r="U435" s="453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445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453"/>
      <c r="P436" s="453"/>
      <c r="Q436" s="453"/>
      <c r="R436" s="453"/>
      <c r="S436" s="453"/>
      <c r="T436" s="453"/>
      <c r="U436" s="453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445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53"/>
      <c r="P437" s="453"/>
      <c r="Q437" s="453"/>
      <c r="R437" s="453"/>
      <c r="S437" s="453"/>
      <c r="T437" s="453"/>
      <c r="U437" s="453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445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53"/>
      <c r="P438" s="453"/>
      <c r="Q438" s="453"/>
      <c r="R438" s="453"/>
      <c r="S438" s="453"/>
      <c r="T438" s="453"/>
      <c r="U438" s="453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445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453"/>
      <c r="P439" s="453"/>
      <c r="Q439" s="453"/>
      <c r="R439" s="453"/>
      <c r="S439" s="453"/>
      <c r="T439" s="453"/>
      <c r="U439" s="453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445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453"/>
      <c r="P440" s="453"/>
      <c r="Q440" s="453"/>
      <c r="R440" s="453"/>
      <c r="S440" s="453"/>
      <c r="T440" s="453"/>
      <c r="U440" s="453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445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453"/>
      <c r="P441" s="453"/>
      <c r="Q441" s="453"/>
      <c r="R441" s="453"/>
      <c r="S441" s="453"/>
      <c r="T441" s="453"/>
      <c r="U441" s="453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445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453"/>
      <c r="P442" s="453"/>
      <c r="Q442" s="453"/>
      <c r="R442" s="453"/>
      <c r="S442" s="453"/>
      <c r="T442" s="453"/>
      <c r="U442" s="453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444" t="s">
        <v>222</v>
      </c>
      <c r="C443" s="126" t="s">
        <v>181</v>
      </c>
      <c r="D443" s="108">
        <v>9.36</v>
      </c>
      <c r="E443" s="108"/>
      <c r="F443" s="127"/>
      <c r="G443" s="128"/>
      <c r="H443" s="445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453"/>
      <c r="P443" s="453"/>
      <c r="Q443" s="453"/>
      <c r="R443" s="453"/>
      <c r="S443" s="453"/>
      <c r="T443" s="453"/>
      <c r="U443" s="453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444" t="s">
        <v>222</v>
      </c>
      <c r="C444" s="126" t="s">
        <v>179</v>
      </c>
      <c r="D444" s="108">
        <v>9.36</v>
      </c>
      <c r="E444" s="108"/>
      <c r="F444" s="127"/>
      <c r="G444" s="128"/>
      <c r="H444" s="445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453"/>
      <c r="P444" s="453"/>
      <c r="Q444" s="453"/>
      <c r="R444" s="453"/>
      <c r="S444" s="453"/>
      <c r="T444" s="453"/>
      <c r="U444" s="453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444" t="s">
        <v>222</v>
      </c>
      <c r="C445" s="126" t="s">
        <v>221</v>
      </c>
      <c r="D445" s="108">
        <v>9.36</v>
      </c>
      <c r="E445" s="108"/>
      <c r="F445" s="127"/>
      <c r="G445" s="128"/>
      <c r="H445" s="445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453"/>
      <c r="P445" s="453"/>
      <c r="Q445" s="453"/>
      <c r="R445" s="453"/>
      <c r="S445" s="453"/>
      <c r="T445" s="453"/>
      <c r="U445" s="453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444" t="s">
        <v>222</v>
      </c>
      <c r="C446" s="126" t="s">
        <v>186</v>
      </c>
      <c r="D446" s="108">
        <v>9.36</v>
      </c>
      <c r="E446" s="108"/>
      <c r="F446" s="127"/>
      <c r="G446" s="128"/>
      <c r="H446" s="445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453"/>
      <c r="P446" s="453"/>
      <c r="Q446" s="453"/>
      <c r="R446" s="453"/>
      <c r="S446" s="453"/>
      <c r="T446" s="453"/>
      <c r="U446" s="453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444" t="s">
        <v>393</v>
      </c>
      <c r="C447" s="187" t="s">
        <v>395</v>
      </c>
      <c r="D447" s="108">
        <v>5</v>
      </c>
      <c r="E447" s="108"/>
      <c r="F447" s="127"/>
      <c r="G447" s="128"/>
      <c r="H447" s="445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453"/>
      <c r="P447" s="453"/>
      <c r="Q447" s="453"/>
      <c r="R447" s="453"/>
      <c r="S447" s="453"/>
      <c r="T447" s="453"/>
      <c r="U447" s="453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444" t="s">
        <v>393</v>
      </c>
      <c r="C448" s="187" t="s">
        <v>402</v>
      </c>
      <c r="D448" s="108">
        <v>5</v>
      </c>
      <c r="E448" s="108"/>
      <c r="F448" s="127"/>
      <c r="G448" s="128"/>
      <c r="H448" s="445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453"/>
      <c r="P448" s="453"/>
      <c r="Q448" s="453"/>
      <c r="R448" s="453"/>
      <c r="S448" s="453"/>
      <c r="T448" s="453"/>
      <c r="U448" s="453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444" t="s">
        <v>404</v>
      </c>
      <c r="C449" s="187" t="s">
        <v>405</v>
      </c>
      <c r="D449" s="108">
        <v>5</v>
      </c>
      <c r="E449" s="108"/>
      <c r="F449" s="127"/>
      <c r="G449" s="128"/>
      <c r="H449" s="445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453"/>
      <c r="P449" s="453"/>
      <c r="Q449" s="453"/>
      <c r="R449" s="453"/>
      <c r="S449" s="453"/>
      <c r="T449" s="453"/>
      <c r="U449" s="453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444" t="s">
        <v>342</v>
      </c>
      <c r="C450" s="187" t="s">
        <v>372</v>
      </c>
      <c r="D450" s="108">
        <v>5</v>
      </c>
      <c r="E450" s="108"/>
      <c r="F450" s="127"/>
      <c r="G450" s="128"/>
      <c r="H450" s="445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453"/>
      <c r="P450" s="453"/>
      <c r="Q450" s="453"/>
      <c r="R450" s="453"/>
      <c r="S450" s="453"/>
      <c r="T450" s="453"/>
      <c r="U450" s="453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444" t="s">
        <v>343</v>
      </c>
      <c r="C451" s="126" t="s">
        <v>345</v>
      </c>
      <c r="D451" s="108">
        <v>5</v>
      </c>
      <c r="E451" s="108"/>
      <c r="F451" s="127"/>
      <c r="G451" s="128"/>
      <c r="H451" s="445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453"/>
      <c r="P451" s="453"/>
      <c r="Q451" s="453"/>
      <c r="R451" s="453"/>
      <c r="S451" s="453"/>
      <c r="T451" s="453"/>
      <c r="U451" s="453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444" t="s">
        <v>343</v>
      </c>
      <c r="C452" s="126" t="s">
        <v>347</v>
      </c>
      <c r="D452" s="108">
        <v>5</v>
      </c>
      <c r="E452" s="108"/>
      <c r="F452" s="127"/>
      <c r="G452" s="128"/>
      <c r="H452" s="445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453"/>
      <c r="P452" s="453"/>
      <c r="Q452" s="453"/>
      <c r="R452" s="453"/>
      <c r="S452" s="453"/>
      <c r="T452" s="453"/>
      <c r="U452" s="453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445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453"/>
      <c r="P453" s="453"/>
      <c r="Q453" s="453"/>
      <c r="R453" s="453"/>
      <c r="S453" s="453"/>
      <c r="T453" s="453"/>
      <c r="U453" s="453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445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453"/>
      <c r="P454" s="453"/>
      <c r="Q454" s="453"/>
      <c r="R454" s="453"/>
      <c r="S454" s="453"/>
      <c r="T454" s="453"/>
      <c r="U454" s="453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420</v>
      </c>
      <c r="D455" s="108"/>
      <c r="E455" s="108"/>
      <c r="F455" s="127"/>
      <c r="G455" s="128"/>
      <c r="H455" s="445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453"/>
      <c r="P455" s="453"/>
      <c r="Q455" s="453"/>
      <c r="R455" s="453"/>
      <c r="S455" s="453"/>
      <c r="T455" s="453"/>
      <c r="U455" s="453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445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453"/>
      <c r="P456" s="453"/>
      <c r="Q456" s="453"/>
      <c r="R456" s="453"/>
      <c r="S456" s="453"/>
      <c r="T456" s="453"/>
      <c r="U456" s="453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445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453"/>
      <c r="P457" s="453"/>
      <c r="Q457" s="453"/>
      <c r="R457" s="453"/>
      <c r="S457" s="453"/>
      <c r="T457" s="453"/>
      <c r="U457" s="453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445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453"/>
      <c r="P458" s="453"/>
      <c r="Q458" s="453"/>
      <c r="R458" s="453"/>
      <c r="S458" s="453"/>
      <c r="T458" s="453"/>
      <c r="U458" s="453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445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453"/>
      <c r="P459" s="453"/>
      <c r="Q459" s="453"/>
      <c r="R459" s="453"/>
      <c r="S459" s="453"/>
      <c r="T459" s="453"/>
      <c r="U459" s="453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445">
        <f t="shared" si="196"/>
        <v>0</v>
      </c>
      <c r="I460" s="129"/>
      <c r="J460" s="130" t="str">
        <f t="array" ref="J460">IF(ISERROR(G460/I460),"",G460/I460)</f>
        <v/>
      </c>
      <c r="K460" s="445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453"/>
      <c r="P460" s="453"/>
      <c r="Q460" s="453"/>
      <c r="R460" s="453"/>
      <c r="S460" s="453"/>
      <c r="T460" s="453"/>
      <c r="U460" s="453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customHeight="1">
      <c r="A461" s="630" t="s">
        <v>224</v>
      </c>
      <c r="B461" s="631"/>
      <c r="C461" s="454" t="s">
        <v>202</v>
      </c>
      <c r="D461" s="143"/>
      <c r="E461" s="143"/>
      <c r="F461" s="144"/>
      <c r="G461" s="145">
        <f>SUM(G427:G460)</f>
        <v>772</v>
      </c>
      <c r="H461" s="146">
        <f>SUM(H427:H460)</f>
        <v>3883.1600000000003</v>
      </c>
      <c r="I461" s="146">
        <f>SUM(I427:I460)</f>
        <v>79</v>
      </c>
      <c r="J461" s="130">
        <f t="array" ref="J461">IF(ISERROR(G461/I461),"",G461/I461)</f>
        <v>9.7721518987341778</v>
      </c>
      <c r="K461" s="146">
        <f>SUM(K427:K460)</f>
        <v>85.179618768328453</v>
      </c>
      <c r="L461" s="147"/>
      <c r="M461" s="150">
        <f t="shared" ref="M461:V461" si="210">SUM(M427:M460)</f>
        <v>-6.1796187683284405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>
        <f t="shared" si="209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445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453"/>
      <c r="P462" s="453"/>
      <c r="Q462" s="453"/>
      <c r="R462" s="453"/>
      <c r="S462" s="453"/>
      <c r="T462" s="453"/>
      <c r="U462" s="453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445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453"/>
      <c r="P463" s="453"/>
      <c r="Q463" s="453"/>
      <c r="R463" s="453"/>
      <c r="S463" s="453"/>
      <c r="T463" s="453"/>
      <c r="U463" s="453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445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453"/>
      <c r="P464" s="453"/>
      <c r="Q464" s="453"/>
      <c r="R464" s="453"/>
      <c r="S464" s="453"/>
      <c r="T464" s="453"/>
      <c r="U464" s="453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445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453"/>
      <c r="P465" s="453"/>
      <c r="Q465" s="453"/>
      <c r="R465" s="453"/>
      <c r="S465" s="453"/>
      <c r="T465" s="453"/>
      <c r="U465" s="453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450" t="s">
        <v>203</v>
      </c>
      <c r="D466" s="108">
        <v>5.03</v>
      </c>
      <c r="E466" s="108"/>
      <c r="F466" s="127"/>
      <c r="G466" s="128"/>
      <c r="H466" s="445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453"/>
      <c r="P466" s="453"/>
      <c r="Q466" s="453"/>
      <c r="R466" s="453"/>
      <c r="S466" s="453"/>
      <c r="T466" s="453"/>
      <c r="U466" s="453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445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453"/>
      <c r="P467" s="453"/>
      <c r="Q467" s="453"/>
      <c r="R467" s="453"/>
      <c r="S467" s="453"/>
      <c r="T467" s="453"/>
      <c r="U467" s="453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445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453"/>
      <c r="P468" s="453"/>
      <c r="Q468" s="453"/>
      <c r="R468" s="453"/>
      <c r="S468" s="453"/>
      <c r="T468" s="453"/>
      <c r="U468" s="453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450" t="s">
        <v>228</v>
      </c>
      <c r="D469" s="108">
        <v>5.03</v>
      </c>
      <c r="E469" s="108"/>
      <c r="F469" s="127"/>
      <c r="G469" s="128"/>
      <c r="H469" s="445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453"/>
      <c r="P469" s="453"/>
      <c r="Q469" s="453"/>
      <c r="R469" s="453"/>
      <c r="S469" s="453"/>
      <c r="T469" s="453"/>
      <c r="U469" s="453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450" t="s">
        <v>212</v>
      </c>
      <c r="D470" s="108">
        <v>5.03</v>
      </c>
      <c r="E470" s="108"/>
      <c r="F470" s="127"/>
      <c r="G470" s="128"/>
      <c r="H470" s="445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453"/>
      <c r="P470" s="453"/>
      <c r="Q470" s="453"/>
      <c r="R470" s="453"/>
      <c r="S470" s="453"/>
      <c r="T470" s="453"/>
      <c r="U470" s="453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450" t="s">
        <v>203</v>
      </c>
      <c r="D471" s="108">
        <v>5.03</v>
      </c>
      <c r="E471" s="108"/>
      <c r="F471" s="127"/>
      <c r="G471" s="128"/>
      <c r="H471" s="445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453"/>
      <c r="P471" s="453"/>
      <c r="Q471" s="453"/>
      <c r="R471" s="453"/>
      <c r="S471" s="453"/>
      <c r="T471" s="453"/>
      <c r="U471" s="453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450" t="s">
        <v>186</v>
      </c>
      <c r="D472" s="108">
        <v>5.03</v>
      </c>
      <c r="E472" s="108"/>
      <c r="F472" s="127"/>
      <c r="G472" s="128"/>
      <c r="H472" s="445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453"/>
      <c r="P472" s="453"/>
      <c r="Q472" s="453"/>
      <c r="R472" s="453"/>
      <c r="S472" s="453"/>
      <c r="T472" s="453"/>
      <c r="U472" s="453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450" t="s">
        <v>228</v>
      </c>
      <c r="D473" s="108">
        <v>5.03</v>
      </c>
      <c r="E473" s="108"/>
      <c r="F473" s="127"/>
      <c r="G473" s="128"/>
      <c r="H473" s="445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453"/>
      <c r="P473" s="453"/>
      <c r="Q473" s="453"/>
      <c r="R473" s="453"/>
      <c r="S473" s="453"/>
      <c r="T473" s="453"/>
      <c r="U473" s="453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450" t="s">
        <v>199</v>
      </c>
      <c r="D474" s="108">
        <v>5.03</v>
      </c>
      <c r="E474" s="108"/>
      <c r="F474" s="127"/>
      <c r="G474" s="128"/>
      <c r="H474" s="445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453"/>
      <c r="P474" s="453"/>
      <c r="Q474" s="453"/>
      <c r="R474" s="453"/>
      <c r="S474" s="453"/>
      <c r="T474" s="453"/>
      <c r="U474" s="453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445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453"/>
      <c r="P475" s="453"/>
      <c r="Q475" s="453"/>
      <c r="R475" s="453"/>
      <c r="S475" s="453"/>
      <c r="T475" s="453"/>
      <c r="U475" s="453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445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453"/>
      <c r="P476" s="453"/>
      <c r="Q476" s="453"/>
      <c r="R476" s="453"/>
      <c r="S476" s="453"/>
      <c r="T476" s="453"/>
      <c r="U476" s="453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630" t="s">
        <v>231</v>
      </c>
      <c r="B477" s="631"/>
      <c r="C477" s="454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445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453"/>
      <c r="P478" s="453"/>
      <c r="Q478" s="453"/>
      <c r="R478" s="453"/>
      <c r="S478" s="453"/>
      <c r="T478" s="453"/>
      <c r="U478" s="453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445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453"/>
      <c r="P479" s="453"/>
      <c r="Q479" s="453"/>
      <c r="R479" s="453"/>
      <c r="S479" s="453"/>
      <c r="T479" s="453"/>
      <c r="U479" s="453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445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453"/>
      <c r="P480" s="453"/>
      <c r="Q480" s="453"/>
      <c r="R480" s="453"/>
      <c r="S480" s="453"/>
      <c r="T480" s="453"/>
      <c r="U480" s="453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445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453"/>
      <c r="P481" s="453"/>
      <c r="Q481" s="453"/>
      <c r="R481" s="453"/>
      <c r="S481" s="453"/>
      <c r="T481" s="453"/>
      <c r="U481" s="453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445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453"/>
      <c r="P482" s="453"/>
      <c r="Q482" s="453"/>
      <c r="R482" s="453"/>
      <c r="S482" s="453"/>
      <c r="T482" s="453"/>
      <c r="U482" s="453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445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453"/>
      <c r="P483" s="453"/>
      <c r="Q483" s="453"/>
      <c r="R483" s="453"/>
      <c r="S483" s="453"/>
      <c r="T483" s="453"/>
      <c r="U483" s="453"/>
      <c r="V483" s="132"/>
      <c r="W483" s="133"/>
      <c r="X483" s="132"/>
      <c r="Y483" s="132"/>
      <c r="Z483" s="132"/>
      <c r="AA483" s="132"/>
    </row>
    <row r="484" spans="1:27" ht="20.10000000000000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470"/>
      <c r="P484" s="470"/>
      <c r="Q484" s="470"/>
      <c r="R484" s="470"/>
      <c r="S484" s="470"/>
      <c r="T484" s="470"/>
      <c r="U484" s="470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445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453"/>
      <c r="P486" s="453"/>
      <c r="Q486" s="453"/>
      <c r="R486" s="453"/>
      <c r="S486" s="453"/>
      <c r="T486" s="453"/>
      <c r="U486" s="453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30" t="s">
        <v>234</v>
      </c>
      <c r="B487" s="631"/>
      <c r="C487" s="454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451"/>
      <c r="D488" s="108">
        <v>3.65</v>
      </c>
      <c r="E488" s="108"/>
      <c r="F488" s="153"/>
      <c r="G488" s="128"/>
      <c r="H488" s="445">
        <f t="shared" ref="H488:H502" si="223">D488*G488</f>
        <v>0</v>
      </c>
      <c r="I488" s="129"/>
      <c r="J488" s="130" t="str">
        <f t="array" ref="J488">IF(ISERROR(G488/I488),"",G488/I488)</f>
        <v/>
      </c>
      <c r="K488" s="445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453"/>
      <c r="P488" s="453"/>
      <c r="Q488" s="453"/>
      <c r="R488" s="453"/>
      <c r="S488" s="453"/>
      <c r="T488" s="453"/>
      <c r="U488" s="453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451"/>
      <c r="D489" s="108">
        <v>6.58</v>
      </c>
      <c r="E489" s="108"/>
      <c r="F489" s="127"/>
      <c r="G489" s="128"/>
      <c r="H489" s="445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453"/>
      <c r="P489" s="453"/>
      <c r="Q489" s="453"/>
      <c r="R489" s="453"/>
      <c r="S489" s="453"/>
      <c r="T489" s="453"/>
      <c r="U489" s="453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451"/>
      <c r="D490" s="108">
        <v>7.8</v>
      </c>
      <c r="E490" s="108"/>
      <c r="F490" s="127"/>
      <c r="G490" s="128"/>
      <c r="H490" s="445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453"/>
      <c r="P490" s="453"/>
      <c r="Q490" s="453"/>
      <c r="R490" s="453"/>
      <c r="S490" s="453"/>
      <c r="T490" s="453"/>
      <c r="U490" s="453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451"/>
      <c r="D491" s="108">
        <v>4.4000000000000004</v>
      </c>
      <c r="E491" s="108"/>
      <c r="F491" s="127"/>
      <c r="G491" s="128"/>
      <c r="H491" s="445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453"/>
      <c r="P491" s="453"/>
      <c r="Q491" s="453"/>
      <c r="R491" s="453"/>
      <c r="S491" s="453"/>
      <c r="T491" s="453"/>
      <c r="U491" s="453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445">
        <f t="shared" si="223"/>
        <v>0</v>
      </c>
      <c r="I492" s="129"/>
      <c r="J492" s="130"/>
      <c r="K492" s="131"/>
      <c r="L492" s="129"/>
      <c r="M492" s="109"/>
      <c r="N492" s="130"/>
      <c r="O492" s="453"/>
      <c r="P492" s="453"/>
      <c r="Q492" s="453"/>
      <c r="R492" s="453"/>
      <c r="S492" s="453"/>
      <c r="T492" s="453"/>
      <c r="U492" s="453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451"/>
      <c r="D493" s="108"/>
      <c r="E493" s="108"/>
      <c r="F493" s="127"/>
      <c r="G493" s="128"/>
      <c r="H493" s="445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453"/>
      <c r="P493" s="453"/>
      <c r="Q493" s="453"/>
      <c r="R493" s="453"/>
      <c r="S493" s="453"/>
      <c r="T493" s="453"/>
      <c r="U493" s="453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451" t="s">
        <v>239</v>
      </c>
      <c r="C494" s="451" t="s">
        <v>179</v>
      </c>
      <c r="D494" s="108">
        <v>6.04</v>
      </c>
      <c r="E494" s="108"/>
      <c r="F494" s="127"/>
      <c r="G494" s="128"/>
      <c r="H494" s="445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453"/>
      <c r="P494" s="453"/>
      <c r="Q494" s="453"/>
      <c r="R494" s="453"/>
      <c r="S494" s="453"/>
      <c r="T494" s="453"/>
      <c r="U494" s="453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451" t="s">
        <v>239</v>
      </c>
      <c r="C495" s="451" t="s">
        <v>186</v>
      </c>
      <c r="D495" s="108">
        <v>6.04</v>
      </c>
      <c r="E495" s="108"/>
      <c r="F495" s="127"/>
      <c r="G495" s="128"/>
      <c r="H495" s="445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453"/>
      <c r="P495" s="453"/>
      <c r="Q495" s="453"/>
      <c r="R495" s="453"/>
      <c r="S495" s="453"/>
      <c r="T495" s="453"/>
      <c r="U495" s="453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451" t="s">
        <v>443</v>
      </c>
      <c r="C496" s="451" t="s">
        <v>179</v>
      </c>
      <c r="D496" s="108"/>
      <c r="E496" s="108"/>
      <c r="F496" s="127"/>
      <c r="G496" s="128"/>
      <c r="H496" s="445">
        <f t="shared" si="223"/>
        <v>0</v>
      </c>
      <c r="I496" s="129"/>
      <c r="J496" s="130"/>
      <c r="K496" s="131"/>
      <c r="L496" s="129"/>
      <c r="M496" s="109"/>
      <c r="N496" s="130"/>
      <c r="O496" s="453"/>
      <c r="P496" s="453"/>
      <c r="Q496" s="453"/>
      <c r="R496" s="453"/>
      <c r="S496" s="453"/>
      <c r="T496" s="453"/>
      <c r="U496" s="453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451" t="s">
        <v>443</v>
      </c>
      <c r="C497" s="451" t="s">
        <v>186</v>
      </c>
      <c r="D497" s="108"/>
      <c r="E497" s="108"/>
      <c r="F497" s="127"/>
      <c r="G497" s="128"/>
      <c r="H497" s="445">
        <f t="shared" si="223"/>
        <v>0</v>
      </c>
      <c r="I497" s="129"/>
      <c r="J497" s="130"/>
      <c r="K497" s="131"/>
      <c r="L497" s="129"/>
      <c r="M497" s="109"/>
      <c r="N497" s="130"/>
      <c r="O497" s="453"/>
      <c r="P497" s="453"/>
      <c r="Q497" s="453"/>
      <c r="R497" s="453"/>
      <c r="S497" s="453"/>
      <c r="T497" s="453"/>
      <c r="U497" s="453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444" t="s">
        <v>240</v>
      </c>
      <c r="C498" s="126"/>
      <c r="D498" s="108">
        <v>7.3</v>
      </c>
      <c r="E498" s="108"/>
      <c r="F498" s="127"/>
      <c r="G498" s="128"/>
      <c r="H498" s="445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453"/>
      <c r="P498" s="453"/>
      <c r="Q498" s="453"/>
      <c r="R498" s="453"/>
      <c r="S498" s="453"/>
      <c r="T498" s="453"/>
      <c r="U498" s="453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444" t="s">
        <v>241</v>
      </c>
      <c r="C499" s="126"/>
      <c r="D499" s="108">
        <f>78*120/1000</f>
        <v>9.36</v>
      </c>
      <c r="E499" s="108"/>
      <c r="F499" s="127"/>
      <c r="G499" s="128"/>
      <c r="H499" s="445">
        <f t="shared" si="223"/>
        <v>0</v>
      </c>
      <c r="I499" s="129"/>
      <c r="J499" s="130"/>
      <c r="K499" s="131"/>
      <c r="L499" s="129"/>
      <c r="M499" s="109"/>
      <c r="N499" s="130"/>
      <c r="O499" s="453"/>
      <c r="P499" s="453"/>
      <c r="Q499" s="453"/>
      <c r="R499" s="453"/>
      <c r="S499" s="453"/>
      <c r="T499" s="453"/>
      <c r="U499" s="453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444" t="s">
        <v>242</v>
      </c>
      <c r="C500" s="126"/>
      <c r="D500" s="108">
        <v>4.5</v>
      </c>
      <c r="E500" s="108"/>
      <c r="F500" s="127"/>
      <c r="G500" s="128"/>
      <c r="H500" s="445">
        <f t="shared" si="223"/>
        <v>0</v>
      </c>
      <c r="I500" s="129"/>
      <c r="J500" s="130"/>
      <c r="K500" s="131"/>
      <c r="L500" s="129"/>
      <c r="M500" s="109"/>
      <c r="N500" s="130"/>
      <c r="O500" s="453"/>
      <c r="P500" s="453"/>
      <c r="Q500" s="453"/>
      <c r="R500" s="453"/>
      <c r="S500" s="453"/>
      <c r="T500" s="453"/>
      <c r="U500" s="453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444" t="s">
        <v>243</v>
      </c>
      <c r="C501" s="126"/>
      <c r="D501" s="108">
        <v>4.5</v>
      </c>
      <c r="E501" s="108"/>
      <c r="F501" s="127"/>
      <c r="G501" s="128"/>
      <c r="H501" s="445">
        <f t="shared" si="223"/>
        <v>0</v>
      </c>
      <c r="I501" s="129"/>
      <c r="J501" s="130"/>
      <c r="K501" s="131"/>
      <c r="L501" s="129"/>
      <c r="M501" s="109"/>
      <c r="N501" s="130"/>
      <c r="O501" s="453"/>
      <c r="P501" s="453"/>
      <c r="Q501" s="453"/>
      <c r="R501" s="453"/>
      <c r="S501" s="453"/>
      <c r="T501" s="453"/>
      <c r="U501" s="453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444"/>
      <c r="C502" s="126"/>
      <c r="D502" s="108"/>
      <c r="E502" s="108"/>
      <c r="F502" s="127"/>
      <c r="G502" s="128"/>
      <c r="H502" s="445">
        <f t="shared" si="223"/>
        <v>0</v>
      </c>
      <c r="I502" s="129"/>
      <c r="J502" s="130"/>
      <c r="K502" s="131"/>
      <c r="L502" s="129"/>
      <c r="M502" s="109"/>
      <c r="N502" s="130"/>
      <c r="O502" s="453"/>
      <c r="P502" s="453"/>
      <c r="Q502" s="453"/>
      <c r="R502" s="453"/>
      <c r="S502" s="453"/>
      <c r="T502" s="453"/>
      <c r="U502" s="453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30" t="s">
        <v>244</v>
      </c>
      <c r="B503" s="631"/>
      <c r="C503" s="454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632" t="s">
        <v>246</v>
      </c>
      <c r="B504" s="633"/>
      <c r="C504" s="633"/>
      <c r="D504" s="633"/>
      <c r="E504" s="633"/>
      <c r="F504" s="634"/>
      <c r="G504" s="154">
        <f>SUM(G368,G426,G461,G477,G487,G503)</f>
        <v>772</v>
      </c>
      <c r="H504" s="154">
        <f>SUM(H368,H426,H461,H477,H487,H503)</f>
        <v>3883.1600000000003</v>
      </c>
      <c r="I504" s="154">
        <f>SUM(I368,I426,I461,I477,I487,I503)</f>
        <v>79</v>
      </c>
      <c r="J504" s="155">
        <f t="array" ref="J504">IF(ISERROR(G504/I504),"",G504/I504)</f>
        <v>9.7721518987341778</v>
      </c>
      <c r="K504" s="154">
        <f>SUM(K368,K426,K461,K477,K487,K503)</f>
        <v>85.179618768328453</v>
      </c>
      <c r="L504" s="155">
        <f>IF(ISERROR(G504/K504),"",G504/K504)</f>
        <v>9.0632009295520071</v>
      </c>
      <c r="M504" s="154">
        <f t="shared" ref="M504:V504" si="236">SUM(M368,M426,M461,M477,M487,M503)</f>
        <v>-6.1796187683284405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>
        <f t="shared" ref="W504" si="237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35" t="s">
        <v>476</v>
      </c>
      <c r="B505" s="447" t="s">
        <v>247</v>
      </c>
      <c r="C505" s="638" t="s">
        <v>248</v>
      </c>
      <c r="D505" s="639"/>
      <c r="E505" s="640" t="s">
        <v>249</v>
      </c>
      <c r="F505" s="640"/>
      <c r="G505" s="643" t="s">
        <v>250</v>
      </c>
      <c r="H505" s="643"/>
      <c r="I505" s="640" t="s">
        <v>251</v>
      </c>
      <c r="J505" s="640"/>
      <c r="K505" s="640" t="s">
        <v>252</v>
      </c>
      <c r="L505" s="640"/>
      <c r="M505" s="640" t="s">
        <v>253</v>
      </c>
      <c r="N505" s="640"/>
      <c r="O505" s="640" t="s">
        <v>254</v>
      </c>
      <c r="P505" s="643" t="s">
        <v>255</v>
      </c>
      <c r="Q505" s="643"/>
      <c r="R505" s="643" t="s">
        <v>252</v>
      </c>
      <c r="S505" s="643"/>
      <c r="T505" s="643" t="s">
        <v>256</v>
      </c>
      <c r="U505" s="643"/>
      <c r="V505" s="643" t="s">
        <v>257</v>
      </c>
      <c r="W505" s="643"/>
      <c r="X505" s="643" t="s">
        <v>252</v>
      </c>
      <c r="Y505" s="643"/>
      <c r="Z505" s="643" t="s">
        <v>256</v>
      </c>
      <c r="AA505" s="643"/>
    </row>
    <row r="506" spans="1:27" ht="20.100000000000001" customHeight="1">
      <c r="A506" s="636"/>
      <c r="B506" s="447" t="s">
        <v>258</v>
      </c>
      <c r="C506" s="638">
        <v>0</v>
      </c>
      <c r="D506" s="639"/>
      <c r="E506" s="642">
        <f>C506*11</f>
        <v>0</v>
      </c>
      <c r="F506" s="642"/>
      <c r="G506" s="643">
        <v>0</v>
      </c>
      <c r="H506" s="643"/>
      <c r="I506" s="642">
        <f>G506*11</f>
        <v>0</v>
      </c>
      <c r="J506" s="642"/>
      <c r="K506" s="642">
        <f>E506-I506</f>
        <v>0</v>
      </c>
      <c r="L506" s="642"/>
      <c r="M506" s="644" t="str">
        <f>IF(ISERROR(K506/E506),"",K506/E506)</f>
        <v/>
      </c>
      <c r="N506" s="644"/>
      <c r="O506" s="640"/>
      <c r="P506" s="643" t="s">
        <v>201</v>
      </c>
      <c r="Q506" s="643"/>
      <c r="R506" s="645">
        <f>SUM(O368:U368)</f>
        <v>0</v>
      </c>
      <c r="S506" s="645"/>
      <c r="T506" s="646" t="str">
        <f t="array" ref="T506">IF(ISERROR(R506/R513),"",R506/R513)</f>
        <v/>
      </c>
      <c r="U506" s="646"/>
      <c r="V506" s="643" t="s">
        <v>259</v>
      </c>
      <c r="W506" s="643"/>
      <c r="X506" s="647">
        <f>SUM(O368,O426,O461,O477,O487,O503)</f>
        <v>0</v>
      </c>
      <c r="Y506" s="647"/>
      <c r="Z506" s="646" t="str">
        <f t="array" ref="Z506">IF(ISERROR(X506/X513),"",X506/X513)</f>
        <v/>
      </c>
      <c r="AA506" s="646"/>
    </row>
    <row r="507" spans="1:27" ht="20.100000000000001" customHeight="1">
      <c r="A507" s="636"/>
      <c r="B507" s="447" t="s">
        <v>260</v>
      </c>
      <c r="C507" s="638">
        <v>0</v>
      </c>
      <c r="D507" s="639"/>
      <c r="E507" s="642">
        <f>C507*11</f>
        <v>0</v>
      </c>
      <c r="F507" s="642"/>
      <c r="G507" s="643">
        <v>0</v>
      </c>
      <c r="H507" s="643"/>
      <c r="I507" s="642">
        <f>G507*11</f>
        <v>0</v>
      </c>
      <c r="J507" s="642"/>
      <c r="K507" s="642">
        <f>E507-I507</f>
        <v>0</v>
      </c>
      <c r="L507" s="642"/>
      <c r="M507" s="644" t="str">
        <f>IF(ISERROR(K507/E507),"",K507/E507)</f>
        <v/>
      </c>
      <c r="N507" s="644"/>
      <c r="O507" s="640"/>
      <c r="P507" s="643" t="s">
        <v>216</v>
      </c>
      <c r="Q507" s="643"/>
      <c r="R507" s="645">
        <f>SUM(O426:U426)</f>
        <v>0</v>
      </c>
      <c r="S507" s="645"/>
      <c r="T507" s="646" t="str">
        <f>IF(ISERROR(R507/R513),"",R507/R513)</f>
        <v/>
      </c>
      <c r="U507" s="646"/>
      <c r="V507" s="643" t="s">
        <v>261</v>
      </c>
      <c r="W507" s="643"/>
      <c r="X507" s="647">
        <f>SUM(O369,O427,O462,O478,O488,O504)</f>
        <v>0</v>
      </c>
      <c r="Y507" s="647"/>
      <c r="Z507" s="646" t="str">
        <f>IF(ISERROR(X507/X513),"",X507/X513)</f>
        <v/>
      </c>
      <c r="AA507" s="646"/>
    </row>
    <row r="508" spans="1:27" ht="20.100000000000001" customHeight="1">
      <c r="A508" s="636"/>
      <c r="B508" s="447" t="s">
        <v>262</v>
      </c>
      <c r="C508" s="638">
        <v>0</v>
      </c>
      <c r="D508" s="639"/>
      <c r="E508" s="642">
        <f>C508*11</f>
        <v>0</v>
      </c>
      <c r="F508" s="642"/>
      <c r="G508" s="643">
        <v>0</v>
      </c>
      <c r="H508" s="643"/>
      <c r="I508" s="642">
        <f>G508*11</f>
        <v>0</v>
      </c>
      <c r="J508" s="642"/>
      <c r="K508" s="642">
        <f>E508-I508</f>
        <v>0</v>
      </c>
      <c r="L508" s="642"/>
      <c r="M508" s="644" t="str">
        <f>IF(ISERROR(K508/E508),"",K508/E508)</f>
        <v/>
      </c>
      <c r="N508" s="644"/>
      <c r="O508" s="640"/>
      <c r="P508" s="643" t="s">
        <v>224</v>
      </c>
      <c r="Q508" s="643"/>
      <c r="R508" s="645">
        <f>SUM(O461:U461)</f>
        <v>0</v>
      </c>
      <c r="S508" s="645"/>
      <c r="T508" s="646" t="str">
        <f>IF(ISERROR(R508/R513),"",R508/R513)</f>
        <v/>
      </c>
      <c r="U508" s="646"/>
      <c r="V508" s="643" t="s">
        <v>263</v>
      </c>
      <c r="W508" s="643"/>
      <c r="X508" s="647">
        <f>SUM(O371,O428,O463,O479,O489,O505)</f>
        <v>0</v>
      </c>
      <c r="Y508" s="647"/>
      <c r="Z508" s="646" t="str">
        <f>IF(ISERROR(X508/X513),"",X508/X513)</f>
        <v/>
      </c>
      <c r="AA508" s="646"/>
    </row>
    <row r="509" spans="1:27" ht="20.100000000000001" customHeight="1">
      <c r="A509" s="636"/>
      <c r="B509" s="447" t="s">
        <v>264</v>
      </c>
      <c r="C509" s="638">
        <v>1</v>
      </c>
      <c r="D509" s="639"/>
      <c r="E509" s="642">
        <f>C509*11</f>
        <v>11</v>
      </c>
      <c r="F509" s="642"/>
      <c r="G509" s="643">
        <v>1</v>
      </c>
      <c r="H509" s="643"/>
      <c r="I509" s="642">
        <f>G509*11</f>
        <v>11</v>
      </c>
      <c r="J509" s="642"/>
      <c r="K509" s="642">
        <f>E509-I509</f>
        <v>0</v>
      </c>
      <c r="L509" s="642"/>
      <c r="M509" s="644">
        <f>IF(ISERROR(K509/E509),"",K509/E509)</f>
        <v>0</v>
      </c>
      <c r="N509" s="644"/>
      <c r="O509" s="640"/>
      <c r="P509" s="643" t="s">
        <v>231</v>
      </c>
      <c r="Q509" s="643"/>
      <c r="R509" s="645">
        <f>SUM(O477:U477)</f>
        <v>0</v>
      </c>
      <c r="S509" s="645"/>
      <c r="T509" s="646" t="str">
        <f>IF(ISERROR(R509/R513),"",R509/R513)</f>
        <v/>
      </c>
      <c r="U509" s="646"/>
      <c r="V509" s="643" t="s">
        <v>265</v>
      </c>
      <c r="W509" s="643"/>
      <c r="X509" s="647">
        <f>SUM(O372,O429,O464,O480,O490,O506)</f>
        <v>0</v>
      </c>
      <c r="Y509" s="647"/>
      <c r="Z509" s="646" t="str">
        <f>IF(ISERROR(X509/X513),"",X509/X513)</f>
        <v/>
      </c>
      <c r="AA509" s="646"/>
    </row>
    <row r="510" spans="1:27" ht="20.100000000000001" customHeight="1">
      <c r="A510" s="637"/>
      <c r="B510" s="447" t="s">
        <v>266</v>
      </c>
      <c r="C510" s="648">
        <f>SUM(C506:D509)</f>
        <v>1</v>
      </c>
      <c r="D510" s="649"/>
      <c r="E510" s="642">
        <f>SUM(E506:F509)</f>
        <v>11</v>
      </c>
      <c r="F510" s="642"/>
      <c r="G510" s="643">
        <f>SUM(G506:H509)</f>
        <v>1</v>
      </c>
      <c r="H510" s="643"/>
      <c r="I510" s="642">
        <f>SUM(I506:J509)</f>
        <v>11</v>
      </c>
      <c r="J510" s="642"/>
      <c r="K510" s="642">
        <f>SUM(K506:L509)</f>
        <v>0</v>
      </c>
      <c r="L510" s="642"/>
      <c r="M510" s="644">
        <f>IF(ISERROR(K510/E510),"",K510/E510)</f>
        <v>0</v>
      </c>
      <c r="N510" s="644"/>
      <c r="O510" s="640"/>
      <c r="P510" s="643" t="s">
        <v>234</v>
      </c>
      <c r="Q510" s="643"/>
      <c r="R510" s="645">
        <f>SUM(O487:U487)</f>
        <v>0</v>
      </c>
      <c r="S510" s="645"/>
      <c r="T510" s="646" t="str">
        <f>IF(ISERROR(R510/R513),"",R510/R513)</f>
        <v/>
      </c>
      <c r="U510" s="646"/>
      <c r="V510" s="643" t="s">
        <v>267</v>
      </c>
      <c r="W510" s="643"/>
      <c r="X510" s="647">
        <f>SUM(O373,O430,O465,O481,O491,O507)</f>
        <v>0</v>
      </c>
      <c r="Y510" s="647"/>
      <c r="Z510" s="646" t="str">
        <f>IF(ISERROR(X510/X513),"",X510/X513)</f>
        <v/>
      </c>
      <c r="AA510" s="646"/>
    </row>
    <row r="511" spans="1:27" ht="20.100000000000001" customHeight="1">
      <c r="A511" s="307" t="s">
        <v>477</v>
      </c>
      <c r="B511" s="447">
        <f>G504</f>
        <v>772</v>
      </c>
      <c r="C511" s="650" t="s">
        <v>269</v>
      </c>
      <c r="D511" s="651"/>
      <c r="E511" s="643">
        <f>H504</f>
        <v>3883.1600000000003</v>
      </c>
      <c r="F511" s="643"/>
      <c r="G511" s="643" t="s">
        <v>270</v>
      </c>
      <c r="H511" s="643"/>
      <c r="I511" s="652">
        <f>L504</f>
        <v>9.0632009295520071</v>
      </c>
      <c r="J511" s="652"/>
      <c r="K511" s="640" t="s">
        <v>271</v>
      </c>
      <c r="L511" s="640"/>
      <c r="M511" s="652">
        <f>J504</f>
        <v>9.7721518987341778</v>
      </c>
      <c r="N511" s="652"/>
      <c r="O511" s="640"/>
      <c r="P511" s="643" t="s">
        <v>244</v>
      </c>
      <c r="Q511" s="643"/>
      <c r="R511" s="645">
        <f>SUM(O503:U503)</f>
        <v>0</v>
      </c>
      <c r="S511" s="645"/>
      <c r="T511" s="646" t="str">
        <f>IF(ISERROR(R511/R513),"",R511/R513)</f>
        <v/>
      </c>
      <c r="U511" s="646"/>
      <c r="V511" s="643" t="s">
        <v>272</v>
      </c>
      <c r="W511" s="643"/>
      <c r="X511" s="647">
        <f>SUM(O374,O431,O466,O482,O492,O508)</f>
        <v>0</v>
      </c>
      <c r="Y511" s="647"/>
      <c r="Z511" s="646" t="str">
        <f>IF(ISERROR(X511/X513),"",X511/X513)</f>
        <v/>
      </c>
      <c r="AA511" s="646"/>
    </row>
    <row r="512" spans="1:27" ht="20.100000000000001" customHeight="1">
      <c r="A512" s="308" t="s">
        <v>478</v>
      </c>
      <c r="B512" s="447">
        <f>I504+C510</f>
        <v>80</v>
      </c>
      <c r="C512" s="653" t="s">
        <v>251</v>
      </c>
      <c r="D512" s="654"/>
      <c r="E512" s="655">
        <f>K504+I510</f>
        <v>96.179618768328453</v>
      </c>
      <c r="F512" s="655"/>
      <c r="G512" s="643" t="s">
        <v>274</v>
      </c>
      <c r="H512" s="643"/>
      <c r="I512" s="652">
        <f>B512-E512</f>
        <v>-16.179618768328453</v>
      </c>
      <c r="J512" s="652"/>
      <c r="K512" s="640" t="s">
        <v>275</v>
      </c>
      <c r="L512" s="640"/>
      <c r="M512" s="644">
        <f>IF(ISERROR(I512/E512),"",I512/E512)</f>
        <v>-0.16822294552134712</v>
      </c>
      <c r="N512" s="644"/>
      <c r="O512" s="640"/>
      <c r="P512" s="643" t="s">
        <v>245</v>
      </c>
      <c r="Q512" s="643"/>
      <c r="R512" s="645"/>
      <c r="S512" s="645"/>
      <c r="T512" s="646" t="str">
        <f>IF(ISERROR(R512/R513),"",R512/R513)</f>
        <v/>
      </c>
      <c r="U512" s="646"/>
      <c r="V512" s="643" t="s">
        <v>264</v>
      </c>
      <c r="W512" s="643"/>
      <c r="X512" s="647">
        <f>SUM(O375,O432,O467,O486,O493,O509)</f>
        <v>0</v>
      </c>
      <c r="Y512" s="647"/>
      <c r="Z512" s="646" t="str">
        <f>IF(ISERROR(X512/X513),"",X512/X513)</f>
        <v/>
      </c>
      <c r="AA512" s="646"/>
    </row>
    <row r="513" spans="1:27" ht="20.100000000000001" customHeight="1">
      <c r="A513" s="308" t="s">
        <v>479</v>
      </c>
      <c r="B513" s="447">
        <f>N504</f>
        <v>0</v>
      </c>
      <c r="C513" s="653" t="s">
        <v>277</v>
      </c>
      <c r="D513" s="654"/>
      <c r="E513" s="646">
        <f>IF(ISERROR(B513/B512),"",B513/B512)</f>
        <v>0</v>
      </c>
      <c r="F513" s="646"/>
      <c r="G513" s="643" t="s">
        <v>278</v>
      </c>
      <c r="H513" s="643"/>
      <c r="I513" s="640">
        <f>V504</f>
        <v>0</v>
      </c>
      <c r="J513" s="640"/>
      <c r="K513" s="640" t="s">
        <v>279</v>
      </c>
      <c r="L513" s="640"/>
      <c r="M513" s="644">
        <f t="array" ref="M513">IF(ISERROR(I513/B511),"",I513/B511)</f>
        <v>0</v>
      </c>
      <c r="N513" s="644"/>
      <c r="O513" s="640"/>
      <c r="P513" s="643" t="s">
        <v>266</v>
      </c>
      <c r="Q513" s="643"/>
      <c r="R513" s="645">
        <f>SUM(R506:S512)</f>
        <v>0</v>
      </c>
      <c r="S513" s="645"/>
      <c r="T513" s="646"/>
      <c r="U513" s="646"/>
      <c r="V513" s="643" t="s">
        <v>266</v>
      </c>
      <c r="W513" s="643"/>
      <c r="X513" s="647">
        <f>SUM(X506:Y512)</f>
        <v>0</v>
      </c>
      <c r="Y513" s="647"/>
      <c r="Z513" s="646"/>
      <c r="AA513" s="646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682" t="str">
        <f>IF(ISERROR(#REF!/#REF!),"",#REF!/#REF!)</f>
        <v/>
      </c>
      <c r="H514" s="682"/>
      <c r="I514" s="682"/>
      <c r="J514" s="125"/>
      <c r="K514" s="160"/>
      <c r="L514" s="122"/>
      <c r="M514" s="122"/>
      <c r="N514" s="682" t="str">
        <f>IF(ISERROR(G514/#REF!),"",G514/#REF!)</f>
        <v/>
      </c>
      <c r="O514" s="682"/>
      <c r="P514" s="682"/>
      <c r="Q514" s="682"/>
      <c r="R514" s="682"/>
      <c r="S514" s="448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685" t="s">
        <v>268</v>
      </c>
      <c r="B516" s="685"/>
      <c r="C516" s="638">
        <f>SUM(B170,B340,B511)</f>
        <v>4839</v>
      </c>
      <c r="D516" s="639"/>
      <c r="E516" s="685" t="s">
        <v>269</v>
      </c>
      <c r="F516" s="685"/>
      <c r="G516" s="655">
        <f>SUM(E170,E340,E511)</f>
        <v>24590.26</v>
      </c>
      <c r="H516" s="655"/>
      <c r="I516" s="643" t="s">
        <v>270</v>
      </c>
      <c r="J516" s="685"/>
      <c r="K516" s="638">
        <f>IF(ISERROR(C516/G517),"",C516/G517)</f>
        <v>11.620423185649088</v>
      </c>
      <c r="L516" s="639"/>
      <c r="M516" s="643" t="s">
        <v>271</v>
      </c>
      <c r="N516" s="643"/>
      <c r="O516" s="680">
        <f t="array" ref="O516">IF(ISERROR(C516/C517),"",C516/C517)</f>
        <v>10.219640971488912</v>
      </c>
      <c r="P516" s="681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643" t="s">
        <v>273</v>
      </c>
      <c r="B517" s="643"/>
      <c r="C517" s="638">
        <f>SUM(B171,B341,B512)</f>
        <v>473.5</v>
      </c>
      <c r="D517" s="639"/>
      <c r="E517" s="643" t="s">
        <v>251</v>
      </c>
      <c r="F517" s="643"/>
      <c r="G517" s="655">
        <f>SUM(E171,E341,E512)</f>
        <v>416.4220117195074</v>
      </c>
      <c r="H517" s="655"/>
      <c r="I517" s="653" t="s">
        <v>274</v>
      </c>
      <c r="J517" s="654"/>
      <c r="K517" s="650">
        <f>C517-G517</f>
        <v>57.077988280492605</v>
      </c>
      <c r="L517" s="651"/>
      <c r="M517" s="650" t="s">
        <v>275</v>
      </c>
      <c r="N517" s="651"/>
      <c r="O517" s="683">
        <f>IF(ISERROR(K517/C517),"",K517/C517)</f>
        <v>0.12054485381307836</v>
      </c>
      <c r="P517" s="684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653" t="s">
        <v>276</v>
      </c>
      <c r="B518" s="654"/>
      <c r="C518" s="638">
        <f>SUM(B172,B342,B513)</f>
        <v>0</v>
      </c>
      <c r="D518" s="639"/>
      <c r="E518" s="653" t="s">
        <v>277</v>
      </c>
      <c r="F518" s="654"/>
      <c r="G518" s="646">
        <f>IF(ISERROR(C518/C517),"",C518/C517)</f>
        <v>0</v>
      </c>
      <c r="H518" s="646"/>
      <c r="I518" s="643" t="s">
        <v>278</v>
      </c>
      <c r="J518" s="685"/>
      <c r="K518" s="655">
        <f>SUM(I172,I342,I513)</f>
        <v>0</v>
      </c>
      <c r="L518" s="655"/>
      <c r="M518" s="685" t="s">
        <v>279</v>
      </c>
      <c r="N518" s="685"/>
      <c r="O518" s="683">
        <f t="array" ref="O518">IF(ISERROR(K518/C516),"",K518/C516)</f>
        <v>0</v>
      </c>
      <c r="P518" s="684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448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653" t="s">
        <v>298</v>
      </c>
      <c r="B520" s="654"/>
      <c r="C520" s="653" t="s">
        <v>299</v>
      </c>
      <c r="D520" s="654"/>
      <c r="E520" s="653" t="s">
        <v>256</v>
      </c>
      <c r="F520" s="654"/>
      <c r="G520" s="686" t="s">
        <v>254</v>
      </c>
      <c r="H520" s="687"/>
      <c r="I520" s="653" t="s">
        <v>255</v>
      </c>
      <c r="J520" s="651"/>
      <c r="K520" s="653" t="s">
        <v>300</v>
      </c>
      <c r="L520" s="654"/>
      <c r="M520" s="653" t="s">
        <v>256</v>
      </c>
      <c r="N520" s="654"/>
      <c r="O520" s="643" t="s">
        <v>257</v>
      </c>
      <c r="P520" s="643"/>
      <c r="Q520" s="653" t="s">
        <v>300</v>
      </c>
      <c r="R520" s="654"/>
      <c r="S520" s="653" t="s">
        <v>256</v>
      </c>
      <c r="T520" s="654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692" t="s">
        <v>201</v>
      </c>
      <c r="B521" s="654"/>
      <c r="C521" s="653">
        <f>SUM(G28,G198,G368)</f>
        <v>1120</v>
      </c>
      <c r="D521" s="654"/>
      <c r="E521" s="693">
        <f>IF(ISERROR(C521/C527),"",C521/C527)</f>
        <v>0.23145277949989668</v>
      </c>
      <c r="F521" s="694"/>
      <c r="G521" s="688"/>
      <c r="H521" s="689"/>
      <c r="I521" s="695" t="s">
        <v>301</v>
      </c>
      <c r="J521" s="696"/>
      <c r="K521" s="650">
        <f t="shared" ref="K521:K526" si="238">SUM(R165,U335,U506)</f>
        <v>0</v>
      </c>
      <c r="L521" s="651"/>
      <c r="M521" s="693" t="str">
        <f t="array" ref="M521">IF(ISERROR(K521/K527),"",K521/K527)</f>
        <v/>
      </c>
      <c r="N521" s="694"/>
      <c r="O521" s="643" t="s">
        <v>259</v>
      </c>
      <c r="P521" s="643"/>
      <c r="Q521" s="680">
        <f t="shared" ref="Q521:Q526" si="239">SUM(X165,AA335,AA506)</f>
        <v>0</v>
      </c>
      <c r="R521" s="681"/>
      <c r="S521" s="693" t="str">
        <f t="array" ref="S521">IF(ISERROR(Q521/Q527),"",Q521/Q527)</f>
        <v/>
      </c>
      <c r="T521" s="694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692" t="s">
        <v>216</v>
      </c>
      <c r="B522" s="654"/>
      <c r="C522" s="653">
        <f>SUM(G86,G256,G426)</f>
        <v>1542</v>
      </c>
      <c r="D522" s="654"/>
      <c r="E522" s="693">
        <f>IF(ISERROR(C522/C527),"",C522/C527)</f>
        <v>0.31866088034717915</v>
      </c>
      <c r="F522" s="694"/>
      <c r="G522" s="688"/>
      <c r="H522" s="689"/>
      <c r="I522" s="695" t="s">
        <v>302</v>
      </c>
      <c r="J522" s="696"/>
      <c r="K522" s="650">
        <f t="shared" si="238"/>
        <v>0</v>
      </c>
      <c r="L522" s="651"/>
      <c r="M522" s="693" t="str">
        <f>IF(ISERROR(K522/K527),"",K522/K527)</f>
        <v/>
      </c>
      <c r="N522" s="694"/>
      <c r="O522" s="643" t="s">
        <v>261</v>
      </c>
      <c r="P522" s="643"/>
      <c r="Q522" s="680">
        <f t="shared" si="239"/>
        <v>0</v>
      </c>
      <c r="R522" s="681"/>
      <c r="S522" s="693" t="str">
        <f>IF(ISERROR(Q522/Q527),"",Q522/Q527)</f>
        <v/>
      </c>
      <c r="T522" s="694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692" t="s">
        <v>224</v>
      </c>
      <c r="B523" s="654"/>
      <c r="C523" s="653">
        <f>SUM(G121,G291,G461)</f>
        <v>1324</v>
      </c>
      <c r="D523" s="654"/>
      <c r="E523" s="693">
        <f>IF(ISERROR(C523/C527),"",C523/C527)</f>
        <v>0.27361025005166356</v>
      </c>
      <c r="F523" s="694"/>
      <c r="G523" s="688"/>
      <c r="H523" s="689"/>
      <c r="I523" s="695" t="s">
        <v>303</v>
      </c>
      <c r="J523" s="696"/>
      <c r="K523" s="650">
        <f t="shared" si="238"/>
        <v>0</v>
      </c>
      <c r="L523" s="651"/>
      <c r="M523" s="693" t="str">
        <f>IF(ISERROR(K523/K527),"",K523/K527)</f>
        <v/>
      </c>
      <c r="N523" s="694"/>
      <c r="O523" s="643" t="s">
        <v>263</v>
      </c>
      <c r="P523" s="643"/>
      <c r="Q523" s="680">
        <f t="shared" si="239"/>
        <v>0</v>
      </c>
      <c r="R523" s="681"/>
      <c r="S523" s="693" t="str">
        <f>IF(ISERROR(Q523/Q527),"",Q523/Q527)</f>
        <v/>
      </c>
      <c r="T523" s="694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692" t="s">
        <v>231</v>
      </c>
      <c r="B524" s="654"/>
      <c r="C524" s="653">
        <f>SUM(G137,G307,G477)</f>
        <v>620</v>
      </c>
      <c r="D524" s="654"/>
      <c r="E524" s="693">
        <f>IF(ISERROR(C524/C527),"",C524/C527)</f>
        <v>0.12812564579458566</v>
      </c>
      <c r="F524" s="694"/>
      <c r="G524" s="688"/>
      <c r="H524" s="689"/>
      <c r="I524" s="695" t="s">
        <v>304</v>
      </c>
      <c r="J524" s="696"/>
      <c r="K524" s="650">
        <f t="shared" si="238"/>
        <v>0</v>
      </c>
      <c r="L524" s="651"/>
      <c r="M524" s="693" t="str">
        <f>IF(ISERROR(K524/K527),"",K524/K527)</f>
        <v/>
      </c>
      <c r="N524" s="694"/>
      <c r="O524" s="643" t="s">
        <v>305</v>
      </c>
      <c r="P524" s="643"/>
      <c r="Q524" s="680">
        <f t="shared" si="239"/>
        <v>0</v>
      </c>
      <c r="R524" s="681"/>
      <c r="S524" s="693" t="str">
        <f>IF(ISERROR(Q524/Q527),"",Q524/Q527)</f>
        <v/>
      </c>
      <c r="T524" s="694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92" t="s">
        <v>234</v>
      </c>
      <c r="B525" s="654"/>
      <c r="C525" s="653">
        <f>SUM(G147,G317,G487)</f>
        <v>0</v>
      </c>
      <c r="D525" s="654"/>
      <c r="E525" s="693">
        <f>IF(ISERROR(C525/C527),"",C525/C527)</f>
        <v>0</v>
      </c>
      <c r="F525" s="694"/>
      <c r="G525" s="688"/>
      <c r="H525" s="689"/>
      <c r="I525" s="695" t="s">
        <v>306</v>
      </c>
      <c r="J525" s="696"/>
      <c r="K525" s="650">
        <f t="shared" si="238"/>
        <v>0</v>
      </c>
      <c r="L525" s="651"/>
      <c r="M525" s="693" t="str">
        <f>IF(ISERROR(K525/K527),"",K525/K527)</f>
        <v/>
      </c>
      <c r="N525" s="694"/>
      <c r="O525" s="643" t="s">
        <v>267</v>
      </c>
      <c r="P525" s="643"/>
      <c r="Q525" s="680">
        <f t="shared" si="239"/>
        <v>0</v>
      </c>
      <c r="R525" s="681"/>
      <c r="S525" s="693" t="str">
        <f>IF(ISERROR(Q525/Q527),"",Q525/Q527)</f>
        <v/>
      </c>
      <c r="T525" s="694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92" t="s">
        <v>244</v>
      </c>
      <c r="B526" s="654"/>
      <c r="C526" s="653">
        <f>SUM(G162,G332,G503)</f>
        <v>233</v>
      </c>
      <c r="D526" s="654"/>
      <c r="E526" s="693">
        <f>IF(ISERROR(C526/C527),"",C526/C527)</f>
        <v>4.8150444306674936E-2</v>
      </c>
      <c r="F526" s="694"/>
      <c r="G526" s="688"/>
      <c r="H526" s="689"/>
      <c r="I526" s="695" t="s">
        <v>307</v>
      </c>
      <c r="J526" s="696"/>
      <c r="K526" s="650">
        <f t="shared" si="238"/>
        <v>0</v>
      </c>
      <c r="L526" s="651"/>
      <c r="M526" s="693" t="str">
        <f>IF(ISERROR(K526/K527),"",K526/K527)</f>
        <v/>
      </c>
      <c r="N526" s="694"/>
      <c r="O526" s="643" t="s">
        <v>272</v>
      </c>
      <c r="P526" s="643"/>
      <c r="Q526" s="680">
        <f t="shared" si="239"/>
        <v>0</v>
      </c>
      <c r="R526" s="681"/>
      <c r="S526" s="693" t="str">
        <f>IF(ISERROR(Q526/Q527),"",Q526/Q527)</f>
        <v/>
      </c>
      <c r="T526" s="694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53" t="s">
        <v>266</v>
      </c>
      <c r="B527" s="654"/>
      <c r="C527" s="653">
        <f>SUM(C521:C526)</f>
        <v>4839</v>
      </c>
      <c r="D527" s="654"/>
      <c r="E527" s="693">
        <f>SUM(E521:F526)</f>
        <v>1</v>
      </c>
      <c r="F527" s="694"/>
      <c r="G527" s="690"/>
      <c r="H527" s="691"/>
      <c r="I527" s="653" t="s">
        <v>266</v>
      </c>
      <c r="J527" s="651"/>
      <c r="K527" s="650">
        <f>SUM(R172,U342,U513)</f>
        <v>0</v>
      </c>
      <c r="L527" s="651"/>
      <c r="M527" s="693"/>
      <c r="N527" s="694"/>
      <c r="O527" s="643" t="s">
        <v>266</v>
      </c>
      <c r="P527" s="643"/>
      <c r="Q527" s="680">
        <f>SUM(Q521:R526)</f>
        <v>0</v>
      </c>
      <c r="R527" s="681"/>
      <c r="S527" s="693">
        <f>SUM(S521:T526)</f>
        <v>0</v>
      </c>
      <c r="T527" s="694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695" t="s">
        <v>308</v>
      </c>
      <c r="B529" s="649"/>
      <c r="C529" s="451" t="s">
        <v>309</v>
      </c>
      <c r="D529" s="451" t="s">
        <v>310</v>
      </c>
      <c r="E529" s="451" t="s">
        <v>311</v>
      </c>
      <c r="F529" s="451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453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445" t="s">
        <v>322</v>
      </c>
      <c r="Q529" s="129" t="s">
        <v>323</v>
      </c>
      <c r="R529" s="109" t="s">
        <v>324</v>
      </c>
      <c r="S529" s="451" t="s">
        <v>325</v>
      </c>
      <c r="T529" s="451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697" t="s">
        <v>327</v>
      </c>
      <c r="B530" s="698"/>
      <c r="C530" s="106">
        <f>D530+E530+F530-G530-O530-P530</f>
        <v>33</v>
      </c>
      <c r="D530" s="106">
        <f>+'9'!D530</f>
        <v>33</v>
      </c>
      <c r="E530" s="106"/>
      <c r="F530" s="106"/>
      <c r="G530" s="107"/>
      <c r="H530" s="106"/>
      <c r="I530" s="106"/>
      <c r="J530" s="106">
        <f>C530-H530-I530</f>
        <v>33</v>
      </c>
      <c r="K530" s="106"/>
      <c r="L530" s="106"/>
      <c r="M530" s="106"/>
      <c r="N530" s="106"/>
      <c r="O530" s="106"/>
      <c r="P530" s="108"/>
      <c r="Q530" s="106">
        <f>J530-K530-L530</f>
        <v>33</v>
      </c>
      <c r="R530" s="109">
        <f>Q530*11-M530-N530</f>
        <v>363</v>
      </c>
      <c r="S530" s="452">
        <f t="array" ref="S530">IF(ISERROR(Q530/J530),"",Q530/J530)</f>
        <v>1</v>
      </c>
      <c r="T530" s="452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697" t="s">
        <v>328</v>
      </c>
      <c r="B531" s="698"/>
      <c r="C531" s="106">
        <f>D531+E531+F531-G531-O531-P531</f>
        <v>30</v>
      </c>
      <c r="D531" s="106">
        <f>+'9'!D531</f>
        <v>30</v>
      </c>
      <c r="E531" s="110"/>
      <c r="F531" s="110"/>
      <c r="G531" s="107"/>
      <c r="H531" s="106"/>
      <c r="I531" s="106"/>
      <c r="J531" s="106">
        <f>C531-H531-I531</f>
        <v>30</v>
      </c>
      <c r="K531" s="106"/>
      <c r="L531" s="106"/>
      <c r="M531" s="106"/>
      <c r="N531" s="106"/>
      <c r="O531" s="110"/>
      <c r="P531" s="111"/>
      <c r="Q531" s="106">
        <f>J531-K531-L531</f>
        <v>30</v>
      </c>
      <c r="R531" s="109">
        <f>Q531*11-M531-N531</f>
        <v>330</v>
      </c>
      <c r="S531" s="452">
        <f t="array" ref="S531">IF(ISERROR(Q531/J531),"",Q531/J531)</f>
        <v>1</v>
      </c>
      <c r="T531" s="452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697" t="s">
        <v>329</v>
      </c>
      <c r="B532" s="698"/>
      <c r="C532" s="106">
        <f>D532+E532+F532-G532-O532-P532</f>
        <v>10</v>
      </c>
      <c r="D532" s="106">
        <f>+'9'!D532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452">
        <f t="array" ref="S532">IF(ISERROR(Q532/J532),"",Q532/J532)</f>
        <v>1</v>
      </c>
      <c r="T532" s="452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699" t="s">
        <v>330</v>
      </c>
      <c r="B533" s="700"/>
      <c r="C533" s="112">
        <f>SUM(C530:C532)</f>
        <v>73</v>
      </c>
      <c r="D533" s="112">
        <f t="shared" ref="D533:N533" si="240">SUM(D530:D532)</f>
        <v>73</v>
      </c>
      <c r="E533" s="112">
        <f t="shared" si="240"/>
        <v>0</v>
      </c>
      <c r="F533" s="112">
        <f t="shared" si="240"/>
        <v>0</v>
      </c>
      <c r="G533" s="113">
        <f t="shared" si="240"/>
        <v>0</v>
      </c>
      <c r="H533" s="112">
        <f t="shared" si="240"/>
        <v>0</v>
      </c>
      <c r="I533" s="112">
        <f t="shared" si="240"/>
        <v>0</v>
      </c>
      <c r="J533" s="112">
        <f t="shared" si="240"/>
        <v>73</v>
      </c>
      <c r="K533" s="112">
        <f t="shared" si="240"/>
        <v>0</v>
      </c>
      <c r="L533" s="112">
        <f t="shared" si="240"/>
        <v>0</v>
      </c>
      <c r="M533" s="112">
        <f t="shared" si="240"/>
        <v>0</v>
      </c>
      <c r="N533" s="112">
        <f t="shared" si="240"/>
        <v>0</v>
      </c>
      <c r="O533" s="112">
        <f>SUM(O530:O532)</f>
        <v>0</v>
      </c>
      <c r="P533" s="112">
        <f>SUM(P530:P532)</f>
        <v>0</v>
      </c>
      <c r="Q533" s="112">
        <f>SUM(Q530:Q532)</f>
        <v>73</v>
      </c>
      <c r="R533" s="114">
        <f>SUM(R530:R532)</f>
        <v>803</v>
      </c>
      <c r="S533" s="115">
        <f t="array" ref="S533">IF(ISERROR(Q533/J533),"",Q533/J533)</f>
        <v>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313" activePane="bottomRight" state="frozen"/>
      <selection activeCell="F484" sqref="F484"/>
      <selection pane="topRight" activeCell="F484" sqref="F484"/>
      <selection pane="bottomLeft" activeCell="F484" sqref="F484"/>
      <selection pane="bottomRight" activeCell="F484" sqref="F48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07" t="s">
        <v>413</v>
      </c>
      <c r="B1" s="607"/>
      <c r="C1" s="607"/>
      <c r="D1" s="607"/>
      <c r="E1" s="607"/>
      <c r="F1" s="607"/>
      <c r="G1" s="607"/>
      <c r="H1" s="607"/>
      <c r="I1" s="607"/>
      <c r="J1" s="607"/>
      <c r="K1" s="607"/>
      <c r="L1" s="607"/>
      <c r="M1" s="607"/>
      <c r="N1" s="607"/>
      <c r="O1" s="607"/>
      <c r="P1" s="607"/>
      <c r="Q1" s="607"/>
      <c r="R1" s="607"/>
      <c r="S1" s="607"/>
      <c r="T1" s="607"/>
      <c r="U1" s="607"/>
      <c r="V1" s="607"/>
      <c r="W1" s="607"/>
      <c r="X1" s="607"/>
      <c r="Y1" s="607"/>
      <c r="Z1" s="607"/>
      <c r="AA1" s="607"/>
    </row>
    <row r="2" spans="1:27" ht="18.75">
      <c r="A2" s="608"/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09" t="s">
        <v>12</v>
      </c>
      <c r="B4" s="609" t="s">
        <v>25</v>
      </c>
      <c r="C4" s="609" t="s">
        <v>26</v>
      </c>
      <c r="D4" s="609" t="s">
        <v>27</v>
      </c>
      <c r="E4" s="612" t="s">
        <v>28</v>
      </c>
      <c r="F4" s="615" t="s">
        <v>29</v>
      </c>
      <c r="G4" s="618" t="s">
        <v>30</v>
      </c>
      <c r="H4" s="618"/>
      <c r="I4" s="609" t="s">
        <v>31</v>
      </c>
      <c r="J4" s="621" t="s">
        <v>32</v>
      </c>
      <c r="K4" s="624" t="s">
        <v>33</v>
      </c>
      <c r="L4" s="609" t="s">
        <v>34</v>
      </c>
      <c r="M4" s="627" t="s">
        <v>35</v>
      </c>
      <c r="N4" s="629" t="s">
        <v>36</v>
      </c>
      <c r="O4" s="618" t="s">
        <v>37</v>
      </c>
      <c r="P4" s="618"/>
      <c r="Q4" s="618"/>
      <c r="R4" s="618"/>
      <c r="S4" s="618"/>
      <c r="T4" s="618"/>
      <c r="U4" s="618"/>
      <c r="V4" s="618" t="s">
        <v>38</v>
      </c>
      <c r="W4" s="629" t="s">
        <v>39</v>
      </c>
      <c r="X4" s="618" t="s">
        <v>40</v>
      </c>
      <c r="Y4" s="618"/>
      <c r="Z4" s="618"/>
      <c r="AA4" s="618"/>
    </row>
    <row r="5" spans="1:27" s="104" customFormat="1" ht="15" customHeight="1">
      <c r="A5" s="610"/>
      <c r="B5" s="610"/>
      <c r="C5" s="610"/>
      <c r="D5" s="610"/>
      <c r="E5" s="613"/>
      <c r="F5" s="616"/>
      <c r="G5" s="618"/>
      <c r="H5" s="618"/>
      <c r="I5" s="610"/>
      <c r="J5" s="622"/>
      <c r="K5" s="625"/>
      <c r="L5" s="610"/>
      <c r="M5" s="628"/>
      <c r="N5" s="629"/>
      <c r="O5" s="618" t="s">
        <v>41</v>
      </c>
      <c r="P5" s="618" t="s">
        <v>42</v>
      </c>
      <c r="Q5" s="618" t="s">
        <v>43</v>
      </c>
      <c r="R5" s="619" t="s">
        <v>44</v>
      </c>
      <c r="S5" s="620" t="s">
        <v>45</v>
      </c>
      <c r="T5" s="618" t="s">
        <v>46</v>
      </c>
      <c r="U5" s="618" t="s">
        <v>47</v>
      </c>
      <c r="V5" s="618"/>
      <c r="W5" s="629"/>
      <c r="X5" s="618" t="s">
        <v>13</v>
      </c>
      <c r="Y5" s="618" t="s">
        <v>48</v>
      </c>
      <c r="Z5" s="618" t="s">
        <v>49</v>
      </c>
      <c r="AA5" s="618" t="s">
        <v>47</v>
      </c>
    </row>
    <row r="6" spans="1:27" s="104" customFormat="1" ht="27.75" customHeight="1">
      <c r="A6" s="611"/>
      <c r="B6" s="611"/>
      <c r="C6" s="611"/>
      <c r="D6" s="611"/>
      <c r="E6" s="614"/>
      <c r="F6" s="617"/>
      <c r="G6" s="350" t="s">
        <v>50</v>
      </c>
      <c r="H6" s="455" t="s">
        <v>51</v>
      </c>
      <c r="I6" s="611"/>
      <c r="J6" s="623"/>
      <c r="K6" s="626"/>
      <c r="L6" s="611"/>
      <c r="M6" s="628"/>
      <c r="N6" s="629"/>
      <c r="O6" s="618"/>
      <c r="P6" s="618"/>
      <c r="Q6" s="618"/>
      <c r="R6" s="619"/>
      <c r="S6" s="620"/>
      <c r="T6" s="618"/>
      <c r="U6" s="618"/>
      <c r="V6" s="618"/>
      <c r="W6" s="629"/>
      <c r="X6" s="618"/>
      <c r="Y6" s="618"/>
      <c r="Z6" s="618"/>
      <c r="AA6" s="618"/>
    </row>
    <row r="7" spans="1:27" ht="20.100000000000001" hidden="1" customHeight="1">
      <c r="A7" s="299">
        <v>30100030</v>
      </c>
      <c r="B7" s="444" t="s">
        <v>178</v>
      </c>
      <c r="C7" s="126" t="s">
        <v>179</v>
      </c>
      <c r="D7" s="108">
        <v>5.03</v>
      </c>
      <c r="E7" s="108"/>
      <c r="F7" s="127"/>
      <c r="G7" s="128"/>
      <c r="H7" s="445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53"/>
      <c r="P7" s="453"/>
      <c r="Q7" s="453"/>
      <c r="R7" s="453"/>
      <c r="S7" s="453"/>
      <c r="T7" s="453"/>
      <c r="U7" s="453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45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53"/>
      <c r="Q8" s="453"/>
      <c r="R8" s="453"/>
      <c r="S8" s="453"/>
      <c r="T8" s="453"/>
      <c r="U8" s="453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45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53"/>
      <c r="P9" s="453"/>
      <c r="Q9" s="453"/>
      <c r="R9" s="453"/>
      <c r="S9" s="453"/>
      <c r="T9" s="453"/>
      <c r="U9" s="453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45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53"/>
      <c r="P10" s="453"/>
      <c r="Q10" s="453"/>
      <c r="R10" s="453"/>
      <c r="S10" s="453"/>
      <c r="T10" s="453"/>
      <c r="U10" s="453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45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53"/>
      <c r="P11" s="453"/>
      <c r="Q11" s="453"/>
      <c r="R11" s="453"/>
      <c r="S11" s="453"/>
      <c r="T11" s="453"/>
      <c r="U11" s="453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45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53"/>
      <c r="P12" s="453"/>
      <c r="Q12" s="453"/>
      <c r="R12" s="453"/>
      <c r="S12" s="453"/>
      <c r="T12" s="453"/>
      <c r="U12" s="453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45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53"/>
      <c r="P13" s="453"/>
      <c r="Q13" s="453"/>
      <c r="R13" s="453"/>
      <c r="S13" s="453"/>
      <c r="T13" s="453"/>
      <c r="U13" s="453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45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53"/>
      <c r="P14" s="453"/>
      <c r="Q14" s="453"/>
      <c r="R14" s="453"/>
      <c r="S14" s="453"/>
      <c r="T14" s="453"/>
      <c r="U14" s="453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>
        <v>42714</v>
      </c>
      <c r="G15" s="128">
        <f>100*2+73+100+26+50+100+100</f>
        <v>649</v>
      </c>
      <c r="H15" s="445">
        <f t="shared" si="0"/>
        <v>3270.96</v>
      </c>
      <c r="I15" s="445">
        <f>10*5</f>
        <v>50</v>
      </c>
      <c r="J15" s="130">
        <f t="array" ref="J15">IF(ISERROR(G15/I15),"",G15/I15)</f>
        <v>12.98</v>
      </c>
      <c r="K15" s="131">
        <f t="array" ref="K15">IF(ISERROR(G15/L15),"",G15/L15)</f>
        <v>38.176470588235297</v>
      </c>
      <c r="L15" s="129">
        <v>17</v>
      </c>
      <c r="M15" s="109">
        <f t="shared" si="1"/>
        <v>11.823529411764703</v>
      </c>
      <c r="N15" s="130">
        <f t="shared" si="4"/>
        <v>0</v>
      </c>
      <c r="O15" s="453"/>
      <c r="P15" s="453"/>
      <c r="Q15" s="453"/>
      <c r="R15" s="453"/>
      <c r="S15" s="453"/>
      <c r="T15" s="453"/>
      <c r="U15" s="453"/>
      <c r="V15" s="132">
        <f>SUM(X15:AA15)</f>
        <v>0</v>
      </c>
      <c r="W15" s="133">
        <f>IF(ISERROR(V15/G15),"",V15/G15)</f>
        <v>0</v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45">
        <f t="shared" si="0"/>
        <v>0</v>
      </c>
      <c r="I16" s="445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53"/>
      <c r="P16" s="453"/>
      <c r="Q16" s="453"/>
      <c r="R16" s="453"/>
      <c r="S16" s="453"/>
      <c r="T16" s="453"/>
      <c r="U16" s="453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45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53"/>
      <c r="P17" s="453"/>
      <c r="Q17" s="453"/>
      <c r="R17" s="453"/>
      <c r="S17" s="453"/>
      <c r="T17" s="453"/>
      <c r="U17" s="453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45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53"/>
      <c r="P18" s="453"/>
      <c r="Q18" s="453"/>
      <c r="R18" s="453"/>
      <c r="S18" s="453"/>
      <c r="T18" s="453"/>
      <c r="U18" s="453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42714</v>
      </c>
      <c r="G19" s="128">
        <v>93</v>
      </c>
      <c r="H19" s="445">
        <f t="shared" si="0"/>
        <v>470.58</v>
      </c>
      <c r="I19" s="129">
        <f>1.5*5</f>
        <v>7.5</v>
      </c>
      <c r="J19" s="129">
        <f t="array" ref="J19">IF(ISERROR(G19/I19),"",G19/I19)</f>
        <v>12.4</v>
      </c>
      <c r="K19" s="131">
        <f t="array" ref="K19">IF(ISERROR(G19/L19),"",G19/L19)</f>
        <v>4.8947368421052628</v>
      </c>
      <c r="L19" s="129">
        <v>19</v>
      </c>
      <c r="M19" s="109">
        <f t="shared" si="1"/>
        <v>2.6052631578947372</v>
      </c>
      <c r="N19" s="129">
        <f t="shared" si="4"/>
        <v>0</v>
      </c>
      <c r="O19" s="453"/>
      <c r="P19" s="453"/>
      <c r="Q19" s="453"/>
      <c r="R19" s="453"/>
      <c r="S19" s="453"/>
      <c r="T19" s="453"/>
      <c r="U19" s="453"/>
      <c r="V19" s="132">
        <f t="shared" ref="V19:V21" si="5">SUM(X19:AA19)</f>
        <v>0</v>
      </c>
      <c r="W19" s="446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45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53"/>
      <c r="P20" s="453"/>
      <c r="Q20" s="453"/>
      <c r="R20" s="453"/>
      <c r="S20" s="453"/>
      <c r="T20" s="453"/>
      <c r="U20" s="453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45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53"/>
      <c r="P21" s="453"/>
      <c r="Q21" s="453"/>
      <c r="R21" s="453"/>
      <c r="S21" s="453"/>
      <c r="T21" s="453"/>
      <c r="U21" s="453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51" t="s">
        <v>190</v>
      </c>
      <c r="D22" s="108">
        <v>4.8</v>
      </c>
      <c r="E22" s="108"/>
      <c r="F22" s="127"/>
      <c r="G22" s="128"/>
      <c r="H22" s="445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53"/>
      <c r="P22" s="453"/>
      <c r="Q22" s="453"/>
      <c r="R22" s="453"/>
      <c r="S22" s="453"/>
      <c r="T22" s="453"/>
      <c r="U22" s="453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51" t="s">
        <v>187</v>
      </c>
      <c r="D23" s="108">
        <v>4.8</v>
      </c>
      <c r="E23" s="108"/>
      <c r="F23" s="127"/>
      <c r="G23" s="128"/>
      <c r="H23" s="445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53"/>
      <c r="P23" s="453"/>
      <c r="Q23" s="453"/>
      <c r="R23" s="453"/>
      <c r="S23" s="453"/>
      <c r="T23" s="453"/>
      <c r="U23" s="453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51" t="s">
        <v>179</v>
      </c>
      <c r="D24" s="108">
        <v>4.8</v>
      </c>
      <c r="E24" s="108"/>
      <c r="F24" s="127"/>
      <c r="G24" s="128"/>
      <c r="H24" s="445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53"/>
      <c r="P24" s="453"/>
      <c r="Q24" s="453"/>
      <c r="R24" s="453"/>
      <c r="S24" s="453"/>
      <c r="T24" s="453"/>
      <c r="U24" s="453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51" t="s">
        <v>199</v>
      </c>
      <c r="D25" s="108">
        <v>4.8</v>
      </c>
      <c r="E25" s="108"/>
      <c r="F25" s="127"/>
      <c r="G25" s="128"/>
      <c r="H25" s="445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53"/>
      <c r="P25" s="453"/>
      <c r="Q25" s="453"/>
      <c r="R25" s="453"/>
      <c r="S25" s="453"/>
      <c r="T25" s="453"/>
      <c r="U25" s="453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45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53"/>
      <c r="P26" s="453"/>
      <c r="Q26" s="453"/>
      <c r="R26" s="453"/>
      <c r="S26" s="453"/>
      <c r="T26" s="453"/>
      <c r="U26" s="453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45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53"/>
      <c r="P27" s="453"/>
      <c r="Q27" s="453"/>
      <c r="R27" s="453"/>
      <c r="S27" s="453"/>
      <c r="T27" s="453"/>
      <c r="U27" s="453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30" t="s">
        <v>201</v>
      </c>
      <c r="B28" s="631"/>
      <c r="C28" s="454" t="s">
        <v>202</v>
      </c>
      <c r="D28" s="143"/>
      <c r="E28" s="143"/>
      <c r="F28" s="144"/>
      <c r="G28" s="145">
        <f>SUM(G7:G27)</f>
        <v>742</v>
      </c>
      <c r="H28" s="146">
        <f>SUM(H7:H27)</f>
        <v>3741.54</v>
      </c>
      <c r="I28" s="146">
        <f>SUM(I7:I27)</f>
        <v>57.5</v>
      </c>
      <c r="J28" s="130">
        <f t="array" ref="J28">IF(ISERROR(G28/I28),"",G28/I28)</f>
        <v>12.904347826086957</v>
      </c>
      <c r="K28" s="146">
        <f>SUM(K7:K27)</f>
        <v>43.071207430340557</v>
      </c>
      <c r="L28" s="147"/>
      <c r="M28" s="146">
        <f t="shared" ref="M28:V28" si="10">SUM(M7:M27)</f>
        <v>14.428792569659439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44" t="s">
        <v>206</v>
      </c>
      <c r="C29" s="126" t="s">
        <v>199</v>
      </c>
      <c r="D29" s="108">
        <v>5.03</v>
      </c>
      <c r="E29" s="108"/>
      <c r="F29" s="127"/>
      <c r="G29" s="128"/>
      <c r="H29" s="445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49"/>
      <c r="P29" s="449"/>
      <c r="Q29" s="449"/>
      <c r="R29" s="449"/>
      <c r="S29" s="449"/>
      <c r="T29" s="449"/>
      <c r="U29" s="449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44" t="s">
        <v>425</v>
      </c>
      <c r="C30" s="187" t="s">
        <v>432</v>
      </c>
      <c r="D30" s="108">
        <v>5.03</v>
      </c>
      <c r="E30" s="108"/>
      <c r="F30" s="127"/>
      <c r="G30" s="128"/>
      <c r="H30" s="445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49"/>
      <c r="P30" s="449"/>
      <c r="Q30" s="449"/>
      <c r="R30" s="449"/>
      <c r="S30" s="449"/>
      <c r="T30" s="449"/>
      <c r="U30" s="449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44" t="s">
        <v>206</v>
      </c>
      <c r="C31" s="126" t="s">
        <v>186</v>
      </c>
      <c r="D31" s="108">
        <v>5.03</v>
      </c>
      <c r="E31" s="108"/>
      <c r="F31" s="127"/>
      <c r="G31" s="128"/>
      <c r="H31" s="445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49"/>
      <c r="P31" s="449"/>
      <c r="Q31" s="449"/>
      <c r="R31" s="449"/>
      <c r="S31" s="449"/>
      <c r="T31" s="449"/>
      <c r="U31" s="449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44" t="s">
        <v>206</v>
      </c>
      <c r="C32" s="126" t="s">
        <v>203</v>
      </c>
      <c r="D32" s="108">
        <v>5.03</v>
      </c>
      <c r="E32" s="108"/>
      <c r="F32" s="127"/>
      <c r="G32" s="128"/>
      <c r="H32" s="445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49"/>
      <c r="P32" s="449"/>
      <c r="Q32" s="449"/>
      <c r="R32" s="449"/>
      <c r="S32" s="449"/>
      <c r="T32" s="449"/>
      <c r="U32" s="449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44" t="s">
        <v>206</v>
      </c>
      <c r="C33" s="126" t="s">
        <v>207</v>
      </c>
      <c r="D33" s="108">
        <v>5.03</v>
      </c>
      <c r="E33" s="108"/>
      <c r="F33" s="127"/>
      <c r="G33" s="128"/>
      <c r="H33" s="445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49"/>
      <c r="P33" s="449"/>
      <c r="Q33" s="449"/>
      <c r="R33" s="449"/>
      <c r="S33" s="449"/>
      <c r="T33" s="449"/>
      <c r="U33" s="449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44" t="s">
        <v>414</v>
      </c>
      <c r="C34" s="187" t="s">
        <v>415</v>
      </c>
      <c r="D34" s="108">
        <v>5.03</v>
      </c>
      <c r="E34" s="108"/>
      <c r="F34" s="127"/>
      <c r="G34" s="128"/>
      <c r="H34" s="445">
        <f t="shared" si="11"/>
        <v>0</v>
      </c>
      <c r="I34" s="129"/>
      <c r="J34" s="130"/>
      <c r="K34" s="131"/>
      <c r="L34" s="129">
        <v>52</v>
      </c>
      <c r="M34" s="109"/>
      <c r="N34" s="130"/>
      <c r="O34" s="449"/>
      <c r="P34" s="449"/>
      <c r="Q34" s="449"/>
      <c r="R34" s="449"/>
      <c r="S34" s="449"/>
      <c r="T34" s="449"/>
      <c r="U34" s="449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44" t="s">
        <v>414</v>
      </c>
      <c r="C35" s="187" t="s">
        <v>416</v>
      </c>
      <c r="D35" s="108">
        <v>5.03</v>
      </c>
      <c r="E35" s="108"/>
      <c r="F35" s="127"/>
      <c r="G35" s="128"/>
      <c r="H35" s="445">
        <f t="shared" si="11"/>
        <v>0</v>
      </c>
      <c r="I35" s="129"/>
      <c r="J35" s="130"/>
      <c r="K35" s="131"/>
      <c r="L35" s="129">
        <v>52</v>
      </c>
      <c r="M35" s="109"/>
      <c r="N35" s="130"/>
      <c r="O35" s="449"/>
      <c r="P35" s="449"/>
      <c r="Q35" s="449"/>
      <c r="R35" s="449"/>
      <c r="S35" s="449"/>
      <c r="T35" s="449"/>
      <c r="U35" s="449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44" t="s">
        <v>414</v>
      </c>
      <c r="C36" s="187" t="s">
        <v>61</v>
      </c>
      <c r="D36" s="108">
        <v>5.03</v>
      </c>
      <c r="E36" s="108"/>
      <c r="F36" s="127"/>
      <c r="G36" s="128"/>
      <c r="H36" s="445">
        <f t="shared" si="11"/>
        <v>0</v>
      </c>
      <c r="I36" s="129"/>
      <c r="J36" s="130"/>
      <c r="K36" s="131"/>
      <c r="L36" s="129">
        <v>52</v>
      </c>
      <c r="M36" s="109"/>
      <c r="N36" s="130"/>
      <c r="O36" s="449"/>
      <c r="P36" s="449"/>
      <c r="Q36" s="449"/>
      <c r="R36" s="449"/>
      <c r="S36" s="449"/>
      <c r="T36" s="449"/>
      <c r="U36" s="449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44" t="s">
        <v>208</v>
      </c>
      <c r="C37" s="126" t="s">
        <v>179</v>
      </c>
      <c r="D37" s="108">
        <v>5.08</v>
      </c>
      <c r="E37" s="108"/>
      <c r="F37" s="127"/>
      <c r="G37" s="128"/>
      <c r="H37" s="445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49"/>
      <c r="P37" s="449"/>
      <c r="Q37" s="449"/>
      <c r="R37" s="449"/>
      <c r="S37" s="449"/>
      <c r="T37" s="449"/>
      <c r="U37" s="449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44" t="s">
        <v>208</v>
      </c>
      <c r="C38" s="126" t="s">
        <v>204</v>
      </c>
      <c r="D38" s="108">
        <v>5.08</v>
      </c>
      <c r="E38" s="108"/>
      <c r="F38" s="127"/>
      <c r="G38" s="128"/>
      <c r="H38" s="445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49"/>
      <c r="P38" s="449"/>
      <c r="Q38" s="449"/>
      <c r="R38" s="449"/>
      <c r="S38" s="449"/>
      <c r="T38" s="449"/>
      <c r="U38" s="449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44" t="s">
        <v>208</v>
      </c>
      <c r="C39" s="126" t="s">
        <v>205</v>
      </c>
      <c r="D39" s="108">
        <v>5.08</v>
      </c>
      <c r="E39" s="108"/>
      <c r="F39" s="127"/>
      <c r="G39" s="128"/>
      <c r="H39" s="445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49"/>
      <c r="P39" s="449"/>
      <c r="Q39" s="449"/>
      <c r="R39" s="449"/>
      <c r="S39" s="449"/>
      <c r="T39" s="449"/>
      <c r="U39" s="449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44" t="s">
        <v>208</v>
      </c>
      <c r="C40" s="126" t="s">
        <v>186</v>
      </c>
      <c r="D40" s="108">
        <v>5.08</v>
      </c>
      <c r="E40" s="108"/>
      <c r="F40" s="127"/>
      <c r="G40" s="128"/>
      <c r="H40" s="445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49"/>
      <c r="P40" s="449"/>
      <c r="Q40" s="449"/>
      <c r="R40" s="449"/>
      <c r="S40" s="449"/>
      <c r="T40" s="449"/>
      <c r="U40" s="449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44" t="s">
        <v>208</v>
      </c>
      <c r="C41" s="126" t="s">
        <v>203</v>
      </c>
      <c r="D41" s="108">
        <v>5.08</v>
      </c>
      <c r="E41" s="108"/>
      <c r="F41" s="127"/>
      <c r="G41" s="128"/>
      <c r="H41" s="445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49"/>
      <c r="P41" s="449"/>
      <c r="Q41" s="449"/>
      <c r="R41" s="449"/>
      <c r="S41" s="449"/>
      <c r="T41" s="449"/>
      <c r="U41" s="449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44" t="s">
        <v>208</v>
      </c>
      <c r="C42" s="126" t="s">
        <v>199</v>
      </c>
      <c r="D42" s="108">
        <v>5.08</v>
      </c>
      <c r="E42" s="108"/>
      <c r="F42" s="127"/>
      <c r="G42" s="128"/>
      <c r="H42" s="445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53"/>
      <c r="P42" s="453"/>
      <c r="Q42" s="453"/>
      <c r="R42" s="453"/>
      <c r="S42" s="453"/>
      <c r="T42" s="453"/>
      <c r="U42" s="453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44" t="s">
        <v>208</v>
      </c>
      <c r="C43" s="126" t="s">
        <v>187</v>
      </c>
      <c r="D43" s="108">
        <v>5.08</v>
      </c>
      <c r="E43" s="108"/>
      <c r="F43" s="127"/>
      <c r="G43" s="128"/>
      <c r="H43" s="445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49"/>
      <c r="P43" s="449"/>
      <c r="Q43" s="449"/>
      <c r="R43" s="449"/>
      <c r="S43" s="449"/>
      <c r="T43" s="449"/>
      <c r="U43" s="449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44" t="s">
        <v>208</v>
      </c>
      <c r="C44" s="126" t="s">
        <v>207</v>
      </c>
      <c r="D44" s="108">
        <v>5.08</v>
      </c>
      <c r="E44" s="108"/>
      <c r="F44" s="127"/>
      <c r="G44" s="128"/>
      <c r="H44" s="445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53"/>
      <c r="P44" s="453"/>
      <c r="Q44" s="453"/>
      <c r="R44" s="453"/>
      <c r="S44" s="453"/>
      <c r="T44" s="453"/>
      <c r="U44" s="453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44" t="s">
        <v>209</v>
      </c>
      <c r="C45" s="126" t="s">
        <v>194</v>
      </c>
      <c r="D45" s="108">
        <v>5.03</v>
      </c>
      <c r="E45" s="108"/>
      <c r="F45" s="127"/>
      <c r="G45" s="128"/>
      <c r="H45" s="445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49"/>
      <c r="P45" s="449"/>
      <c r="Q45" s="449"/>
      <c r="R45" s="449"/>
      <c r="S45" s="449"/>
      <c r="T45" s="449"/>
      <c r="U45" s="449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44" t="s">
        <v>209</v>
      </c>
      <c r="C46" s="126" t="s">
        <v>179</v>
      </c>
      <c r="D46" s="108">
        <v>5.03</v>
      </c>
      <c r="E46" s="108"/>
      <c r="F46" s="127"/>
      <c r="G46" s="128"/>
      <c r="H46" s="445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49"/>
      <c r="P46" s="449"/>
      <c r="Q46" s="449"/>
      <c r="R46" s="449"/>
      <c r="S46" s="449"/>
      <c r="T46" s="449"/>
      <c r="U46" s="449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44" t="s">
        <v>209</v>
      </c>
      <c r="C47" s="126" t="s">
        <v>195</v>
      </c>
      <c r="D47" s="108">
        <v>5.03</v>
      </c>
      <c r="E47" s="108"/>
      <c r="F47" s="127"/>
      <c r="G47" s="128"/>
      <c r="H47" s="445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49"/>
      <c r="P47" s="449"/>
      <c r="Q47" s="449"/>
      <c r="R47" s="449"/>
      <c r="S47" s="449"/>
      <c r="T47" s="449"/>
      <c r="U47" s="449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44" t="s">
        <v>209</v>
      </c>
      <c r="C48" s="126" t="s">
        <v>204</v>
      </c>
      <c r="D48" s="108">
        <v>5.03</v>
      </c>
      <c r="E48" s="108"/>
      <c r="F48" s="127"/>
      <c r="G48" s="128"/>
      <c r="H48" s="445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49"/>
      <c r="P48" s="449"/>
      <c r="Q48" s="449"/>
      <c r="R48" s="449"/>
      <c r="S48" s="449"/>
      <c r="T48" s="449"/>
      <c r="U48" s="449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44" t="s">
        <v>382</v>
      </c>
      <c r="C49" s="187" t="s">
        <v>383</v>
      </c>
      <c r="D49" s="108">
        <v>5.03</v>
      </c>
      <c r="E49" s="108"/>
      <c r="F49" s="127"/>
      <c r="G49" s="128"/>
      <c r="H49" s="445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49"/>
      <c r="P49" s="449"/>
      <c r="Q49" s="449"/>
      <c r="R49" s="449"/>
      <c r="S49" s="449"/>
      <c r="T49" s="449"/>
      <c r="U49" s="449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44" t="s">
        <v>382</v>
      </c>
      <c r="C50" s="187" t="s">
        <v>384</v>
      </c>
      <c r="D50" s="108">
        <v>5.03</v>
      </c>
      <c r="E50" s="108"/>
      <c r="F50" s="127"/>
      <c r="G50" s="128"/>
      <c r="H50" s="445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49"/>
      <c r="P50" s="449"/>
      <c r="Q50" s="449"/>
      <c r="R50" s="449"/>
      <c r="S50" s="449"/>
      <c r="T50" s="449"/>
      <c r="U50" s="449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44" t="s">
        <v>382</v>
      </c>
      <c r="C51" s="187" t="s">
        <v>389</v>
      </c>
      <c r="D51" s="108">
        <v>5.03</v>
      </c>
      <c r="E51" s="108"/>
      <c r="F51" s="127"/>
      <c r="G51" s="128"/>
      <c r="H51" s="445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49"/>
      <c r="P51" s="449"/>
      <c r="Q51" s="449"/>
      <c r="R51" s="449"/>
      <c r="S51" s="449"/>
      <c r="T51" s="449"/>
      <c r="U51" s="449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44" t="s">
        <v>382</v>
      </c>
      <c r="C52" s="187" t="s">
        <v>391</v>
      </c>
      <c r="D52" s="108">
        <v>5.03</v>
      </c>
      <c r="E52" s="108"/>
      <c r="F52" s="127"/>
      <c r="G52" s="128"/>
      <c r="H52" s="445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49"/>
      <c r="P52" s="449"/>
      <c r="Q52" s="449"/>
      <c r="R52" s="449"/>
      <c r="S52" s="449"/>
      <c r="T52" s="449"/>
      <c r="U52" s="449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44" t="s">
        <v>418</v>
      </c>
      <c r="C53" s="187" t="s">
        <v>364</v>
      </c>
      <c r="D53" s="108">
        <v>5.03</v>
      </c>
      <c r="E53" s="108"/>
      <c r="F53" s="127"/>
      <c r="G53" s="128"/>
      <c r="H53" s="445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49"/>
      <c r="P53" s="449"/>
      <c r="Q53" s="449"/>
      <c r="R53" s="449"/>
      <c r="S53" s="449"/>
      <c r="T53" s="449"/>
      <c r="U53" s="449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44" t="s">
        <v>418</v>
      </c>
      <c r="C54" s="187" t="s">
        <v>365</v>
      </c>
      <c r="D54" s="108">
        <v>5.03</v>
      </c>
      <c r="E54" s="108"/>
      <c r="F54" s="127"/>
      <c r="G54" s="128"/>
      <c r="H54" s="445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49"/>
      <c r="P54" s="449"/>
      <c r="Q54" s="449"/>
      <c r="R54" s="449"/>
      <c r="S54" s="449"/>
      <c r="T54" s="449"/>
      <c r="U54" s="449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44" t="s">
        <v>418</v>
      </c>
      <c r="C55" s="187" t="s">
        <v>366</v>
      </c>
      <c r="D55" s="108">
        <v>5.03</v>
      </c>
      <c r="E55" s="108"/>
      <c r="F55" s="127"/>
      <c r="G55" s="128"/>
      <c r="H55" s="445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49"/>
      <c r="P55" s="449"/>
      <c r="Q55" s="449"/>
      <c r="R55" s="449"/>
      <c r="S55" s="449"/>
      <c r="T55" s="449"/>
      <c r="U55" s="449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44" t="s">
        <v>418</v>
      </c>
      <c r="C56" s="187" t="s">
        <v>367</v>
      </c>
      <c r="D56" s="108">
        <v>5.03</v>
      </c>
      <c r="E56" s="108"/>
      <c r="F56" s="127"/>
      <c r="G56" s="128"/>
      <c r="H56" s="445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49"/>
      <c r="P56" s="449"/>
      <c r="Q56" s="449"/>
      <c r="R56" s="449"/>
      <c r="S56" s="449"/>
      <c r="T56" s="449"/>
      <c r="U56" s="449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45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53"/>
      <c r="P57" s="453"/>
      <c r="Q57" s="453"/>
      <c r="R57" s="453"/>
      <c r="S57" s="453"/>
      <c r="T57" s="453"/>
      <c r="U57" s="453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>
        <v>42714</v>
      </c>
      <c r="G58" s="128">
        <f>108+90</f>
        <v>198</v>
      </c>
      <c r="H58" s="445">
        <f t="shared" si="11"/>
        <v>995.94</v>
      </c>
      <c r="I58" s="129">
        <v>3</v>
      </c>
      <c r="J58" s="130">
        <f t="array" ref="J58">IF(ISERROR(G58/I58),"",G58/I58)</f>
        <v>66</v>
      </c>
      <c r="K58" s="131">
        <f t="array" ref="K58">IF(ISERROR(G58/L58),"",G58/L58)</f>
        <v>4.95</v>
      </c>
      <c r="L58" s="129">
        <v>40</v>
      </c>
      <c r="M58" s="109">
        <f t="shared" si="19"/>
        <v>-1.9500000000000002</v>
      </c>
      <c r="N58" s="130">
        <f t="shared" si="23"/>
        <v>0</v>
      </c>
      <c r="O58" s="453"/>
      <c r="P58" s="453"/>
      <c r="Q58" s="453"/>
      <c r="R58" s="453"/>
      <c r="S58" s="453"/>
      <c r="T58" s="453"/>
      <c r="U58" s="453"/>
      <c r="V58" s="132">
        <f t="shared" si="24"/>
        <v>0</v>
      </c>
      <c r="W58" s="133">
        <f t="shared" si="25"/>
        <v>0</v>
      </c>
      <c r="X58" s="132"/>
      <c r="Y58" s="132"/>
      <c r="Z58" s="132"/>
      <c r="AA58" s="132"/>
    </row>
    <row r="59" spans="1:27" ht="20.10000000000000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>
        <v>42714</v>
      </c>
      <c r="G59" s="128">
        <f>108*2+63</f>
        <v>279</v>
      </c>
      <c r="H59" s="445">
        <f t="shared" si="11"/>
        <v>1403.3700000000001</v>
      </c>
      <c r="I59" s="129">
        <v>6.5</v>
      </c>
      <c r="J59" s="130">
        <f t="array" ref="J59">IF(ISERROR(G59/I59),"",G59/I59)</f>
        <v>42.92307692307692</v>
      </c>
      <c r="K59" s="131">
        <f t="array" ref="K59">IF(ISERROR(G59/L59),"",G59/L59)</f>
        <v>6.9749999999999996</v>
      </c>
      <c r="L59" s="129">
        <v>40</v>
      </c>
      <c r="M59" s="109">
        <f t="shared" si="19"/>
        <v>-0.47499999999999964</v>
      </c>
      <c r="N59" s="130">
        <f t="shared" si="23"/>
        <v>0</v>
      </c>
      <c r="O59" s="453"/>
      <c r="P59" s="453"/>
      <c r="Q59" s="453"/>
      <c r="R59" s="453"/>
      <c r="S59" s="453"/>
      <c r="T59" s="453"/>
      <c r="U59" s="453"/>
      <c r="V59" s="132">
        <f t="shared" si="24"/>
        <v>0</v>
      </c>
      <c r="W59" s="133">
        <f t="shared" si="25"/>
        <v>0</v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45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53"/>
      <c r="P60" s="453"/>
      <c r="Q60" s="453"/>
      <c r="R60" s="453"/>
      <c r="S60" s="453"/>
      <c r="T60" s="453"/>
      <c r="U60" s="453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45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53"/>
      <c r="P61" s="453"/>
      <c r="Q61" s="453"/>
      <c r="R61" s="453"/>
      <c r="S61" s="453"/>
      <c r="T61" s="453"/>
      <c r="U61" s="453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45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53"/>
      <c r="P62" s="453"/>
      <c r="Q62" s="453"/>
      <c r="R62" s="453"/>
      <c r="S62" s="453"/>
      <c r="T62" s="453"/>
      <c r="U62" s="453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45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53"/>
      <c r="P63" s="453"/>
      <c r="Q63" s="453"/>
      <c r="R63" s="453"/>
      <c r="S63" s="453"/>
      <c r="T63" s="453"/>
      <c r="U63" s="453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45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53"/>
      <c r="P64" s="453"/>
      <c r="Q64" s="453"/>
      <c r="R64" s="453"/>
      <c r="S64" s="453"/>
      <c r="T64" s="453"/>
      <c r="U64" s="453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45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53"/>
      <c r="P65" s="453"/>
      <c r="Q65" s="453"/>
      <c r="R65" s="453"/>
      <c r="S65" s="453"/>
      <c r="T65" s="453"/>
      <c r="U65" s="453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45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53"/>
      <c r="P66" s="453"/>
      <c r="Q66" s="453"/>
      <c r="R66" s="453"/>
      <c r="S66" s="453"/>
      <c r="T66" s="453"/>
      <c r="U66" s="453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45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53"/>
      <c r="P67" s="453"/>
      <c r="Q67" s="453"/>
      <c r="R67" s="453"/>
      <c r="S67" s="453"/>
      <c r="T67" s="453"/>
      <c r="U67" s="453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45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53"/>
      <c r="P68" s="453"/>
      <c r="Q68" s="453"/>
      <c r="R68" s="453"/>
      <c r="S68" s="453"/>
      <c r="T68" s="453"/>
      <c r="U68" s="453"/>
      <c r="V68" s="132"/>
      <c r="W68" s="133"/>
      <c r="X68" s="132"/>
      <c r="Y68" s="132"/>
      <c r="Z68" s="132"/>
      <c r="AA68" s="132"/>
    </row>
    <row r="69" spans="1:27" ht="20.10000000000000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>
        <v>42714</v>
      </c>
      <c r="G69" s="128">
        <f>105+69</f>
        <v>174</v>
      </c>
      <c r="H69" s="445">
        <f t="shared" si="11"/>
        <v>875.22</v>
      </c>
      <c r="I69" s="129">
        <f>2.5*4</f>
        <v>10</v>
      </c>
      <c r="J69" s="130">
        <f t="array" ref="J69">IF(ISERROR(G69/I69),"",G69/I69)</f>
        <v>17.399999999999999</v>
      </c>
      <c r="K69" s="131">
        <f t="array" ref="K69">IF(ISERROR(G69/L69),"",G69/L69)</f>
        <v>8.0930232558139537</v>
      </c>
      <c r="L69" s="129">
        <v>21.5</v>
      </c>
      <c r="M69" s="109">
        <f t="shared" ref="M69:M70" si="26">IF(ISERROR(I69-K69),"",I69-K69)</f>
        <v>1.9069767441860463</v>
      </c>
      <c r="N69" s="130">
        <f t="shared" ref="N69:N70" si="27">SUM(O69:U69)</f>
        <v>0</v>
      </c>
      <c r="O69" s="453"/>
      <c r="P69" s="453"/>
      <c r="Q69" s="453"/>
      <c r="R69" s="453"/>
      <c r="S69" s="453"/>
      <c r="T69" s="453"/>
      <c r="U69" s="453"/>
      <c r="V69" s="132">
        <f t="shared" ref="V69:V70" si="28">SUM(X69:AA69)</f>
        <v>0</v>
      </c>
      <c r="W69" s="133">
        <f t="shared" ref="W69:W70" si="29">IF(ISERROR(V69/G69),"",V69/G69)</f>
        <v>0</v>
      </c>
      <c r="X69" s="132"/>
      <c r="Y69" s="132"/>
      <c r="Z69" s="132"/>
      <c r="AA69" s="132"/>
    </row>
    <row r="70" spans="1:27" ht="20.10000000000000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>
        <v>42714</v>
      </c>
      <c r="G70" s="128">
        <f>100*4+71+1+100*2+93</f>
        <v>765</v>
      </c>
      <c r="H70" s="445">
        <f t="shared" si="11"/>
        <v>3847.9500000000003</v>
      </c>
      <c r="I70" s="129">
        <f>9*4</f>
        <v>36</v>
      </c>
      <c r="J70" s="130">
        <f t="array" ref="J70">IF(ISERROR(G70/I70),"",G70/I70)</f>
        <v>21.25</v>
      </c>
      <c r="K70" s="131">
        <f t="array" ref="K70">IF(ISERROR(G70/L70),"",G70/L70)</f>
        <v>35.581395348837212</v>
      </c>
      <c r="L70" s="129">
        <v>21.5</v>
      </c>
      <c r="M70" s="109">
        <f t="shared" si="26"/>
        <v>0.41860465116278789</v>
      </c>
      <c r="N70" s="130">
        <f t="shared" si="27"/>
        <v>0</v>
      </c>
      <c r="O70" s="453"/>
      <c r="P70" s="453"/>
      <c r="Q70" s="453"/>
      <c r="R70" s="453"/>
      <c r="S70" s="453"/>
      <c r="T70" s="453"/>
      <c r="U70" s="453"/>
      <c r="V70" s="132">
        <f t="shared" si="28"/>
        <v>0</v>
      </c>
      <c r="W70" s="133">
        <f t="shared" si="29"/>
        <v>0</v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45">
        <f t="shared" si="11"/>
        <v>0</v>
      </c>
      <c r="I71" s="129"/>
      <c r="J71" s="130"/>
      <c r="K71" s="131"/>
      <c r="L71" s="129"/>
      <c r="M71" s="109"/>
      <c r="N71" s="130"/>
      <c r="O71" s="453"/>
      <c r="P71" s="453"/>
      <c r="Q71" s="453"/>
      <c r="R71" s="453"/>
      <c r="S71" s="453"/>
      <c r="T71" s="453"/>
      <c r="U71" s="453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45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53"/>
      <c r="P72" s="453"/>
      <c r="Q72" s="453"/>
      <c r="R72" s="453"/>
      <c r="S72" s="453"/>
      <c r="T72" s="453"/>
      <c r="U72" s="453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45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53"/>
      <c r="P73" s="453"/>
      <c r="Q73" s="453"/>
      <c r="R73" s="453"/>
      <c r="S73" s="453"/>
      <c r="T73" s="453"/>
      <c r="U73" s="453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45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53"/>
      <c r="P74" s="453"/>
      <c r="Q74" s="453"/>
      <c r="R74" s="453"/>
      <c r="S74" s="453"/>
      <c r="T74" s="453"/>
      <c r="U74" s="453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45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53"/>
      <c r="P75" s="453"/>
      <c r="Q75" s="453"/>
      <c r="R75" s="453"/>
      <c r="S75" s="453"/>
      <c r="T75" s="453"/>
      <c r="U75" s="453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45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53"/>
      <c r="P76" s="453"/>
      <c r="Q76" s="453"/>
      <c r="R76" s="453"/>
      <c r="S76" s="453"/>
      <c r="T76" s="453"/>
      <c r="U76" s="453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45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53"/>
      <c r="P77" s="453"/>
      <c r="Q77" s="453"/>
      <c r="R77" s="453"/>
      <c r="S77" s="453"/>
      <c r="T77" s="453"/>
      <c r="U77" s="453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45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53"/>
      <c r="P78" s="453"/>
      <c r="Q78" s="453"/>
      <c r="R78" s="453"/>
      <c r="S78" s="453"/>
      <c r="T78" s="453"/>
      <c r="U78" s="453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45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53"/>
      <c r="P79" s="453"/>
      <c r="Q79" s="453"/>
      <c r="R79" s="453"/>
      <c r="S79" s="453"/>
      <c r="T79" s="453"/>
      <c r="U79" s="453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45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53"/>
      <c r="P80" s="453"/>
      <c r="Q80" s="453"/>
      <c r="R80" s="453"/>
      <c r="S80" s="453"/>
      <c r="T80" s="453"/>
      <c r="U80" s="453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45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53"/>
      <c r="P81" s="453"/>
      <c r="Q81" s="453"/>
      <c r="R81" s="453"/>
      <c r="S81" s="453"/>
      <c r="T81" s="453"/>
      <c r="U81" s="453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45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53"/>
      <c r="P82" s="453"/>
      <c r="Q82" s="453"/>
      <c r="R82" s="453"/>
      <c r="S82" s="453"/>
      <c r="T82" s="453"/>
      <c r="U82" s="453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45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53"/>
      <c r="P83" s="453"/>
      <c r="Q83" s="453"/>
      <c r="R83" s="453"/>
      <c r="S83" s="453"/>
      <c r="T83" s="453"/>
      <c r="U83" s="453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45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53"/>
      <c r="P84" s="453"/>
      <c r="Q84" s="453"/>
      <c r="R84" s="453"/>
      <c r="S84" s="453"/>
      <c r="T84" s="453"/>
      <c r="U84" s="453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45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53"/>
      <c r="P85" s="453"/>
      <c r="Q85" s="453"/>
      <c r="R85" s="453"/>
      <c r="S85" s="453"/>
      <c r="T85" s="453"/>
      <c r="U85" s="453"/>
      <c r="V85" s="132"/>
      <c r="W85" s="133"/>
      <c r="X85" s="132"/>
      <c r="Y85" s="132"/>
      <c r="Z85" s="132"/>
      <c r="AA85" s="132"/>
    </row>
    <row r="86" spans="1:27" ht="20.100000000000001" customHeight="1">
      <c r="A86" s="641" t="s">
        <v>216</v>
      </c>
      <c r="B86" s="641"/>
      <c r="C86" s="454" t="s">
        <v>202</v>
      </c>
      <c r="D86" s="143"/>
      <c r="E86" s="143"/>
      <c r="F86" s="144"/>
      <c r="G86" s="145">
        <f>SUM(G29:G85)</f>
        <v>1416</v>
      </c>
      <c r="H86" s="146">
        <f>SUM(H29:H85)</f>
        <v>7122.4800000000014</v>
      </c>
      <c r="I86" s="146">
        <f>SUM(I29:I85)</f>
        <v>55.5</v>
      </c>
      <c r="J86" s="130">
        <f t="array" ref="J86">IF(ISERROR(G86/I86),"",G86/I86)</f>
        <v>25.513513513513512</v>
      </c>
      <c r="K86" s="146">
        <f>SUM(K29:K85)</f>
        <v>55.599418604651163</v>
      </c>
      <c r="L86" s="147"/>
      <c r="M86" s="150">
        <f t="shared" ref="M86:V86" si="34">SUM(M29:M85)</f>
        <v>-9.9418604651165587E-2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44" t="s">
        <v>217</v>
      </c>
      <c r="C87" s="126" t="s">
        <v>179</v>
      </c>
      <c r="D87" s="108">
        <v>5.03</v>
      </c>
      <c r="E87" s="108"/>
      <c r="F87" s="127"/>
      <c r="G87" s="128"/>
      <c r="H87" s="445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53"/>
      <c r="P87" s="453"/>
      <c r="Q87" s="453"/>
      <c r="R87" s="453"/>
      <c r="S87" s="453"/>
      <c r="T87" s="453"/>
      <c r="U87" s="453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44" t="s">
        <v>217</v>
      </c>
      <c r="C88" s="126" t="s">
        <v>186</v>
      </c>
      <c r="D88" s="108">
        <v>5.03</v>
      </c>
      <c r="E88" s="108"/>
      <c r="F88" s="127"/>
      <c r="G88" s="128"/>
      <c r="H88" s="445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53"/>
      <c r="P88" s="453"/>
      <c r="Q88" s="453"/>
      <c r="R88" s="453"/>
      <c r="S88" s="453"/>
      <c r="T88" s="453"/>
      <c r="U88" s="453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44" t="s">
        <v>217</v>
      </c>
      <c r="C89" s="126" t="s">
        <v>204</v>
      </c>
      <c r="D89" s="108">
        <v>5.03</v>
      </c>
      <c r="E89" s="108"/>
      <c r="F89" s="127"/>
      <c r="G89" s="128"/>
      <c r="H89" s="445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53"/>
      <c r="P89" s="453"/>
      <c r="Q89" s="453"/>
      <c r="R89" s="453"/>
      <c r="S89" s="453"/>
      <c r="T89" s="453"/>
      <c r="U89" s="453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45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53"/>
      <c r="P90" s="453"/>
      <c r="Q90" s="453"/>
      <c r="R90" s="453"/>
      <c r="S90" s="453"/>
      <c r="T90" s="453"/>
      <c r="U90" s="453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45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53"/>
      <c r="P91" s="453"/>
      <c r="Q91" s="453"/>
      <c r="R91" s="453"/>
      <c r="S91" s="453"/>
      <c r="T91" s="453"/>
      <c r="U91" s="453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45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53"/>
      <c r="P92" s="453"/>
      <c r="Q92" s="453"/>
      <c r="R92" s="453"/>
      <c r="S92" s="453"/>
      <c r="T92" s="453"/>
      <c r="U92" s="453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45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53"/>
      <c r="P93" s="453"/>
      <c r="Q93" s="453"/>
      <c r="R93" s="453"/>
      <c r="S93" s="453"/>
      <c r="T93" s="453"/>
      <c r="U93" s="453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45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53"/>
      <c r="P94" s="453"/>
      <c r="Q94" s="453"/>
      <c r="R94" s="453"/>
      <c r="S94" s="453"/>
      <c r="T94" s="453"/>
      <c r="U94" s="453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45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53"/>
      <c r="P95" s="453"/>
      <c r="Q95" s="453"/>
      <c r="R95" s="453"/>
      <c r="S95" s="453"/>
      <c r="T95" s="453"/>
      <c r="U95" s="453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45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53"/>
      <c r="P96" s="453"/>
      <c r="Q96" s="453"/>
      <c r="R96" s="453"/>
      <c r="S96" s="453"/>
      <c r="T96" s="453"/>
      <c r="U96" s="453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45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53"/>
      <c r="P97" s="453"/>
      <c r="Q97" s="453"/>
      <c r="R97" s="453"/>
      <c r="S97" s="453"/>
      <c r="T97" s="453"/>
      <c r="U97" s="453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45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53"/>
      <c r="P98" s="453"/>
      <c r="Q98" s="453"/>
      <c r="R98" s="453"/>
      <c r="S98" s="453"/>
      <c r="T98" s="453"/>
      <c r="U98" s="453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445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53"/>
      <c r="P99" s="453"/>
      <c r="Q99" s="453"/>
      <c r="R99" s="453"/>
      <c r="S99" s="453"/>
      <c r="T99" s="453"/>
      <c r="U99" s="453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45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53"/>
      <c r="P100" s="453"/>
      <c r="Q100" s="453"/>
      <c r="R100" s="453"/>
      <c r="S100" s="453"/>
      <c r="T100" s="453"/>
      <c r="U100" s="453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45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53"/>
      <c r="P101" s="453"/>
      <c r="Q101" s="453"/>
      <c r="R101" s="453"/>
      <c r="S101" s="453"/>
      <c r="T101" s="453"/>
      <c r="U101" s="453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45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53"/>
      <c r="P102" s="453"/>
      <c r="Q102" s="453"/>
      <c r="R102" s="453"/>
      <c r="S102" s="453"/>
      <c r="T102" s="453"/>
      <c r="U102" s="453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44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45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53"/>
      <c r="P103" s="453"/>
      <c r="Q103" s="453"/>
      <c r="R103" s="453"/>
      <c r="S103" s="453"/>
      <c r="T103" s="453"/>
      <c r="U103" s="453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44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45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53"/>
      <c r="P104" s="453"/>
      <c r="Q104" s="453"/>
      <c r="R104" s="453"/>
      <c r="S104" s="453"/>
      <c r="T104" s="453"/>
      <c r="U104" s="453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44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45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53"/>
      <c r="P105" s="453"/>
      <c r="Q105" s="453"/>
      <c r="R105" s="453"/>
      <c r="S105" s="453"/>
      <c r="T105" s="453"/>
      <c r="U105" s="453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44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45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53"/>
      <c r="P106" s="453"/>
      <c r="Q106" s="453"/>
      <c r="R106" s="453"/>
      <c r="S106" s="453"/>
      <c r="T106" s="453"/>
      <c r="U106" s="453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44" t="s">
        <v>393</v>
      </c>
      <c r="C107" s="187" t="s">
        <v>395</v>
      </c>
      <c r="D107" s="108">
        <v>5</v>
      </c>
      <c r="E107" s="108"/>
      <c r="F107" s="127"/>
      <c r="G107" s="128"/>
      <c r="H107" s="445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53"/>
      <c r="P107" s="453"/>
      <c r="Q107" s="453"/>
      <c r="R107" s="453"/>
      <c r="S107" s="453"/>
      <c r="T107" s="453"/>
      <c r="U107" s="453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44" t="s">
        <v>393</v>
      </c>
      <c r="C108" s="187" t="s">
        <v>402</v>
      </c>
      <c r="D108" s="108">
        <v>5</v>
      </c>
      <c r="E108" s="108"/>
      <c r="F108" s="127"/>
      <c r="G108" s="128"/>
      <c r="H108" s="445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53"/>
      <c r="P108" s="453"/>
      <c r="Q108" s="453"/>
      <c r="R108" s="453"/>
      <c r="S108" s="453"/>
      <c r="T108" s="453"/>
      <c r="U108" s="453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44" t="s">
        <v>404</v>
      </c>
      <c r="C109" s="187" t="s">
        <v>405</v>
      </c>
      <c r="D109" s="108">
        <v>5</v>
      </c>
      <c r="E109" s="108"/>
      <c r="F109" s="127"/>
      <c r="G109" s="128"/>
      <c r="H109" s="445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53"/>
      <c r="P109" s="453"/>
      <c r="Q109" s="453"/>
      <c r="R109" s="453"/>
      <c r="S109" s="453"/>
      <c r="T109" s="453"/>
      <c r="U109" s="453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44" t="s">
        <v>492</v>
      </c>
      <c r="C110" s="187" t="s">
        <v>372</v>
      </c>
      <c r="D110" s="108">
        <v>5</v>
      </c>
      <c r="E110" s="108"/>
      <c r="F110" s="127"/>
      <c r="G110" s="128"/>
      <c r="H110" s="445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53"/>
      <c r="P110" s="453"/>
      <c r="Q110" s="453"/>
      <c r="R110" s="453"/>
      <c r="S110" s="453"/>
      <c r="T110" s="453"/>
      <c r="U110" s="453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44" t="s">
        <v>343</v>
      </c>
      <c r="C111" s="126" t="s">
        <v>345</v>
      </c>
      <c r="D111" s="108">
        <v>5</v>
      </c>
      <c r="E111" s="108"/>
      <c r="F111" s="127"/>
      <c r="G111" s="128"/>
      <c r="H111" s="445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53"/>
      <c r="P111" s="453"/>
      <c r="Q111" s="453"/>
      <c r="R111" s="453"/>
      <c r="S111" s="453"/>
      <c r="T111" s="453"/>
      <c r="U111" s="453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44" t="s">
        <v>343</v>
      </c>
      <c r="C112" s="126" t="s">
        <v>347</v>
      </c>
      <c r="D112" s="108">
        <v>5</v>
      </c>
      <c r="E112" s="108"/>
      <c r="F112" s="127"/>
      <c r="G112" s="128"/>
      <c r="H112" s="445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53"/>
      <c r="P112" s="453"/>
      <c r="Q112" s="453"/>
      <c r="R112" s="453"/>
      <c r="S112" s="453"/>
      <c r="T112" s="453"/>
      <c r="U112" s="453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45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53"/>
      <c r="P113" s="453"/>
      <c r="Q113" s="453"/>
      <c r="R113" s="453"/>
      <c r="S113" s="453"/>
      <c r="T113" s="453"/>
      <c r="U113" s="453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45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53"/>
      <c r="P114" s="453"/>
      <c r="Q114" s="453"/>
      <c r="R114" s="453"/>
      <c r="S114" s="453"/>
      <c r="T114" s="453"/>
      <c r="U114" s="453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420</v>
      </c>
      <c r="D115" s="108">
        <v>5</v>
      </c>
      <c r="E115" s="108"/>
      <c r="F115" s="127"/>
      <c r="G115" s="128"/>
      <c r="H115" s="445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53"/>
      <c r="P115" s="453"/>
      <c r="Q115" s="453"/>
      <c r="R115" s="453"/>
      <c r="S115" s="453"/>
      <c r="T115" s="453"/>
      <c r="U115" s="453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45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53"/>
      <c r="P116" s="453"/>
      <c r="Q116" s="453"/>
      <c r="R116" s="453"/>
      <c r="S116" s="453"/>
      <c r="T116" s="453"/>
      <c r="U116" s="453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45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53"/>
      <c r="P117" s="453"/>
      <c r="Q117" s="453"/>
      <c r="R117" s="453"/>
      <c r="S117" s="453"/>
      <c r="T117" s="453"/>
      <c r="U117" s="453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45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53"/>
      <c r="P118" s="453"/>
      <c r="Q118" s="453"/>
      <c r="R118" s="453"/>
      <c r="S118" s="453"/>
      <c r="T118" s="453"/>
      <c r="U118" s="453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45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53"/>
      <c r="P119" s="453"/>
      <c r="Q119" s="453"/>
      <c r="R119" s="453"/>
      <c r="S119" s="453"/>
      <c r="T119" s="453"/>
      <c r="U119" s="453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45">
        <f t="shared" si="36"/>
        <v>0</v>
      </c>
      <c r="I120" s="129"/>
      <c r="J120" s="130" t="str">
        <f t="array" ref="J120">IF(ISERROR(G120/I120),"",G120/I120)</f>
        <v/>
      </c>
      <c r="K120" s="445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53"/>
      <c r="P120" s="453"/>
      <c r="Q120" s="453"/>
      <c r="R120" s="453"/>
      <c r="S120" s="453"/>
      <c r="T120" s="453"/>
      <c r="U120" s="453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hidden="1" customHeight="1">
      <c r="A121" s="630" t="s">
        <v>224</v>
      </c>
      <c r="B121" s="631"/>
      <c r="C121" s="454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50">SUM(M87:M120)</f>
        <v>0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 t="str">
        <f t="shared" si="49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45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53"/>
      <c r="P122" s="453"/>
      <c r="Q122" s="453"/>
      <c r="R122" s="453"/>
      <c r="S122" s="453"/>
      <c r="T122" s="453"/>
      <c r="U122" s="453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45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53"/>
      <c r="P123" s="453"/>
      <c r="Q123" s="453"/>
      <c r="R123" s="453"/>
      <c r="S123" s="453"/>
      <c r="T123" s="453"/>
      <c r="U123" s="453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>
        <v>42714</v>
      </c>
      <c r="G124" s="128">
        <f>27+34+100*7+51</f>
        <v>812</v>
      </c>
      <c r="H124" s="445">
        <f t="shared" si="51"/>
        <v>4092.48</v>
      </c>
      <c r="I124" s="129">
        <f>3*8+8.5*3</f>
        <v>49.5</v>
      </c>
      <c r="J124" s="130">
        <f t="array" ref="J124">IF(ISERROR(G124/I124),"",G124/I124)</f>
        <v>16.404040404040405</v>
      </c>
      <c r="K124" s="131">
        <f t="array" ref="K124">IF(ISERROR(G124/L124),"",G124/L124)</f>
        <v>40.6</v>
      </c>
      <c r="L124" s="129">
        <v>20</v>
      </c>
      <c r="M124" s="109">
        <f t="shared" si="52"/>
        <v>8.8999999999999986</v>
      </c>
      <c r="N124" s="130">
        <f t="shared" si="53"/>
        <v>0</v>
      </c>
      <c r="O124" s="453"/>
      <c r="P124" s="453"/>
      <c r="Q124" s="453"/>
      <c r="R124" s="453"/>
      <c r="S124" s="453"/>
      <c r="T124" s="453"/>
      <c r="U124" s="453"/>
      <c r="V124" s="132">
        <f t="shared" si="54"/>
        <v>0</v>
      </c>
      <c r="W124" s="133">
        <f t="shared" si="49"/>
        <v>0</v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445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53"/>
      <c r="P125" s="453"/>
      <c r="Q125" s="453"/>
      <c r="R125" s="453"/>
      <c r="S125" s="453"/>
      <c r="T125" s="453"/>
      <c r="U125" s="453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50" t="s">
        <v>203</v>
      </c>
      <c r="D126" s="108">
        <v>5.03</v>
      </c>
      <c r="E126" s="108"/>
      <c r="F126" s="127"/>
      <c r="G126" s="128"/>
      <c r="H126" s="445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53"/>
      <c r="P126" s="453"/>
      <c r="Q126" s="453"/>
      <c r="R126" s="453"/>
      <c r="S126" s="453"/>
      <c r="T126" s="453"/>
      <c r="U126" s="453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45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53"/>
      <c r="P127" s="453"/>
      <c r="Q127" s="453"/>
      <c r="R127" s="453"/>
      <c r="S127" s="453"/>
      <c r="T127" s="453"/>
      <c r="U127" s="453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45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53"/>
      <c r="P128" s="453"/>
      <c r="Q128" s="453"/>
      <c r="R128" s="453"/>
      <c r="S128" s="453"/>
      <c r="T128" s="453"/>
      <c r="U128" s="453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50" t="s">
        <v>228</v>
      </c>
      <c r="D129" s="108">
        <v>5.03</v>
      </c>
      <c r="E129" s="108"/>
      <c r="F129" s="127"/>
      <c r="G129" s="128"/>
      <c r="H129" s="445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53"/>
      <c r="P129" s="453"/>
      <c r="Q129" s="453"/>
      <c r="R129" s="453"/>
      <c r="S129" s="453"/>
      <c r="T129" s="453"/>
      <c r="U129" s="453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496</v>
      </c>
      <c r="C130" s="450" t="s">
        <v>212</v>
      </c>
      <c r="D130" s="108">
        <v>5.03</v>
      </c>
      <c r="E130" s="108"/>
      <c r="F130" s="127"/>
      <c r="G130" s="128"/>
      <c r="H130" s="445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53"/>
      <c r="P130" s="453"/>
      <c r="Q130" s="453"/>
      <c r="R130" s="453"/>
      <c r="S130" s="453"/>
      <c r="T130" s="453"/>
      <c r="U130" s="453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50" t="s">
        <v>203</v>
      </c>
      <c r="D131" s="108">
        <v>5.03</v>
      </c>
      <c r="E131" s="108"/>
      <c r="F131" s="127"/>
      <c r="G131" s="128"/>
      <c r="H131" s="445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53"/>
      <c r="P131" s="453"/>
      <c r="Q131" s="453"/>
      <c r="R131" s="453"/>
      <c r="S131" s="453"/>
      <c r="T131" s="453"/>
      <c r="U131" s="453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50" t="s">
        <v>186</v>
      </c>
      <c r="D132" s="108">
        <v>5.03</v>
      </c>
      <c r="E132" s="108"/>
      <c r="F132" s="127"/>
      <c r="G132" s="128"/>
      <c r="H132" s="445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53"/>
      <c r="P132" s="453"/>
      <c r="Q132" s="453"/>
      <c r="R132" s="453"/>
      <c r="S132" s="453"/>
      <c r="T132" s="453"/>
      <c r="U132" s="453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50" t="s">
        <v>228</v>
      </c>
      <c r="D133" s="108">
        <v>5.03</v>
      </c>
      <c r="E133" s="108"/>
      <c r="F133" s="127"/>
      <c r="G133" s="128"/>
      <c r="H133" s="445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53"/>
      <c r="P133" s="453"/>
      <c r="Q133" s="453"/>
      <c r="R133" s="453"/>
      <c r="S133" s="453"/>
      <c r="T133" s="453"/>
      <c r="U133" s="453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50" t="s">
        <v>199</v>
      </c>
      <c r="D134" s="108">
        <v>5.03</v>
      </c>
      <c r="E134" s="108"/>
      <c r="F134" s="127"/>
      <c r="G134" s="128"/>
      <c r="H134" s="445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53"/>
      <c r="P134" s="453"/>
      <c r="Q134" s="453"/>
      <c r="R134" s="453"/>
      <c r="S134" s="453"/>
      <c r="T134" s="453"/>
      <c r="U134" s="453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45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53"/>
      <c r="P135" s="453"/>
      <c r="Q135" s="453"/>
      <c r="R135" s="453"/>
      <c r="S135" s="453"/>
      <c r="T135" s="453"/>
      <c r="U135" s="453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45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53"/>
      <c r="P136" s="453"/>
      <c r="Q136" s="453"/>
      <c r="R136" s="453"/>
      <c r="S136" s="453"/>
      <c r="T136" s="453"/>
      <c r="U136" s="453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630" t="s">
        <v>231</v>
      </c>
      <c r="B137" s="631"/>
      <c r="C137" s="454" t="s">
        <v>202</v>
      </c>
      <c r="D137" s="143"/>
      <c r="E137" s="143"/>
      <c r="F137" s="144"/>
      <c r="G137" s="145">
        <f>SUM(G122:G136)</f>
        <v>812</v>
      </c>
      <c r="H137" s="146">
        <f>SUM(H122:H136)</f>
        <v>4092.48</v>
      </c>
      <c r="I137" s="146">
        <f>SUM(I122:I136)</f>
        <v>49.5</v>
      </c>
      <c r="J137" s="130">
        <f t="array" ref="J137">IF(ISERROR(G137/I137),"",G137/I137)</f>
        <v>16.404040404040405</v>
      </c>
      <c r="K137" s="146">
        <f>SUM(K122:K136)</f>
        <v>40.6</v>
      </c>
      <c r="L137" s="147"/>
      <c r="M137" s="150">
        <f>SUM(M122:M136)</f>
        <v>8.8999999999999986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45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53"/>
      <c r="P138" s="453"/>
      <c r="Q138" s="453"/>
      <c r="R138" s="453"/>
      <c r="S138" s="453"/>
      <c r="T138" s="453"/>
      <c r="U138" s="453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45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53"/>
      <c r="P139" s="453"/>
      <c r="Q139" s="453"/>
      <c r="R139" s="453"/>
      <c r="S139" s="453"/>
      <c r="T139" s="453"/>
      <c r="U139" s="453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45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53"/>
      <c r="P140" s="453"/>
      <c r="Q140" s="453"/>
      <c r="R140" s="453"/>
      <c r="S140" s="453"/>
      <c r="T140" s="453"/>
      <c r="U140" s="453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497</v>
      </c>
      <c r="C141" s="126" t="s">
        <v>195</v>
      </c>
      <c r="D141" s="108">
        <v>5.04</v>
      </c>
      <c r="E141" s="108"/>
      <c r="F141" s="127"/>
      <c r="G141" s="128"/>
      <c r="H141" s="445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53"/>
      <c r="P141" s="453"/>
      <c r="Q141" s="453"/>
      <c r="R141" s="453"/>
      <c r="S141" s="453"/>
      <c r="T141" s="453"/>
      <c r="U141" s="453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45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53"/>
      <c r="P142" s="453"/>
      <c r="Q142" s="453"/>
      <c r="R142" s="453"/>
      <c r="S142" s="453"/>
      <c r="T142" s="453"/>
      <c r="U142" s="453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45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53"/>
      <c r="P143" s="453"/>
      <c r="Q143" s="453"/>
      <c r="R143" s="453"/>
      <c r="S143" s="453"/>
      <c r="T143" s="453"/>
      <c r="U143" s="453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/>
      <c r="G144" s="128"/>
      <c r="H144" s="479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0"/>
      <c r="P144" s="470"/>
      <c r="Q144" s="470"/>
      <c r="R144" s="470"/>
      <c r="S144" s="470"/>
      <c r="T144" s="470"/>
      <c r="U144" s="470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445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453"/>
      <c r="P146" s="453"/>
      <c r="Q146" s="453"/>
      <c r="R146" s="453"/>
      <c r="S146" s="453"/>
      <c r="T146" s="453"/>
      <c r="U146" s="453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hidden="1" customHeight="1">
      <c r="A147" s="630" t="s">
        <v>234</v>
      </c>
      <c r="B147" s="631"/>
      <c r="C147" s="454" t="s">
        <v>202</v>
      </c>
      <c r="D147" s="143"/>
      <c r="E147" s="143"/>
      <c r="F147" s="144"/>
      <c r="G147" s="145">
        <f>SUM(G138:G146)</f>
        <v>0</v>
      </c>
      <c r="H147" s="146">
        <f>SUM(H138:H146)</f>
        <v>0</v>
      </c>
      <c r="I147" s="146">
        <f>SUM(I138:I146)</f>
        <v>0</v>
      </c>
      <c r="J147" s="130" t="str">
        <f t="array" ref="J147">IF(ISERROR(G147/I147),"",G147/I147)</f>
        <v/>
      </c>
      <c r="K147" s="146">
        <f>SUM(K138:K146)</f>
        <v>0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 t="str">
        <f t="shared" si="62"/>
        <v/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451"/>
      <c r="D148" s="108">
        <v>3.65</v>
      </c>
      <c r="E148" s="108"/>
      <c r="F148" s="153"/>
      <c r="G148" s="128"/>
      <c r="H148" s="445">
        <f t="shared" ref="H148:H161" si="63">D148*G148</f>
        <v>0</v>
      </c>
      <c r="I148" s="129"/>
      <c r="J148" s="130" t="str">
        <f t="array" ref="J148">IF(ISERROR(G148/I148),"",G148/I148)</f>
        <v/>
      </c>
      <c r="K148" s="445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453"/>
      <c r="P148" s="453"/>
      <c r="Q148" s="453"/>
      <c r="R148" s="453"/>
      <c r="S148" s="453"/>
      <c r="T148" s="453"/>
      <c r="U148" s="453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451"/>
      <c r="D149" s="108">
        <v>6.58</v>
      </c>
      <c r="E149" s="108"/>
      <c r="F149" s="127"/>
      <c r="G149" s="128"/>
      <c r="H149" s="445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453"/>
      <c r="P149" s="453"/>
      <c r="Q149" s="453"/>
      <c r="R149" s="453"/>
      <c r="S149" s="453"/>
      <c r="T149" s="453"/>
      <c r="U149" s="453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451"/>
      <c r="D150" s="108">
        <v>7.8</v>
      </c>
      <c r="E150" s="108"/>
      <c r="F150" s="127"/>
      <c r="G150" s="128"/>
      <c r="H150" s="445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453"/>
      <c r="P150" s="453"/>
      <c r="Q150" s="453"/>
      <c r="R150" s="453"/>
      <c r="S150" s="453"/>
      <c r="T150" s="453"/>
      <c r="U150" s="453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451"/>
      <c r="D151" s="108">
        <v>4.4000000000000004</v>
      </c>
      <c r="E151" s="108"/>
      <c r="F151" s="127"/>
      <c r="G151" s="128"/>
      <c r="H151" s="445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453"/>
      <c r="P151" s="453"/>
      <c r="Q151" s="453"/>
      <c r="R151" s="453"/>
      <c r="S151" s="453"/>
      <c r="T151" s="453"/>
      <c r="U151" s="453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445">
        <f t="shared" si="63"/>
        <v>0</v>
      </c>
      <c r="I152" s="129"/>
      <c r="J152" s="130"/>
      <c r="K152" s="131"/>
      <c r="L152" s="129">
        <v>6</v>
      </c>
      <c r="M152" s="109"/>
      <c r="N152" s="130"/>
      <c r="O152" s="453"/>
      <c r="P152" s="453"/>
      <c r="Q152" s="453"/>
      <c r="R152" s="453"/>
      <c r="S152" s="453"/>
      <c r="T152" s="453"/>
      <c r="U152" s="453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451" t="s">
        <v>499</v>
      </c>
      <c r="C153" s="451" t="s">
        <v>179</v>
      </c>
      <c r="D153" s="108">
        <v>6.04</v>
      </c>
      <c r="E153" s="108"/>
      <c r="F153" s="127"/>
      <c r="G153" s="128"/>
      <c r="H153" s="445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453"/>
      <c r="P153" s="453"/>
      <c r="Q153" s="453"/>
      <c r="R153" s="453"/>
      <c r="S153" s="453"/>
      <c r="T153" s="453"/>
      <c r="U153" s="453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451" t="s">
        <v>239</v>
      </c>
      <c r="C154" s="451" t="s">
        <v>186</v>
      </c>
      <c r="D154" s="108">
        <v>6.04</v>
      </c>
      <c r="E154" s="108"/>
      <c r="F154" s="127"/>
      <c r="G154" s="128"/>
      <c r="H154" s="445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453"/>
      <c r="P154" s="453"/>
      <c r="Q154" s="453"/>
      <c r="R154" s="453"/>
      <c r="S154" s="453"/>
      <c r="T154" s="453"/>
      <c r="U154" s="453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451" t="s">
        <v>443</v>
      </c>
      <c r="C155" s="451" t="s">
        <v>179</v>
      </c>
      <c r="D155" s="108">
        <v>6</v>
      </c>
      <c r="E155" s="108"/>
      <c r="F155" s="127"/>
      <c r="G155" s="128"/>
      <c r="H155" s="445">
        <f t="shared" si="63"/>
        <v>0</v>
      </c>
      <c r="I155" s="129"/>
      <c r="J155" s="130"/>
      <c r="K155" s="131"/>
      <c r="L155" s="129"/>
      <c r="M155" s="109"/>
      <c r="N155" s="130"/>
      <c r="O155" s="453"/>
      <c r="P155" s="453"/>
      <c r="Q155" s="453"/>
      <c r="R155" s="453"/>
      <c r="S155" s="453"/>
      <c r="T155" s="453"/>
      <c r="U155" s="453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451" t="s">
        <v>443</v>
      </c>
      <c r="C156" s="451" t="s">
        <v>60</v>
      </c>
      <c r="D156" s="108">
        <v>6</v>
      </c>
      <c r="E156" s="108"/>
      <c r="F156" s="127"/>
      <c r="G156" s="128"/>
      <c r="H156" s="445">
        <f t="shared" si="63"/>
        <v>0</v>
      </c>
      <c r="I156" s="129"/>
      <c r="J156" s="130"/>
      <c r="K156" s="131"/>
      <c r="L156" s="129">
        <v>6</v>
      </c>
      <c r="M156" s="109"/>
      <c r="N156" s="130"/>
      <c r="O156" s="453"/>
      <c r="P156" s="453"/>
      <c r="Q156" s="453"/>
      <c r="R156" s="453"/>
      <c r="S156" s="453"/>
      <c r="T156" s="453"/>
      <c r="U156" s="453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444" t="s">
        <v>240</v>
      </c>
      <c r="C157" s="126"/>
      <c r="D157" s="108">
        <v>7.3</v>
      </c>
      <c r="E157" s="108"/>
      <c r="F157" s="127"/>
      <c r="G157" s="128"/>
      <c r="H157" s="445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453"/>
      <c r="P157" s="453"/>
      <c r="Q157" s="453"/>
      <c r="R157" s="453"/>
      <c r="S157" s="453"/>
      <c r="T157" s="453"/>
      <c r="U157" s="453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444" t="s">
        <v>241</v>
      </c>
      <c r="C158" s="126"/>
      <c r="D158" s="108">
        <f>78*120/1000</f>
        <v>9.36</v>
      </c>
      <c r="E158" s="108"/>
      <c r="F158" s="127"/>
      <c r="G158" s="128"/>
      <c r="H158" s="445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453"/>
      <c r="P158" s="453"/>
      <c r="Q158" s="453"/>
      <c r="R158" s="453"/>
      <c r="S158" s="453"/>
      <c r="T158" s="453"/>
      <c r="U158" s="453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444" t="s">
        <v>242</v>
      </c>
      <c r="C159" s="126"/>
      <c r="D159" s="108">
        <v>4.5</v>
      </c>
      <c r="E159" s="108"/>
      <c r="F159" s="127"/>
      <c r="G159" s="128"/>
      <c r="H159" s="445">
        <f t="shared" si="63"/>
        <v>0</v>
      </c>
      <c r="I159" s="129"/>
      <c r="J159" s="130"/>
      <c r="K159" s="131"/>
      <c r="L159" s="129"/>
      <c r="M159" s="109"/>
      <c r="N159" s="130"/>
      <c r="O159" s="453"/>
      <c r="P159" s="453"/>
      <c r="Q159" s="453"/>
      <c r="R159" s="453"/>
      <c r="S159" s="453"/>
      <c r="T159" s="453"/>
      <c r="U159" s="453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444" t="s">
        <v>243</v>
      </c>
      <c r="C160" s="126"/>
      <c r="D160" s="108">
        <v>4.5</v>
      </c>
      <c r="E160" s="108"/>
      <c r="F160" s="127"/>
      <c r="G160" s="128"/>
      <c r="H160" s="445">
        <f t="shared" si="63"/>
        <v>0</v>
      </c>
      <c r="I160" s="129"/>
      <c r="J160" s="130"/>
      <c r="K160" s="131"/>
      <c r="L160" s="129"/>
      <c r="M160" s="109"/>
      <c r="N160" s="130"/>
      <c r="O160" s="453"/>
      <c r="P160" s="453"/>
      <c r="Q160" s="453"/>
      <c r="R160" s="453"/>
      <c r="S160" s="453"/>
      <c r="T160" s="453"/>
      <c r="U160" s="453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445">
        <f t="shared" si="63"/>
        <v>0</v>
      </c>
      <c r="I161" s="129"/>
      <c r="J161" s="130"/>
      <c r="K161" s="131"/>
      <c r="L161" s="129"/>
      <c r="M161" s="109"/>
      <c r="N161" s="130"/>
      <c r="O161" s="453"/>
      <c r="P161" s="453"/>
      <c r="Q161" s="453"/>
      <c r="R161" s="453"/>
      <c r="S161" s="453"/>
      <c r="T161" s="453"/>
      <c r="U161" s="453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630" t="s">
        <v>244</v>
      </c>
      <c r="B162" s="631"/>
      <c r="C162" s="454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32" t="s">
        <v>246</v>
      </c>
      <c r="B163" s="633"/>
      <c r="C163" s="633"/>
      <c r="D163" s="633"/>
      <c r="E163" s="633"/>
      <c r="F163" s="634"/>
      <c r="G163" s="154">
        <f>SUM(G28,G86,G121,G137,G147,G162)</f>
        <v>2970</v>
      </c>
      <c r="H163" s="154">
        <f>SUM(H28,H86,H121,H137,H147,H162)</f>
        <v>14956.5</v>
      </c>
      <c r="I163" s="154">
        <f>SUM(I28,I86,I121,I137,I147,I162)</f>
        <v>162.5</v>
      </c>
      <c r="J163" s="155">
        <f t="array" ref="J163">IF(ISERROR(G163/I163),"",G163/I163)</f>
        <v>18.276923076923076</v>
      </c>
      <c r="K163" s="154">
        <f>SUM(K28,K86,K121,K137,K147,K162)</f>
        <v>139.27062603499172</v>
      </c>
      <c r="L163" s="155">
        <f>IF(ISERROR(G163/K163),"",G163/K163)</f>
        <v>21.325387014874106</v>
      </c>
      <c r="M163" s="154">
        <f t="shared" ref="M163:AA163" si="76">SUM(M28,M86,M121,M137,M147,M162)</f>
        <v>23.229373965008271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635" t="s">
        <v>476</v>
      </c>
      <c r="B164" s="447" t="s">
        <v>247</v>
      </c>
      <c r="C164" s="638" t="s">
        <v>248</v>
      </c>
      <c r="D164" s="639"/>
      <c r="E164" s="640" t="s">
        <v>249</v>
      </c>
      <c r="F164" s="640"/>
      <c r="G164" s="643" t="s">
        <v>250</v>
      </c>
      <c r="H164" s="643"/>
      <c r="I164" s="640" t="s">
        <v>251</v>
      </c>
      <c r="J164" s="640"/>
      <c r="K164" s="640" t="s">
        <v>252</v>
      </c>
      <c r="L164" s="640"/>
      <c r="M164" s="640" t="s">
        <v>253</v>
      </c>
      <c r="N164" s="640"/>
      <c r="O164" s="640" t="s">
        <v>254</v>
      </c>
      <c r="P164" s="643" t="s">
        <v>255</v>
      </c>
      <c r="Q164" s="643"/>
      <c r="R164" s="643" t="s">
        <v>252</v>
      </c>
      <c r="S164" s="643"/>
      <c r="T164" s="643" t="s">
        <v>256</v>
      </c>
      <c r="U164" s="643"/>
      <c r="V164" s="643" t="s">
        <v>257</v>
      </c>
      <c r="W164" s="643"/>
      <c r="X164" s="643" t="s">
        <v>252</v>
      </c>
      <c r="Y164" s="643"/>
      <c r="Z164" s="643" t="s">
        <v>256</v>
      </c>
      <c r="AA164" s="643"/>
    </row>
    <row r="165" spans="1:27" ht="20.100000000000001" customHeight="1">
      <c r="A165" s="636"/>
      <c r="B165" s="447" t="s">
        <v>258</v>
      </c>
      <c r="C165" s="638">
        <v>1</v>
      </c>
      <c r="D165" s="639"/>
      <c r="E165" s="642">
        <f>C165*11</f>
        <v>11</v>
      </c>
      <c r="F165" s="642"/>
      <c r="G165" s="643">
        <v>1</v>
      </c>
      <c r="H165" s="643"/>
      <c r="I165" s="642">
        <f>G165*11</f>
        <v>11</v>
      </c>
      <c r="J165" s="642"/>
      <c r="K165" s="642">
        <f>E165-I165</f>
        <v>0</v>
      </c>
      <c r="L165" s="642"/>
      <c r="M165" s="644">
        <f>IF(ISERROR(K165/E165),"",K165/E165)</f>
        <v>0</v>
      </c>
      <c r="N165" s="644"/>
      <c r="O165" s="640"/>
      <c r="P165" s="643" t="s">
        <v>201</v>
      </c>
      <c r="Q165" s="643"/>
      <c r="R165" s="645">
        <f>SUM(O28:U28)</f>
        <v>0</v>
      </c>
      <c r="S165" s="645"/>
      <c r="T165" s="646" t="str">
        <f t="array" ref="T165">IF(ISERROR(R165/R172),"",R165/R172)</f>
        <v/>
      </c>
      <c r="U165" s="646"/>
      <c r="V165" s="643" t="s">
        <v>259</v>
      </c>
      <c r="W165" s="643"/>
      <c r="X165" s="647">
        <f>SUM(P27,P85,P120,P136,P146,P160)</f>
        <v>0</v>
      </c>
      <c r="Y165" s="647"/>
      <c r="Z165" s="646" t="str">
        <f t="array" ref="Z165">IF(ISERROR(X165/X172),"",X165/X172)</f>
        <v/>
      </c>
      <c r="AA165" s="646"/>
    </row>
    <row r="166" spans="1:27" ht="20.100000000000001" customHeight="1">
      <c r="A166" s="636"/>
      <c r="B166" s="447" t="s">
        <v>260</v>
      </c>
      <c r="C166" s="638">
        <v>1</v>
      </c>
      <c r="D166" s="639"/>
      <c r="E166" s="642">
        <f>C166*11</f>
        <v>11</v>
      </c>
      <c r="F166" s="642"/>
      <c r="G166" s="643">
        <v>1</v>
      </c>
      <c r="H166" s="643"/>
      <c r="I166" s="642">
        <f>G166*11</f>
        <v>11</v>
      </c>
      <c r="J166" s="642"/>
      <c r="K166" s="642">
        <f>E166-I166</f>
        <v>0</v>
      </c>
      <c r="L166" s="642"/>
      <c r="M166" s="644">
        <f>IF(ISERROR(K166/E166),"",K166/E166)</f>
        <v>0</v>
      </c>
      <c r="N166" s="644"/>
      <c r="O166" s="640"/>
      <c r="P166" s="643" t="s">
        <v>216</v>
      </c>
      <c r="Q166" s="643"/>
      <c r="R166" s="645">
        <f>SUM(O86:U86)</f>
        <v>0</v>
      </c>
      <c r="S166" s="645"/>
      <c r="T166" s="646" t="str">
        <f>IF(ISERROR(R166/R172),"",R166/R172)</f>
        <v/>
      </c>
      <c r="U166" s="646"/>
      <c r="V166" s="643" t="s">
        <v>261</v>
      </c>
      <c r="W166" s="643"/>
      <c r="X166" s="647">
        <f>SUM(P28,P86,P121,P137,P147,P162)</f>
        <v>0</v>
      </c>
      <c r="Y166" s="647"/>
      <c r="Z166" s="646" t="str">
        <f>IF(ISERROR(X166/X172),"",X166/X172)</f>
        <v/>
      </c>
      <c r="AA166" s="646"/>
    </row>
    <row r="167" spans="1:27" ht="20.100000000000001" customHeight="1">
      <c r="A167" s="636"/>
      <c r="B167" s="447" t="s">
        <v>262</v>
      </c>
      <c r="C167" s="638">
        <v>1</v>
      </c>
      <c r="D167" s="639"/>
      <c r="E167" s="642">
        <f>C167*8</f>
        <v>8</v>
      </c>
      <c r="F167" s="642"/>
      <c r="G167" s="643">
        <v>1</v>
      </c>
      <c r="H167" s="643"/>
      <c r="I167" s="642">
        <f>G167*8</f>
        <v>8</v>
      </c>
      <c r="J167" s="642"/>
      <c r="K167" s="642">
        <f>E167-I167</f>
        <v>0</v>
      </c>
      <c r="L167" s="642"/>
      <c r="M167" s="644">
        <f>IF(ISERROR(K167/E167),"",K167/E167)</f>
        <v>0</v>
      </c>
      <c r="N167" s="644"/>
      <c r="O167" s="640"/>
      <c r="P167" s="643" t="s">
        <v>224</v>
      </c>
      <c r="Q167" s="643"/>
      <c r="R167" s="645">
        <f>SUM(O121:U121)</f>
        <v>0</v>
      </c>
      <c r="S167" s="645"/>
      <c r="T167" s="646" t="str">
        <f>IF(ISERROR(R167/R172),"",R167/R172)</f>
        <v/>
      </c>
      <c r="U167" s="646"/>
      <c r="V167" s="643" t="s">
        <v>263</v>
      </c>
      <c r="W167" s="643"/>
      <c r="X167" s="647">
        <f>SUM(P29,P87,P122,P138,P148,P163)</f>
        <v>0</v>
      </c>
      <c r="Y167" s="647"/>
      <c r="Z167" s="646" t="str">
        <f>IF(ISERROR(X167/X172),"",X167/X172)</f>
        <v/>
      </c>
      <c r="AA167" s="646"/>
    </row>
    <row r="168" spans="1:27" ht="20.100000000000001" customHeight="1">
      <c r="A168" s="636"/>
      <c r="B168" s="447" t="s">
        <v>264</v>
      </c>
      <c r="C168" s="638">
        <v>1</v>
      </c>
      <c r="D168" s="639"/>
      <c r="E168" s="642">
        <f>C168*11</f>
        <v>11</v>
      </c>
      <c r="F168" s="642"/>
      <c r="G168" s="643">
        <v>1</v>
      </c>
      <c r="H168" s="643"/>
      <c r="I168" s="642">
        <f>G168*11</f>
        <v>11</v>
      </c>
      <c r="J168" s="642"/>
      <c r="K168" s="642">
        <f>E168-I168</f>
        <v>0</v>
      </c>
      <c r="L168" s="642"/>
      <c r="M168" s="644">
        <f>IF(ISERROR(K168/E168),"",K168/E168)</f>
        <v>0</v>
      </c>
      <c r="N168" s="644"/>
      <c r="O168" s="640"/>
      <c r="P168" s="643" t="s">
        <v>231</v>
      </c>
      <c r="Q168" s="643"/>
      <c r="R168" s="645">
        <f>SUM(O137:U137)</f>
        <v>0</v>
      </c>
      <c r="S168" s="645"/>
      <c r="T168" s="646" t="str">
        <f>IF(ISERROR(R168/R172),"",R168/R172)</f>
        <v/>
      </c>
      <c r="U168" s="646"/>
      <c r="V168" s="643" t="s">
        <v>265</v>
      </c>
      <c r="W168" s="643"/>
      <c r="X168" s="647">
        <f>SUM(P31,P88,P123,P139,P149,P164)</f>
        <v>0</v>
      </c>
      <c r="Y168" s="647"/>
      <c r="Z168" s="646" t="str">
        <f>IF(ISERROR(X168/X172),"",X168/X172)</f>
        <v/>
      </c>
      <c r="AA168" s="646"/>
    </row>
    <row r="169" spans="1:27" ht="20.100000000000001" customHeight="1">
      <c r="A169" s="637"/>
      <c r="B169" s="447" t="s">
        <v>266</v>
      </c>
      <c r="C169" s="648">
        <f>SUM(C165:D168)</f>
        <v>4</v>
      </c>
      <c r="D169" s="649"/>
      <c r="E169" s="642">
        <f>SUM(E165:F168)</f>
        <v>41</v>
      </c>
      <c r="F169" s="642"/>
      <c r="G169" s="643">
        <f>SUM(G165:H168)</f>
        <v>4</v>
      </c>
      <c r="H169" s="643"/>
      <c r="I169" s="642">
        <f>SUM(I165:J168)</f>
        <v>41</v>
      </c>
      <c r="J169" s="642"/>
      <c r="K169" s="642">
        <f>SUM(K165:L168)</f>
        <v>0</v>
      </c>
      <c r="L169" s="642"/>
      <c r="M169" s="644">
        <f>IF(ISERROR(K169/E169),"",K169/E169)</f>
        <v>0</v>
      </c>
      <c r="N169" s="644"/>
      <c r="O169" s="640"/>
      <c r="P169" s="643" t="s">
        <v>234</v>
      </c>
      <c r="Q169" s="643"/>
      <c r="R169" s="645">
        <f>SUM(O147:U147)</f>
        <v>0</v>
      </c>
      <c r="S169" s="645"/>
      <c r="T169" s="646" t="str">
        <f>IF(ISERROR(R169/R172),"",R169/R172)</f>
        <v/>
      </c>
      <c r="U169" s="646"/>
      <c r="V169" s="643" t="s">
        <v>267</v>
      </c>
      <c r="W169" s="643"/>
      <c r="X169" s="647">
        <f>SUM(P32,P89,P124,P140,P150,P165)</f>
        <v>0</v>
      </c>
      <c r="Y169" s="647"/>
      <c r="Z169" s="646" t="str">
        <f>IF(ISERROR(X169/X172),"",X169/X172)</f>
        <v/>
      </c>
      <c r="AA169" s="646"/>
    </row>
    <row r="170" spans="1:27" ht="20.100000000000001" customHeight="1">
      <c r="A170" s="307" t="s">
        <v>477</v>
      </c>
      <c r="B170" s="447">
        <f>G163</f>
        <v>2970</v>
      </c>
      <c r="C170" s="650" t="s">
        <v>269</v>
      </c>
      <c r="D170" s="651"/>
      <c r="E170" s="643">
        <f>H163</f>
        <v>14956.5</v>
      </c>
      <c r="F170" s="643"/>
      <c r="G170" s="643" t="s">
        <v>270</v>
      </c>
      <c r="H170" s="643"/>
      <c r="I170" s="652">
        <f>L163</f>
        <v>21.325387014874106</v>
      </c>
      <c r="J170" s="652"/>
      <c r="K170" s="640" t="s">
        <v>271</v>
      </c>
      <c r="L170" s="640"/>
      <c r="M170" s="652">
        <f>J163</f>
        <v>18.276923076923076</v>
      </c>
      <c r="N170" s="652"/>
      <c r="O170" s="640"/>
      <c r="P170" s="643" t="s">
        <v>244</v>
      </c>
      <c r="Q170" s="643"/>
      <c r="R170" s="645">
        <f>SUM(O162:U162)</f>
        <v>0</v>
      </c>
      <c r="S170" s="645"/>
      <c r="T170" s="646" t="str">
        <f>IF(ISERROR(R170/R172),"",R170/R172)</f>
        <v/>
      </c>
      <c r="U170" s="646"/>
      <c r="V170" s="643" t="s">
        <v>272</v>
      </c>
      <c r="W170" s="643"/>
      <c r="X170" s="647">
        <f>SUM(P33,P90,P125,P141,P151,P166)</f>
        <v>0</v>
      </c>
      <c r="Y170" s="647"/>
      <c r="Z170" s="646" t="str">
        <f>IF(ISERROR(X170/X172),"",X170/X172)</f>
        <v/>
      </c>
      <c r="AA170" s="646"/>
    </row>
    <row r="171" spans="1:27" ht="20.100000000000001" customHeight="1">
      <c r="A171" s="308" t="s">
        <v>478</v>
      </c>
      <c r="B171" s="447">
        <f>I163+C169</f>
        <v>166.5</v>
      </c>
      <c r="C171" s="653" t="s">
        <v>251</v>
      </c>
      <c r="D171" s="654"/>
      <c r="E171" s="655">
        <f>K163+I169</f>
        <v>180.27062603499172</v>
      </c>
      <c r="F171" s="655"/>
      <c r="G171" s="643" t="s">
        <v>274</v>
      </c>
      <c r="H171" s="643"/>
      <c r="I171" s="652">
        <f>B171-E171</f>
        <v>-13.770626034991722</v>
      </c>
      <c r="J171" s="652"/>
      <c r="K171" s="640" t="s">
        <v>275</v>
      </c>
      <c r="L171" s="640"/>
      <c r="M171" s="644">
        <f>IF(ISERROR(I171/E171),"",I171/E171)</f>
        <v>-7.6388629350622836E-2</v>
      </c>
      <c r="N171" s="644"/>
      <c r="O171" s="640"/>
      <c r="P171" s="643" t="s">
        <v>245</v>
      </c>
      <c r="Q171" s="643"/>
      <c r="R171" s="645"/>
      <c r="S171" s="645"/>
      <c r="T171" s="646" t="str">
        <f>IF(ISERROR(R171/R172),"",R171/R172)</f>
        <v/>
      </c>
      <c r="U171" s="646"/>
      <c r="V171" s="643" t="s">
        <v>264</v>
      </c>
      <c r="W171" s="643"/>
      <c r="X171" s="647"/>
      <c r="Y171" s="647"/>
      <c r="Z171" s="646" t="str">
        <f>IF(ISERROR(X171/X172),"",X171/X172)</f>
        <v/>
      </c>
      <c r="AA171" s="646"/>
    </row>
    <row r="172" spans="1:27" ht="20.100000000000001" customHeight="1">
      <c r="A172" s="308" t="s">
        <v>479</v>
      </c>
      <c r="B172" s="447">
        <f>N163</f>
        <v>0</v>
      </c>
      <c r="C172" s="653" t="s">
        <v>277</v>
      </c>
      <c r="D172" s="654"/>
      <c r="E172" s="646">
        <f>IF(ISERROR(B172/B171),"",B172/B171)</f>
        <v>0</v>
      </c>
      <c r="F172" s="646"/>
      <c r="G172" s="643" t="s">
        <v>278</v>
      </c>
      <c r="H172" s="643"/>
      <c r="I172" s="640">
        <f>V163</f>
        <v>0</v>
      </c>
      <c r="J172" s="640"/>
      <c r="K172" s="640" t="s">
        <v>279</v>
      </c>
      <c r="L172" s="640"/>
      <c r="M172" s="644">
        <f t="array" ref="M172">IF(ISERROR(I172/B170),"",I172/B170)</f>
        <v>0</v>
      </c>
      <c r="N172" s="644"/>
      <c r="O172" s="640"/>
      <c r="P172" s="643" t="s">
        <v>266</v>
      </c>
      <c r="Q172" s="643"/>
      <c r="R172" s="645">
        <f>SUM(R165:S171)</f>
        <v>0</v>
      </c>
      <c r="S172" s="645"/>
      <c r="T172" s="646"/>
      <c r="U172" s="646"/>
      <c r="V172" s="643" t="s">
        <v>266</v>
      </c>
      <c r="W172" s="643"/>
      <c r="X172" s="647">
        <f>SUM(X165:Y171)</f>
        <v>0</v>
      </c>
      <c r="Y172" s="647"/>
      <c r="Z172" s="646"/>
      <c r="AA172" s="646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56" t="s">
        <v>480</v>
      </c>
      <c r="B174" s="659" t="s">
        <v>280</v>
      </c>
      <c r="C174" s="659" t="s">
        <v>281</v>
      </c>
      <c r="D174" s="659" t="s">
        <v>282</v>
      </c>
      <c r="E174" s="662" t="s">
        <v>283</v>
      </c>
      <c r="F174" s="675" t="s">
        <v>284</v>
      </c>
      <c r="G174" s="640" t="s">
        <v>285</v>
      </c>
      <c r="H174" s="640"/>
      <c r="I174" s="659" t="s">
        <v>286</v>
      </c>
      <c r="J174" s="665" t="s">
        <v>271</v>
      </c>
      <c r="K174" s="668" t="s">
        <v>287</v>
      </c>
      <c r="L174" s="659" t="s">
        <v>270</v>
      </c>
      <c r="M174" s="671" t="s">
        <v>288</v>
      </c>
      <c r="N174" s="673" t="s">
        <v>252</v>
      </c>
      <c r="O174" s="640" t="s">
        <v>289</v>
      </c>
      <c r="P174" s="640"/>
      <c r="Q174" s="640"/>
      <c r="R174" s="640"/>
      <c r="S174" s="640"/>
      <c r="T174" s="640"/>
      <c r="U174" s="640"/>
      <c r="V174" s="640" t="s">
        <v>290</v>
      </c>
      <c r="W174" s="673" t="s">
        <v>291</v>
      </c>
      <c r="X174" s="640" t="s">
        <v>292</v>
      </c>
      <c r="Y174" s="640"/>
      <c r="Z174" s="640"/>
      <c r="AA174" s="640"/>
    </row>
    <row r="175" spans="1:27" ht="21.95" customHeight="1">
      <c r="A175" s="657"/>
      <c r="B175" s="660"/>
      <c r="C175" s="660"/>
      <c r="D175" s="660"/>
      <c r="E175" s="663"/>
      <c r="F175" s="676"/>
      <c r="G175" s="640"/>
      <c r="H175" s="640"/>
      <c r="I175" s="660"/>
      <c r="J175" s="666"/>
      <c r="K175" s="669"/>
      <c r="L175" s="660"/>
      <c r="M175" s="672"/>
      <c r="N175" s="673"/>
      <c r="O175" s="640" t="s">
        <v>259</v>
      </c>
      <c r="P175" s="640" t="s">
        <v>261</v>
      </c>
      <c r="Q175" s="640" t="s">
        <v>263</v>
      </c>
      <c r="R175" s="674" t="s">
        <v>265</v>
      </c>
      <c r="S175" s="643" t="s">
        <v>267</v>
      </c>
      <c r="T175" s="640" t="s">
        <v>272</v>
      </c>
      <c r="U175" s="640" t="s">
        <v>264</v>
      </c>
      <c r="V175" s="640"/>
      <c r="W175" s="673"/>
      <c r="X175" s="640" t="s">
        <v>293</v>
      </c>
      <c r="Y175" s="640" t="s">
        <v>294</v>
      </c>
      <c r="Z175" s="640" t="s">
        <v>295</v>
      </c>
      <c r="AA175" s="640" t="s">
        <v>264</v>
      </c>
    </row>
    <row r="176" spans="1:27" ht="21.95" customHeight="1">
      <c r="A176" s="658"/>
      <c r="B176" s="661"/>
      <c r="C176" s="661"/>
      <c r="D176" s="661"/>
      <c r="E176" s="664"/>
      <c r="F176" s="677"/>
      <c r="G176" s="348" t="s">
        <v>521</v>
      </c>
      <c r="H176" s="451" t="s">
        <v>297</v>
      </c>
      <c r="I176" s="661"/>
      <c r="J176" s="667"/>
      <c r="K176" s="670"/>
      <c r="L176" s="661"/>
      <c r="M176" s="672"/>
      <c r="N176" s="673"/>
      <c r="O176" s="640"/>
      <c r="P176" s="640"/>
      <c r="Q176" s="640"/>
      <c r="R176" s="674"/>
      <c r="S176" s="643"/>
      <c r="T176" s="640"/>
      <c r="U176" s="640"/>
      <c r="V176" s="640"/>
      <c r="W176" s="673"/>
      <c r="X176" s="640"/>
      <c r="Y176" s="640"/>
      <c r="Z176" s="640"/>
      <c r="AA176" s="640"/>
    </row>
    <row r="177" spans="1:27" ht="20.100000000000001" hidden="1" customHeight="1">
      <c r="A177" s="299">
        <v>30100030</v>
      </c>
      <c r="B177" s="444" t="s">
        <v>178</v>
      </c>
      <c r="C177" s="126" t="s">
        <v>179</v>
      </c>
      <c r="D177" s="108">
        <v>5.03</v>
      </c>
      <c r="E177" s="108"/>
      <c r="F177" s="127"/>
      <c r="G177" s="128"/>
      <c r="H177" s="445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453"/>
      <c r="P177" s="453"/>
      <c r="Q177" s="453"/>
      <c r="R177" s="453"/>
      <c r="S177" s="453"/>
      <c r="T177" s="453"/>
      <c r="U177" s="453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445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453"/>
      <c r="P178" s="453"/>
      <c r="Q178" s="453"/>
      <c r="R178" s="453"/>
      <c r="S178" s="453"/>
      <c r="T178" s="453"/>
      <c r="U178" s="453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445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453"/>
      <c r="P179" s="453"/>
      <c r="Q179" s="453"/>
      <c r="R179" s="453"/>
      <c r="S179" s="453"/>
      <c r="T179" s="453"/>
      <c r="U179" s="453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445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53"/>
      <c r="P180" s="453"/>
      <c r="Q180" s="453"/>
      <c r="R180" s="453"/>
      <c r="S180" s="453"/>
      <c r="T180" s="453"/>
      <c r="U180" s="453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445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453"/>
      <c r="P181" s="453"/>
      <c r="Q181" s="453"/>
      <c r="R181" s="453"/>
      <c r="S181" s="453"/>
      <c r="T181" s="453"/>
      <c r="U181" s="453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39">
        <v>42715</v>
      </c>
      <c r="G182" s="128">
        <f>100*5</f>
        <v>500</v>
      </c>
      <c r="H182" s="445">
        <f t="shared" si="77"/>
        <v>2520</v>
      </c>
      <c r="I182" s="128">
        <f>10*3</f>
        <v>30</v>
      </c>
      <c r="J182" s="130">
        <f t="array" ref="J182">IF(ISERROR(G182/I182),"",G182/I182)</f>
        <v>16.666666666666668</v>
      </c>
      <c r="K182" s="131">
        <f t="array" ref="K182">IF(ISERROR(G182/L182),"",G182/L182)</f>
        <v>26.315789473684209</v>
      </c>
      <c r="L182" s="129">
        <v>19</v>
      </c>
      <c r="M182" s="109">
        <f t="shared" si="78"/>
        <v>3.6842105263157912</v>
      </c>
      <c r="N182" s="130">
        <f t="shared" si="81"/>
        <v>0</v>
      </c>
      <c r="O182" s="453"/>
      <c r="P182" s="453"/>
      <c r="Q182" s="453"/>
      <c r="R182" s="453"/>
      <c r="S182" s="453"/>
      <c r="T182" s="453"/>
      <c r="U182" s="453"/>
      <c r="V182" s="132">
        <f t="shared" si="79"/>
        <v>0</v>
      </c>
      <c r="W182" s="133">
        <f t="shared" si="80"/>
        <v>0</v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445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453"/>
      <c r="P183" s="453"/>
      <c r="Q183" s="453"/>
      <c r="R183" s="453"/>
      <c r="S183" s="453"/>
      <c r="T183" s="453"/>
      <c r="U183" s="453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445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53"/>
      <c r="P184" s="453"/>
      <c r="Q184" s="453"/>
      <c r="R184" s="453"/>
      <c r="S184" s="453"/>
      <c r="T184" s="453"/>
      <c r="U184" s="453"/>
      <c r="V184" s="132"/>
      <c r="W184" s="133"/>
      <c r="X184" s="132"/>
      <c r="Y184" s="132"/>
      <c r="Z184" s="132"/>
      <c r="AA184" s="132"/>
    </row>
    <row r="185" spans="1:27" ht="20.10000000000000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>
        <v>42714</v>
      </c>
      <c r="G185" s="128">
        <v>50</v>
      </c>
      <c r="H185" s="445">
        <f t="shared" si="77"/>
        <v>252</v>
      </c>
      <c r="I185" s="445">
        <v>3</v>
      </c>
      <c r="J185" s="130">
        <f t="array" ref="J185">IF(ISERROR(G185/I185),"",G185/I185)</f>
        <v>16.666666666666668</v>
      </c>
      <c r="K185" s="131">
        <f t="array" ref="K185">IF(ISERROR(G185/L185),"",G185/L185)</f>
        <v>2.9411764705882355</v>
      </c>
      <c r="L185" s="129">
        <v>17</v>
      </c>
      <c r="M185" s="109">
        <f t="shared" si="78"/>
        <v>5.8823529411764497E-2</v>
      </c>
      <c r="N185" s="130">
        <f t="shared" si="81"/>
        <v>0</v>
      </c>
      <c r="O185" s="453"/>
      <c r="P185" s="453"/>
      <c r="Q185" s="453"/>
      <c r="R185" s="453"/>
      <c r="S185" s="453"/>
      <c r="T185" s="453"/>
      <c r="U185" s="453"/>
      <c r="V185" s="132">
        <f>SUM(X185:AA185)</f>
        <v>0</v>
      </c>
      <c r="W185" s="133">
        <f>IF(ISERROR(V185/G185),"",V185/G185)</f>
        <v>0</v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445">
        <f t="shared" si="77"/>
        <v>0</v>
      </c>
      <c r="I186" s="445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453"/>
      <c r="P186" s="453"/>
      <c r="Q186" s="453"/>
      <c r="R186" s="453"/>
      <c r="S186" s="453"/>
      <c r="T186" s="453"/>
      <c r="U186" s="453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445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453"/>
      <c r="P187" s="453"/>
      <c r="Q187" s="453"/>
      <c r="R187" s="453"/>
      <c r="S187" s="453"/>
      <c r="T187" s="453"/>
      <c r="U187" s="453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445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53"/>
      <c r="P188" s="453"/>
      <c r="Q188" s="453"/>
      <c r="R188" s="453"/>
      <c r="S188" s="453"/>
      <c r="T188" s="453"/>
      <c r="U188" s="453"/>
      <c r="V188" s="132"/>
      <c r="W188" s="133"/>
      <c r="X188" s="132"/>
      <c r="Y188" s="132"/>
      <c r="Z188" s="132"/>
      <c r="AA188" s="132"/>
    </row>
    <row r="189" spans="1:27" ht="20.10000000000000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>
        <v>42714</v>
      </c>
      <c r="G189" s="128">
        <f>90*7</f>
        <v>630</v>
      </c>
      <c r="H189" s="445">
        <f t="shared" ref="H189:H197" si="82">D189*G189</f>
        <v>3187.7999999999997</v>
      </c>
      <c r="I189" s="129">
        <f>11.5*5</f>
        <v>57.5</v>
      </c>
      <c r="J189" s="130">
        <f t="array" ref="J189">IF(ISERROR(G189/I189),"",G189/I189)</f>
        <v>10.956521739130435</v>
      </c>
      <c r="K189" s="131">
        <f t="array" ref="K189">IF(ISERROR(G189/L189),"",G189/L189)</f>
        <v>33.157894736842103</v>
      </c>
      <c r="L189" s="129">
        <v>19</v>
      </c>
      <c r="M189" s="109">
        <f t="shared" ref="M189:M197" si="83">IF(ISERROR(I189-K189),"",I189-K189)</f>
        <v>24.342105263157897</v>
      </c>
      <c r="N189" s="130">
        <f t="shared" ref="N189:N191" si="84">SUM(O189:U189)</f>
        <v>0</v>
      </c>
      <c r="O189" s="453"/>
      <c r="P189" s="453"/>
      <c r="Q189" s="453"/>
      <c r="R189" s="453"/>
      <c r="S189" s="453"/>
      <c r="T189" s="453"/>
      <c r="U189" s="453"/>
      <c r="V189" s="132">
        <f t="shared" ref="V189:V191" si="85">SUM(X189:AA189)</f>
        <v>0</v>
      </c>
      <c r="W189" s="133">
        <f t="shared" ref="W189:W191" si="86">IF(ISERROR(V189/G189),"",V189/G189)</f>
        <v>0</v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445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453"/>
      <c r="P190" s="453"/>
      <c r="Q190" s="453"/>
      <c r="R190" s="453"/>
      <c r="S190" s="453"/>
      <c r="T190" s="453"/>
      <c r="U190" s="453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445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453"/>
      <c r="P191" s="453"/>
      <c r="Q191" s="453"/>
      <c r="R191" s="453"/>
      <c r="S191" s="453"/>
      <c r="T191" s="453"/>
      <c r="U191" s="453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451" t="s">
        <v>190</v>
      </c>
      <c r="D192" s="108">
        <v>4.8</v>
      </c>
      <c r="E192" s="108"/>
      <c r="F192" s="127"/>
      <c r="G192" s="128"/>
      <c r="H192" s="445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453"/>
      <c r="P192" s="453"/>
      <c r="Q192" s="453"/>
      <c r="R192" s="453"/>
      <c r="S192" s="453"/>
      <c r="T192" s="453"/>
      <c r="U192" s="453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451" t="s">
        <v>187</v>
      </c>
      <c r="D193" s="108">
        <v>4.8</v>
      </c>
      <c r="E193" s="108"/>
      <c r="F193" s="127"/>
      <c r="G193" s="128"/>
      <c r="H193" s="445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53"/>
      <c r="P193" s="453"/>
      <c r="Q193" s="453"/>
      <c r="R193" s="453"/>
      <c r="S193" s="453"/>
      <c r="T193" s="453"/>
      <c r="U193" s="453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451" t="s">
        <v>179</v>
      </c>
      <c r="D194" s="108">
        <v>4.8</v>
      </c>
      <c r="E194" s="108"/>
      <c r="F194" s="127"/>
      <c r="G194" s="128"/>
      <c r="H194" s="445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53"/>
      <c r="P194" s="453"/>
      <c r="Q194" s="453"/>
      <c r="R194" s="453"/>
      <c r="S194" s="453"/>
      <c r="T194" s="453"/>
      <c r="U194" s="453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451" t="s">
        <v>199</v>
      </c>
      <c r="D195" s="108">
        <v>4.8</v>
      </c>
      <c r="E195" s="108"/>
      <c r="F195" s="127"/>
      <c r="G195" s="128"/>
      <c r="H195" s="445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53"/>
      <c r="P195" s="453"/>
      <c r="Q195" s="453"/>
      <c r="R195" s="453"/>
      <c r="S195" s="453"/>
      <c r="T195" s="453"/>
      <c r="U195" s="453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445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453"/>
      <c r="P196" s="453"/>
      <c r="Q196" s="453"/>
      <c r="R196" s="453"/>
      <c r="S196" s="453"/>
      <c r="T196" s="453"/>
      <c r="U196" s="453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445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453"/>
      <c r="P197" s="453"/>
      <c r="Q197" s="453"/>
      <c r="R197" s="453"/>
      <c r="S197" s="453"/>
      <c r="T197" s="453"/>
      <c r="U197" s="453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customHeight="1">
      <c r="A198" s="630" t="s">
        <v>201</v>
      </c>
      <c r="B198" s="631"/>
      <c r="C198" s="454" t="s">
        <v>202</v>
      </c>
      <c r="D198" s="143"/>
      <c r="E198" s="143"/>
      <c r="F198" s="144"/>
      <c r="G198" s="145">
        <f>SUM(G177:G197)</f>
        <v>1180</v>
      </c>
      <c r="H198" s="146">
        <f>SUM(H177:H197)</f>
        <v>5959.7999999999993</v>
      </c>
      <c r="I198" s="146">
        <f>SUM(I177:I197)</f>
        <v>90.5</v>
      </c>
      <c r="J198" s="130">
        <f t="array" ref="J198">IF(ISERROR(G198/I198),"",G198/I198)</f>
        <v>13.038674033149171</v>
      </c>
      <c r="K198" s="146">
        <f>SUM(K177:K197)</f>
        <v>62.414860681114547</v>
      </c>
      <c r="L198" s="147"/>
      <c r="M198" s="150">
        <f t="shared" ref="M198:AA198" si="90">SUM(M177:M197)</f>
        <v>28.085139318885453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444" t="s">
        <v>206</v>
      </c>
      <c r="C199" s="126" t="s">
        <v>199</v>
      </c>
      <c r="D199" s="108">
        <v>5.03</v>
      </c>
      <c r="E199" s="108"/>
      <c r="F199" s="127"/>
      <c r="G199" s="128"/>
      <c r="H199" s="445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449"/>
      <c r="P199" s="449"/>
      <c r="Q199" s="449"/>
      <c r="R199" s="449"/>
      <c r="S199" s="449"/>
      <c r="T199" s="449"/>
      <c r="U199" s="449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444" t="s">
        <v>426</v>
      </c>
      <c r="C200" s="187" t="s">
        <v>428</v>
      </c>
      <c r="D200" s="108">
        <v>5.03</v>
      </c>
      <c r="E200" s="108"/>
      <c r="F200" s="127"/>
      <c r="G200" s="128"/>
      <c r="H200" s="445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449"/>
      <c r="P200" s="449"/>
      <c r="Q200" s="449"/>
      <c r="R200" s="449"/>
      <c r="S200" s="449"/>
      <c r="T200" s="449"/>
      <c r="U200" s="449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444" t="s">
        <v>206</v>
      </c>
      <c r="C201" s="126" t="s">
        <v>186</v>
      </c>
      <c r="D201" s="108">
        <v>5.03</v>
      </c>
      <c r="E201" s="108"/>
      <c r="F201" s="127"/>
      <c r="G201" s="128"/>
      <c r="H201" s="445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449"/>
      <c r="P201" s="449"/>
      <c r="Q201" s="449"/>
      <c r="R201" s="449"/>
      <c r="S201" s="449"/>
      <c r="T201" s="449"/>
      <c r="U201" s="449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444" t="s">
        <v>206</v>
      </c>
      <c r="C202" s="126" t="s">
        <v>203</v>
      </c>
      <c r="D202" s="108">
        <v>5.03</v>
      </c>
      <c r="E202" s="108"/>
      <c r="F202" s="127"/>
      <c r="G202" s="128"/>
      <c r="H202" s="445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449"/>
      <c r="P202" s="449"/>
      <c r="Q202" s="449"/>
      <c r="R202" s="449"/>
      <c r="S202" s="449"/>
      <c r="T202" s="449"/>
      <c r="U202" s="449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444" t="s">
        <v>206</v>
      </c>
      <c r="C203" s="126" t="s">
        <v>207</v>
      </c>
      <c r="D203" s="108">
        <v>5.03</v>
      </c>
      <c r="E203" s="108"/>
      <c r="F203" s="127"/>
      <c r="G203" s="128"/>
      <c r="H203" s="445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:M206" si="100">IF(ISERROR(I203-K203),"",I203-K203)</f>
        <v>0</v>
      </c>
      <c r="N203" s="130">
        <f t="shared" si="97"/>
        <v>0</v>
      </c>
      <c r="O203" s="449"/>
      <c r="P203" s="449"/>
      <c r="Q203" s="449"/>
      <c r="R203" s="449"/>
      <c r="S203" s="449"/>
      <c r="T203" s="449"/>
      <c r="U203" s="449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customHeight="1">
      <c r="A204" s="300">
        <v>30100016</v>
      </c>
      <c r="B204" s="444" t="s">
        <v>414</v>
      </c>
      <c r="C204" s="187" t="s">
        <v>415</v>
      </c>
      <c r="D204" s="108">
        <v>5.03</v>
      </c>
      <c r="E204" s="108"/>
      <c r="F204" s="127">
        <v>42715</v>
      </c>
      <c r="G204" s="128">
        <f>108*2+87</f>
        <v>303</v>
      </c>
      <c r="H204" s="445">
        <f t="shared" si="91"/>
        <v>1524.0900000000001</v>
      </c>
      <c r="I204" s="129">
        <f>5*3</f>
        <v>15</v>
      </c>
      <c r="J204" s="130">
        <f t="array" ref="J204">IF(ISERROR(G204/I204),"",G204/I204)</f>
        <v>20.2</v>
      </c>
      <c r="K204" s="131">
        <f t="array" ref="K204">IF(ISERROR(G204/L204),"",G204/L204)</f>
        <v>5.8269230769230766</v>
      </c>
      <c r="L204" s="129">
        <v>52</v>
      </c>
      <c r="M204" s="109">
        <f t="shared" si="100"/>
        <v>9.1730769230769234</v>
      </c>
      <c r="N204" s="130"/>
      <c r="O204" s="449"/>
      <c r="P204" s="449"/>
      <c r="Q204" s="449"/>
      <c r="R204" s="449"/>
      <c r="S204" s="449"/>
      <c r="T204" s="449"/>
      <c r="U204" s="449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444" t="s">
        <v>414</v>
      </c>
      <c r="C205" s="187" t="s">
        <v>416</v>
      </c>
      <c r="D205" s="108">
        <v>5.03</v>
      </c>
      <c r="E205" s="108"/>
      <c r="F205" s="127"/>
      <c r="G205" s="128"/>
      <c r="H205" s="445">
        <f t="shared" si="91"/>
        <v>0</v>
      </c>
      <c r="I205" s="129"/>
      <c r="J205" s="130" t="str">
        <f t="array" ref="J205">IF(ISERROR(G205/I205),"",G205/I205)</f>
        <v/>
      </c>
      <c r="K205" s="131">
        <f t="array" ref="K205">IF(ISERROR(G205/L205),"",G205/L205)</f>
        <v>0</v>
      </c>
      <c r="L205" s="129">
        <v>52</v>
      </c>
      <c r="M205" s="109">
        <f t="shared" si="100"/>
        <v>0</v>
      </c>
      <c r="N205" s="130"/>
      <c r="O205" s="449"/>
      <c r="P205" s="449"/>
      <c r="Q205" s="449"/>
      <c r="R205" s="449"/>
      <c r="S205" s="449"/>
      <c r="T205" s="449"/>
      <c r="U205" s="449"/>
      <c r="V205" s="132"/>
      <c r="W205" s="133"/>
      <c r="X205" s="132"/>
      <c r="Y205" s="132"/>
      <c r="Z205" s="132"/>
      <c r="AA205" s="132"/>
    </row>
    <row r="206" spans="1:27" ht="20.100000000000001" customHeight="1">
      <c r="A206" s="300">
        <v>30100015</v>
      </c>
      <c r="B206" s="444" t="s">
        <v>414</v>
      </c>
      <c r="C206" s="187" t="s">
        <v>61</v>
      </c>
      <c r="D206" s="108">
        <v>5.03</v>
      </c>
      <c r="E206" s="108"/>
      <c r="F206" s="127">
        <v>42715</v>
      </c>
      <c r="G206" s="128">
        <f>108*3+46+36</f>
        <v>406</v>
      </c>
      <c r="H206" s="445">
        <f t="shared" si="91"/>
        <v>2042.18</v>
      </c>
      <c r="I206" s="129">
        <f>6.5*3+3*3</f>
        <v>28.5</v>
      </c>
      <c r="J206" s="130">
        <f t="array" ref="J206">IF(ISERROR(G206/I206),"",G206/I206)</f>
        <v>14.245614035087719</v>
      </c>
      <c r="K206" s="131">
        <f t="array" ref="K206">IF(ISERROR(G206/L206),"",G206/L206)</f>
        <v>7.8076923076923075</v>
      </c>
      <c r="L206" s="129">
        <v>52</v>
      </c>
      <c r="M206" s="109">
        <f t="shared" si="100"/>
        <v>20.692307692307693</v>
      </c>
      <c r="N206" s="130"/>
      <c r="O206" s="449"/>
      <c r="P206" s="449"/>
      <c r="Q206" s="449"/>
      <c r="R206" s="449"/>
      <c r="S206" s="449"/>
      <c r="T206" s="449"/>
      <c r="U206" s="449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444" t="s">
        <v>208</v>
      </c>
      <c r="C207" s="126" t="s">
        <v>179</v>
      </c>
      <c r="D207" s="108">
        <v>5.08</v>
      </c>
      <c r="E207" s="108"/>
      <c r="F207" s="127"/>
      <c r="G207" s="128"/>
      <c r="H207" s="445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1">IF(ISERROR(I207-K207),"",I207-K207)</f>
        <v>0</v>
      </c>
      <c r="N207" s="130">
        <f t="shared" ref="N207:N236" si="102">SUM(O207:U207)</f>
        <v>0</v>
      </c>
      <c r="O207" s="449"/>
      <c r="P207" s="449"/>
      <c r="Q207" s="449"/>
      <c r="R207" s="449"/>
      <c r="S207" s="449"/>
      <c r="T207" s="449"/>
      <c r="U207" s="449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444" t="s">
        <v>208</v>
      </c>
      <c r="C208" s="126" t="s">
        <v>204</v>
      </c>
      <c r="D208" s="108">
        <v>5.08</v>
      </c>
      <c r="E208" s="108"/>
      <c r="F208" s="127"/>
      <c r="G208" s="128"/>
      <c r="H208" s="445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449"/>
      <c r="P208" s="449"/>
      <c r="Q208" s="449"/>
      <c r="R208" s="449"/>
      <c r="S208" s="449"/>
      <c r="T208" s="449"/>
      <c r="U208" s="449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444" t="s">
        <v>208</v>
      </c>
      <c r="C209" s="126" t="s">
        <v>205</v>
      </c>
      <c r="D209" s="108">
        <v>5.08</v>
      </c>
      <c r="E209" s="108"/>
      <c r="F209" s="127"/>
      <c r="G209" s="128"/>
      <c r="H209" s="445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49"/>
      <c r="P209" s="449"/>
      <c r="Q209" s="449"/>
      <c r="R209" s="449"/>
      <c r="S209" s="449"/>
      <c r="T209" s="449"/>
      <c r="U209" s="449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444" t="s">
        <v>208</v>
      </c>
      <c r="C210" s="126" t="s">
        <v>186</v>
      </c>
      <c r="D210" s="108">
        <v>5.08</v>
      </c>
      <c r="E210" s="108"/>
      <c r="F210" s="127"/>
      <c r="G210" s="128"/>
      <c r="H210" s="445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49"/>
      <c r="P210" s="449"/>
      <c r="Q210" s="449"/>
      <c r="R210" s="449"/>
      <c r="S210" s="449"/>
      <c r="T210" s="449"/>
      <c r="U210" s="449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444" t="s">
        <v>208</v>
      </c>
      <c r="C211" s="126" t="s">
        <v>203</v>
      </c>
      <c r="D211" s="108">
        <v>5.08</v>
      </c>
      <c r="E211" s="108"/>
      <c r="F211" s="127"/>
      <c r="G211" s="128"/>
      <c r="H211" s="445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49"/>
      <c r="P211" s="449"/>
      <c r="Q211" s="449"/>
      <c r="R211" s="449"/>
      <c r="S211" s="449"/>
      <c r="T211" s="449"/>
      <c r="U211" s="449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444" t="s">
        <v>208</v>
      </c>
      <c r="C212" s="126" t="s">
        <v>199</v>
      </c>
      <c r="D212" s="108">
        <v>5.08</v>
      </c>
      <c r="E212" s="108"/>
      <c r="F212" s="127"/>
      <c r="G212" s="128"/>
      <c r="H212" s="445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53"/>
      <c r="P212" s="453"/>
      <c r="Q212" s="453"/>
      <c r="R212" s="453"/>
      <c r="S212" s="453"/>
      <c r="T212" s="453"/>
      <c r="U212" s="453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444" t="s">
        <v>208</v>
      </c>
      <c r="C213" s="126" t="s">
        <v>187</v>
      </c>
      <c r="D213" s="108">
        <v>5.08</v>
      </c>
      <c r="E213" s="108"/>
      <c r="F213" s="127"/>
      <c r="G213" s="128"/>
      <c r="H213" s="445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449"/>
      <c r="P213" s="449"/>
      <c r="Q213" s="449"/>
      <c r="R213" s="449"/>
      <c r="S213" s="449"/>
      <c r="T213" s="449"/>
      <c r="U213" s="449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444" t="s">
        <v>208</v>
      </c>
      <c r="C214" s="126" t="s">
        <v>207</v>
      </c>
      <c r="D214" s="108">
        <v>5.08</v>
      </c>
      <c r="E214" s="108"/>
      <c r="F214" s="127"/>
      <c r="G214" s="128"/>
      <c r="H214" s="445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53"/>
      <c r="P214" s="453"/>
      <c r="Q214" s="453"/>
      <c r="R214" s="453"/>
      <c r="S214" s="453"/>
      <c r="T214" s="453"/>
      <c r="U214" s="453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444" t="s">
        <v>209</v>
      </c>
      <c r="C215" s="126" t="s">
        <v>194</v>
      </c>
      <c r="D215" s="108">
        <v>5.03</v>
      </c>
      <c r="E215" s="108"/>
      <c r="F215" s="127"/>
      <c r="G215" s="128"/>
      <c r="H215" s="445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449"/>
      <c r="P215" s="449"/>
      <c r="Q215" s="449"/>
      <c r="R215" s="449"/>
      <c r="S215" s="449"/>
      <c r="T215" s="449"/>
      <c r="U215" s="449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444" t="s">
        <v>209</v>
      </c>
      <c r="C216" s="126" t="s">
        <v>179</v>
      </c>
      <c r="D216" s="108">
        <v>5.03</v>
      </c>
      <c r="E216" s="108"/>
      <c r="F216" s="127"/>
      <c r="G216" s="128"/>
      <c r="H216" s="445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49"/>
      <c r="P216" s="449"/>
      <c r="Q216" s="449"/>
      <c r="R216" s="449"/>
      <c r="S216" s="449"/>
      <c r="T216" s="449"/>
      <c r="U216" s="449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444" t="s">
        <v>209</v>
      </c>
      <c r="C217" s="126" t="s">
        <v>195</v>
      </c>
      <c r="D217" s="108">
        <v>5.03</v>
      </c>
      <c r="E217" s="108"/>
      <c r="F217" s="127"/>
      <c r="G217" s="128"/>
      <c r="H217" s="445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449"/>
      <c r="P217" s="449"/>
      <c r="Q217" s="449"/>
      <c r="R217" s="449"/>
      <c r="S217" s="449"/>
      <c r="T217" s="449"/>
      <c r="U217" s="449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444" t="s">
        <v>209</v>
      </c>
      <c r="C218" s="126" t="s">
        <v>204</v>
      </c>
      <c r="D218" s="108">
        <v>5.03</v>
      </c>
      <c r="E218" s="108"/>
      <c r="F218" s="127"/>
      <c r="G218" s="128"/>
      <c r="H218" s="445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449"/>
      <c r="P218" s="449"/>
      <c r="Q218" s="449"/>
      <c r="R218" s="449"/>
      <c r="S218" s="449"/>
      <c r="T218" s="449"/>
      <c r="U218" s="449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444" t="s">
        <v>382</v>
      </c>
      <c r="C219" s="187" t="s">
        <v>383</v>
      </c>
      <c r="D219" s="108">
        <v>5.03</v>
      </c>
      <c r="E219" s="108"/>
      <c r="F219" s="127"/>
      <c r="G219" s="128"/>
      <c r="H219" s="445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449"/>
      <c r="P219" s="449"/>
      <c r="Q219" s="449"/>
      <c r="R219" s="449"/>
      <c r="S219" s="449"/>
      <c r="T219" s="449"/>
      <c r="U219" s="449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444" t="s">
        <v>382</v>
      </c>
      <c r="C220" s="187" t="s">
        <v>384</v>
      </c>
      <c r="D220" s="108">
        <v>5.03</v>
      </c>
      <c r="E220" s="108"/>
      <c r="F220" s="127"/>
      <c r="G220" s="128"/>
      <c r="H220" s="445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49"/>
      <c r="P220" s="449"/>
      <c r="Q220" s="449"/>
      <c r="R220" s="449"/>
      <c r="S220" s="449"/>
      <c r="T220" s="449"/>
      <c r="U220" s="449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444" t="s">
        <v>382</v>
      </c>
      <c r="C221" s="187" t="s">
        <v>389</v>
      </c>
      <c r="D221" s="108">
        <v>5.03</v>
      </c>
      <c r="E221" s="108"/>
      <c r="F221" s="127"/>
      <c r="G221" s="128"/>
      <c r="H221" s="445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49"/>
      <c r="P221" s="449"/>
      <c r="Q221" s="449"/>
      <c r="R221" s="449"/>
      <c r="S221" s="449"/>
      <c r="T221" s="449"/>
      <c r="U221" s="449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444" t="s">
        <v>382</v>
      </c>
      <c r="C222" s="187" t="s">
        <v>391</v>
      </c>
      <c r="D222" s="108">
        <v>5.03</v>
      </c>
      <c r="E222" s="108"/>
      <c r="F222" s="127"/>
      <c r="G222" s="128"/>
      <c r="H222" s="445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49"/>
      <c r="P222" s="449"/>
      <c r="Q222" s="449"/>
      <c r="R222" s="449"/>
      <c r="S222" s="449"/>
      <c r="T222" s="449"/>
      <c r="U222" s="449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444" t="s">
        <v>418</v>
      </c>
      <c r="C223" s="187" t="s">
        <v>364</v>
      </c>
      <c r="D223" s="108">
        <v>5.03</v>
      </c>
      <c r="E223" s="108"/>
      <c r="F223" s="127"/>
      <c r="G223" s="128"/>
      <c r="H223" s="445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449"/>
      <c r="P223" s="449"/>
      <c r="Q223" s="449"/>
      <c r="R223" s="449"/>
      <c r="S223" s="449"/>
      <c r="T223" s="449"/>
      <c r="U223" s="449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444" t="s">
        <v>418</v>
      </c>
      <c r="C224" s="187" t="s">
        <v>365</v>
      </c>
      <c r="D224" s="108">
        <v>5.03</v>
      </c>
      <c r="E224" s="108"/>
      <c r="F224" s="127"/>
      <c r="G224" s="128"/>
      <c r="H224" s="445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49"/>
      <c r="P224" s="449"/>
      <c r="Q224" s="449"/>
      <c r="R224" s="449"/>
      <c r="S224" s="449"/>
      <c r="T224" s="449"/>
      <c r="U224" s="449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444" t="s">
        <v>418</v>
      </c>
      <c r="C225" s="187" t="s">
        <v>366</v>
      </c>
      <c r="D225" s="108">
        <v>5.03</v>
      </c>
      <c r="E225" s="108"/>
      <c r="F225" s="127"/>
      <c r="G225" s="128"/>
      <c r="H225" s="445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49"/>
      <c r="P225" s="449"/>
      <c r="Q225" s="449"/>
      <c r="R225" s="449"/>
      <c r="S225" s="449"/>
      <c r="T225" s="449"/>
      <c r="U225" s="449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444" t="s">
        <v>418</v>
      </c>
      <c r="C226" s="187" t="s">
        <v>367</v>
      </c>
      <c r="D226" s="108">
        <v>5.03</v>
      </c>
      <c r="E226" s="108"/>
      <c r="F226" s="127"/>
      <c r="G226" s="128"/>
      <c r="H226" s="445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49"/>
      <c r="P226" s="449"/>
      <c r="Q226" s="449"/>
      <c r="R226" s="449"/>
      <c r="S226" s="449"/>
      <c r="T226" s="449"/>
      <c r="U226" s="449"/>
      <c r="V226" s="132"/>
      <c r="W226" s="133"/>
      <c r="X226" s="132"/>
      <c r="Y226" s="132"/>
      <c r="Z226" s="132"/>
      <c r="AA226" s="132"/>
    </row>
    <row r="227" spans="1:27" ht="20.10000000000000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>
        <v>42714</v>
      </c>
      <c r="G227" s="128">
        <f>108+108</f>
        <v>216</v>
      </c>
      <c r="H227" s="445">
        <f t="shared" si="91"/>
        <v>1086.48</v>
      </c>
      <c r="I227" s="129">
        <v>5.5</v>
      </c>
      <c r="J227" s="130">
        <f t="array" ref="J227">IF(ISERROR(G227/I227),"",G227/I227)</f>
        <v>39.272727272727273</v>
      </c>
      <c r="K227" s="131">
        <f t="array" ref="K227">IF(ISERROR(G227/L227),"",G227/L227)</f>
        <v>5.4</v>
      </c>
      <c r="L227" s="129">
        <v>40</v>
      </c>
      <c r="M227" s="109">
        <f t="shared" si="101"/>
        <v>9.9999999999999645E-2</v>
      </c>
      <c r="N227" s="130">
        <f t="shared" si="102"/>
        <v>0</v>
      </c>
      <c r="O227" s="453"/>
      <c r="P227" s="453"/>
      <c r="Q227" s="453"/>
      <c r="R227" s="453"/>
      <c r="S227" s="453"/>
      <c r="T227" s="453"/>
      <c r="U227" s="453"/>
      <c r="V227" s="132">
        <f t="shared" ref="V227:V236" si="105">SUM(X227:AA227)</f>
        <v>0</v>
      </c>
      <c r="W227" s="133">
        <f t="shared" ref="W227:W236" si="106">IF(ISERROR(V227/G227),"",V227/G227)</f>
        <v>0</v>
      </c>
      <c r="X227" s="132"/>
      <c r="Y227" s="132"/>
      <c r="Z227" s="132"/>
      <c r="AA227" s="132"/>
    </row>
    <row r="228" spans="1:27" ht="20.10000000000000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>
        <v>42714</v>
      </c>
      <c r="G228" s="128">
        <f>108+76+95</f>
        <v>279</v>
      </c>
      <c r="H228" s="445">
        <f t="shared" si="91"/>
        <v>1403.3700000000001</v>
      </c>
      <c r="I228" s="129">
        <v>6</v>
      </c>
      <c r="J228" s="130">
        <f t="array" ref="J228">IF(ISERROR(G228/I228),"",G228/I228)</f>
        <v>46.5</v>
      </c>
      <c r="K228" s="131">
        <f t="array" ref="K228">IF(ISERROR(G228/L228),"",G228/L228)</f>
        <v>6.9749999999999996</v>
      </c>
      <c r="L228" s="129">
        <v>40</v>
      </c>
      <c r="M228" s="109">
        <f t="shared" si="101"/>
        <v>-0.97499999999999964</v>
      </c>
      <c r="N228" s="130">
        <f t="shared" si="102"/>
        <v>0</v>
      </c>
      <c r="O228" s="453"/>
      <c r="P228" s="453"/>
      <c r="Q228" s="453"/>
      <c r="R228" s="453"/>
      <c r="S228" s="453"/>
      <c r="T228" s="453"/>
      <c r="U228" s="453"/>
      <c r="V228" s="132">
        <f t="shared" si="105"/>
        <v>0</v>
      </c>
      <c r="W228" s="133">
        <f t="shared" si="106"/>
        <v>0</v>
      </c>
      <c r="X228" s="132"/>
      <c r="Y228" s="132"/>
      <c r="Z228" s="132"/>
      <c r="AA228" s="132"/>
    </row>
    <row r="229" spans="1:27" ht="20.10000000000000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>
        <v>42714</v>
      </c>
      <c r="G229" s="128">
        <f>19+89</f>
        <v>108</v>
      </c>
      <c r="H229" s="445">
        <f t="shared" si="91"/>
        <v>543.24</v>
      </c>
      <c r="I229" s="129">
        <v>3</v>
      </c>
      <c r="J229" s="130">
        <f t="array" ref="J229">IF(ISERROR(G229/I229),"",G229/I229)</f>
        <v>36</v>
      </c>
      <c r="K229" s="131">
        <f t="array" ref="K229">IF(ISERROR(G229/L229),"",G229/L229)</f>
        <v>2.7</v>
      </c>
      <c r="L229" s="129">
        <v>40</v>
      </c>
      <c r="M229" s="109">
        <f t="shared" si="101"/>
        <v>0.29999999999999982</v>
      </c>
      <c r="N229" s="130">
        <f t="shared" si="102"/>
        <v>0</v>
      </c>
      <c r="O229" s="453"/>
      <c r="P229" s="453"/>
      <c r="Q229" s="453"/>
      <c r="R229" s="453"/>
      <c r="S229" s="453"/>
      <c r="T229" s="453"/>
      <c r="U229" s="453"/>
      <c r="V229" s="132">
        <f t="shared" si="105"/>
        <v>0</v>
      </c>
      <c r="W229" s="133">
        <f t="shared" si="106"/>
        <v>0</v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445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453"/>
      <c r="P230" s="453"/>
      <c r="Q230" s="453"/>
      <c r="R230" s="453"/>
      <c r="S230" s="453"/>
      <c r="T230" s="453"/>
      <c r="U230" s="453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445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53"/>
      <c r="P231" s="453"/>
      <c r="Q231" s="453"/>
      <c r="R231" s="453"/>
      <c r="S231" s="453"/>
      <c r="T231" s="453"/>
      <c r="U231" s="453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445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53"/>
      <c r="P232" s="453"/>
      <c r="Q232" s="453"/>
      <c r="R232" s="453"/>
      <c r="S232" s="453"/>
      <c r="T232" s="453"/>
      <c r="U232" s="453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445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53"/>
      <c r="P233" s="453"/>
      <c r="Q233" s="453"/>
      <c r="R233" s="453"/>
      <c r="S233" s="453"/>
      <c r="T233" s="453"/>
      <c r="U233" s="453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445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53"/>
      <c r="P234" s="453"/>
      <c r="Q234" s="453"/>
      <c r="R234" s="453"/>
      <c r="S234" s="453"/>
      <c r="T234" s="453"/>
      <c r="U234" s="453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445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53"/>
      <c r="P235" s="453"/>
      <c r="Q235" s="453"/>
      <c r="R235" s="453"/>
      <c r="S235" s="453"/>
      <c r="T235" s="453"/>
      <c r="U235" s="453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445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53"/>
      <c r="P236" s="453"/>
      <c r="Q236" s="453"/>
      <c r="R236" s="453"/>
      <c r="S236" s="453"/>
      <c r="T236" s="453"/>
      <c r="U236" s="453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430</v>
      </c>
      <c r="C237" s="187" t="s">
        <v>428</v>
      </c>
      <c r="D237" s="108">
        <v>5.03</v>
      </c>
      <c r="E237" s="108"/>
      <c r="F237" s="127"/>
      <c r="G237" s="128"/>
      <c r="H237" s="445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453"/>
      <c r="P237" s="453"/>
      <c r="Q237" s="453"/>
      <c r="R237" s="453"/>
      <c r="S237" s="453"/>
      <c r="T237" s="453"/>
      <c r="U237" s="453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445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7">IF(ISERROR(I238-K238),"",I238-K238)</f>
        <v>0</v>
      </c>
      <c r="N238" s="130"/>
      <c r="O238" s="453"/>
      <c r="P238" s="453"/>
      <c r="Q238" s="453"/>
      <c r="R238" s="453"/>
      <c r="S238" s="453"/>
      <c r="T238" s="453"/>
      <c r="U238" s="453"/>
      <c r="V238" s="132"/>
      <c r="W238" s="133"/>
      <c r="X238" s="132"/>
      <c r="Y238" s="132"/>
      <c r="Z238" s="132"/>
      <c r="AA238" s="132"/>
    </row>
    <row r="239" spans="1:27" ht="20.10000000000000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>
        <v>42714</v>
      </c>
      <c r="G239" s="128">
        <f>100*2+18+100*8</f>
        <v>1018</v>
      </c>
      <c r="H239" s="445">
        <f t="shared" si="91"/>
        <v>5120.54</v>
      </c>
      <c r="I239" s="129">
        <f>11.5*4</f>
        <v>46</v>
      </c>
      <c r="J239" s="130">
        <f t="array" ref="J239">IF(ISERROR(G239/I239),"",G239/I239)</f>
        <v>22.130434782608695</v>
      </c>
      <c r="K239" s="131">
        <f t="array" ref="K239">IF(ISERROR(G239/L239),"",G239/L239)</f>
        <v>47.348837209302324</v>
      </c>
      <c r="L239" s="129">
        <v>21.5</v>
      </c>
      <c r="M239" s="109">
        <f t="shared" si="107"/>
        <v>-1.3488372093023244</v>
      </c>
      <c r="N239" s="130">
        <f t="shared" ref="N239:N240" si="108">SUM(O239:U239)</f>
        <v>0</v>
      </c>
      <c r="O239" s="453"/>
      <c r="P239" s="453"/>
      <c r="Q239" s="453"/>
      <c r="R239" s="453"/>
      <c r="S239" s="453"/>
      <c r="T239" s="453"/>
      <c r="U239" s="453"/>
      <c r="V239" s="132">
        <f t="shared" ref="V239:V240" si="109">SUM(X239:AA239)</f>
        <v>0</v>
      </c>
      <c r="W239" s="133">
        <f t="shared" ref="W239:W240" si="110">IF(ISERROR(V239/G239),"",V239/G239)</f>
        <v>0</v>
      </c>
      <c r="X239" s="132"/>
      <c r="Y239" s="132"/>
      <c r="Z239" s="132"/>
      <c r="AA239" s="132"/>
    </row>
    <row r="240" spans="1:27" ht="20.10000000000000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>
        <v>42714</v>
      </c>
      <c r="G240" s="128">
        <f>7</f>
        <v>7</v>
      </c>
      <c r="H240" s="445">
        <f t="shared" si="91"/>
        <v>35.21</v>
      </c>
      <c r="I240" s="129">
        <v>5</v>
      </c>
      <c r="J240" s="130">
        <f t="array" ref="J240">IF(ISERROR(G240/I240),"",G240/I240)</f>
        <v>1.4</v>
      </c>
      <c r="K240" s="131">
        <f t="array" ref="K240">IF(ISERROR(G240/L240),"",G240/L240)</f>
        <v>0.32558139534883723</v>
      </c>
      <c r="L240" s="129">
        <v>21.5</v>
      </c>
      <c r="M240" s="109">
        <f t="shared" si="107"/>
        <v>4.6744186046511631</v>
      </c>
      <c r="N240" s="130">
        <f t="shared" si="108"/>
        <v>0</v>
      </c>
      <c r="O240" s="453"/>
      <c r="P240" s="453"/>
      <c r="Q240" s="453"/>
      <c r="R240" s="453"/>
      <c r="S240" s="453"/>
      <c r="T240" s="453"/>
      <c r="U240" s="453"/>
      <c r="V240" s="132">
        <f t="shared" si="109"/>
        <v>0</v>
      </c>
      <c r="W240" s="133">
        <f t="shared" si="110"/>
        <v>0</v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445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453"/>
      <c r="P241" s="453"/>
      <c r="Q241" s="453"/>
      <c r="R241" s="453"/>
      <c r="S241" s="453"/>
      <c r="T241" s="453"/>
      <c r="U241" s="453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445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453"/>
      <c r="P242" s="453"/>
      <c r="Q242" s="453"/>
      <c r="R242" s="453"/>
      <c r="S242" s="453"/>
      <c r="T242" s="453"/>
      <c r="U242" s="453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445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453"/>
      <c r="P243" s="453"/>
      <c r="Q243" s="453"/>
      <c r="R243" s="453"/>
      <c r="S243" s="453"/>
      <c r="T243" s="453"/>
      <c r="U243" s="453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445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53"/>
      <c r="P244" s="453"/>
      <c r="Q244" s="453"/>
      <c r="R244" s="453"/>
      <c r="S244" s="453"/>
      <c r="T244" s="453"/>
      <c r="U244" s="453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445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53"/>
      <c r="P245" s="453"/>
      <c r="Q245" s="453"/>
      <c r="R245" s="453"/>
      <c r="S245" s="453"/>
      <c r="T245" s="453"/>
      <c r="U245" s="453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445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453"/>
      <c r="P246" s="453"/>
      <c r="Q246" s="453"/>
      <c r="R246" s="453"/>
      <c r="S246" s="453"/>
      <c r="T246" s="453"/>
      <c r="U246" s="453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445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53"/>
      <c r="P247" s="453"/>
      <c r="Q247" s="453"/>
      <c r="R247" s="453"/>
      <c r="S247" s="453"/>
      <c r="T247" s="453"/>
      <c r="U247" s="453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445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53"/>
      <c r="P248" s="453"/>
      <c r="Q248" s="453"/>
      <c r="R248" s="453"/>
      <c r="S248" s="453"/>
      <c r="T248" s="453"/>
      <c r="U248" s="453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445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53"/>
      <c r="P249" s="453"/>
      <c r="Q249" s="453"/>
      <c r="R249" s="453"/>
      <c r="S249" s="453"/>
      <c r="T249" s="453"/>
      <c r="U249" s="453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445">
        <f t="shared" si="91"/>
        <v>0</v>
      </c>
      <c r="I250" s="129"/>
      <c r="J250" s="130"/>
      <c r="K250" s="131"/>
      <c r="L250" s="129">
        <v>4</v>
      </c>
      <c r="M250" s="109"/>
      <c r="N250" s="130"/>
      <c r="O250" s="453"/>
      <c r="P250" s="453"/>
      <c r="Q250" s="453"/>
      <c r="R250" s="453"/>
      <c r="S250" s="453"/>
      <c r="T250" s="453"/>
      <c r="U250" s="453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445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53"/>
      <c r="P251" s="453"/>
      <c r="Q251" s="453"/>
      <c r="R251" s="453"/>
      <c r="S251" s="453"/>
      <c r="T251" s="453"/>
      <c r="U251" s="453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445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53"/>
      <c r="P252" s="453"/>
      <c r="Q252" s="453"/>
      <c r="R252" s="453"/>
      <c r="S252" s="453"/>
      <c r="T252" s="453"/>
      <c r="U252" s="453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445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53"/>
      <c r="P253" s="453"/>
      <c r="Q253" s="453"/>
      <c r="R253" s="453"/>
      <c r="S253" s="453"/>
      <c r="T253" s="453"/>
      <c r="U253" s="453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445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53"/>
      <c r="P254" s="453"/>
      <c r="Q254" s="453"/>
      <c r="R254" s="453"/>
      <c r="S254" s="453"/>
      <c r="T254" s="453"/>
      <c r="U254" s="453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445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53"/>
      <c r="P255" s="453"/>
      <c r="Q255" s="453"/>
      <c r="R255" s="453"/>
      <c r="S255" s="453"/>
      <c r="T255" s="453"/>
      <c r="U255" s="453"/>
      <c r="V255" s="132"/>
      <c r="W255" s="133"/>
      <c r="X255" s="132"/>
      <c r="Y255" s="132"/>
      <c r="Z255" s="132"/>
      <c r="AA255" s="132"/>
    </row>
    <row r="256" spans="1:27" ht="20.100000000000001" customHeight="1">
      <c r="A256" s="641" t="s">
        <v>216</v>
      </c>
      <c r="B256" s="641"/>
      <c r="C256" s="454" t="s">
        <v>202</v>
      </c>
      <c r="D256" s="143"/>
      <c r="E256" s="143"/>
      <c r="F256" s="144"/>
      <c r="G256" s="145">
        <f>SUM(G199:G255)</f>
        <v>2337</v>
      </c>
      <c r="H256" s="146">
        <f>SUM(H199:H255)</f>
        <v>11755.109999999999</v>
      </c>
      <c r="I256" s="146">
        <f>SUM(I199:I255)</f>
        <v>109</v>
      </c>
      <c r="J256" s="130">
        <f t="array" ref="J256">IF(ISERROR(G256/I256),"",G256/I256)</f>
        <v>21.440366972477065</v>
      </c>
      <c r="K256" s="146">
        <f>SUM(K199:K255)</f>
        <v>76.384033989266541</v>
      </c>
      <c r="L256" s="147"/>
      <c r="M256" s="150">
        <f t="shared" ref="M256:V256" si="114">SUM(M199:M255)</f>
        <v>32.615966010733452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>
        <f t="shared" ref="W256:W263" si="115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444" t="s">
        <v>217</v>
      </c>
      <c r="C257" s="126" t="s">
        <v>179</v>
      </c>
      <c r="D257" s="108">
        <v>5.03</v>
      </c>
      <c r="E257" s="108"/>
      <c r="F257" s="127"/>
      <c r="G257" s="128"/>
      <c r="H257" s="445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453"/>
      <c r="P257" s="453"/>
      <c r="Q257" s="453"/>
      <c r="R257" s="453"/>
      <c r="S257" s="453"/>
      <c r="T257" s="453"/>
      <c r="U257" s="453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customHeight="1">
      <c r="A258" s="299">
        <v>30400010</v>
      </c>
      <c r="B258" s="444" t="s">
        <v>217</v>
      </c>
      <c r="C258" s="126" t="s">
        <v>186</v>
      </c>
      <c r="D258" s="108">
        <v>5.03</v>
      </c>
      <c r="E258" s="108"/>
      <c r="F258" s="127">
        <v>42714</v>
      </c>
      <c r="G258" s="128">
        <v>35</v>
      </c>
      <c r="H258" s="445">
        <f t="shared" si="116"/>
        <v>176.05</v>
      </c>
      <c r="I258" s="129">
        <f>1*3</f>
        <v>3</v>
      </c>
      <c r="J258" s="130">
        <f t="array" ref="J258">IF(ISERROR(G258/I258),"",G258/I258)</f>
        <v>11.666666666666666</v>
      </c>
      <c r="K258" s="131">
        <f t="array" ref="K258">IF(ISERROR(G258/L258),"",G258/L258)</f>
        <v>3.9772727272727271</v>
      </c>
      <c r="L258" s="129">
        <v>8.8000000000000007</v>
      </c>
      <c r="M258" s="109">
        <f t="shared" si="117"/>
        <v>-0.97727272727272707</v>
      </c>
      <c r="N258" s="130">
        <f t="shared" si="118"/>
        <v>0</v>
      </c>
      <c r="O258" s="453"/>
      <c r="P258" s="453"/>
      <c r="Q258" s="453"/>
      <c r="R258" s="453"/>
      <c r="S258" s="453"/>
      <c r="T258" s="453"/>
      <c r="U258" s="453"/>
      <c r="V258" s="132">
        <f t="shared" si="119"/>
        <v>0</v>
      </c>
      <c r="W258" s="133">
        <f t="shared" si="115"/>
        <v>0</v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444" t="s">
        <v>217</v>
      </c>
      <c r="C259" s="126" t="s">
        <v>204</v>
      </c>
      <c r="D259" s="108">
        <v>5.03</v>
      </c>
      <c r="E259" s="108"/>
      <c r="F259" s="127"/>
      <c r="G259" s="128"/>
      <c r="H259" s="445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53"/>
      <c r="P259" s="453"/>
      <c r="Q259" s="453"/>
      <c r="R259" s="453"/>
      <c r="S259" s="453"/>
      <c r="T259" s="453"/>
      <c r="U259" s="453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445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453"/>
      <c r="P260" s="453"/>
      <c r="Q260" s="453"/>
      <c r="R260" s="453"/>
      <c r="S260" s="453"/>
      <c r="T260" s="453"/>
      <c r="U260" s="453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445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53"/>
      <c r="P261" s="453"/>
      <c r="Q261" s="453"/>
      <c r="R261" s="453"/>
      <c r="S261" s="453"/>
      <c r="T261" s="453"/>
      <c r="U261" s="453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445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53"/>
      <c r="P262" s="453"/>
      <c r="Q262" s="453"/>
      <c r="R262" s="453"/>
      <c r="S262" s="453"/>
      <c r="T262" s="453"/>
      <c r="U262" s="453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445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53"/>
      <c r="P263" s="453"/>
      <c r="Q263" s="453"/>
      <c r="R263" s="453"/>
      <c r="S263" s="453"/>
      <c r="T263" s="453"/>
      <c r="U263" s="453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445">
        <f t="shared" si="116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53"/>
      <c r="P264" s="453"/>
      <c r="Q264" s="453"/>
      <c r="R264" s="453"/>
      <c r="S264" s="453"/>
      <c r="T264" s="453"/>
      <c r="U264" s="453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445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53"/>
      <c r="P265" s="453"/>
      <c r="Q265" s="453"/>
      <c r="R265" s="453"/>
      <c r="S265" s="453"/>
      <c r="T265" s="453"/>
      <c r="U265" s="453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445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53"/>
      <c r="P266" s="453"/>
      <c r="Q266" s="453"/>
      <c r="R266" s="453"/>
      <c r="S266" s="453"/>
      <c r="T266" s="453"/>
      <c r="U266" s="453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445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53"/>
      <c r="P267" s="453"/>
      <c r="Q267" s="453"/>
      <c r="R267" s="453"/>
      <c r="S267" s="453"/>
      <c r="T267" s="453"/>
      <c r="U267" s="453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445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53"/>
      <c r="P268" s="453"/>
      <c r="Q268" s="453"/>
      <c r="R268" s="453"/>
      <c r="S268" s="453"/>
      <c r="T268" s="453"/>
      <c r="U268" s="453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445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0">IF(ISERROR(I269-K269),"",I269-K269)</f>
        <v>0</v>
      </c>
      <c r="N269" s="130">
        <f t="shared" ref="N269:N284" si="121">SUM(O269:U269)</f>
        <v>0</v>
      </c>
      <c r="O269" s="453"/>
      <c r="P269" s="453"/>
      <c r="Q269" s="453"/>
      <c r="R269" s="453"/>
      <c r="S269" s="453"/>
      <c r="T269" s="453"/>
      <c r="U269" s="453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445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453"/>
      <c r="P270" s="453"/>
      <c r="Q270" s="453"/>
      <c r="R270" s="453"/>
      <c r="S270" s="453"/>
      <c r="T270" s="453"/>
      <c r="U270" s="453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445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53"/>
      <c r="P271" s="453"/>
      <c r="Q271" s="453"/>
      <c r="R271" s="453"/>
      <c r="S271" s="453"/>
      <c r="T271" s="453"/>
      <c r="U271" s="453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445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53"/>
      <c r="P272" s="453"/>
      <c r="Q272" s="453"/>
      <c r="R272" s="453"/>
      <c r="S272" s="453"/>
      <c r="T272" s="453"/>
      <c r="U272" s="453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444" t="s">
        <v>222</v>
      </c>
      <c r="C273" s="126" t="s">
        <v>181</v>
      </c>
      <c r="D273" s="108">
        <v>9.36</v>
      </c>
      <c r="E273" s="108"/>
      <c r="F273" s="127"/>
      <c r="G273" s="128"/>
      <c r="H273" s="445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453"/>
      <c r="P273" s="453"/>
      <c r="Q273" s="453"/>
      <c r="R273" s="453"/>
      <c r="S273" s="453"/>
      <c r="T273" s="453"/>
      <c r="U273" s="453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444" t="s">
        <v>222</v>
      </c>
      <c r="C274" s="126" t="s">
        <v>179</v>
      </c>
      <c r="D274" s="108">
        <v>9.36</v>
      </c>
      <c r="E274" s="108"/>
      <c r="F274" s="127"/>
      <c r="G274" s="128"/>
      <c r="H274" s="445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53"/>
      <c r="P274" s="453"/>
      <c r="Q274" s="453"/>
      <c r="R274" s="453"/>
      <c r="S274" s="453"/>
      <c r="T274" s="453"/>
      <c r="U274" s="453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444" t="s">
        <v>222</v>
      </c>
      <c r="C275" s="126" t="s">
        <v>221</v>
      </c>
      <c r="D275" s="108">
        <v>9.36</v>
      </c>
      <c r="E275" s="108"/>
      <c r="F275" s="127"/>
      <c r="G275" s="128"/>
      <c r="H275" s="445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53"/>
      <c r="P275" s="453"/>
      <c r="Q275" s="453"/>
      <c r="R275" s="453"/>
      <c r="S275" s="453"/>
      <c r="T275" s="453"/>
      <c r="U275" s="453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444" t="s">
        <v>222</v>
      </c>
      <c r="C276" s="126" t="s">
        <v>186</v>
      </c>
      <c r="D276" s="108">
        <v>9.36</v>
      </c>
      <c r="E276" s="108"/>
      <c r="F276" s="127"/>
      <c r="G276" s="128"/>
      <c r="H276" s="445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53"/>
      <c r="P276" s="453"/>
      <c r="Q276" s="453"/>
      <c r="R276" s="453"/>
      <c r="S276" s="453"/>
      <c r="T276" s="453"/>
      <c r="U276" s="453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444" t="s">
        <v>393</v>
      </c>
      <c r="C277" s="187" t="s">
        <v>395</v>
      </c>
      <c r="D277" s="108">
        <v>5</v>
      </c>
      <c r="E277" s="108"/>
      <c r="F277" s="127"/>
      <c r="G277" s="128"/>
      <c r="H277" s="445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453"/>
      <c r="P277" s="453"/>
      <c r="Q277" s="453"/>
      <c r="R277" s="453"/>
      <c r="S277" s="453"/>
      <c r="T277" s="453"/>
      <c r="U277" s="453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444" t="s">
        <v>393</v>
      </c>
      <c r="C278" s="187" t="s">
        <v>402</v>
      </c>
      <c r="D278" s="108">
        <v>5</v>
      </c>
      <c r="E278" s="108"/>
      <c r="F278" s="127"/>
      <c r="G278" s="128"/>
      <c r="H278" s="445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53"/>
      <c r="P278" s="453"/>
      <c r="Q278" s="453"/>
      <c r="R278" s="453"/>
      <c r="S278" s="453"/>
      <c r="T278" s="453"/>
      <c r="U278" s="453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444" t="s">
        <v>404</v>
      </c>
      <c r="C279" s="187" t="s">
        <v>405</v>
      </c>
      <c r="D279" s="108">
        <v>5</v>
      </c>
      <c r="E279" s="108"/>
      <c r="F279" s="127"/>
      <c r="G279" s="128"/>
      <c r="H279" s="445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53"/>
      <c r="P279" s="453"/>
      <c r="Q279" s="453"/>
      <c r="R279" s="453"/>
      <c r="S279" s="453"/>
      <c r="T279" s="453"/>
      <c r="U279" s="453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444" t="s">
        <v>342</v>
      </c>
      <c r="C280" s="187" t="s">
        <v>372</v>
      </c>
      <c r="D280" s="108">
        <v>5</v>
      </c>
      <c r="E280" s="108"/>
      <c r="F280" s="127"/>
      <c r="G280" s="128"/>
      <c r="H280" s="445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53"/>
      <c r="P280" s="453"/>
      <c r="Q280" s="453"/>
      <c r="R280" s="453"/>
      <c r="S280" s="453"/>
      <c r="T280" s="453"/>
      <c r="U280" s="453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444" t="s">
        <v>343</v>
      </c>
      <c r="C281" s="126" t="s">
        <v>345</v>
      </c>
      <c r="D281" s="108">
        <v>5</v>
      </c>
      <c r="E281" s="108"/>
      <c r="F281" s="127"/>
      <c r="G281" s="128"/>
      <c r="H281" s="445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53"/>
      <c r="P281" s="453"/>
      <c r="Q281" s="453"/>
      <c r="R281" s="453"/>
      <c r="S281" s="453"/>
      <c r="T281" s="453"/>
      <c r="U281" s="453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444" t="s">
        <v>343</v>
      </c>
      <c r="C282" s="126" t="s">
        <v>347</v>
      </c>
      <c r="D282" s="108">
        <v>5</v>
      </c>
      <c r="E282" s="108"/>
      <c r="F282" s="127"/>
      <c r="G282" s="128"/>
      <c r="H282" s="445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53"/>
      <c r="P282" s="453"/>
      <c r="Q282" s="453"/>
      <c r="R282" s="453"/>
      <c r="S282" s="453"/>
      <c r="T282" s="453"/>
      <c r="U282" s="453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445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453"/>
      <c r="P283" s="453"/>
      <c r="Q283" s="453"/>
      <c r="R283" s="453"/>
      <c r="S283" s="453"/>
      <c r="T283" s="453"/>
      <c r="U283" s="453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445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453"/>
      <c r="P284" s="453"/>
      <c r="Q284" s="453"/>
      <c r="R284" s="453"/>
      <c r="S284" s="453"/>
      <c r="T284" s="453"/>
      <c r="U284" s="453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420</v>
      </c>
      <c r="D285" s="108">
        <v>5.03</v>
      </c>
      <c r="E285" s="108"/>
      <c r="F285" s="127"/>
      <c r="G285" s="128"/>
      <c r="H285" s="445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453"/>
      <c r="P285" s="453"/>
      <c r="Q285" s="453"/>
      <c r="R285" s="453"/>
      <c r="S285" s="453"/>
      <c r="T285" s="453"/>
      <c r="U285" s="453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445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453"/>
      <c r="P286" s="453"/>
      <c r="Q286" s="453"/>
      <c r="R286" s="453"/>
      <c r="S286" s="453"/>
      <c r="T286" s="453"/>
      <c r="U286" s="453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445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53"/>
      <c r="P287" s="453"/>
      <c r="Q287" s="453"/>
      <c r="R287" s="453"/>
      <c r="S287" s="453"/>
      <c r="T287" s="453"/>
      <c r="U287" s="453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445">
        <f t="shared" si="116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7">IF(ISERROR(I288-K288),"",I288-K288)</f>
        <v>0</v>
      </c>
      <c r="N288" s="130">
        <f t="shared" ref="N288:N290" si="128">SUM(O288:U288)</f>
        <v>0</v>
      </c>
      <c r="O288" s="453"/>
      <c r="P288" s="453"/>
      <c r="Q288" s="453"/>
      <c r="R288" s="453"/>
      <c r="S288" s="453"/>
      <c r="T288" s="453"/>
      <c r="U288" s="453"/>
      <c r="V288" s="132">
        <f t="shared" ref="V288:V290" si="129">SUM(X288:AA288)</f>
        <v>0</v>
      </c>
      <c r="W288" s="133" t="str">
        <f t="shared" ref="W288:W312" si="130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445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453"/>
      <c r="P289" s="453"/>
      <c r="Q289" s="453"/>
      <c r="R289" s="453"/>
      <c r="S289" s="453"/>
      <c r="T289" s="453"/>
      <c r="U289" s="453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445">
        <f t="shared" si="116"/>
        <v>0</v>
      </c>
      <c r="I290" s="129"/>
      <c r="J290" s="130" t="str">
        <f t="array" ref="J290">IF(ISERROR(G290/I290),"",G290/I290)</f>
        <v/>
      </c>
      <c r="K290" s="445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53"/>
      <c r="P290" s="453"/>
      <c r="Q290" s="453"/>
      <c r="R290" s="453"/>
      <c r="S290" s="453"/>
      <c r="T290" s="453"/>
      <c r="U290" s="453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630" t="s">
        <v>224</v>
      </c>
      <c r="B291" s="631"/>
      <c r="C291" s="454" t="s">
        <v>202</v>
      </c>
      <c r="D291" s="143"/>
      <c r="E291" s="143"/>
      <c r="F291" s="144"/>
      <c r="G291" s="145">
        <f>SUM(G257:G290)</f>
        <v>35</v>
      </c>
      <c r="H291" s="146">
        <f>SUM(H257:H290)</f>
        <v>176.05</v>
      </c>
      <c r="I291" s="146">
        <f>SUM(I257:I290)</f>
        <v>3</v>
      </c>
      <c r="J291" s="130">
        <f t="array" ref="J291">IF(ISERROR(G291/I291),"",G291/I291)</f>
        <v>11.666666666666666</v>
      </c>
      <c r="K291" s="146">
        <f>SUM(K257:K290)</f>
        <v>3.9772727272727271</v>
      </c>
      <c r="L291" s="147"/>
      <c r="M291" s="150">
        <f t="shared" ref="M291:V291" si="131">SUM(M257:M290)</f>
        <v>-0.97727272727272707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>
        <f t="shared" si="130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445">
        <f t="shared" ref="H292:H306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3">IF(ISERROR(I292-K292),"",I292-K292)</f>
        <v>0</v>
      </c>
      <c r="N292" s="130">
        <f t="shared" ref="N292:N306" si="134">SUM(O292:U292)</f>
        <v>0</v>
      </c>
      <c r="O292" s="453"/>
      <c r="P292" s="453"/>
      <c r="Q292" s="453"/>
      <c r="R292" s="453"/>
      <c r="S292" s="453"/>
      <c r="T292" s="453"/>
      <c r="U292" s="453"/>
      <c r="V292" s="132">
        <f t="shared" ref="V292:V306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445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453"/>
      <c r="P293" s="453"/>
      <c r="Q293" s="453"/>
      <c r="R293" s="453"/>
      <c r="S293" s="453"/>
      <c r="T293" s="453"/>
      <c r="U293" s="453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>
        <v>42714</v>
      </c>
      <c r="G294" s="128">
        <v>97</v>
      </c>
      <c r="H294" s="445">
        <f t="shared" si="132"/>
        <v>488.88</v>
      </c>
      <c r="I294" s="129">
        <f>1.5*3+7.5*3</f>
        <v>27</v>
      </c>
      <c r="J294" s="130">
        <f t="array" ref="J294">IF(ISERROR(G294/I294),"",G294/I294)</f>
        <v>3.5925925925925926</v>
      </c>
      <c r="K294" s="131">
        <f t="array" ref="K294">IF(ISERROR(G294/L294),"",G294/L294)</f>
        <v>4.8499999999999996</v>
      </c>
      <c r="L294" s="129">
        <v>20</v>
      </c>
      <c r="M294" s="109">
        <f t="shared" si="133"/>
        <v>22.15</v>
      </c>
      <c r="N294" s="130">
        <f t="shared" si="134"/>
        <v>0</v>
      </c>
      <c r="O294" s="453"/>
      <c r="P294" s="453"/>
      <c r="Q294" s="453"/>
      <c r="R294" s="453"/>
      <c r="S294" s="453"/>
      <c r="T294" s="453"/>
      <c r="U294" s="453"/>
      <c r="V294" s="132">
        <f t="shared" si="135"/>
        <v>0</v>
      </c>
      <c r="W294" s="133">
        <f t="shared" si="130"/>
        <v>0</v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445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453"/>
      <c r="P295" s="453"/>
      <c r="Q295" s="453"/>
      <c r="R295" s="453"/>
      <c r="S295" s="453"/>
      <c r="T295" s="453"/>
      <c r="U295" s="453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450" t="s">
        <v>203</v>
      </c>
      <c r="D296" s="108">
        <v>5.03</v>
      </c>
      <c r="E296" s="108"/>
      <c r="F296" s="127"/>
      <c r="G296" s="128"/>
      <c r="H296" s="445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53"/>
      <c r="P296" s="453"/>
      <c r="Q296" s="453"/>
      <c r="R296" s="453"/>
      <c r="S296" s="453"/>
      <c r="T296" s="453"/>
      <c r="U296" s="453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445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53"/>
      <c r="P297" s="453"/>
      <c r="Q297" s="453"/>
      <c r="R297" s="453"/>
      <c r="S297" s="453"/>
      <c r="T297" s="453"/>
      <c r="U297" s="453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445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53"/>
      <c r="P298" s="453"/>
      <c r="Q298" s="453"/>
      <c r="R298" s="453"/>
      <c r="S298" s="453"/>
      <c r="T298" s="453"/>
      <c r="U298" s="453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450" t="s">
        <v>228</v>
      </c>
      <c r="D299" s="108">
        <v>5.03</v>
      </c>
      <c r="E299" s="108"/>
      <c r="F299" s="127"/>
      <c r="G299" s="128"/>
      <c r="H299" s="445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53"/>
      <c r="P299" s="453"/>
      <c r="Q299" s="453"/>
      <c r="R299" s="453"/>
      <c r="S299" s="453"/>
      <c r="T299" s="453"/>
      <c r="U299" s="453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450" t="s">
        <v>212</v>
      </c>
      <c r="D300" s="108">
        <v>5.03</v>
      </c>
      <c r="E300" s="108"/>
      <c r="F300" s="127"/>
      <c r="G300" s="128"/>
      <c r="H300" s="445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453"/>
      <c r="P300" s="453"/>
      <c r="Q300" s="453"/>
      <c r="R300" s="453"/>
      <c r="S300" s="453"/>
      <c r="T300" s="453"/>
      <c r="U300" s="453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450" t="s">
        <v>203</v>
      </c>
      <c r="D301" s="108">
        <v>5.03</v>
      </c>
      <c r="E301" s="108"/>
      <c r="F301" s="127"/>
      <c r="G301" s="128"/>
      <c r="H301" s="445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53"/>
      <c r="P301" s="453"/>
      <c r="Q301" s="453"/>
      <c r="R301" s="453"/>
      <c r="S301" s="453"/>
      <c r="T301" s="453"/>
      <c r="U301" s="453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450" t="s">
        <v>186</v>
      </c>
      <c r="D302" s="108">
        <v>5.03</v>
      </c>
      <c r="E302" s="108"/>
      <c r="F302" s="127"/>
      <c r="G302" s="128"/>
      <c r="H302" s="445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53"/>
      <c r="P302" s="453"/>
      <c r="Q302" s="453"/>
      <c r="R302" s="453"/>
      <c r="S302" s="453"/>
      <c r="T302" s="453"/>
      <c r="U302" s="453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450" t="s">
        <v>228</v>
      </c>
      <c r="D303" s="108">
        <v>5.03</v>
      </c>
      <c r="E303" s="108"/>
      <c r="F303" s="127"/>
      <c r="G303" s="128"/>
      <c r="H303" s="445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53"/>
      <c r="P303" s="453"/>
      <c r="Q303" s="453"/>
      <c r="R303" s="453"/>
      <c r="S303" s="453"/>
      <c r="T303" s="453"/>
      <c r="U303" s="453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450" t="s">
        <v>199</v>
      </c>
      <c r="D304" s="108">
        <v>5.03</v>
      </c>
      <c r="E304" s="108"/>
      <c r="F304" s="127"/>
      <c r="G304" s="128"/>
      <c r="H304" s="445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53"/>
      <c r="P304" s="453"/>
      <c r="Q304" s="453"/>
      <c r="R304" s="453"/>
      <c r="S304" s="453"/>
      <c r="T304" s="453"/>
      <c r="U304" s="453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445">
        <f t="shared" si="132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3"/>
        <v>0</v>
      </c>
      <c r="N305" s="130">
        <f t="shared" si="134"/>
        <v>0</v>
      </c>
      <c r="O305" s="453"/>
      <c r="P305" s="453"/>
      <c r="Q305" s="453"/>
      <c r="R305" s="453"/>
      <c r="S305" s="453"/>
      <c r="T305" s="453"/>
      <c r="U305" s="453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445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453"/>
      <c r="P306" s="453"/>
      <c r="Q306" s="453"/>
      <c r="R306" s="453"/>
      <c r="S306" s="453"/>
      <c r="T306" s="453"/>
      <c r="U306" s="453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customHeight="1">
      <c r="A307" s="630" t="s">
        <v>231</v>
      </c>
      <c r="B307" s="631"/>
      <c r="C307" s="454" t="s">
        <v>202</v>
      </c>
      <c r="D307" s="143"/>
      <c r="E307" s="143"/>
      <c r="F307" s="144"/>
      <c r="G307" s="145">
        <f>SUM(G292:G306)</f>
        <v>97</v>
      </c>
      <c r="H307" s="146">
        <f>SUM(H292:H306)</f>
        <v>488.88</v>
      </c>
      <c r="I307" s="146">
        <f>SUM(I292:I306)</f>
        <v>27</v>
      </c>
      <c r="J307" s="130">
        <f t="array" ref="J307">IF(ISERROR(G307/I307),"",G307/I307)</f>
        <v>3.5925925925925926</v>
      </c>
      <c r="K307" s="146">
        <f>SUM(K292:K306)</f>
        <v>4.8499999999999996</v>
      </c>
      <c r="L307" s="146"/>
      <c r="M307" s="150">
        <f>SUM(M292:M306)</f>
        <v>22.15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>
        <f t="shared" si="130"/>
        <v>0</v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445">
        <f t="shared" ref="H308:H315" si="136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7">IF(ISERROR(I308-K308),"",I308-K308)</f>
        <v>0</v>
      </c>
      <c r="N308" s="130">
        <f t="shared" ref="N308:N312" si="138">SUM(O308:U308)</f>
        <v>0</v>
      </c>
      <c r="O308" s="453"/>
      <c r="P308" s="453"/>
      <c r="Q308" s="453"/>
      <c r="R308" s="453"/>
      <c r="S308" s="453"/>
      <c r="T308" s="453"/>
      <c r="U308" s="453"/>
      <c r="V308" s="132">
        <f t="shared" ref="V308:V312" si="139">SUM(X308:AA308)</f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445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453"/>
      <c r="P309" s="453"/>
      <c r="Q309" s="453"/>
      <c r="R309" s="453"/>
      <c r="S309" s="453"/>
      <c r="T309" s="453"/>
      <c r="U309" s="453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445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53"/>
      <c r="P310" s="453"/>
      <c r="Q310" s="453"/>
      <c r="R310" s="453"/>
      <c r="S310" s="453"/>
      <c r="T310" s="453"/>
      <c r="U310" s="453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445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53"/>
      <c r="P311" s="453"/>
      <c r="Q311" s="453"/>
      <c r="R311" s="453"/>
      <c r="S311" s="453"/>
      <c r="T311" s="453"/>
      <c r="U311" s="453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445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53"/>
      <c r="P312" s="453"/>
      <c r="Q312" s="453"/>
      <c r="R312" s="453"/>
      <c r="S312" s="453"/>
      <c r="T312" s="453"/>
      <c r="U312" s="453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79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453"/>
      <c r="P313" s="453"/>
      <c r="Q313" s="453"/>
      <c r="R313" s="453"/>
      <c r="S313" s="453"/>
      <c r="T313" s="453"/>
      <c r="U313" s="453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/>
      <c r="G314" s="128"/>
      <c r="H314" s="479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70"/>
      <c r="P314" s="470"/>
      <c r="Q314" s="470"/>
      <c r="R314" s="470"/>
      <c r="S314" s="470"/>
      <c r="T314" s="470"/>
      <c r="U314" s="470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445">
        <f t="shared" ref="H316" si="140">D316*G316</f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1">IF(ISERROR(I316-K316),"",I316-K316)</f>
        <v>0</v>
      </c>
      <c r="N316" s="130">
        <f t="shared" ref="N316" si="142">SUM(O316:U316)</f>
        <v>0</v>
      </c>
      <c r="O316" s="453"/>
      <c r="P316" s="453"/>
      <c r="Q316" s="453"/>
      <c r="R316" s="453"/>
      <c r="S316" s="453"/>
      <c r="T316" s="453"/>
      <c r="U316" s="453"/>
      <c r="V316" s="132">
        <f t="shared" ref="V316" si="143">SUM(X316:AA316)</f>
        <v>0</v>
      </c>
      <c r="W316" s="133" t="str">
        <f t="shared" ref="W316:W321" si="144">IF(ISERROR(V316/G316),"",V316/G316)</f>
        <v/>
      </c>
      <c r="X316" s="132"/>
      <c r="Y316" s="132"/>
      <c r="Z316" s="132"/>
      <c r="AA316" s="132"/>
    </row>
    <row r="317" spans="1:27" ht="20.100000000000001" hidden="1" customHeight="1">
      <c r="A317" s="630" t="s">
        <v>234</v>
      </c>
      <c r="B317" s="631"/>
      <c r="C317" s="454" t="s">
        <v>202</v>
      </c>
      <c r="D317" s="143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4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451"/>
      <c r="D318" s="108">
        <v>3.65</v>
      </c>
      <c r="E318" s="108"/>
      <c r="F318" s="153"/>
      <c r="G318" s="128"/>
      <c r="H318" s="445">
        <f t="shared" ref="H318:H331" si="145">D318*G318</f>
        <v>0</v>
      </c>
      <c r="I318" s="129"/>
      <c r="J318" s="130" t="str">
        <f t="array" ref="J318">IF(ISERROR(G318/I318),"",G318/I318)</f>
        <v/>
      </c>
      <c r="K318" s="445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453"/>
      <c r="P318" s="453"/>
      <c r="Q318" s="453"/>
      <c r="R318" s="453"/>
      <c r="S318" s="453"/>
      <c r="T318" s="453"/>
      <c r="U318" s="453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451"/>
      <c r="D319" s="108">
        <v>6.58</v>
      </c>
      <c r="E319" s="108"/>
      <c r="F319" s="127"/>
      <c r="G319" s="128"/>
      <c r="H319" s="445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453"/>
      <c r="P319" s="453"/>
      <c r="Q319" s="453"/>
      <c r="R319" s="453"/>
      <c r="S319" s="453"/>
      <c r="T319" s="453"/>
      <c r="U319" s="453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451"/>
      <c r="D320" s="108">
        <v>7.8</v>
      </c>
      <c r="E320" s="108"/>
      <c r="F320" s="127"/>
      <c r="G320" s="128"/>
      <c r="H320" s="445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453"/>
      <c r="P320" s="453"/>
      <c r="Q320" s="453"/>
      <c r="R320" s="453"/>
      <c r="S320" s="453"/>
      <c r="T320" s="453"/>
      <c r="U320" s="453"/>
      <c r="V320" s="132">
        <f t="shared" si="148"/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451"/>
      <c r="D321" s="108">
        <v>4.4000000000000004</v>
      </c>
      <c r="E321" s="108"/>
      <c r="F321" s="127"/>
      <c r="G321" s="128"/>
      <c r="H321" s="445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453"/>
      <c r="P321" s="453"/>
      <c r="Q321" s="453"/>
      <c r="R321" s="453"/>
      <c r="S321" s="453"/>
      <c r="T321" s="453"/>
      <c r="U321" s="453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451"/>
      <c r="D322" s="108"/>
      <c r="E322" s="108"/>
      <c r="F322" s="127"/>
      <c r="G322" s="128"/>
      <c r="H322" s="445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453"/>
      <c r="P322" s="453"/>
      <c r="Q322" s="453"/>
      <c r="R322" s="453"/>
      <c r="S322" s="453"/>
      <c r="T322" s="453"/>
      <c r="U322" s="453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451" t="s">
        <v>239</v>
      </c>
      <c r="C323" s="451" t="s">
        <v>179</v>
      </c>
      <c r="D323" s="108">
        <v>6.04</v>
      </c>
      <c r="E323" s="108"/>
      <c r="F323" s="127"/>
      <c r="G323" s="128"/>
      <c r="H323" s="445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453"/>
      <c r="P323" s="453"/>
      <c r="Q323" s="453"/>
      <c r="R323" s="453"/>
      <c r="S323" s="453"/>
      <c r="T323" s="453"/>
      <c r="U323" s="453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451" t="s">
        <v>239</v>
      </c>
      <c r="C324" s="451" t="s">
        <v>186</v>
      </c>
      <c r="D324" s="108">
        <v>6.04</v>
      </c>
      <c r="E324" s="108"/>
      <c r="F324" s="127"/>
      <c r="G324" s="128"/>
      <c r="H324" s="445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453"/>
      <c r="P324" s="453"/>
      <c r="Q324" s="453"/>
      <c r="R324" s="453"/>
      <c r="S324" s="453"/>
      <c r="T324" s="453"/>
      <c r="U324" s="453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451" t="s">
        <v>443</v>
      </c>
      <c r="C325" s="451" t="s">
        <v>179</v>
      </c>
      <c r="D325" s="108">
        <v>6</v>
      </c>
      <c r="E325" s="108"/>
      <c r="F325" s="127"/>
      <c r="G325" s="128"/>
      <c r="H325" s="445">
        <f t="shared" si="145"/>
        <v>0</v>
      </c>
      <c r="I325" s="129"/>
      <c r="J325" s="130"/>
      <c r="K325" s="131"/>
      <c r="L325" s="129"/>
      <c r="M325" s="109"/>
      <c r="N325" s="130"/>
      <c r="O325" s="453"/>
      <c r="P325" s="453"/>
      <c r="Q325" s="453"/>
      <c r="R325" s="453"/>
      <c r="S325" s="453"/>
      <c r="T325" s="453"/>
      <c r="U325" s="453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451" t="s">
        <v>443</v>
      </c>
      <c r="C326" s="451" t="s">
        <v>60</v>
      </c>
      <c r="D326" s="108">
        <v>6</v>
      </c>
      <c r="E326" s="108"/>
      <c r="F326" s="127"/>
      <c r="G326" s="128"/>
      <c r="H326" s="445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453"/>
      <c r="P326" s="453"/>
      <c r="Q326" s="453"/>
      <c r="R326" s="453"/>
      <c r="S326" s="453"/>
      <c r="T326" s="453"/>
      <c r="U326" s="453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444" t="s">
        <v>240</v>
      </c>
      <c r="C327" s="126"/>
      <c r="D327" s="108">
        <v>7.3</v>
      </c>
      <c r="E327" s="108"/>
      <c r="F327" s="127"/>
      <c r="G327" s="128"/>
      <c r="H327" s="445">
        <f t="shared" si="145"/>
        <v>0</v>
      </c>
      <c r="I327" s="129"/>
      <c r="J327" s="130"/>
      <c r="K327" s="131"/>
      <c r="L327" s="129"/>
      <c r="M327" s="109"/>
      <c r="N327" s="130"/>
      <c r="O327" s="453"/>
      <c r="P327" s="453"/>
      <c r="Q327" s="453"/>
      <c r="R327" s="453"/>
      <c r="S327" s="453"/>
      <c r="T327" s="453"/>
      <c r="U327" s="453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444" t="s">
        <v>241</v>
      </c>
      <c r="C328" s="126"/>
      <c r="D328" s="108">
        <f>78*120/1000</f>
        <v>9.36</v>
      </c>
      <c r="E328" s="108"/>
      <c r="F328" s="127"/>
      <c r="G328" s="128"/>
      <c r="H328" s="445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453"/>
      <c r="P328" s="453"/>
      <c r="Q328" s="453"/>
      <c r="R328" s="453"/>
      <c r="S328" s="453"/>
      <c r="T328" s="453"/>
      <c r="U328" s="453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444" t="s">
        <v>242</v>
      </c>
      <c r="C329" s="126"/>
      <c r="D329" s="108">
        <v>4.5</v>
      </c>
      <c r="E329" s="108"/>
      <c r="F329" s="127"/>
      <c r="G329" s="128"/>
      <c r="H329" s="445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453"/>
      <c r="P329" s="453"/>
      <c r="Q329" s="453"/>
      <c r="R329" s="453"/>
      <c r="S329" s="453"/>
      <c r="T329" s="453"/>
      <c r="U329" s="453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444" t="s">
        <v>243</v>
      </c>
      <c r="C330" s="126"/>
      <c r="D330" s="108">
        <v>4.5</v>
      </c>
      <c r="E330" s="108"/>
      <c r="F330" s="127"/>
      <c r="G330" s="128"/>
      <c r="H330" s="445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453"/>
      <c r="P330" s="453"/>
      <c r="Q330" s="453"/>
      <c r="R330" s="453"/>
      <c r="S330" s="453"/>
      <c r="T330" s="453"/>
      <c r="U330" s="453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445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53"/>
      <c r="P331" s="453"/>
      <c r="Q331" s="453"/>
      <c r="R331" s="453"/>
      <c r="S331" s="453"/>
      <c r="T331" s="453"/>
      <c r="U331" s="453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630" t="s">
        <v>244</v>
      </c>
      <c r="B332" s="631"/>
      <c r="C332" s="454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6">SUM(M318:M328)</f>
        <v>0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632" t="s">
        <v>246</v>
      </c>
      <c r="B333" s="633"/>
      <c r="C333" s="633"/>
      <c r="D333" s="633"/>
      <c r="E333" s="633"/>
      <c r="F333" s="634"/>
      <c r="G333" s="154">
        <f>SUM(G198,G256,G291,G307,G317,G332)</f>
        <v>3649</v>
      </c>
      <c r="H333" s="154">
        <f>SUM(H198,H256,H291,H307,H317,H332)</f>
        <v>18379.839999999997</v>
      </c>
      <c r="I333" s="154">
        <f>SUM(I198,I256,I291,I307,I317,I332)</f>
        <v>229.5</v>
      </c>
      <c r="J333" s="155">
        <f t="array" ref="J333">IF(ISERROR(G333/I333),"",G333/I333)</f>
        <v>15.899782135076252</v>
      </c>
      <c r="K333" s="154">
        <f>SUM(K198,K256,K291,K307,K317,K332)</f>
        <v>147.6261673976538</v>
      </c>
      <c r="L333" s="155">
        <f>IF(ISERROR(G333/K333),"",G333/K333)</f>
        <v>24.717840097893056</v>
      </c>
      <c r="M333" s="154">
        <f t="shared" ref="M333:AA333" si="157">SUM(M198,M256,M291,M307,M317,M332)</f>
        <v>81.87383260234617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635" t="s">
        <v>476</v>
      </c>
      <c r="B334" s="447" t="s">
        <v>247</v>
      </c>
      <c r="C334" s="638" t="s">
        <v>248</v>
      </c>
      <c r="D334" s="639"/>
      <c r="E334" s="640" t="s">
        <v>249</v>
      </c>
      <c r="F334" s="640"/>
      <c r="G334" s="643" t="s">
        <v>250</v>
      </c>
      <c r="H334" s="643"/>
      <c r="I334" s="640" t="s">
        <v>251</v>
      </c>
      <c r="J334" s="640"/>
      <c r="K334" s="640" t="s">
        <v>252</v>
      </c>
      <c r="L334" s="640"/>
      <c r="M334" s="640" t="s">
        <v>253</v>
      </c>
      <c r="N334" s="640"/>
      <c r="O334" s="640" t="s">
        <v>254</v>
      </c>
      <c r="P334" s="643" t="s">
        <v>255</v>
      </c>
      <c r="Q334" s="643"/>
      <c r="R334" s="643" t="s">
        <v>252</v>
      </c>
      <c r="S334" s="643"/>
      <c r="T334" s="643" t="s">
        <v>256</v>
      </c>
      <c r="U334" s="643"/>
      <c r="V334" s="643" t="s">
        <v>257</v>
      </c>
      <c r="W334" s="643"/>
      <c r="X334" s="643" t="s">
        <v>252</v>
      </c>
      <c r="Y334" s="643"/>
      <c r="Z334" s="643" t="s">
        <v>256</v>
      </c>
      <c r="AA334" s="643"/>
    </row>
    <row r="335" spans="1:27" ht="20.100000000000001" customHeight="1">
      <c r="A335" s="636"/>
      <c r="B335" s="447" t="s">
        <v>258</v>
      </c>
      <c r="C335" s="678">
        <v>1</v>
      </c>
      <c r="D335" s="679"/>
      <c r="E335" s="642">
        <f>C335*11</f>
        <v>11</v>
      </c>
      <c r="F335" s="642"/>
      <c r="G335" s="643">
        <v>1</v>
      </c>
      <c r="H335" s="643"/>
      <c r="I335" s="642">
        <f>G335*11</f>
        <v>11</v>
      </c>
      <c r="J335" s="642"/>
      <c r="K335" s="642">
        <f>E335-I335</f>
        <v>0</v>
      </c>
      <c r="L335" s="642"/>
      <c r="M335" s="644">
        <f>IF(ISERROR(K335/E335),"",K335/E335)</f>
        <v>0</v>
      </c>
      <c r="N335" s="644"/>
      <c r="O335" s="640"/>
      <c r="P335" s="643" t="s">
        <v>201</v>
      </c>
      <c r="Q335" s="643"/>
      <c r="R335" s="645">
        <f>SUM(O198:U198)</f>
        <v>0</v>
      </c>
      <c r="S335" s="645"/>
      <c r="T335" s="646" t="str">
        <f t="array" ref="T335">IF(ISERROR(R335/R342),"",R335/R342)</f>
        <v/>
      </c>
      <c r="U335" s="646"/>
      <c r="V335" s="643" t="s">
        <v>259</v>
      </c>
      <c r="W335" s="643"/>
      <c r="X335" s="680">
        <f>SUM(P197,P255,P290,P306,P316,P331)</f>
        <v>0</v>
      </c>
      <c r="Y335" s="681"/>
      <c r="Z335" s="646" t="str">
        <f t="array" ref="Z335">IF(ISERROR(X335/X342),"",X335/X342)</f>
        <v/>
      </c>
      <c r="AA335" s="646"/>
    </row>
    <row r="336" spans="1:27" ht="20.100000000000001" customHeight="1">
      <c r="A336" s="636"/>
      <c r="B336" s="447" t="s">
        <v>260</v>
      </c>
      <c r="C336" s="638">
        <v>0</v>
      </c>
      <c r="D336" s="639"/>
      <c r="E336" s="642">
        <f>C336*11</f>
        <v>0</v>
      </c>
      <c r="F336" s="642"/>
      <c r="G336" s="643">
        <v>0</v>
      </c>
      <c r="H336" s="643"/>
      <c r="I336" s="642">
        <f>G336*11</f>
        <v>0</v>
      </c>
      <c r="J336" s="642"/>
      <c r="K336" s="642">
        <f>E336-I336</f>
        <v>0</v>
      </c>
      <c r="L336" s="642"/>
      <c r="M336" s="644" t="str">
        <f>IF(ISERROR(K336/E336),"",K336/E336)</f>
        <v/>
      </c>
      <c r="N336" s="644"/>
      <c r="O336" s="640"/>
      <c r="P336" s="643" t="s">
        <v>216</v>
      </c>
      <c r="Q336" s="643"/>
      <c r="R336" s="645">
        <f>SUM(O256:U256)</f>
        <v>0</v>
      </c>
      <c r="S336" s="645"/>
      <c r="T336" s="646" t="str">
        <f>IF(ISERROR(R336/R342),"",R336/R342)</f>
        <v/>
      </c>
      <c r="U336" s="646"/>
      <c r="V336" s="643" t="s">
        <v>261</v>
      </c>
      <c r="W336" s="643"/>
      <c r="X336" s="680">
        <f>SUM(P198,P256,P291,P307,P317,P332)</f>
        <v>0</v>
      </c>
      <c r="Y336" s="681"/>
      <c r="Z336" s="646" t="str">
        <f>IF(ISERROR(X336/X342),"",X336/X342)</f>
        <v/>
      </c>
      <c r="AA336" s="646"/>
    </row>
    <row r="337" spans="1:27" ht="20.100000000000001" customHeight="1">
      <c r="A337" s="636"/>
      <c r="B337" s="447" t="s">
        <v>262</v>
      </c>
      <c r="C337" s="638">
        <v>0</v>
      </c>
      <c r="D337" s="639"/>
      <c r="E337" s="642">
        <f>C337*8</f>
        <v>0</v>
      </c>
      <c r="F337" s="642"/>
      <c r="G337" s="643">
        <v>1</v>
      </c>
      <c r="H337" s="643"/>
      <c r="I337" s="642">
        <f>G337*8</f>
        <v>8</v>
      </c>
      <c r="J337" s="642"/>
      <c r="K337" s="642">
        <f>E337-I337</f>
        <v>-8</v>
      </c>
      <c r="L337" s="642"/>
      <c r="M337" s="644" t="str">
        <f>IF(ISERROR(K337/E337),"",K337/E337)</f>
        <v/>
      </c>
      <c r="N337" s="644"/>
      <c r="O337" s="640"/>
      <c r="P337" s="643" t="s">
        <v>224</v>
      </c>
      <c r="Q337" s="643"/>
      <c r="R337" s="645">
        <f>SUM(O291:U291)</f>
        <v>0</v>
      </c>
      <c r="S337" s="645"/>
      <c r="T337" s="646" t="str">
        <f>IF(ISERROR(R337/R342),"",R337/R342)</f>
        <v/>
      </c>
      <c r="U337" s="646"/>
      <c r="V337" s="643" t="s">
        <v>263</v>
      </c>
      <c r="W337" s="643"/>
      <c r="X337" s="680">
        <f>SUM(P199,P257,P292,P308,P318,P333)</f>
        <v>0</v>
      </c>
      <c r="Y337" s="681"/>
      <c r="Z337" s="646" t="str">
        <f>IF(ISERROR(X337/X342),"",X337/X342)</f>
        <v/>
      </c>
      <c r="AA337" s="646"/>
    </row>
    <row r="338" spans="1:27" ht="20.100000000000001" customHeight="1">
      <c r="A338" s="636"/>
      <c r="B338" s="447" t="s">
        <v>264</v>
      </c>
      <c r="C338" s="638">
        <v>1</v>
      </c>
      <c r="D338" s="639"/>
      <c r="E338" s="642">
        <f>C338*11</f>
        <v>11</v>
      </c>
      <c r="F338" s="642"/>
      <c r="G338" s="643">
        <v>1</v>
      </c>
      <c r="H338" s="643"/>
      <c r="I338" s="642">
        <f>G338*11</f>
        <v>11</v>
      </c>
      <c r="J338" s="642"/>
      <c r="K338" s="642">
        <f>E338-I338</f>
        <v>0</v>
      </c>
      <c r="L338" s="642"/>
      <c r="M338" s="644">
        <f>IF(ISERROR(K338/E338),"",K338/E338)</f>
        <v>0</v>
      </c>
      <c r="N338" s="644"/>
      <c r="O338" s="640"/>
      <c r="P338" s="643" t="s">
        <v>231</v>
      </c>
      <c r="Q338" s="643"/>
      <c r="R338" s="645">
        <f>SUM(O307:U307)</f>
        <v>0</v>
      </c>
      <c r="S338" s="645"/>
      <c r="T338" s="646" t="str">
        <f>IF(ISERROR(R338/R342),"",R338/R342)</f>
        <v/>
      </c>
      <c r="U338" s="646"/>
      <c r="V338" s="643" t="s">
        <v>265</v>
      </c>
      <c r="W338" s="643"/>
      <c r="X338" s="680">
        <f>SUM(P201,P258,P293,P309,P319,P334)</f>
        <v>0</v>
      </c>
      <c r="Y338" s="681"/>
      <c r="Z338" s="646" t="str">
        <f>IF(ISERROR(X338/X342),"",X338/X342)</f>
        <v/>
      </c>
      <c r="AA338" s="646"/>
    </row>
    <row r="339" spans="1:27" ht="20.100000000000001" customHeight="1">
      <c r="A339" s="637"/>
      <c r="B339" s="447" t="s">
        <v>266</v>
      </c>
      <c r="C339" s="648">
        <f>SUM(C335:D338)</f>
        <v>2</v>
      </c>
      <c r="D339" s="649"/>
      <c r="E339" s="642">
        <f>SUM(E335:F338)</f>
        <v>22</v>
      </c>
      <c r="F339" s="642"/>
      <c r="G339" s="643">
        <f>SUM(G335:H338)</f>
        <v>3</v>
      </c>
      <c r="H339" s="643"/>
      <c r="I339" s="642">
        <f>SUM(I335:J338)</f>
        <v>30</v>
      </c>
      <c r="J339" s="642"/>
      <c r="K339" s="642">
        <f>SUM(K335:L338)</f>
        <v>-8</v>
      </c>
      <c r="L339" s="642"/>
      <c r="M339" s="644">
        <f>IF(ISERROR(K339/E339),"",K339/E339)</f>
        <v>-0.36363636363636365</v>
      </c>
      <c r="N339" s="644"/>
      <c r="O339" s="640"/>
      <c r="P339" s="643" t="s">
        <v>234</v>
      </c>
      <c r="Q339" s="643"/>
      <c r="R339" s="645">
        <f>SUM(O317:U317)</f>
        <v>0</v>
      </c>
      <c r="S339" s="645"/>
      <c r="T339" s="646" t="str">
        <f>IF(ISERROR(R339/R342),"",R339/R342)</f>
        <v/>
      </c>
      <c r="U339" s="646"/>
      <c r="V339" s="643" t="s">
        <v>267</v>
      </c>
      <c r="W339" s="643"/>
      <c r="X339" s="680">
        <f>SUM(P202,P259,P294,P310,P320,P335)</f>
        <v>0</v>
      </c>
      <c r="Y339" s="681"/>
      <c r="Z339" s="646" t="str">
        <f>IF(ISERROR(X339/X342),"",X339/X342)</f>
        <v/>
      </c>
      <c r="AA339" s="646"/>
    </row>
    <row r="340" spans="1:27" ht="20.100000000000001" customHeight="1">
      <c r="A340" s="309" t="s">
        <v>477</v>
      </c>
      <c r="B340" s="447">
        <f>G333</f>
        <v>3649</v>
      </c>
      <c r="C340" s="650" t="s">
        <v>269</v>
      </c>
      <c r="D340" s="651"/>
      <c r="E340" s="643">
        <f>H333</f>
        <v>18379.839999999997</v>
      </c>
      <c r="F340" s="643"/>
      <c r="G340" s="643" t="s">
        <v>270</v>
      </c>
      <c r="H340" s="643"/>
      <c r="I340" s="652">
        <f>L333</f>
        <v>24.717840097893056</v>
      </c>
      <c r="J340" s="652"/>
      <c r="K340" s="640" t="s">
        <v>271</v>
      </c>
      <c r="L340" s="640"/>
      <c r="M340" s="652">
        <f>J333</f>
        <v>15.899782135076252</v>
      </c>
      <c r="N340" s="652"/>
      <c r="O340" s="640"/>
      <c r="P340" s="643" t="s">
        <v>244</v>
      </c>
      <c r="Q340" s="643"/>
      <c r="R340" s="645">
        <f>SUM(O332:U332)</f>
        <v>0</v>
      </c>
      <c r="S340" s="645"/>
      <c r="T340" s="646" t="str">
        <f>IF(ISERROR(R340/R342),"",R340/R342)</f>
        <v/>
      </c>
      <c r="U340" s="646"/>
      <c r="V340" s="643" t="s">
        <v>272</v>
      </c>
      <c r="W340" s="643"/>
      <c r="X340" s="680">
        <f>SUM(P203,P260,P295,P311,P321,P336)</f>
        <v>0</v>
      </c>
      <c r="Y340" s="681"/>
      <c r="Z340" s="646" t="str">
        <f>IF(ISERROR(X340/X342),"",X340/X342)</f>
        <v/>
      </c>
      <c r="AA340" s="646"/>
    </row>
    <row r="341" spans="1:27" ht="20.100000000000001" customHeight="1">
      <c r="A341" s="310" t="s">
        <v>478</v>
      </c>
      <c r="B341" s="447">
        <f>I333+C339</f>
        <v>231.5</v>
      </c>
      <c r="C341" s="653" t="s">
        <v>251</v>
      </c>
      <c r="D341" s="654"/>
      <c r="E341" s="655">
        <f>K333+I339</f>
        <v>177.6261673976538</v>
      </c>
      <c r="F341" s="655"/>
      <c r="G341" s="643" t="s">
        <v>274</v>
      </c>
      <c r="H341" s="643"/>
      <c r="I341" s="652">
        <f>B341-E341</f>
        <v>53.873832602346198</v>
      </c>
      <c r="J341" s="652"/>
      <c r="K341" s="640" t="s">
        <v>275</v>
      </c>
      <c r="L341" s="640"/>
      <c r="M341" s="644">
        <f>IF(ISERROR(I341/E341),"",I341/E341)</f>
        <v>0.30329896428907466</v>
      </c>
      <c r="N341" s="644"/>
      <c r="O341" s="640"/>
      <c r="P341" s="643" t="s">
        <v>245</v>
      </c>
      <c r="Q341" s="643"/>
      <c r="R341" s="645"/>
      <c r="S341" s="645"/>
      <c r="T341" s="646" t="str">
        <f>IF(ISERROR(R341/R342),"",R341/R342)</f>
        <v/>
      </c>
      <c r="U341" s="646"/>
      <c r="V341" s="643" t="s">
        <v>264</v>
      </c>
      <c r="W341" s="643"/>
      <c r="X341" s="680">
        <f>SUM(P204,P261,P296,P312,P322,P337)</f>
        <v>0</v>
      </c>
      <c r="Y341" s="681"/>
      <c r="Z341" s="646" t="str">
        <f>IF(ISERROR(X341/X342),"",X341/X342)</f>
        <v/>
      </c>
      <c r="AA341" s="646"/>
    </row>
    <row r="342" spans="1:27" ht="20.100000000000001" customHeight="1">
      <c r="A342" s="310" t="s">
        <v>479</v>
      </c>
      <c r="B342" s="447">
        <f>N333</f>
        <v>0</v>
      </c>
      <c r="C342" s="653" t="s">
        <v>277</v>
      </c>
      <c r="D342" s="654"/>
      <c r="E342" s="646">
        <f>IF(ISERROR(B342/B341),"",B342/B341)</f>
        <v>0</v>
      </c>
      <c r="F342" s="646"/>
      <c r="G342" s="643" t="s">
        <v>278</v>
      </c>
      <c r="H342" s="643"/>
      <c r="I342" s="640">
        <f>V333</f>
        <v>0</v>
      </c>
      <c r="J342" s="640"/>
      <c r="K342" s="640" t="s">
        <v>279</v>
      </c>
      <c r="L342" s="640"/>
      <c r="M342" s="644">
        <f t="array" ref="M342">IF(ISERROR(I342/B340),"",I342/B340)</f>
        <v>0</v>
      </c>
      <c r="N342" s="644"/>
      <c r="O342" s="640"/>
      <c r="P342" s="643" t="s">
        <v>266</v>
      </c>
      <c r="Q342" s="643"/>
      <c r="R342" s="645">
        <f>SUM(R335:S341)</f>
        <v>0</v>
      </c>
      <c r="S342" s="645"/>
      <c r="T342" s="646"/>
      <c r="U342" s="646"/>
      <c r="V342" s="643" t="s">
        <v>266</v>
      </c>
      <c r="W342" s="643"/>
      <c r="X342" s="647">
        <f>SUM(X335:Y341)</f>
        <v>0</v>
      </c>
      <c r="Y342" s="647"/>
      <c r="Z342" s="646"/>
      <c r="AA342" s="646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56" t="s">
        <v>480</v>
      </c>
      <c r="B344" s="659" t="s">
        <v>280</v>
      </c>
      <c r="C344" s="659" t="s">
        <v>281</v>
      </c>
      <c r="D344" s="659" t="s">
        <v>282</v>
      </c>
      <c r="E344" s="662" t="s">
        <v>283</v>
      </c>
      <c r="F344" s="675" t="s">
        <v>284</v>
      </c>
      <c r="G344" s="640" t="s">
        <v>285</v>
      </c>
      <c r="H344" s="640"/>
      <c r="I344" s="659" t="s">
        <v>286</v>
      </c>
      <c r="J344" s="665" t="s">
        <v>271</v>
      </c>
      <c r="K344" s="668" t="s">
        <v>287</v>
      </c>
      <c r="L344" s="659" t="s">
        <v>270</v>
      </c>
      <c r="M344" s="671" t="s">
        <v>288</v>
      </c>
      <c r="N344" s="673" t="s">
        <v>252</v>
      </c>
      <c r="O344" s="640" t="s">
        <v>289</v>
      </c>
      <c r="P344" s="640"/>
      <c r="Q344" s="640"/>
      <c r="R344" s="640"/>
      <c r="S344" s="640"/>
      <c r="T344" s="640"/>
      <c r="U344" s="640"/>
      <c r="V344" s="640" t="s">
        <v>290</v>
      </c>
      <c r="W344" s="673" t="s">
        <v>291</v>
      </c>
      <c r="X344" s="640" t="s">
        <v>292</v>
      </c>
      <c r="Y344" s="640"/>
      <c r="Z344" s="640"/>
      <c r="AA344" s="640"/>
    </row>
    <row r="345" spans="1:27" ht="21.95" customHeight="1">
      <c r="A345" s="657"/>
      <c r="B345" s="660"/>
      <c r="C345" s="660"/>
      <c r="D345" s="660"/>
      <c r="E345" s="663"/>
      <c r="F345" s="676"/>
      <c r="G345" s="640"/>
      <c r="H345" s="640"/>
      <c r="I345" s="660"/>
      <c r="J345" s="666"/>
      <c r="K345" s="669"/>
      <c r="L345" s="660"/>
      <c r="M345" s="672"/>
      <c r="N345" s="673"/>
      <c r="O345" s="640" t="s">
        <v>259</v>
      </c>
      <c r="P345" s="640" t="s">
        <v>261</v>
      </c>
      <c r="Q345" s="640" t="s">
        <v>263</v>
      </c>
      <c r="R345" s="674" t="s">
        <v>265</v>
      </c>
      <c r="S345" s="643" t="s">
        <v>267</v>
      </c>
      <c r="T345" s="640" t="s">
        <v>272</v>
      </c>
      <c r="U345" s="640" t="s">
        <v>264</v>
      </c>
      <c r="V345" s="640"/>
      <c r="W345" s="673"/>
      <c r="X345" s="640" t="s">
        <v>293</v>
      </c>
      <c r="Y345" s="640" t="s">
        <v>294</v>
      </c>
      <c r="Z345" s="640" t="s">
        <v>295</v>
      </c>
      <c r="AA345" s="640" t="s">
        <v>264</v>
      </c>
    </row>
    <row r="346" spans="1:27" ht="21.95" customHeight="1">
      <c r="A346" s="658"/>
      <c r="B346" s="661"/>
      <c r="C346" s="661"/>
      <c r="D346" s="661"/>
      <c r="E346" s="664"/>
      <c r="F346" s="677"/>
      <c r="G346" s="348" t="s">
        <v>521</v>
      </c>
      <c r="H346" s="451" t="s">
        <v>297</v>
      </c>
      <c r="I346" s="661"/>
      <c r="J346" s="667"/>
      <c r="K346" s="670"/>
      <c r="L346" s="661"/>
      <c r="M346" s="672"/>
      <c r="N346" s="673"/>
      <c r="O346" s="640"/>
      <c r="P346" s="640"/>
      <c r="Q346" s="640"/>
      <c r="R346" s="674"/>
      <c r="S346" s="643"/>
      <c r="T346" s="640"/>
      <c r="U346" s="640"/>
      <c r="V346" s="640"/>
      <c r="W346" s="673"/>
      <c r="X346" s="640"/>
      <c r="Y346" s="640"/>
      <c r="Z346" s="640"/>
      <c r="AA346" s="640"/>
    </row>
    <row r="347" spans="1:27" ht="20.100000000000001" hidden="1" customHeight="1">
      <c r="A347" s="299">
        <v>30100030</v>
      </c>
      <c r="B347" s="444" t="s">
        <v>178</v>
      </c>
      <c r="C347" s="126" t="s">
        <v>179</v>
      </c>
      <c r="D347" s="108">
        <v>5.03</v>
      </c>
      <c r="E347" s="108"/>
      <c r="F347" s="127"/>
      <c r="G347" s="128"/>
      <c r="H347" s="445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453"/>
      <c r="P347" s="453"/>
      <c r="Q347" s="453"/>
      <c r="R347" s="453"/>
      <c r="S347" s="453"/>
      <c r="T347" s="453"/>
      <c r="U347" s="453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445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453"/>
      <c r="P348" s="453"/>
      <c r="Q348" s="453"/>
      <c r="R348" s="453"/>
      <c r="S348" s="453"/>
      <c r="T348" s="453"/>
      <c r="U348" s="453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445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453"/>
      <c r="P349" s="453"/>
      <c r="Q349" s="453"/>
      <c r="R349" s="453"/>
      <c r="S349" s="453"/>
      <c r="T349" s="453"/>
      <c r="U349" s="453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445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453"/>
      <c r="P350" s="453"/>
      <c r="Q350" s="453"/>
      <c r="R350" s="453"/>
      <c r="S350" s="453"/>
      <c r="T350" s="453"/>
      <c r="U350" s="453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445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453"/>
      <c r="P351" s="453"/>
      <c r="Q351" s="453"/>
      <c r="R351" s="453"/>
      <c r="S351" s="453"/>
      <c r="T351" s="453"/>
      <c r="U351" s="453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445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453"/>
      <c r="P352" s="453"/>
      <c r="Q352" s="453"/>
      <c r="R352" s="453"/>
      <c r="S352" s="453"/>
      <c r="T352" s="453"/>
      <c r="U352" s="453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445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453"/>
      <c r="P353" s="453"/>
      <c r="Q353" s="453"/>
      <c r="R353" s="453"/>
      <c r="S353" s="453"/>
      <c r="T353" s="453"/>
      <c r="U353" s="453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445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453"/>
      <c r="P354" s="453"/>
      <c r="Q354" s="453"/>
      <c r="R354" s="453"/>
      <c r="S354" s="453"/>
      <c r="T354" s="453"/>
      <c r="U354" s="453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445">
        <f t="shared" si="158"/>
        <v>0</v>
      </c>
      <c r="I355" s="445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453"/>
      <c r="P355" s="453"/>
      <c r="Q355" s="453"/>
      <c r="R355" s="453"/>
      <c r="S355" s="453"/>
      <c r="T355" s="453"/>
      <c r="U355" s="453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445">
        <f t="shared" si="158"/>
        <v>0</v>
      </c>
      <c r="I356" s="445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453"/>
      <c r="P356" s="453"/>
      <c r="Q356" s="453"/>
      <c r="R356" s="453"/>
      <c r="S356" s="453"/>
      <c r="T356" s="453"/>
      <c r="U356" s="453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445">
        <f t="shared" si="158"/>
        <v>0</v>
      </c>
      <c r="I357" s="445"/>
      <c r="J357" s="130"/>
      <c r="K357" s="131"/>
      <c r="L357" s="129"/>
      <c r="M357" s="109"/>
      <c r="N357" s="130"/>
      <c r="O357" s="453"/>
      <c r="P357" s="453"/>
      <c r="Q357" s="453"/>
      <c r="R357" s="453"/>
      <c r="S357" s="453"/>
      <c r="T357" s="453"/>
      <c r="U357" s="453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445">
        <f t="shared" si="158"/>
        <v>0</v>
      </c>
      <c r="I358" s="445"/>
      <c r="J358" s="130"/>
      <c r="K358" s="131"/>
      <c r="L358" s="129"/>
      <c r="M358" s="109"/>
      <c r="N358" s="130"/>
      <c r="O358" s="453"/>
      <c r="P358" s="453"/>
      <c r="Q358" s="453"/>
      <c r="R358" s="453"/>
      <c r="S358" s="453"/>
      <c r="T358" s="453"/>
      <c r="U358" s="453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445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453"/>
      <c r="P359" s="453"/>
      <c r="Q359" s="453"/>
      <c r="R359" s="453"/>
      <c r="S359" s="453"/>
      <c r="T359" s="453"/>
      <c r="U359" s="453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445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453"/>
      <c r="P360" s="453"/>
      <c r="Q360" s="453"/>
      <c r="R360" s="453"/>
      <c r="S360" s="453"/>
      <c r="T360" s="453"/>
      <c r="U360" s="453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445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453"/>
      <c r="P361" s="453"/>
      <c r="Q361" s="453"/>
      <c r="R361" s="453"/>
      <c r="S361" s="453"/>
      <c r="T361" s="453"/>
      <c r="U361" s="453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451" t="s">
        <v>190</v>
      </c>
      <c r="D362" s="108">
        <v>4.8</v>
      </c>
      <c r="E362" s="108"/>
      <c r="F362" s="127"/>
      <c r="G362" s="128"/>
      <c r="H362" s="445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453"/>
      <c r="P362" s="453"/>
      <c r="Q362" s="453"/>
      <c r="R362" s="453"/>
      <c r="S362" s="453"/>
      <c r="T362" s="453"/>
      <c r="U362" s="453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451" t="s">
        <v>187</v>
      </c>
      <c r="D363" s="108">
        <v>4.8</v>
      </c>
      <c r="E363" s="108"/>
      <c r="F363" s="127"/>
      <c r="G363" s="128"/>
      <c r="H363" s="445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453"/>
      <c r="P363" s="453"/>
      <c r="Q363" s="453"/>
      <c r="R363" s="453"/>
      <c r="S363" s="453"/>
      <c r="T363" s="453"/>
      <c r="U363" s="453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451" t="s">
        <v>179</v>
      </c>
      <c r="D364" s="108">
        <v>4.8</v>
      </c>
      <c r="E364" s="108"/>
      <c r="F364" s="127"/>
      <c r="G364" s="128"/>
      <c r="H364" s="445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453"/>
      <c r="P364" s="453"/>
      <c r="Q364" s="453"/>
      <c r="R364" s="453"/>
      <c r="S364" s="453"/>
      <c r="T364" s="453"/>
      <c r="U364" s="453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451" t="s">
        <v>199</v>
      </c>
      <c r="D365" s="108">
        <v>4.8</v>
      </c>
      <c r="E365" s="108"/>
      <c r="F365" s="127"/>
      <c r="G365" s="128"/>
      <c r="H365" s="445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453"/>
      <c r="P365" s="453"/>
      <c r="Q365" s="453"/>
      <c r="R365" s="453"/>
      <c r="S365" s="453"/>
      <c r="T365" s="453"/>
      <c r="U365" s="453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445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453"/>
      <c r="P366" s="453"/>
      <c r="Q366" s="453"/>
      <c r="R366" s="453"/>
      <c r="S366" s="453"/>
      <c r="T366" s="453"/>
      <c r="U366" s="453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445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453"/>
      <c r="P367" s="453"/>
      <c r="Q367" s="453"/>
      <c r="R367" s="453"/>
      <c r="S367" s="453"/>
      <c r="T367" s="453"/>
      <c r="U367" s="453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630" t="s">
        <v>201</v>
      </c>
      <c r="B368" s="631"/>
      <c r="C368" s="454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444" t="s">
        <v>206</v>
      </c>
      <c r="C369" s="126" t="s">
        <v>199</v>
      </c>
      <c r="D369" s="108">
        <v>5.03</v>
      </c>
      <c r="E369" s="108"/>
      <c r="F369" s="127"/>
      <c r="G369" s="128"/>
      <c r="H369" s="445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449"/>
      <c r="P369" s="449"/>
      <c r="Q369" s="449"/>
      <c r="R369" s="449"/>
      <c r="S369" s="449"/>
      <c r="T369" s="449"/>
      <c r="U369" s="449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444" t="s">
        <v>431</v>
      </c>
      <c r="C370" s="187" t="s">
        <v>432</v>
      </c>
      <c r="D370" s="108">
        <v>5.03</v>
      </c>
      <c r="E370" s="108"/>
      <c r="F370" s="127"/>
      <c r="G370" s="128"/>
      <c r="H370" s="445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449"/>
      <c r="P370" s="449"/>
      <c r="Q370" s="449"/>
      <c r="R370" s="449"/>
      <c r="S370" s="449"/>
      <c r="T370" s="449"/>
      <c r="U370" s="449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444" t="s">
        <v>206</v>
      </c>
      <c r="C371" s="126" t="s">
        <v>186</v>
      </c>
      <c r="D371" s="108">
        <v>5.03</v>
      </c>
      <c r="E371" s="108"/>
      <c r="F371" s="127"/>
      <c r="G371" s="128"/>
      <c r="H371" s="445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449"/>
      <c r="P371" s="449"/>
      <c r="Q371" s="449"/>
      <c r="R371" s="449"/>
      <c r="S371" s="449"/>
      <c r="T371" s="449"/>
      <c r="U371" s="449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444" t="s">
        <v>206</v>
      </c>
      <c r="C372" s="126" t="s">
        <v>203</v>
      </c>
      <c r="D372" s="108">
        <v>5.03</v>
      </c>
      <c r="E372" s="108"/>
      <c r="F372" s="127"/>
      <c r="G372" s="128"/>
      <c r="H372" s="445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449"/>
      <c r="P372" s="449"/>
      <c r="Q372" s="449"/>
      <c r="R372" s="449"/>
      <c r="S372" s="449"/>
      <c r="T372" s="449"/>
      <c r="U372" s="449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444" t="s">
        <v>206</v>
      </c>
      <c r="C373" s="126" t="s">
        <v>207</v>
      </c>
      <c r="D373" s="108">
        <v>5.03</v>
      </c>
      <c r="E373" s="108"/>
      <c r="F373" s="127"/>
      <c r="G373" s="128"/>
      <c r="H373" s="445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449"/>
      <c r="P373" s="449"/>
      <c r="Q373" s="449"/>
      <c r="R373" s="449"/>
      <c r="S373" s="449"/>
      <c r="T373" s="449"/>
      <c r="U373" s="449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444" t="s">
        <v>414</v>
      </c>
      <c r="C374" s="187" t="s">
        <v>415</v>
      </c>
      <c r="D374" s="108"/>
      <c r="E374" s="108"/>
      <c r="F374" s="127"/>
      <c r="G374" s="128"/>
      <c r="H374" s="445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449"/>
      <c r="P374" s="449"/>
      <c r="Q374" s="449"/>
      <c r="R374" s="449"/>
      <c r="S374" s="449"/>
      <c r="T374" s="449"/>
      <c r="U374" s="449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444" t="s">
        <v>414</v>
      </c>
      <c r="C375" s="187" t="s">
        <v>416</v>
      </c>
      <c r="D375" s="108"/>
      <c r="E375" s="108"/>
      <c r="F375" s="127"/>
      <c r="G375" s="128"/>
      <c r="H375" s="445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449"/>
      <c r="P375" s="449"/>
      <c r="Q375" s="449"/>
      <c r="R375" s="449"/>
      <c r="S375" s="449"/>
      <c r="T375" s="449"/>
      <c r="U375" s="449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444" t="s">
        <v>414</v>
      </c>
      <c r="C376" s="187" t="s">
        <v>61</v>
      </c>
      <c r="D376" s="108"/>
      <c r="E376" s="108"/>
      <c r="F376" s="127"/>
      <c r="G376" s="128"/>
      <c r="H376" s="445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449"/>
      <c r="P376" s="449"/>
      <c r="Q376" s="449"/>
      <c r="R376" s="449"/>
      <c r="S376" s="449"/>
      <c r="T376" s="449"/>
      <c r="U376" s="449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444" t="s">
        <v>208</v>
      </c>
      <c r="C377" s="126" t="s">
        <v>179</v>
      </c>
      <c r="D377" s="108">
        <v>5.08</v>
      </c>
      <c r="E377" s="108"/>
      <c r="F377" s="127"/>
      <c r="G377" s="128"/>
      <c r="H377" s="445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449"/>
      <c r="P377" s="449"/>
      <c r="Q377" s="449"/>
      <c r="R377" s="449"/>
      <c r="S377" s="449"/>
      <c r="T377" s="449"/>
      <c r="U377" s="449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444" t="s">
        <v>208</v>
      </c>
      <c r="C378" s="126" t="s">
        <v>204</v>
      </c>
      <c r="D378" s="108">
        <v>5.08</v>
      </c>
      <c r="E378" s="108"/>
      <c r="F378" s="127"/>
      <c r="G378" s="128"/>
      <c r="H378" s="445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449"/>
      <c r="P378" s="449"/>
      <c r="Q378" s="449"/>
      <c r="R378" s="449"/>
      <c r="S378" s="449"/>
      <c r="T378" s="449"/>
      <c r="U378" s="449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444" t="s">
        <v>208</v>
      </c>
      <c r="C379" s="126" t="s">
        <v>205</v>
      </c>
      <c r="D379" s="108">
        <v>5.08</v>
      </c>
      <c r="E379" s="108"/>
      <c r="F379" s="127"/>
      <c r="G379" s="128"/>
      <c r="H379" s="445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449"/>
      <c r="P379" s="449"/>
      <c r="Q379" s="449"/>
      <c r="R379" s="449"/>
      <c r="S379" s="449"/>
      <c r="T379" s="449"/>
      <c r="U379" s="449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444" t="s">
        <v>208</v>
      </c>
      <c r="C380" s="126" t="s">
        <v>186</v>
      </c>
      <c r="D380" s="108">
        <v>5.08</v>
      </c>
      <c r="E380" s="108"/>
      <c r="F380" s="127"/>
      <c r="G380" s="128"/>
      <c r="H380" s="445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449"/>
      <c r="P380" s="449"/>
      <c r="Q380" s="449"/>
      <c r="R380" s="449"/>
      <c r="S380" s="449"/>
      <c r="T380" s="449"/>
      <c r="U380" s="449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444" t="s">
        <v>208</v>
      </c>
      <c r="C381" s="126" t="s">
        <v>203</v>
      </c>
      <c r="D381" s="108">
        <v>5.08</v>
      </c>
      <c r="E381" s="108"/>
      <c r="F381" s="127"/>
      <c r="G381" s="128"/>
      <c r="H381" s="445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449"/>
      <c r="P381" s="449"/>
      <c r="Q381" s="449"/>
      <c r="R381" s="449"/>
      <c r="S381" s="449"/>
      <c r="T381" s="449"/>
      <c r="U381" s="449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444" t="s">
        <v>208</v>
      </c>
      <c r="C382" s="126" t="s">
        <v>199</v>
      </c>
      <c r="D382" s="108">
        <v>5.08</v>
      </c>
      <c r="E382" s="108"/>
      <c r="F382" s="127"/>
      <c r="G382" s="128"/>
      <c r="H382" s="445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453"/>
      <c r="P382" s="453"/>
      <c r="Q382" s="453"/>
      <c r="R382" s="453"/>
      <c r="S382" s="453"/>
      <c r="T382" s="453"/>
      <c r="U382" s="453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444" t="s">
        <v>208</v>
      </c>
      <c r="C383" s="126" t="s">
        <v>187</v>
      </c>
      <c r="D383" s="108">
        <v>5.08</v>
      </c>
      <c r="E383" s="108"/>
      <c r="F383" s="127"/>
      <c r="G383" s="128"/>
      <c r="H383" s="445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449"/>
      <c r="P383" s="449"/>
      <c r="Q383" s="449"/>
      <c r="R383" s="449"/>
      <c r="S383" s="449"/>
      <c r="T383" s="449"/>
      <c r="U383" s="449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444" t="s">
        <v>208</v>
      </c>
      <c r="C384" s="126" t="s">
        <v>207</v>
      </c>
      <c r="D384" s="108">
        <v>5.08</v>
      </c>
      <c r="E384" s="108"/>
      <c r="F384" s="127"/>
      <c r="G384" s="128"/>
      <c r="H384" s="445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453"/>
      <c r="P384" s="453"/>
      <c r="Q384" s="453"/>
      <c r="R384" s="453"/>
      <c r="S384" s="453"/>
      <c r="T384" s="453"/>
      <c r="U384" s="453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444" t="s">
        <v>209</v>
      </c>
      <c r="C385" s="126" t="s">
        <v>194</v>
      </c>
      <c r="D385" s="108">
        <v>5.03</v>
      </c>
      <c r="E385" s="108"/>
      <c r="F385" s="127"/>
      <c r="G385" s="128"/>
      <c r="H385" s="445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449"/>
      <c r="P385" s="449"/>
      <c r="Q385" s="449"/>
      <c r="R385" s="449"/>
      <c r="S385" s="449"/>
      <c r="T385" s="449"/>
      <c r="U385" s="449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444" t="s">
        <v>209</v>
      </c>
      <c r="C386" s="126" t="s">
        <v>179</v>
      </c>
      <c r="D386" s="108">
        <v>5.03</v>
      </c>
      <c r="E386" s="108"/>
      <c r="F386" s="127"/>
      <c r="G386" s="128"/>
      <c r="H386" s="445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449"/>
      <c r="P386" s="449"/>
      <c r="Q386" s="449"/>
      <c r="R386" s="449"/>
      <c r="S386" s="449"/>
      <c r="T386" s="449"/>
      <c r="U386" s="449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444" t="s">
        <v>209</v>
      </c>
      <c r="C387" s="126" t="s">
        <v>195</v>
      </c>
      <c r="D387" s="108">
        <v>5.03</v>
      </c>
      <c r="E387" s="108"/>
      <c r="F387" s="127"/>
      <c r="G387" s="128"/>
      <c r="H387" s="445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449"/>
      <c r="P387" s="449"/>
      <c r="Q387" s="449"/>
      <c r="R387" s="449"/>
      <c r="S387" s="449"/>
      <c r="T387" s="449"/>
      <c r="U387" s="449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444" t="s">
        <v>209</v>
      </c>
      <c r="C388" s="126" t="s">
        <v>204</v>
      </c>
      <c r="D388" s="108">
        <v>5.03</v>
      </c>
      <c r="E388" s="108"/>
      <c r="F388" s="127"/>
      <c r="G388" s="128"/>
      <c r="H388" s="445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449"/>
      <c r="P388" s="449"/>
      <c r="Q388" s="449"/>
      <c r="R388" s="449"/>
      <c r="S388" s="449"/>
      <c r="T388" s="449"/>
      <c r="U388" s="449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444" t="s">
        <v>382</v>
      </c>
      <c r="C389" s="187" t="s">
        <v>383</v>
      </c>
      <c r="D389" s="108">
        <v>5.03</v>
      </c>
      <c r="E389" s="108"/>
      <c r="F389" s="127"/>
      <c r="G389" s="128"/>
      <c r="H389" s="445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449"/>
      <c r="P389" s="449"/>
      <c r="Q389" s="449"/>
      <c r="R389" s="449"/>
      <c r="S389" s="449"/>
      <c r="T389" s="449"/>
      <c r="U389" s="449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444" t="s">
        <v>382</v>
      </c>
      <c r="C390" s="187" t="s">
        <v>384</v>
      </c>
      <c r="D390" s="108">
        <v>5.03</v>
      </c>
      <c r="E390" s="108"/>
      <c r="F390" s="127"/>
      <c r="G390" s="128"/>
      <c r="H390" s="445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449"/>
      <c r="P390" s="449"/>
      <c r="Q390" s="449"/>
      <c r="R390" s="449"/>
      <c r="S390" s="449"/>
      <c r="T390" s="449"/>
      <c r="U390" s="449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444" t="s">
        <v>382</v>
      </c>
      <c r="C391" s="187" t="s">
        <v>389</v>
      </c>
      <c r="D391" s="108">
        <v>5.03</v>
      </c>
      <c r="E391" s="108"/>
      <c r="F391" s="127"/>
      <c r="G391" s="128"/>
      <c r="H391" s="445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449"/>
      <c r="P391" s="449"/>
      <c r="Q391" s="449"/>
      <c r="R391" s="449"/>
      <c r="S391" s="449"/>
      <c r="T391" s="449"/>
      <c r="U391" s="449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444" t="s">
        <v>382</v>
      </c>
      <c r="C392" s="187" t="s">
        <v>391</v>
      </c>
      <c r="D392" s="108">
        <v>5.03</v>
      </c>
      <c r="E392" s="108"/>
      <c r="F392" s="127"/>
      <c r="G392" s="128"/>
      <c r="H392" s="445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449"/>
      <c r="P392" s="449"/>
      <c r="Q392" s="449"/>
      <c r="R392" s="449"/>
      <c r="S392" s="449"/>
      <c r="T392" s="449"/>
      <c r="U392" s="449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444" t="s">
        <v>418</v>
      </c>
      <c r="C393" s="187" t="s">
        <v>364</v>
      </c>
      <c r="D393" s="108">
        <v>5.03</v>
      </c>
      <c r="E393" s="108"/>
      <c r="F393" s="127"/>
      <c r="G393" s="128"/>
      <c r="H393" s="445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449"/>
      <c r="P393" s="449"/>
      <c r="Q393" s="449"/>
      <c r="R393" s="449"/>
      <c r="S393" s="449"/>
      <c r="T393" s="449"/>
      <c r="U393" s="449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444" t="s">
        <v>418</v>
      </c>
      <c r="C394" s="187" t="s">
        <v>365</v>
      </c>
      <c r="D394" s="108">
        <v>5.03</v>
      </c>
      <c r="E394" s="108"/>
      <c r="F394" s="127"/>
      <c r="G394" s="128"/>
      <c r="H394" s="445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449"/>
      <c r="P394" s="449"/>
      <c r="Q394" s="449"/>
      <c r="R394" s="449"/>
      <c r="S394" s="449"/>
      <c r="T394" s="449"/>
      <c r="U394" s="449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444" t="s">
        <v>418</v>
      </c>
      <c r="C395" s="187" t="s">
        <v>366</v>
      </c>
      <c r="D395" s="108">
        <v>5.03</v>
      </c>
      <c r="E395" s="108"/>
      <c r="F395" s="127"/>
      <c r="G395" s="128"/>
      <c r="H395" s="445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449"/>
      <c r="P395" s="449"/>
      <c r="Q395" s="449"/>
      <c r="R395" s="449"/>
      <c r="S395" s="449"/>
      <c r="T395" s="449"/>
      <c r="U395" s="449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444" t="s">
        <v>418</v>
      </c>
      <c r="C396" s="187" t="s">
        <v>367</v>
      </c>
      <c r="D396" s="108">
        <v>5.03</v>
      </c>
      <c r="E396" s="108"/>
      <c r="F396" s="127"/>
      <c r="G396" s="128"/>
      <c r="H396" s="445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449"/>
      <c r="P396" s="449"/>
      <c r="Q396" s="449"/>
      <c r="R396" s="449"/>
      <c r="S396" s="449"/>
      <c r="T396" s="449"/>
      <c r="U396" s="449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445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453"/>
      <c r="P397" s="453"/>
      <c r="Q397" s="453"/>
      <c r="R397" s="453"/>
      <c r="S397" s="453"/>
      <c r="T397" s="453"/>
      <c r="U397" s="453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445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453"/>
      <c r="P398" s="453"/>
      <c r="Q398" s="453"/>
      <c r="R398" s="453"/>
      <c r="S398" s="453"/>
      <c r="T398" s="453"/>
      <c r="U398" s="453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445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453"/>
      <c r="P399" s="453"/>
      <c r="Q399" s="453"/>
      <c r="R399" s="453"/>
      <c r="S399" s="453"/>
      <c r="T399" s="453"/>
      <c r="U399" s="453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445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453"/>
      <c r="P400" s="453"/>
      <c r="Q400" s="453"/>
      <c r="R400" s="453"/>
      <c r="S400" s="453"/>
      <c r="T400" s="453"/>
      <c r="U400" s="453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445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453"/>
      <c r="P401" s="453"/>
      <c r="Q401" s="453"/>
      <c r="R401" s="453"/>
      <c r="S401" s="453"/>
      <c r="T401" s="453"/>
      <c r="U401" s="453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445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453"/>
      <c r="P402" s="453"/>
      <c r="Q402" s="453"/>
      <c r="R402" s="453"/>
      <c r="S402" s="453"/>
      <c r="T402" s="453"/>
      <c r="U402" s="453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445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453"/>
      <c r="P403" s="453"/>
      <c r="Q403" s="453"/>
      <c r="R403" s="453"/>
      <c r="S403" s="453"/>
      <c r="T403" s="453"/>
      <c r="U403" s="453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445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453"/>
      <c r="P404" s="453"/>
      <c r="Q404" s="453"/>
      <c r="R404" s="453"/>
      <c r="S404" s="453"/>
      <c r="T404" s="453"/>
      <c r="U404" s="453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445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453"/>
      <c r="P405" s="453"/>
      <c r="Q405" s="453"/>
      <c r="R405" s="453"/>
      <c r="S405" s="453"/>
      <c r="T405" s="453"/>
      <c r="U405" s="453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445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453"/>
      <c r="P406" s="453"/>
      <c r="Q406" s="453"/>
      <c r="R406" s="453"/>
      <c r="S406" s="453"/>
      <c r="T406" s="453"/>
      <c r="U406" s="453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430</v>
      </c>
      <c r="C407" s="187" t="s">
        <v>432</v>
      </c>
      <c r="D407" s="108">
        <v>50.3</v>
      </c>
      <c r="E407" s="108"/>
      <c r="F407" s="127"/>
      <c r="G407" s="128"/>
      <c r="H407" s="445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453"/>
      <c r="P407" s="453"/>
      <c r="Q407" s="453"/>
      <c r="R407" s="453"/>
      <c r="S407" s="453"/>
      <c r="T407" s="453"/>
      <c r="U407" s="453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445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453"/>
      <c r="P408" s="453"/>
      <c r="Q408" s="453"/>
      <c r="R408" s="453"/>
      <c r="S408" s="453"/>
      <c r="T408" s="453"/>
      <c r="U408" s="453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445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453"/>
      <c r="P409" s="453"/>
      <c r="Q409" s="453"/>
      <c r="R409" s="453"/>
      <c r="S409" s="453"/>
      <c r="T409" s="453"/>
      <c r="U409" s="453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445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453"/>
      <c r="P410" s="453"/>
      <c r="Q410" s="453"/>
      <c r="R410" s="453"/>
      <c r="S410" s="453"/>
      <c r="T410" s="453"/>
      <c r="U410" s="453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445">
        <f t="shared" si="171"/>
        <v>0</v>
      </c>
      <c r="I411" s="129"/>
      <c r="J411" s="130"/>
      <c r="K411" s="131"/>
      <c r="L411" s="129"/>
      <c r="M411" s="109"/>
      <c r="N411" s="130"/>
      <c r="O411" s="453"/>
      <c r="P411" s="453"/>
      <c r="Q411" s="453"/>
      <c r="R411" s="453"/>
      <c r="S411" s="453"/>
      <c r="T411" s="453"/>
      <c r="U411" s="453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445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453"/>
      <c r="P412" s="453"/>
      <c r="Q412" s="453"/>
      <c r="R412" s="453"/>
      <c r="S412" s="453"/>
      <c r="T412" s="453"/>
      <c r="U412" s="453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445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453"/>
      <c r="P413" s="453"/>
      <c r="Q413" s="453"/>
      <c r="R413" s="453"/>
      <c r="S413" s="453"/>
      <c r="T413" s="453"/>
      <c r="U413" s="453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445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453"/>
      <c r="P414" s="453"/>
      <c r="Q414" s="453"/>
      <c r="R414" s="453"/>
      <c r="S414" s="453"/>
      <c r="T414" s="453"/>
      <c r="U414" s="453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445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453"/>
      <c r="P415" s="453"/>
      <c r="Q415" s="453"/>
      <c r="R415" s="453"/>
      <c r="S415" s="453"/>
      <c r="T415" s="453"/>
      <c r="U415" s="453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445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453"/>
      <c r="P416" s="453"/>
      <c r="Q416" s="453"/>
      <c r="R416" s="453"/>
      <c r="S416" s="453"/>
      <c r="T416" s="453"/>
      <c r="U416" s="453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445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453"/>
      <c r="P417" s="453"/>
      <c r="Q417" s="453"/>
      <c r="R417" s="453"/>
      <c r="S417" s="453"/>
      <c r="T417" s="453"/>
      <c r="U417" s="453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445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453"/>
      <c r="P418" s="453"/>
      <c r="Q418" s="453"/>
      <c r="R418" s="453"/>
      <c r="S418" s="453"/>
      <c r="T418" s="453"/>
      <c r="U418" s="453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445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453"/>
      <c r="P419" s="453"/>
      <c r="Q419" s="453"/>
      <c r="R419" s="453"/>
      <c r="S419" s="453"/>
      <c r="T419" s="453"/>
      <c r="U419" s="453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445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453"/>
      <c r="P420" s="453"/>
      <c r="Q420" s="453"/>
      <c r="R420" s="453"/>
      <c r="S420" s="453"/>
      <c r="T420" s="453"/>
      <c r="U420" s="453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445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453"/>
      <c r="P421" s="453"/>
      <c r="Q421" s="453"/>
      <c r="R421" s="453"/>
      <c r="S421" s="453"/>
      <c r="T421" s="453"/>
      <c r="U421" s="453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445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453"/>
      <c r="P422" s="453"/>
      <c r="Q422" s="453"/>
      <c r="R422" s="453"/>
      <c r="S422" s="453"/>
      <c r="T422" s="453"/>
      <c r="U422" s="453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445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453"/>
      <c r="P423" s="453"/>
      <c r="Q423" s="453"/>
      <c r="R423" s="453"/>
      <c r="S423" s="453"/>
      <c r="T423" s="453"/>
      <c r="U423" s="453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445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453"/>
      <c r="P424" s="453"/>
      <c r="Q424" s="453"/>
      <c r="R424" s="453"/>
      <c r="S424" s="453"/>
      <c r="T424" s="453"/>
      <c r="U424" s="453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445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453"/>
      <c r="P425" s="453"/>
      <c r="Q425" s="453"/>
      <c r="R425" s="453"/>
      <c r="S425" s="453"/>
      <c r="T425" s="453"/>
      <c r="U425" s="453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41" t="s">
        <v>216</v>
      </c>
      <c r="B426" s="641"/>
      <c r="C426" s="454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444" t="s">
        <v>217</v>
      </c>
      <c r="C427" s="126" t="s">
        <v>179</v>
      </c>
      <c r="D427" s="108">
        <v>5.03</v>
      </c>
      <c r="E427" s="108"/>
      <c r="F427" s="127"/>
      <c r="G427" s="128"/>
      <c r="H427" s="445">
        <f t="shared" ref="H427:H460" si="196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7">IF(ISERROR(I427-K427),"",I427-K427)</f>
        <v>0</v>
      </c>
      <c r="N427" s="130">
        <f t="shared" ref="N427:N434" si="198">SUM(O427:U427)</f>
        <v>0</v>
      </c>
      <c r="O427" s="453"/>
      <c r="P427" s="453"/>
      <c r="Q427" s="453"/>
      <c r="R427" s="453"/>
      <c r="S427" s="453"/>
      <c r="T427" s="453"/>
      <c r="U427" s="453"/>
      <c r="V427" s="132">
        <f t="shared" ref="V427:V433" si="199">SUM(X427:AA427)</f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customHeight="1">
      <c r="A428" s="299">
        <v>30400010</v>
      </c>
      <c r="B428" s="444" t="s">
        <v>217</v>
      </c>
      <c r="C428" s="126" t="s">
        <v>186</v>
      </c>
      <c r="D428" s="108">
        <v>5.03</v>
      </c>
      <c r="E428" s="108"/>
      <c r="F428" s="127">
        <v>42714</v>
      </c>
      <c r="G428" s="128">
        <f>62+78+72*2+48+76*2+72*2</f>
        <v>628</v>
      </c>
      <c r="H428" s="445">
        <f t="shared" si="196"/>
        <v>3158.84</v>
      </c>
      <c r="I428" s="129">
        <f>7*2+9*2+5.5*2+7+5.5*2</f>
        <v>61</v>
      </c>
      <c r="J428" s="130">
        <f t="array" ref="J428">IF(ISERROR(G428/I428),"",G428/I428)</f>
        <v>10.295081967213115</v>
      </c>
      <c r="K428" s="131">
        <f t="array" ref="K428">IF(ISERROR(G428/L428),"",G428/L428)</f>
        <v>71.36363636363636</v>
      </c>
      <c r="L428" s="129">
        <v>8.8000000000000007</v>
      </c>
      <c r="M428" s="109">
        <f t="shared" si="197"/>
        <v>-10.36363636363636</v>
      </c>
      <c r="N428" s="130">
        <f t="shared" si="198"/>
        <v>0</v>
      </c>
      <c r="O428" s="453"/>
      <c r="P428" s="453"/>
      <c r="Q428" s="453"/>
      <c r="R428" s="453"/>
      <c r="S428" s="453"/>
      <c r="T428" s="453"/>
      <c r="U428" s="453"/>
      <c r="V428" s="132">
        <f t="shared" si="199"/>
        <v>0</v>
      </c>
      <c r="W428" s="133">
        <f t="shared" si="195"/>
        <v>0</v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444" t="s">
        <v>217</v>
      </c>
      <c r="C429" s="126" t="s">
        <v>204</v>
      </c>
      <c r="D429" s="108">
        <v>5.03</v>
      </c>
      <c r="E429" s="108"/>
      <c r="F429" s="127"/>
      <c r="G429" s="128"/>
      <c r="H429" s="445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7"/>
        <v>0</v>
      </c>
      <c r="N429" s="130">
        <f t="shared" si="198"/>
        <v>0</v>
      </c>
      <c r="O429" s="453"/>
      <c r="P429" s="453"/>
      <c r="Q429" s="453"/>
      <c r="R429" s="453"/>
      <c r="S429" s="453"/>
      <c r="T429" s="453"/>
      <c r="U429" s="453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445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453"/>
      <c r="P430" s="453"/>
      <c r="Q430" s="453"/>
      <c r="R430" s="453"/>
      <c r="S430" s="453"/>
      <c r="T430" s="453"/>
      <c r="U430" s="453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445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7"/>
        <v>0</v>
      </c>
      <c r="N431" s="130">
        <f t="shared" si="198"/>
        <v>0</v>
      </c>
      <c r="O431" s="453"/>
      <c r="P431" s="453"/>
      <c r="Q431" s="453"/>
      <c r="R431" s="453"/>
      <c r="S431" s="453"/>
      <c r="T431" s="453"/>
      <c r="U431" s="453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445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7"/>
        <v>0</v>
      </c>
      <c r="N432" s="130">
        <f t="shared" si="198"/>
        <v>0</v>
      </c>
      <c r="O432" s="453"/>
      <c r="P432" s="453"/>
      <c r="Q432" s="453"/>
      <c r="R432" s="453"/>
      <c r="S432" s="453"/>
      <c r="T432" s="453"/>
      <c r="U432" s="453"/>
      <c r="V432" s="132">
        <f t="shared" si="199"/>
        <v>0</v>
      </c>
      <c r="W432" s="133" t="str">
        <f t="shared" si="195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445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453"/>
      <c r="P433" s="453"/>
      <c r="Q433" s="453"/>
      <c r="R433" s="453"/>
      <c r="S433" s="453"/>
      <c r="T433" s="453"/>
      <c r="U433" s="453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445">
        <f t="shared" si="196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453"/>
      <c r="P434" s="453"/>
      <c r="Q434" s="453"/>
      <c r="R434" s="453"/>
      <c r="S434" s="453"/>
      <c r="T434" s="453"/>
      <c r="U434" s="453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445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453"/>
      <c r="P435" s="453"/>
      <c r="Q435" s="453"/>
      <c r="R435" s="453"/>
      <c r="S435" s="453"/>
      <c r="T435" s="453"/>
      <c r="U435" s="453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445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453"/>
      <c r="P436" s="453"/>
      <c r="Q436" s="453"/>
      <c r="R436" s="453"/>
      <c r="S436" s="453"/>
      <c r="T436" s="453"/>
      <c r="U436" s="453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445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53"/>
      <c r="P437" s="453"/>
      <c r="Q437" s="453"/>
      <c r="R437" s="453"/>
      <c r="S437" s="453"/>
      <c r="T437" s="453"/>
      <c r="U437" s="453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445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53"/>
      <c r="P438" s="453"/>
      <c r="Q438" s="453"/>
      <c r="R438" s="453"/>
      <c r="S438" s="453"/>
      <c r="T438" s="453"/>
      <c r="U438" s="453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445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453"/>
      <c r="P439" s="453"/>
      <c r="Q439" s="453"/>
      <c r="R439" s="453"/>
      <c r="S439" s="453"/>
      <c r="T439" s="453"/>
      <c r="U439" s="453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445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453"/>
      <c r="P440" s="453"/>
      <c r="Q440" s="453"/>
      <c r="R440" s="453"/>
      <c r="S440" s="453"/>
      <c r="T440" s="453"/>
      <c r="U440" s="453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445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453"/>
      <c r="P441" s="453"/>
      <c r="Q441" s="453"/>
      <c r="R441" s="453"/>
      <c r="S441" s="453"/>
      <c r="T441" s="453"/>
      <c r="U441" s="453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445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453"/>
      <c r="P442" s="453"/>
      <c r="Q442" s="453"/>
      <c r="R442" s="453"/>
      <c r="S442" s="453"/>
      <c r="T442" s="453"/>
      <c r="U442" s="453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444" t="s">
        <v>222</v>
      </c>
      <c r="C443" s="126" t="s">
        <v>181</v>
      </c>
      <c r="D443" s="108">
        <v>9.36</v>
      </c>
      <c r="E443" s="108"/>
      <c r="F443" s="127"/>
      <c r="G443" s="128"/>
      <c r="H443" s="445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453"/>
      <c r="P443" s="453"/>
      <c r="Q443" s="453"/>
      <c r="R443" s="453"/>
      <c r="S443" s="453"/>
      <c r="T443" s="453"/>
      <c r="U443" s="453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444" t="s">
        <v>222</v>
      </c>
      <c r="C444" s="126" t="s">
        <v>179</v>
      </c>
      <c r="D444" s="108">
        <v>9.36</v>
      </c>
      <c r="E444" s="108"/>
      <c r="F444" s="127"/>
      <c r="G444" s="128"/>
      <c r="H444" s="445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453"/>
      <c r="P444" s="453"/>
      <c r="Q444" s="453"/>
      <c r="R444" s="453"/>
      <c r="S444" s="453"/>
      <c r="T444" s="453"/>
      <c r="U444" s="453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444" t="s">
        <v>222</v>
      </c>
      <c r="C445" s="126" t="s">
        <v>221</v>
      </c>
      <c r="D445" s="108">
        <v>9.36</v>
      </c>
      <c r="E445" s="108"/>
      <c r="F445" s="127"/>
      <c r="G445" s="128"/>
      <c r="H445" s="445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453"/>
      <c r="P445" s="453"/>
      <c r="Q445" s="453"/>
      <c r="R445" s="453"/>
      <c r="S445" s="453"/>
      <c r="T445" s="453"/>
      <c r="U445" s="453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444" t="s">
        <v>222</v>
      </c>
      <c r="C446" s="126" t="s">
        <v>186</v>
      </c>
      <c r="D446" s="108">
        <v>9.36</v>
      </c>
      <c r="E446" s="108"/>
      <c r="F446" s="127"/>
      <c r="G446" s="128"/>
      <c r="H446" s="445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453"/>
      <c r="P446" s="453"/>
      <c r="Q446" s="453"/>
      <c r="R446" s="453"/>
      <c r="S446" s="453"/>
      <c r="T446" s="453"/>
      <c r="U446" s="453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444" t="s">
        <v>393</v>
      </c>
      <c r="C447" s="187" t="s">
        <v>395</v>
      </c>
      <c r="D447" s="108">
        <v>5</v>
      </c>
      <c r="E447" s="108"/>
      <c r="F447" s="127"/>
      <c r="G447" s="128"/>
      <c r="H447" s="445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453"/>
      <c r="P447" s="453"/>
      <c r="Q447" s="453"/>
      <c r="R447" s="453"/>
      <c r="S447" s="453"/>
      <c r="T447" s="453"/>
      <c r="U447" s="453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444" t="s">
        <v>393</v>
      </c>
      <c r="C448" s="187" t="s">
        <v>402</v>
      </c>
      <c r="D448" s="108">
        <v>5</v>
      </c>
      <c r="E448" s="108"/>
      <c r="F448" s="127"/>
      <c r="G448" s="128"/>
      <c r="H448" s="445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453"/>
      <c r="P448" s="453"/>
      <c r="Q448" s="453"/>
      <c r="R448" s="453"/>
      <c r="S448" s="453"/>
      <c r="T448" s="453"/>
      <c r="U448" s="453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444" t="s">
        <v>404</v>
      </c>
      <c r="C449" s="187" t="s">
        <v>405</v>
      </c>
      <c r="D449" s="108">
        <v>5</v>
      </c>
      <c r="E449" s="108"/>
      <c r="F449" s="127"/>
      <c r="G449" s="128"/>
      <c r="H449" s="445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453"/>
      <c r="P449" s="453"/>
      <c r="Q449" s="453"/>
      <c r="R449" s="453"/>
      <c r="S449" s="453"/>
      <c r="T449" s="453"/>
      <c r="U449" s="453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444" t="s">
        <v>342</v>
      </c>
      <c r="C450" s="187" t="s">
        <v>372</v>
      </c>
      <c r="D450" s="108">
        <v>5</v>
      </c>
      <c r="E450" s="108"/>
      <c r="F450" s="127"/>
      <c r="G450" s="128"/>
      <c r="H450" s="445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453"/>
      <c r="P450" s="453"/>
      <c r="Q450" s="453"/>
      <c r="R450" s="453"/>
      <c r="S450" s="453"/>
      <c r="T450" s="453"/>
      <c r="U450" s="453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444" t="s">
        <v>343</v>
      </c>
      <c r="C451" s="126" t="s">
        <v>345</v>
      </c>
      <c r="D451" s="108">
        <v>5</v>
      </c>
      <c r="E451" s="108"/>
      <c r="F451" s="127"/>
      <c r="G451" s="128"/>
      <c r="H451" s="445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453"/>
      <c r="P451" s="453"/>
      <c r="Q451" s="453"/>
      <c r="R451" s="453"/>
      <c r="S451" s="453"/>
      <c r="T451" s="453"/>
      <c r="U451" s="453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444" t="s">
        <v>343</v>
      </c>
      <c r="C452" s="126" t="s">
        <v>347</v>
      </c>
      <c r="D452" s="108">
        <v>5</v>
      </c>
      <c r="E452" s="108"/>
      <c r="F452" s="127"/>
      <c r="G452" s="128"/>
      <c r="H452" s="445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453"/>
      <c r="P452" s="453"/>
      <c r="Q452" s="453"/>
      <c r="R452" s="453"/>
      <c r="S452" s="453"/>
      <c r="T452" s="453"/>
      <c r="U452" s="453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445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453"/>
      <c r="P453" s="453"/>
      <c r="Q453" s="453"/>
      <c r="R453" s="453"/>
      <c r="S453" s="453"/>
      <c r="T453" s="453"/>
      <c r="U453" s="453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445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453"/>
      <c r="P454" s="453"/>
      <c r="Q454" s="453"/>
      <c r="R454" s="453"/>
      <c r="S454" s="453"/>
      <c r="T454" s="453"/>
      <c r="U454" s="453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420</v>
      </c>
      <c r="D455" s="108"/>
      <c r="E455" s="108"/>
      <c r="F455" s="127"/>
      <c r="G455" s="128"/>
      <c r="H455" s="445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453"/>
      <c r="P455" s="453"/>
      <c r="Q455" s="453"/>
      <c r="R455" s="453"/>
      <c r="S455" s="453"/>
      <c r="T455" s="453"/>
      <c r="U455" s="453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445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453"/>
      <c r="P456" s="453"/>
      <c r="Q456" s="453"/>
      <c r="R456" s="453"/>
      <c r="S456" s="453"/>
      <c r="T456" s="453"/>
      <c r="U456" s="453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445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453"/>
      <c r="P457" s="453"/>
      <c r="Q457" s="453"/>
      <c r="R457" s="453"/>
      <c r="S457" s="453"/>
      <c r="T457" s="453"/>
      <c r="U457" s="453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445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453"/>
      <c r="P458" s="453"/>
      <c r="Q458" s="453"/>
      <c r="R458" s="453"/>
      <c r="S458" s="453"/>
      <c r="T458" s="453"/>
      <c r="U458" s="453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445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453"/>
      <c r="P459" s="453"/>
      <c r="Q459" s="453"/>
      <c r="R459" s="453"/>
      <c r="S459" s="453"/>
      <c r="T459" s="453"/>
      <c r="U459" s="453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445">
        <f t="shared" si="196"/>
        <v>0</v>
      </c>
      <c r="I460" s="129"/>
      <c r="J460" s="130" t="str">
        <f t="array" ref="J460">IF(ISERROR(G460/I460),"",G460/I460)</f>
        <v/>
      </c>
      <c r="K460" s="445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453"/>
      <c r="P460" s="453"/>
      <c r="Q460" s="453"/>
      <c r="R460" s="453"/>
      <c r="S460" s="453"/>
      <c r="T460" s="453"/>
      <c r="U460" s="453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customHeight="1">
      <c r="A461" s="630" t="s">
        <v>224</v>
      </c>
      <c r="B461" s="631"/>
      <c r="C461" s="454" t="s">
        <v>202</v>
      </c>
      <c r="D461" s="143"/>
      <c r="E461" s="143"/>
      <c r="F461" s="144"/>
      <c r="G461" s="145">
        <f>SUM(G427:G460)</f>
        <v>628</v>
      </c>
      <c r="H461" s="146">
        <f>SUM(H427:H460)</f>
        <v>3158.84</v>
      </c>
      <c r="I461" s="146">
        <f>SUM(I427:I460)</f>
        <v>61</v>
      </c>
      <c r="J461" s="130">
        <f t="array" ref="J461">IF(ISERROR(G461/I461),"",G461/I461)</f>
        <v>10.295081967213115</v>
      </c>
      <c r="K461" s="146">
        <f>SUM(K427:K460)</f>
        <v>71.36363636363636</v>
      </c>
      <c r="L461" s="147"/>
      <c r="M461" s="150">
        <f t="shared" ref="M461:V461" si="210">SUM(M427:M460)</f>
        <v>-10.36363636363636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>
        <f t="shared" si="209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445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453"/>
      <c r="P462" s="453"/>
      <c r="Q462" s="453"/>
      <c r="R462" s="453"/>
      <c r="S462" s="453"/>
      <c r="T462" s="453"/>
      <c r="U462" s="453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445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453"/>
      <c r="P463" s="453"/>
      <c r="Q463" s="453"/>
      <c r="R463" s="453"/>
      <c r="S463" s="453"/>
      <c r="T463" s="453"/>
      <c r="U463" s="453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445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453"/>
      <c r="P464" s="453"/>
      <c r="Q464" s="453"/>
      <c r="R464" s="453"/>
      <c r="S464" s="453"/>
      <c r="T464" s="453"/>
      <c r="U464" s="453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445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453"/>
      <c r="P465" s="453"/>
      <c r="Q465" s="453"/>
      <c r="R465" s="453"/>
      <c r="S465" s="453"/>
      <c r="T465" s="453"/>
      <c r="U465" s="453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450" t="s">
        <v>203</v>
      </c>
      <c r="D466" s="108">
        <v>5.03</v>
      </c>
      <c r="E466" s="108"/>
      <c r="F466" s="127"/>
      <c r="G466" s="128"/>
      <c r="H466" s="445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453"/>
      <c r="P466" s="453"/>
      <c r="Q466" s="453"/>
      <c r="R466" s="453"/>
      <c r="S466" s="453"/>
      <c r="T466" s="453"/>
      <c r="U466" s="453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445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453"/>
      <c r="P467" s="453"/>
      <c r="Q467" s="453"/>
      <c r="R467" s="453"/>
      <c r="S467" s="453"/>
      <c r="T467" s="453"/>
      <c r="U467" s="453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445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453"/>
      <c r="P468" s="453"/>
      <c r="Q468" s="453"/>
      <c r="R468" s="453"/>
      <c r="S468" s="453"/>
      <c r="T468" s="453"/>
      <c r="U468" s="453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450" t="s">
        <v>228</v>
      </c>
      <c r="D469" s="108">
        <v>5.03</v>
      </c>
      <c r="E469" s="108"/>
      <c r="F469" s="127"/>
      <c r="G469" s="128"/>
      <c r="H469" s="445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453"/>
      <c r="P469" s="453"/>
      <c r="Q469" s="453"/>
      <c r="R469" s="453"/>
      <c r="S469" s="453"/>
      <c r="T469" s="453"/>
      <c r="U469" s="453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450" t="s">
        <v>212</v>
      </c>
      <c r="D470" s="108">
        <v>5.03</v>
      </c>
      <c r="E470" s="108"/>
      <c r="F470" s="127"/>
      <c r="G470" s="128"/>
      <c r="H470" s="445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453"/>
      <c r="P470" s="453"/>
      <c r="Q470" s="453"/>
      <c r="R470" s="453"/>
      <c r="S470" s="453"/>
      <c r="T470" s="453"/>
      <c r="U470" s="453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450" t="s">
        <v>203</v>
      </c>
      <c r="D471" s="108">
        <v>5.03</v>
      </c>
      <c r="E471" s="108"/>
      <c r="F471" s="127"/>
      <c r="G471" s="128"/>
      <c r="H471" s="445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453"/>
      <c r="P471" s="453"/>
      <c r="Q471" s="453"/>
      <c r="R471" s="453"/>
      <c r="S471" s="453"/>
      <c r="T471" s="453"/>
      <c r="U471" s="453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450" t="s">
        <v>186</v>
      </c>
      <c r="D472" s="108">
        <v>5.03</v>
      </c>
      <c r="E472" s="108"/>
      <c r="F472" s="127"/>
      <c r="G472" s="128"/>
      <c r="H472" s="445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453"/>
      <c r="P472" s="453"/>
      <c r="Q472" s="453"/>
      <c r="R472" s="453"/>
      <c r="S472" s="453"/>
      <c r="T472" s="453"/>
      <c r="U472" s="453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450" t="s">
        <v>228</v>
      </c>
      <c r="D473" s="108">
        <v>5.03</v>
      </c>
      <c r="E473" s="108"/>
      <c r="F473" s="127"/>
      <c r="G473" s="128"/>
      <c r="H473" s="445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453"/>
      <c r="P473" s="453"/>
      <c r="Q473" s="453"/>
      <c r="R473" s="453"/>
      <c r="S473" s="453"/>
      <c r="T473" s="453"/>
      <c r="U473" s="453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450" t="s">
        <v>199</v>
      </c>
      <c r="D474" s="108">
        <v>5.03</v>
      </c>
      <c r="E474" s="108"/>
      <c r="F474" s="127"/>
      <c r="G474" s="128"/>
      <c r="H474" s="445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453"/>
      <c r="P474" s="453"/>
      <c r="Q474" s="453"/>
      <c r="R474" s="453"/>
      <c r="S474" s="453"/>
      <c r="T474" s="453"/>
      <c r="U474" s="453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445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453"/>
      <c r="P475" s="453"/>
      <c r="Q475" s="453"/>
      <c r="R475" s="453"/>
      <c r="S475" s="453"/>
      <c r="T475" s="453"/>
      <c r="U475" s="453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445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453"/>
      <c r="P476" s="453"/>
      <c r="Q476" s="453"/>
      <c r="R476" s="453"/>
      <c r="S476" s="453"/>
      <c r="T476" s="453"/>
      <c r="U476" s="453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630" t="s">
        <v>231</v>
      </c>
      <c r="B477" s="631"/>
      <c r="C477" s="454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445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453"/>
      <c r="P478" s="453"/>
      <c r="Q478" s="453"/>
      <c r="R478" s="453"/>
      <c r="S478" s="453"/>
      <c r="T478" s="453"/>
      <c r="U478" s="453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445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453"/>
      <c r="P479" s="453"/>
      <c r="Q479" s="453"/>
      <c r="R479" s="453"/>
      <c r="S479" s="453"/>
      <c r="T479" s="453"/>
      <c r="U479" s="453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445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453"/>
      <c r="P480" s="453"/>
      <c r="Q480" s="453"/>
      <c r="R480" s="453"/>
      <c r="S480" s="453"/>
      <c r="T480" s="453"/>
      <c r="U480" s="453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445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453"/>
      <c r="P481" s="453"/>
      <c r="Q481" s="453"/>
      <c r="R481" s="453"/>
      <c r="S481" s="453"/>
      <c r="T481" s="453"/>
      <c r="U481" s="453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445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453"/>
      <c r="P482" s="453"/>
      <c r="Q482" s="453"/>
      <c r="R482" s="453"/>
      <c r="S482" s="453"/>
      <c r="T482" s="453"/>
      <c r="U482" s="453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445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453"/>
      <c r="P483" s="453"/>
      <c r="Q483" s="453"/>
      <c r="R483" s="453"/>
      <c r="S483" s="453"/>
      <c r="T483" s="453"/>
      <c r="U483" s="453"/>
      <c r="V483" s="132"/>
      <c r="W483" s="133"/>
      <c r="X483" s="132"/>
      <c r="Y483" s="132"/>
      <c r="Z483" s="132"/>
      <c r="AA483" s="132"/>
    </row>
    <row r="484" spans="1:27" ht="20.10000000000000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470"/>
      <c r="P484" s="470"/>
      <c r="Q484" s="470"/>
      <c r="R484" s="470"/>
      <c r="S484" s="470"/>
      <c r="T484" s="470"/>
      <c r="U484" s="470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445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453"/>
      <c r="P486" s="453"/>
      <c r="Q486" s="453"/>
      <c r="R486" s="453"/>
      <c r="S486" s="453"/>
      <c r="T486" s="453"/>
      <c r="U486" s="453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30" t="s">
        <v>234</v>
      </c>
      <c r="B487" s="631"/>
      <c r="C487" s="454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451"/>
      <c r="D488" s="108">
        <v>3.65</v>
      </c>
      <c r="E488" s="108"/>
      <c r="F488" s="153"/>
      <c r="G488" s="128"/>
      <c r="H488" s="445">
        <f t="shared" ref="H488:H502" si="223">D488*G488</f>
        <v>0</v>
      </c>
      <c r="I488" s="129"/>
      <c r="J488" s="130" t="str">
        <f t="array" ref="J488">IF(ISERROR(G488/I488),"",G488/I488)</f>
        <v/>
      </c>
      <c r="K488" s="445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453"/>
      <c r="P488" s="453"/>
      <c r="Q488" s="453"/>
      <c r="R488" s="453"/>
      <c r="S488" s="453"/>
      <c r="T488" s="453"/>
      <c r="U488" s="453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451"/>
      <c r="D489" s="108">
        <v>6.58</v>
      </c>
      <c r="E489" s="108"/>
      <c r="F489" s="127"/>
      <c r="G489" s="128"/>
      <c r="H489" s="445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453"/>
      <c r="P489" s="453"/>
      <c r="Q489" s="453"/>
      <c r="R489" s="453"/>
      <c r="S489" s="453"/>
      <c r="T489" s="453"/>
      <c r="U489" s="453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451"/>
      <c r="D490" s="108">
        <v>7.8</v>
      </c>
      <c r="E490" s="108"/>
      <c r="F490" s="127"/>
      <c r="G490" s="128"/>
      <c r="H490" s="445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453"/>
      <c r="P490" s="453"/>
      <c r="Q490" s="453"/>
      <c r="R490" s="453"/>
      <c r="S490" s="453"/>
      <c r="T490" s="453"/>
      <c r="U490" s="453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451"/>
      <c r="D491" s="108">
        <v>4.4000000000000004</v>
      </c>
      <c r="E491" s="108"/>
      <c r="F491" s="127"/>
      <c r="G491" s="128"/>
      <c r="H491" s="445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453"/>
      <c r="P491" s="453"/>
      <c r="Q491" s="453"/>
      <c r="R491" s="453"/>
      <c r="S491" s="453"/>
      <c r="T491" s="453"/>
      <c r="U491" s="453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445">
        <f t="shared" si="223"/>
        <v>0</v>
      </c>
      <c r="I492" s="129"/>
      <c r="J492" s="130"/>
      <c r="K492" s="131"/>
      <c r="L492" s="129"/>
      <c r="M492" s="109"/>
      <c r="N492" s="130"/>
      <c r="O492" s="453"/>
      <c r="P492" s="453"/>
      <c r="Q492" s="453"/>
      <c r="R492" s="453"/>
      <c r="S492" s="453"/>
      <c r="T492" s="453"/>
      <c r="U492" s="453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451"/>
      <c r="D493" s="108"/>
      <c r="E493" s="108"/>
      <c r="F493" s="127"/>
      <c r="G493" s="128"/>
      <c r="H493" s="445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453"/>
      <c r="P493" s="453"/>
      <c r="Q493" s="453"/>
      <c r="R493" s="453"/>
      <c r="S493" s="453"/>
      <c r="T493" s="453"/>
      <c r="U493" s="453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451" t="s">
        <v>239</v>
      </c>
      <c r="C494" s="451" t="s">
        <v>179</v>
      </c>
      <c r="D494" s="108">
        <v>6.04</v>
      </c>
      <c r="E494" s="108"/>
      <c r="F494" s="127"/>
      <c r="G494" s="128"/>
      <c r="H494" s="445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453"/>
      <c r="P494" s="453"/>
      <c r="Q494" s="453"/>
      <c r="R494" s="453"/>
      <c r="S494" s="453"/>
      <c r="T494" s="453"/>
      <c r="U494" s="453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451" t="s">
        <v>239</v>
      </c>
      <c r="C495" s="451" t="s">
        <v>186</v>
      </c>
      <c r="D495" s="108">
        <v>6.04</v>
      </c>
      <c r="E495" s="108"/>
      <c r="F495" s="127"/>
      <c r="G495" s="128"/>
      <c r="H495" s="445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453"/>
      <c r="P495" s="453"/>
      <c r="Q495" s="453"/>
      <c r="R495" s="453"/>
      <c r="S495" s="453"/>
      <c r="T495" s="453"/>
      <c r="U495" s="453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451" t="s">
        <v>443</v>
      </c>
      <c r="C496" s="451" t="s">
        <v>179</v>
      </c>
      <c r="D496" s="108"/>
      <c r="E496" s="108"/>
      <c r="F496" s="127"/>
      <c r="G496" s="128"/>
      <c r="H496" s="445">
        <f t="shared" si="223"/>
        <v>0</v>
      </c>
      <c r="I496" s="129"/>
      <c r="J496" s="130"/>
      <c r="K496" s="131"/>
      <c r="L496" s="129"/>
      <c r="M496" s="109"/>
      <c r="N496" s="130"/>
      <c r="O496" s="453"/>
      <c r="P496" s="453"/>
      <c r="Q496" s="453"/>
      <c r="R496" s="453"/>
      <c r="S496" s="453"/>
      <c r="T496" s="453"/>
      <c r="U496" s="453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451" t="s">
        <v>443</v>
      </c>
      <c r="C497" s="451" t="s">
        <v>186</v>
      </c>
      <c r="D497" s="108"/>
      <c r="E497" s="108"/>
      <c r="F497" s="127"/>
      <c r="G497" s="128"/>
      <c r="H497" s="445">
        <f t="shared" si="223"/>
        <v>0</v>
      </c>
      <c r="I497" s="129"/>
      <c r="J497" s="130"/>
      <c r="K497" s="131"/>
      <c r="L497" s="129"/>
      <c r="M497" s="109"/>
      <c r="N497" s="130"/>
      <c r="O497" s="453"/>
      <c r="P497" s="453"/>
      <c r="Q497" s="453"/>
      <c r="R497" s="453"/>
      <c r="S497" s="453"/>
      <c r="T497" s="453"/>
      <c r="U497" s="453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444" t="s">
        <v>240</v>
      </c>
      <c r="C498" s="126"/>
      <c r="D498" s="108">
        <v>7.3</v>
      </c>
      <c r="E498" s="108"/>
      <c r="F498" s="127"/>
      <c r="G498" s="128"/>
      <c r="H498" s="445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453"/>
      <c r="P498" s="453"/>
      <c r="Q498" s="453"/>
      <c r="R498" s="453"/>
      <c r="S498" s="453"/>
      <c r="T498" s="453"/>
      <c r="U498" s="453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444" t="s">
        <v>241</v>
      </c>
      <c r="C499" s="126"/>
      <c r="D499" s="108">
        <f>78*120/1000</f>
        <v>9.36</v>
      </c>
      <c r="E499" s="108"/>
      <c r="F499" s="127"/>
      <c r="G499" s="128"/>
      <c r="H499" s="445">
        <f t="shared" si="223"/>
        <v>0</v>
      </c>
      <c r="I499" s="129"/>
      <c r="J499" s="130"/>
      <c r="K499" s="131"/>
      <c r="L499" s="129"/>
      <c r="M499" s="109"/>
      <c r="N499" s="130"/>
      <c r="O499" s="453"/>
      <c r="P499" s="453"/>
      <c r="Q499" s="453"/>
      <c r="R499" s="453"/>
      <c r="S499" s="453"/>
      <c r="T499" s="453"/>
      <c r="U499" s="453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444" t="s">
        <v>242</v>
      </c>
      <c r="C500" s="126"/>
      <c r="D500" s="108">
        <v>4.5</v>
      </c>
      <c r="E500" s="108"/>
      <c r="F500" s="127"/>
      <c r="G500" s="128"/>
      <c r="H500" s="445">
        <f t="shared" si="223"/>
        <v>0</v>
      </c>
      <c r="I500" s="129"/>
      <c r="J500" s="130"/>
      <c r="K500" s="131"/>
      <c r="L500" s="129"/>
      <c r="M500" s="109"/>
      <c r="N500" s="130"/>
      <c r="O500" s="453"/>
      <c r="P500" s="453"/>
      <c r="Q500" s="453"/>
      <c r="R500" s="453"/>
      <c r="S500" s="453"/>
      <c r="T500" s="453"/>
      <c r="U500" s="453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444" t="s">
        <v>243</v>
      </c>
      <c r="C501" s="126"/>
      <c r="D501" s="108">
        <v>4.5</v>
      </c>
      <c r="E501" s="108"/>
      <c r="F501" s="127"/>
      <c r="G501" s="128"/>
      <c r="H501" s="445">
        <f t="shared" si="223"/>
        <v>0</v>
      </c>
      <c r="I501" s="129"/>
      <c r="J501" s="130"/>
      <c r="K501" s="131"/>
      <c r="L501" s="129"/>
      <c r="M501" s="109"/>
      <c r="N501" s="130"/>
      <c r="O501" s="453"/>
      <c r="P501" s="453"/>
      <c r="Q501" s="453"/>
      <c r="R501" s="453"/>
      <c r="S501" s="453"/>
      <c r="T501" s="453"/>
      <c r="U501" s="453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444"/>
      <c r="C502" s="126"/>
      <c r="D502" s="108"/>
      <c r="E502" s="108"/>
      <c r="F502" s="127"/>
      <c r="G502" s="128"/>
      <c r="H502" s="445">
        <f t="shared" si="223"/>
        <v>0</v>
      </c>
      <c r="I502" s="129"/>
      <c r="J502" s="130"/>
      <c r="K502" s="131"/>
      <c r="L502" s="129"/>
      <c r="M502" s="109"/>
      <c r="N502" s="130"/>
      <c r="O502" s="453"/>
      <c r="P502" s="453"/>
      <c r="Q502" s="453"/>
      <c r="R502" s="453"/>
      <c r="S502" s="453"/>
      <c r="T502" s="453"/>
      <c r="U502" s="453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30" t="s">
        <v>244</v>
      </c>
      <c r="B503" s="631"/>
      <c r="C503" s="454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632" t="s">
        <v>246</v>
      </c>
      <c r="B504" s="633"/>
      <c r="C504" s="633"/>
      <c r="D504" s="633"/>
      <c r="E504" s="633"/>
      <c r="F504" s="634"/>
      <c r="G504" s="154">
        <f>SUM(G368,G426,G461,G477,G487,G503)</f>
        <v>628</v>
      </c>
      <c r="H504" s="154">
        <f>SUM(H368,H426,H461,H477,H487,H503)</f>
        <v>3158.84</v>
      </c>
      <c r="I504" s="154">
        <f>SUM(I368,I426,I461,I477,I487,I503)</f>
        <v>61</v>
      </c>
      <c r="J504" s="155">
        <f t="array" ref="J504">IF(ISERROR(G504/I504),"",G504/I504)</f>
        <v>10.295081967213115</v>
      </c>
      <c r="K504" s="154">
        <f>SUM(K368,K426,K461,K477,K487,K503)</f>
        <v>71.36363636363636</v>
      </c>
      <c r="L504" s="155">
        <f>IF(ISERROR(G504/K504),"",G504/K504)</f>
        <v>8.8000000000000007</v>
      </c>
      <c r="M504" s="154">
        <f t="shared" ref="M504:V504" si="236">SUM(M368,M426,M461,M477,M487,M503)</f>
        <v>-10.36363636363636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>
        <f t="shared" ref="W504" si="237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35" t="s">
        <v>476</v>
      </c>
      <c r="B505" s="447" t="s">
        <v>247</v>
      </c>
      <c r="C505" s="638" t="s">
        <v>248</v>
      </c>
      <c r="D505" s="639"/>
      <c r="E505" s="640" t="s">
        <v>249</v>
      </c>
      <c r="F505" s="640"/>
      <c r="G505" s="643" t="s">
        <v>250</v>
      </c>
      <c r="H505" s="643"/>
      <c r="I505" s="640" t="s">
        <v>251</v>
      </c>
      <c r="J505" s="640"/>
      <c r="K505" s="640" t="s">
        <v>252</v>
      </c>
      <c r="L505" s="640"/>
      <c r="M505" s="640" t="s">
        <v>253</v>
      </c>
      <c r="N505" s="640"/>
      <c r="O505" s="640" t="s">
        <v>254</v>
      </c>
      <c r="P505" s="643" t="s">
        <v>255</v>
      </c>
      <c r="Q505" s="643"/>
      <c r="R505" s="643" t="s">
        <v>252</v>
      </c>
      <c r="S505" s="643"/>
      <c r="T505" s="643" t="s">
        <v>256</v>
      </c>
      <c r="U505" s="643"/>
      <c r="V505" s="643" t="s">
        <v>257</v>
      </c>
      <c r="W505" s="643"/>
      <c r="X505" s="643" t="s">
        <v>252</v>
      </c>
      <c r="Y505" s="643"/>
      <c r="Z505" s="643" t="s">
        <v>256</v>
      </c>
      <c r="AA505" s="643"/>
    </row>
    <row r="506" spans="1:27" ht="20.100000000000001" customHeight="1">
      <c r="A506" s="636"/>
      <c r="B506" s="447" t="s">
        <v>258</v>
      </c>
      <c r="C506" s="638">
        <v>0</v>
      </c>
      <c r="D506" s="639"/>
      <c r="E506" s="642">
        <f>C506*11</f>
        <v>0</v>
      </c>
      <c r="F506" s="642"/>
      <c r="G506" s="643">
        <v>0</v>
      </c>
      <c r="H506" s="643"/>
      <c r="I506" s="642">
        <f>G506*11</f>
        <v>0</v>
      </c>
      <c r="J506" s="642"/>
      <c r="K506" s="642">
        <f>E506-I506</f>
        <v>0</v>
      </c>
      <c r="L506" s="642"/>
      <c r="M506" s="644" t="str">
        <f>IF(ISERROR(K506/E506),"",K506/E506)</f>
        <v/>
      </c>
      <c r="N506" s="644"/>
      <c r="O506" s="640"/>
      <c r="P506" s="643" t="s">
        <v>201</v>
      </c>
      <c r="Q506" s="643"/>
      <c r="R506" s="645">
        <f>SUM(O368:U368)</f>
        <v>0</v>
      </c>
      <c r="S506" s="645"/>
      <c r="T506" s="646" t="str">
        <f t="array" ref="T506">IF(ISERROR(R506/R513),"",R506/R513)</f>
        <v/>
      </c>
      <c r="U506" s="646"/>
      <c r="V506" s="643" t="s">
        <v>259</v>
      </c>
      <c r="W506" s="643"/>
      <c r="X506" s="647">
        <f>SUM(O368,O426,O461,O477,O487,O503)</f>
        <v>0</v>
      </c>
      <c r="Y506" s="647"/>
      <c r="Z506" s="646" t="str">
        <f t="array" ref="Z506">IF(ISERROR(X506/X513),"",X506/X513)</f>
        <v/>
      </c>
      <c r="AA506" s="646"/>
    </row>
    <row r="507" spans="1:27" ht="20.100000000000001" customHeight="1">
      <c r="A507" s="636"/>
      <c r="B507" s="447" t="s">
        <v>260</v>
      </c>
      <c r="C507" s="638">
        <v>0</v>
      </c>
      <c r="D507" s="639"/>
      <c r="E507" s="642">
        <f>C507*11</f>
        <v>0</v>
      </c>
      <c r="F507" s="642"/>
      <c r="G507" s="643">
        <v>0</v>
      </c>
      <c r="H507" s="643"/>
      <c r="I507" s="642">
        <f>G507*11</f>
        <v>0</v>
      </c>
      <c r="J507" s="642"/>
      <c r="K507" s="642">
        <f>E507-I507</f>
        <v>0</v>
      </c>
      <c r="L507" s="642"/>
      <c r="M507" s="644" t="str">
        <f>IF(ISERROR(K507/E507),"",K507/E507)</f>
        <v/>
      </c>
      <c r="N507" s="644"/>
      <c r="O507" s="640"/>
      <c r="P507" s="643" t="s">
        <v>216</v>
      </c>
      <c r="Q507" s="643"/>
      <c r="R507" s="645">
        <f>SUM(O426:U426)</f>
        <v>0</v>
      </c>
      <c r="S507" s="645"/>
      <c r="T507" s="646" t="str">
        <f>IF(ISERROR(R507/R513),"",R507/R513)</f>
        <v/>
      </c>
      <c r="U507" s="646"/>
      <c r="V507" s="643" t="s">
        <v>261</v>
      </c>
      <c r="W507" s="643"/>
      <c r="X507" s="647">
        <f>SUM(O369,O427,O462,O478,O488,O504)</f>
        <v>0</v>
      </c>
      <c r="Y507" s="647"/>
      <c r="Z507" s="646" t="str">
        <f>IF(ISERROR(X507/X513),"",X507/X513)</f>
        <v/>
      </c>
      <c r="AA507" s="646"/>
    </row>
    <row r="508" spans="1:27" ht="20.100000000000001" customHeight="1">
      <c r="A508" s="636"/>
      <c r="B508" s="447" t="s">
        <v>262</v>
      </c>
      <c r="C508" s="638">
        <v>0</v>
      </c>
      <c r="D508" s="639"/>
      <c r="E508" s="642">
        <f>C508*11</f>
        <v>0</v>
      </c>
      <c r="F508" s="642"/>
      <c r="G508" s="643">
        <v>0</v>
      </c>
      <c r="H508" s="643"/>
      <c r="I508" s="642">
        <f>G508*11</f>
        <v>0</v>
      </c>
      <c r="J508" s="642"/>
      <c r="K508" s="642">
        <f>E508-I508</f>
        <v>0</v>
      </c>
      <c r="L508" s="642"/>
      <c r="M508" s="644" t="str">
        <f>IF(ISERROR(K508/E508),"",K508/E508)</f>
        <v/>
      </c>
      <c r="N508" s="644"/>
      <c r="O508" s="640"/>
      <c r="P508" s="643" t="s">
        <v>224</v>
      </c>
      <c r="Q508" s="643"/>
      <c r="R508" s="645">
        <f>SUM(O461:U461)</f>
        <v>0</v>
      </c>
      <c r="S508" s="645"/>
      <c r="T508" s="646" t="str">
        <f>IF(ISERROR(R508/R513),"",R508/R513)</f>
        <v/>
      </c>
      <c r="U508" s="646"/>
      <c r="V508" s="643" t="s">
        <v>263</v>
      </c>
      <c r="W508" s="643"/>
      <c r="X508" s="647">
        <f>SUM(O371,O428,O463,O479,O489,O505)</f>
        <v>0</v>
      </c>
      <c r="Y508" s="647"/>
      <c r="Z508" s="646" t="str">
        <f>IF(ISERROR(X508/X513),"",X508/X513)</f>
        <v/>
      </c>
      <c r="AA508" s="646"/>
    </row>
    <row r="509" spans="1:27" ht="20.100000000000001" customHeight="1">
      <c r="A509" s="636"/>
      <c r="B509" s="447" t="s">
        <v>264</v>
      </c>
      <c r="C509" s="638">
        <v>1</v>
      </c>
      <c r="D509" s="639"/>
      <c r="E509" s="642">
        <f>C509*11</f>
        <v>11</v>
      </c>
      <c r="F509" s="642"/>
      <c r="G509" s="643">
        <v>1</v>
      </c>
      <c r="H509" s="643"/>
      <c r="I509" s="642">
        <f>G509*11</f>
        <v>11</v>
      </c>
      <c r="J509" s="642"/>
      <c r="K509" s="642">
        <f>E509-I509</f>
        <v>0</v>
      </c>
      <c r="L509" s="642"/>
      <c r="M509" s="644">
        <f>IF(ISERROR(K509/E509),"",K509/E509)</f>
        <v>0</v>
      </c>
      <c r="N509" s="644"/>
      <c r="O509" s="640"/>
      <c r="P509" s="643" t="s">
        <v>231</v>
      </c>
      <c r="Q509" s="643"/>
      <c r="R509" s="645">
        <f>SUM(O477:U477)</f>
        <v>0</v>
      </c>
      <c r="S509" s="645"/>
      <c r="T509" s="646" t="str">
        <f>IF(ISERROR(R509/R513),"",R509/R513)</f>
        <v/>
      </c>
      <c r="U509" s="646"/>
      <c r="V509" s="643" t="s">
        <v>265</v>
      </c>
      <c r="W509" s="643"/>
      <c r="X509" s="647">
        <f>SUM(O372,O429,O464,O480,O490,O506)</f>
        <v>0</v>
      </c>
      <c r="Y509" s="647"/>
      <c r="Z509" s="646" t="str">
        <f>IF(ISERROR(X509/X513),"",X509/X513)</f>
        <v/>
      </c>
      <c r="AA509" s="646"/>
    </row>
    <row r="510" spans="1:27" ht="20.100000000000001" customHeight="1">
      <c r="A510" s="637"/>
      <c r="B510" s="447" t="s">
        <v>266</v>
      </c>
      <c r="C510" s="648">
        <f>SUM(C506:D509)</f>
        <v>1</v>
      </c>
      <c r="D510" s="649"/>
      <c r="E510" s="642">
        <f>SUM(E506:F509)</f>
        <v>11</v>
      </c>
      <c r="F510" s="642"/>
      <c r="G510" s="643">
        <f>SUM(G506:H509)</f>
        <v>1</v>
      </c>
      <c r="H510" s="643"/>
      <c r="I510" s="642">
        <f>SUM(I506:J509)</f>
        <v>11</v>
      </c>
      <c r="J510" s="642"/>
      <c r="K510" s="642">
        <f>SUM(K506:L509)</f>
        <v>0</v>
      </c>
      <c r="L510" s="642"/>
      <c r="M510" s="644">
        <f>IF(ISERROR(K510/E510),"",K510/E510)</f>
        <v>0</v>
      </c>
      <c r="N510" s="644"/>
      <c r="O510" s="640"/>
      <c r="P510" s="643" t="s">
        <v>234</v>
      </c>
      <c r="Q510" s="643"/>
      <c r="R510" s="645">
        <f>SUM(O487:U487)</f>
        <v>0</v>
      </c>
      <c r="S510" s="645"/>
      <c r="T510" s="646" t="str">
        <f>IF(ISERROR(R510/R513),"",R510/R513)</f>
        <v/>
      </c>
      <c r="U510" s="646"/>
      <c r="V510" s="643" t="s">
        <v>267</v>
      </c>
      <c r="W510" s="643"/>
      <c r="X510" s="647">
        <f>SUM(O373,O430,O465,O481,O491,O507)</f>
        <v>0</v>
      </c>
      <c r="Y510" s="647"/>
      <c r="Z510" s="646" t="str">
        <f>IF(ISERROR(X510/X513),"",X510/X513)</f>
        <v/>
      </c>
      <c r="AA510" s="646"/>
    </row>
    <row r="511" spans="1:27" ht="20.100000000000001" customHeight="1">
      <c r="A511" s="307" t="s">
        <v>477</v>
      </c>
      <c r="B511" s="447">
        <f>G504</f>
        <v>628</v>
      </c>
      <c r="C511" s="650" t="s">
        <v>269</v>
      </c>
      <c r="D511" s="651"/>
      <c r="E511" s="643">
        <f>H504</f>
        <v>3158.84</v>
      </c>
      <c r="F511" s="643"/>
      <c r="G511" s="643" t="s">
        <v>270</v>
      </c>
      <c r="H511" s="643"/>
      <c r="I511" s="652">
        <f>L504</f>
        <v>8.8000000000000007</v>
      </c>
      <c r="J511" s="652"/>
      <c r="K511" s="640" t="s">
        <v>271</v>
      </c>
      <c r="L511" s="640"/>
      <c r="M511" s="652">
        <f>J504</f>
        <v>10.295081967213115</v>
      </c>
      <c r="N511" s="652"/>
      <c r="O511" s="640"/>
      <c r="P511" s="643" t="s">
        <v>244</v>
      </c>
      <c r="Q511" s="643"/>
      <c r="R511" s="645">
        <f>SUM(O503:U503)</f>
        <v>0</v>
      </c>
      <c r="S511" s="645"/>
      <c r="T511" s="646" t="str">
        <f>IF(ISERROR(R511/R513),"",R511/R513)</f>
        <v/>
      </c>
      <c r="U511" s="646"/>
      <c r="V511" s="643" t="s">
        <v>272</v>
      </c>
      <c r="W511" s="643"/>
      <c r="X511" s="647">
        <f>SUM(O374,O431,O466,O482,O492,O508)</f>
        <v>0</v>
      </c>
      <c r="Y511" s="647"/>
      <c r="Z511" s="646" t="str">
        <f>IF(ISERROR(X511/X513),"",X511/X513)</f>
        <v/>
      </c>
      <c r="AA511" s="646"/>
    </row>
    <row r="512" spans="1:27" ht="20.100000000000001" customHeight="1">
      <c r="A512" s="308" t="s">
        <v>478</v>
      </c>
      <c r="B512" s="447">
        <f>I504+C510</f>
        <v>62</v>
      </c>
      <c r="C512" s="653" t="s">
        <v>251</v>
      </c>
      <c r="D512" s="654"/>
      <c r="E512" s="655">
        <f>K504+I510</f>
        <v>82.36363636363636</v>
      </c>
      <c r="F512" s="655"/>
      <c r="G512" s="643" t="s">
        <v>274</v>
      </c>
      <c r="H512" s="643"/>
      <c r="I512" s="652">
        <f>B512-E512</f>
        <v>-20.36363636363636</v>
      </c>
      <c r="J512" s="652"/>
      <c r="K512" s="640" t="s">
        <v>275</v>
      </c>
      <c r="L512" s="640"/>
      <c r="M512" s="644">
        <f>IF(ISERROR(I512/E512),"",I512/E512)</f>
        <v>-0.24724061810154521</v>
      </c>
      <c r="N512" s="644"/>
      <c r="O512" s="640"/>
      <c r="P512" s="643" t="s">
        <v>245</v>
      </c>
      <c r="Q512" s="643"/>
      <c r="R512" s="645"/>
      <c r="S512" s="645"/>
      <c r="T512" s="646" t="str">
        <f>IF(ISERROR(R512/R513),"",R512/R513)</f>
        <v/>
      </c>
      <c r="U512" s="646"/>
      <c r="V512" s="643" t="s">
        <v>264</v>
      </c>
      <c r="W512" s="643"/>
      <c r="X512" s="647">
        <f>SUM(O375,O432,O467,O486,O493,O509)</f>
        <v>0</v>
      </c>
      <c r="Y512" s="647"/>
      <c r="Z512" s="646" t="str">
        <f>IF(ISERROR(X512/X513),"",X512/X513)</f>
        <v/>
      </c>
      <c r="AA512" s="646"/>
    </row>
    <row r="513" spans="1:27" ht="20.100000000000001" customHeight="1">
      <c r="A513" s="308" t="s">
        <v>479</v>
      </c>
      <c r="B513" s="447">
        <f>N504</f>
        <v>0</v>
      </c>
      <c r="C513" s="653" t="s">
        <v>277</v>
      </c>
      <c r="D513" s="654"/>
      <c r="E513" s="646">
        <f>IF(ISERROR(B513/B512),"",B513/B512)</f>
        <v>0</v>
      </c>
      <c r="F513" s="646"/>
      <c r="G513" s="643" t="s">
        <v>278</v>
      </c>
      <c r="H513" s="643"/>
      <c r="I513" s="640">
        <f>V504</f>
        <v>0</v>
      </c>
      <c r="J513" s="640"/>
      <c r="K513" s="640" t="s">
        <v>279</v>
      </c>
      <c r="L513" s="640"/>
      <c r="M513" s="644">
        <f t="array" ref="M513">IF(ISERROR(I513/B511),"",I513/B511)</f>
        <v>0</v>
      </c>
      <c r="N513" s="644"/>
      <c r="O513" s="640"/>
      <c r="P513" s="643" t="s">
        <v>266</v>
      </c>
      <c r="Q513" s="643"/>
      <c r="R513" s="645">
        <f>SUM(R506:S512)</f>
        <v>0</v>
      </c>
      <c r="S513" s="645"/>
      <c r="T513" s="646"/>
      <c r="U513" s="646"/>
      <c r="V513" s="643" t="s">
        <v>266</v>
      </c>
      <c r="W513" s="643"/>
      <c r="X513" s="647">
        <f>SUM(X506:Y512)</f>
        <v>0</v>
      </c>
      <c r="Y513" s="647"/>
      <c r="Z513" s="646"/>
      <c r="AA513" s="646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682" t="str">
        <f>IF(ISERROR(#REF!/#REF!),"",#REF!/#REF!)</f>
        <v/>
      </c>
      <c r="H514" s="682"/>
      <c r="I514" s="682"/>
      <c r="J514" s="125"/>
      <c r="K514" s="160"/>
      <c r="L514" s="122"/>
      <c r="M514" s="122"/>
      <c r="N514" s="682" t="str">
        <f>IF(ISERROR(G514/#REF!),"",G514/#REF!)</f>
        <v/>
      </c>
      <c r="O514" s="682"/>
      <c r="P514" s="682"/>
      <c r="Q514" s="682"/>
      <c r="R514" s="682"/>
      <c r="S514" s="448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685" t="s">
        <v>268</v>
      </c>
      <c r="B516" s="685"/>
      <c r="C516" s="638">
        <f>SUM(B170,B340,B511)</f>
        <v>7247</v>
      </c>
      <c r="D516" s="639"/>
      <c r="E516" s="685" t="s">
        <v>269</v>
      </c>
      <c r="F516" s="685"/>
      <c r="G516" s="655">
        <f>SUM(E170,E340,E511)</f>
        <v>36495.179999999993</v>
      </c>
      <c r="H516" s="655"/>
      <c r="I516" s="643" t="s">
        <v>270</v>
      </c>
      <c r="J516" s="685"/>
      <c r="K516" s="638">
        <f>IF(ISERROR(C516/G517),"",C516/G517)</f>
        <v>16.460711682295283</v>
      </c>
      <c r="L516" s="639"/>
      <c r="M516" s="643" t="s">
        <v>271</v>
      </c>
      <c r="N516" s="643"/>
      <c r="O516" s="680">
        <f t="array" ref="O516">IF(ISERROR(C516/C517),"",C516/C517)</f>
        <v>15.754347826086956</v>
      </c>
      <c r="P516" s="681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643" t="s">
        <v>273</v>
      </c>
      <c r="B517" s="643"/>
      <c r="C517" s="638">
        <f>SUM(B171,B341,B512)</f>
        <v>460</v>
      </c>
      <c r="D517" s="639"/>
      <c r="E517" s="643" t="s">
        <v>251</v>
      </c>
      <c r="F517" s="643"/>
      <c r="G517" s="655">
        <f>SUM(E171,E341,E512)</f>
        <v>440.26042979628187</v>
      </c>
      <c r="H517" s="655"/>
      <c r="I517" s="653" t="s">
        <v>274</v>
      </c>
      <c r="J517" s="654"/>
      <c r="K517" s="650">
        <f>C517-G517</f>
        <v>19.739570203718131</v>
      </c>
      <c r="L517" s="651"/>
      <c r="M517" s="650" t="s">
        <v>275</v>
      </c>
      <c r="N517" s="651"/>
      <c r="O517" s="683">
        <f>IF(ISERROR(K517/C517),"",K517/C517)</f>
        <v>4.2912109138517673E-2</v>
      </c>
      <c r="P517" s="684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653" t="s">
        <v>276</v>
      </c>
      <c r="B518" s="654"/>
      <c r="C518" s="638">
        <f>SUM(B172,B342,B513)</f>
        <v>0</v>
      </c>
      <c r="D518" s="639"/>
      <c r="E518" s="653" t="s">
        <v>277</v>
      </c>
      <c r="F518" s="654"/>
      <c r="G518" s="646">
        <f>IF(ISERROR(C518/C517),"",C518/C517)</f>
        <v>0</v>
      </c>
      <c r="H518" s="646"/>
      <c r="I518" s="643" t="s">
        <v>278</v>
      </c>
      <c r="J518" s="685"/>
      <c r="K518" s="655">
        <f>SUM(I172,I342,I513)</f>
        <v>0</v>
      </c>
      <c r="L518" s="655"/>
      <c r="M518" s="685" t="s">
        <v>279</v>
      </c>
      <c r="N518" s="685"/>
      <c r="O518" s="683">
        <f t="array" ref="O518">IF(ISERROR(K518/C516),"",K518/C516)</f>
        <v>0</v>
      </c>
      <c r="P518" s="684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448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653" t="s">
        <v>298</v>
      </c>
      <c r="B520" s="654"/>
      <c r="C520" s="653" t="s">
        <v>299</v>
      </c>
      <c r="D520" s="654"/>
      <c r="E520" s="653" t="s">
        <v>256</v>
      </c>
      <c r="F520" s="654"/>
      <c r="G520" s="686" t="s">
        <v>254</v>
      </c>
      <c r="H520" s="687"/>
      <c r="I520" s="653" t="s">
        <v>255</v>
      </c>
      <c r="J520" s="651"/>
      <c r="K520" s="653" t="s">
        <v>300</v>
      </c>
      <c r="L520" s="654"/>
      <c r="M520" s="653" t="s">
        <v>256</v>
      </c>
      <c r="N520" s="654"/>
      <c r="O520" s="643" t="s">
        <v>257</v>
      </c>
      <c r="P520" s="643"/>
      <c r="Q520" s="653" t="s">
        <v>300</v>
      </c>
      <c r="R520" s="654"/>
      <c r="S520" s="653" t="s">
        <v>256</v>
      </c>
      <c r="T520" s="654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692" t="s">
        <v>201</v>
      </c>
      <c r="B521" s="654"/>
      <c r="C521" s="653">
        <f>SUM(G28,G198,G368)</f>
        <v>1922</v>
      </c>
      <c r="D521" s="654"/>
      <c r="E521" s="693">
        <f>IF(ISERROR(C521/C527),"",C521/C527)</f>
        <v>0.26521319166551677</v>
      </c>
      <c r="F521" s="694"/>
      <c r="G521" s="688"/>
      <c r="H521" s="689"/>
      <c r="I521" s="695" t="s">
        <v>301</v>
      </c>
      <c r="J521" s="696"/>
      <c r="K521" s="650">
        <f t="shared" ref="K521:K526" si="238">SUM(R165,U335,U506)</f>
        <v>0</v>
      </c>
      <c r="L521" s="651"/>
      <c r="M521" s="693" t="str">
        <f t="array" ref="M521">IF(ISERROR(K521/K527),"",K521/K527)</f>
        <v/>
      </c>
      <c r="N521" s="694"/>
      <c r="O521" s="643" t="s">
        <v>259</v>
      </c>
      <c r="P521" s="643"/>
      <c r="Q521" s="680">
        <f t="shared" ref="Q521:Q526" si="239">SUM(X165,AA335,AA506)</f>
        <v>0</v>
      </c>
      <c r="R521" s="681"/>
      <c r="S521" s="693" t="str">
        <f t="array" ref="S521">IF(ISERROR(Q521/Q527),"",Q521/Q527)</f>
        <v/>
      </c>
      <c r="T521" s="694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692" t="s">
        <v>216</v>
      </c>
      <c r="B522" s="654"/>
      <c r="C522" s="653">
        <f>SUM(G86,G256,G426)</f>
        <v>3753</v>
      </c>
      <c r="D522" s="654"/>
      <c r="E522" s="693">
        <f>IF(ISERROR(C522/C527),"",C522/C527)</f>
        <v>0.51786946322616256</v>
      </c>
      <c r="F522" s="694"/>
      <c r="G522" s="688"/>
      <c r="H522" s="689"/>
      <c r="I522" s="695" t="s">
        <v>302</v>
      </c>
      <c r="J522" s="696"/>
      <c r="K522" s="650">
        <f t="shared" si="238"/>
        <v>0</v>
      </c>
      <c r="L522" s="651"/>
      <c r="M522" s="693" t="str">
        <f>IF(ISERROR(K522/K527),"",K522/K527)</f>
        <v/>
      </c>
      <c r="N522" s="694"/>
      <c r="O522" s="643" t="s">
        <v>261</v>
      </c>
      <c r="P522" s="643"/>
      <c r="Q522" s="680">
        <f t="shared" si="239"/>
        <v>0</v>
      </c>
      <c r="R522" s="681"/>
      <c r="S522" s="693" t="str">
        <f>IF(ISERROR(Q522/Q527),"",Q522/Q527)</f>
        <v/>
      </c>
      <c r="T522" s="694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692" t="s">
        <v>224</v>
      </c>
      <c r="B523" s="654"/>
      <c r="C523" s="653">
        <f>SUM(G121,G291,G461)</f>
        <v>663</v>
      </c>
      <c r="D523" s="654"/>
      <c r="E523" s="693">
        <f>IF(ISERROR(C523/C527),"",C523/C527)</f>
        <v>9.1486132192631436E-2</v>
      </c>
      <c r="F523" s="694"/>
      <c r="G523" s="688"/>
      <c r="H523" s="689"/>
      <c r="I523" s="695" t="s">
        <v>303</v>
      </c>
      <c r="J523" s="696"/>
      <c r="K523" s="650">
        <f t="shared" si="238"/>
        <v>0</v>
      </c>
      <c r="L523" s="651"/>
      <c r="M523" s="693" t="str">
        <f>IF(ISERROR(K523/K527),"",K523/K527)</f>
        <v/>
      </c>
      <c r="N523" s="694"/>
      <c r="O523" s="643" t="s">
        <v>263</v>
      </c>
      <c r="P523" s="643"/>
      <c r="Q523" s="680">
        <f t="shared" si="239"/>
        <v>0</v>
      </c>
      <c r="R523" s="681"/>
      <c r="S523" s="693" t="str">
        <f>IF(ISERROR(Q523/Q527),"",Q523/Q527)</f>
        <v/>
      </c>
      <c r="T523" s="694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692" t="s">
        <v>231</v>
      </c>
      <c r="B524" s="654"/>
      <c r="C524" s="653">
        <f>SUM(G137,G307,G477)</f>
        <v>909</v>
      </c>
      <c r="D524" s="654"/>
      <c r="E524" s="693">
        <f>IF(ISERROR(C524/C527),"",C524/C527)</f>
        <v>0.12543121291568926</v>
      </c>
      <c r="F524" s="694"/>
      <c r="G524" s="688"/>
      <c r="H524" s="689"/>
      <c r="I524" s="695" t="s">
        <v>304</v>
      </c>
      <c r="J524" s="696"/>
      <c r="K524" s="650">
        <f t="shared" si="238"/>
        <v>0</v>
      </c>
      <c r="L524" s="651"/>
      <c r="M524" s="693" t="str">
        <f>IF(ISERROR(K524/K527),"",K524/K527)</f>
        <v/>
      </c>
      <c r="N524" s="694"/>
      <c r="O524" s="643" t="s">
        <v>305</v>
      </c>
      <c r="P524" s="643"/>
      <c r="Q524" s="680">
        <f t="shared" si="239"/>
        <v>0</v>
      </c>
      <c r="R524" s="681"/>
      <c r="S524" s="693" t="str">
        <f>IF(ISERROR(Q524/Q527),"",Q524/Q527)</f>
        <v/>
      </c>
      <c r="T524" s="694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92" t="s">
        <v>234</v>
      </c>
      <c r="B525" s="654"/>
      <c r="C525" s="653">
        <f>SUM(G147,G317,G487)</f>
        <v>0</v>
      </c>
      <c r="D525" s="654"/>
      <c r="E525" s="693">
        <f>IF(ISERROR(C525/C527),"",C525/C527)</f>
        <v>0</v>
      </c>
      <c r="F525" s="694"/>
      <c r="G525" s="688"/>
      <c r="H525" s="689"/>
      <c r="I525" s="695" t="s">
        <v>306</v>
      </c>
      <c r="J525" s="696"/>
      <c r="K525" s="650">
        <f t="shared" si="238"/>
        <v>0</v>
      </c>
      <c r="L525" s="651"/>
      <c r="M525" s="693" t="str">
        <f>IF(ISERROR(K525/K527),"",K525/K527)</f>
        <v/>
      </c>
      <c r="N525" s="694"/>
      <c r="O525" s="643" t="s">
        <v>267</v>
      </c>
      <c r="P525" s="643"/>
      <c r="Q525" s="680">
        <f t="shared" si="239"/>
        <v>0</v>
      </c>
      <c r="R525" s="681"/>
      <c r="S525" s="693" t="str">
        <f>IF(ISERROR(Q525/Q527),"",Q525/Q527)</f>
        <v/>
      </c>
      <c r="T525" s="694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92" t="s">
        <v>244</v>
      </c>
      <c r="B526" s="654"/>
      <c r="C526" s="653">
        <f>SUM(G162,G332,G503)</f>
        <v>0</v>
      </c>
      <c r="D526" s="654"/>
      <c r="E526" s="693">
        <f>IF(ISERROR(C526/C527),"",C526/C527)</f>
        <v>0</v>
      </c>
      <c r="F526" s="694"/>
      <c r="G526" s="688"/>
      <c r="H526" s="689"/>
      <c r="I526" s="695" t="s">
        <v>307</v>
      </c>
      <c r="J526" s="696"/>
      <c r="K526" s="650">
        <f t="shared" si="238"/>
        <v>0</v>
      </c>
      <c r="L526" s="651"/>
      <c r="M526" s="693" t="str">
        <f>IF(ISERROR(K526/K527),"",K526/K527)</f>
        <v/>
      </c>
      <c r="N526" s="694"/>
      <c r="O526" s="643" t="s">
        <v>272</v>
      </c>
      <c r="P526" s="643"/>
      <c r="Q526" s="680">
        <f t="shared" si="239"/>
        <v>0</v>
      </c>
      <c r="R526" s="681"/>
      <c r="S526" s="693" t="str">
        <f>IF(ISERROR(Q526/Q527),"",Q526/Q527)</f>
        <v/>
      </c>
      <c r="T526" s="694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53" t="s">
        <v>266</v>
      </c>
      <c r="B527" s="654"/>
      <c r="C527" s="653">
        <f>SUM(C521:C526)</f>
        <v>7247</v>
      </c>
      <c r="D527" s="654"/>
      <c r="E527" s="693">
        <f>SUM(E521:F526)</f>
        <v>1</v>
      </c>
      <c r="F527" s="694"/>
      <c r="G527" s="690"/>
      <c r="H527" s="691"/>
      <c r="I527" s="653" t="s">
        <v>266</v>
      </c>
      <c r="J527" s="651"/>
      <c r="K527" s="650">
        <f>SUM(R172,U342,U513)</f>
        <v>0</v>
      </c>
      <c r="L527" s="651"/>
      <c r="M527" s="693"/>
      <c r="N527" s="694"/>
      <c r="O527" s="643" t="s">
        <v>266</v>
      </c>
      <c r="P527" s="643"/>
      <c r="Q527" s="680">
        <f>SUM(Q521:R526)</f>
        <v>0</v>
      </c>
      <c r="R527" s="681"/>
      <c r="S527" s="693">
        <f>SUM(S521:T526)</f>
        <v>0</v>
      </c>
      <c r="T527" s="694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695" t="s">
        <v>308</v>
      </c>
      <c r="B529" s="649"/>
      <c r="C529" s="451" t="s">
        <v>309</v>
      </c>
      <c r="D529" s="451" t="s">
        <v>310</v>
      </c>
      <c r="E529" s="451" t="s">
        <v>311</v>
      </c>
      <c r="F529" s="451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453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445" t="s">
        <v>322</v>
      </c>
      <c r="Q529" s="129" t="s">
        <v>323</v>
      </c>
      <c r="R529" s="109" t="s">
        <v>324</v>
      </c>
      <c r="S529" s="451" t="s">
        <v>325</v>
      </c>
      <c r="T529" s="451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697" t="s">
        <v>327</v>
      </c>
      <c r="B530" s="698"/>
      <c r="C530" s="106">
        <f>D530+E530+F530-G530-O530-P530</f>
        <v>33</v>
      </c>
      <c r="D530" s="106">
        <f>+'10'!D530</f>
        <v>33</v>
      </c>
      <c r="E530" s="106"/>
      <c r="F530" s="106"/>
      <c r="G530" s="107"/>
      <c r="H530" s="106">
        <v>2</v>
      </c>
      <c r="I530" s="106"/>
      <c r="J530" s="106">
        <f>C530-H530-I530</f>
        <v>31</v>
      </c>
      <c r="K530" s="106"/>
      <c r="L530" s="106"/>
      <c r="M530" s="106"/>
      <c r="N530" s="106"/>
      <c r="O530" s="106"/>
      <c r="P530" s="108"/>
      <c r="Q530" s="106">
        <f>J530-K530-L530</f>
        <v>31</v>
      </c>
      <c r="R530" s="109">
        <f>Q530*11-M530-N530</f>
        <v>341</v>
      </c>
      <c r="S530" s="452">
        <f t="array" ref="S530">IF(ISERROR(Q530/J530),"",Q530/J530)</f>
        <v>1</v>
      </c>
      <c r="T530" s="452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697" t="s">
        <v>328</v>
      </c>
      <c r="B531" s="698"/>
      <c r="C531" s="106">
        <f>D531+E531+F531-G531-O531-P531</f>
        <v>30</v>
      </c>
      <c r="D531" s="106">
        <f>+'10'!D531</f>
        <v>30</v>
      </c>
      <c r="E531" s="110"/>
      <c r="F531" s="110"/>
      <c r="G531" s="107"/>
      <c r="H531" s="106"/>
      <c r="I531" s="106"/>
      <c r="J531" s="106">
        <f>C531-H531-I531</f>
        <v>30</v>
      </c>
      <c r="K531" s="106"/>
      <c r="L531" s="106"/>
      <c r="M531" s="106"/>
      <c r="N531" s="106"/>
      <c r="O531" s="110"/>
      <c r="P531" s="111"/>
      <c r="Q531" s="106">
        <f>J531-K531-L531</f>
        <v>30</v>
      </c>
      <c r="R531" s="109">
        <f>Q531*11-M531-N531</f>
        <v>330</v>
      </c>
      <c r="S531" s="452">
        <f t="array" ref="S531">IF(ISERROR(Q531/J531),"",Q531/J531)</f>
        <v>1</v>
      </c>
      <c r="T531" s="452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697" t="s">
        <v>329</v>
      </c>
      <c r="B532" s="698"/>
      <c r="C532" s="106">
        <f>D532+E532+F532-G532-O532-P532</f>
        <v>10</v>
      </c>
      <c r="D532" s="106">
        <f>+'10'!D532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452">
        <f t="array" ref="S532">IF(ISERROR(Q532/J532),"",Q532/J532)</f>
        <v>1</v>
      </c>
      <c r="T532" s="452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699" t="s">
        <v>330</v>
      </c>
      <c r="B533" s="700"/>
      <c r="C533" s="112">
        <f>SUM(C530:C532)</f>
        <v>73</v>
      </c>
      <c r="D533" s="112">
        <f t="shared" ref="D533:N533" si="240">SUM(D530:D532)</f>
        <v>73</v>
      </c>
      <c r="E533" s="112">
        <f t="shared" si="240"/>
        <v>0</v>
      </c>
      <c r="F533" s="112">
        <f t="shared" si="240"/>
        <v>0</v>
      </c>
      <c r="G533" s="113">
        <f t="shared" si="240"/>
        <v>0</v>
      </c>
      <c r="H533" s="112">
        <f t="shared" si="240"/>
        <v>2</v>
      </c>
      <c r="I533" s="112">
        <f t="shared" si="240"/>
        <v>0</v>
      </c>
      <c r="J533" s="112">
        <f t="shared" si="240"/>
        <v>71</v>
      </c>
      <c r="K533" s="112">
        <f t="shared" si="240"/>
        <v>0</v>
      </c>
      <c r="L533" s="112">
        <f t="shared" si="240"/>
        <v>0</v>
      </c>
      <c r="M533" s="112">
        <f t="shared" si="240"/>
        <v>0</v>
      </c>
      <c r="N533" s="112">
        <f t="shared" si="240"/>
        <v>0</v>
      </c>
      <c r="O533" s="112">
        <f>SUM(O530:O532)</f>
        <v>0</v>
      </c>
      <c r="P533" s="112">
        <f>SUM(P530:P532)</f>
        <v>0</v>
      </c>
      <c r="Q533" s="112">
        <f>SUM(Q530:Q532)</f>
        <v>71</v>
      </c>
      <c r="R533" s="114">
        <f>SUM(R530:R532)</f>
        <v>781</v>
      </c>
      <c r="S533" s="115">
        <f t="array" ref="S533">IF(ISERROR(Q533/J533),"",Q533/J533)</f>
        <v>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26</vt:i4>
      </vt:variant>
    </vt:vector>
  </HeadingPairs>
  <TitlesOfParts>
    <vt:vector size="26" baseType="lpstr"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表样</vt:lpstr>
      <vt:lpstr>周汇总</vt:lpstr>
      <vt:lpstr>汇总</vt:lpstr>
      <vt:lpstr>直接人工成本</vt:lpstr>
      <vt:lpstr>分类汇总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1996-12-17T01:32:42Z</dcterms:created>
  <dcterms:modified xsi:type="dcterms:W3CDTF">2016-12-24T05:49:40Z</dcterms:modified>
</cp:coreProperties>
</file>